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hidePivotFieldList="1"/>
  <xr:revisionPtr revIDLastSave="2" documentId="8_{096C7114-094E-47C7-9A32-7257FF0427D0}" xr6:coauthVersionLast="47" xr6:coauthVersionMax="47" xr10:uidLastSave="{A49B8F21-6442-4F32-A7E6-0D963F86028A}"/>
  <bookViews>
    <workbookView xWindow="-28920" yWindow="-120" windowWidth="29040" windowHeight="15840" tabRatio="749" xr2:uid="{5505BBD9-F504-42CE-B6AE-DD36DA53F7EA}"/>
  </bookViews>
  <sheets>
    <sheet name="Summary Tables" sheetId="22" r:id="rId1"/>
    <sheet name="Housing Trajectory" sheetId="69" r:id="rId2"/>
    <sheet name="Conventional Supply" sheetId="28" r:id="rId3"/>
    <sheet name="Non-Self-Contained Supply" sheetId="72" r:id="rId4"/>
    <sheet name="Conventional Supply Assumptions" sheetId="74" r:id="rId5"/>
    <sheet name="Non-Self-Contained Assumptions" sheetId="75" r:id="rId6"/>
    <sheet name="Abbreviations" sheetId="67" r:id="rId7"/>
    <sheet name="1a Conv" sheetId="32" state="hidden" r:id="rId8"/>
    <sheet name="1a NSC" sheetId="33" state="hidden" r:id="rId9"/>
    <sheet name="1d" sheetId="34" state="hidden" r:id="rId10"/>
    <sheet name="2 NB" sheetId="35" state="hidden" r:id="rId11"/>
    <sheet name="2 CON" sheetId="36" state="hidden" r:id="rId12"/>
    <sheet name="3" sheetId="37" state="hidden" r:id="rId13"/>
    <sheet name="4" sheetId="38" state="hidden" r:id="rId14"/>
    <sheet name="5 Perm" sheetId="39" state="hidden" r:id="rId15"/>
    <sheet name="5 Star" sheetId="40" state="hidden" r:id="rId16"/>
    <sheet name="6 PeNB" sheetId="42" state="hidden" r:id="rId17"/>
    <sheet name="6 PeCO" sheetId="65" state="hidden" r:id="rId18"/>
    <sheet name="6 StNB" sheetId="43" state="hidden" r:id="rId19"/>
    <sheet name="6 StCO" sheetId="66" state="hidden" r:id="rId20"/>
    <sheet name="7 Perm" sheetId="44" state="hidden" r:id="rId21"/>
    <sheet name="7 Star" sheetId="45" state="hidden" r:id="rId22"/>
    <sheet name="8b and 8c" sheetId="46" state="hidden" r:id="rId23"/>
    <sheet name="12" sheetId="49" state="hidden" r:id="rId24"/>
    <sheet name="13" sheetId="50" state="hidden" r:id="rId25"/>
    <sheet name="13 Spatial areas" sheetId="73" state="hidden" r:id="rId26"/>
    <sheet name="14" sheetId="59" state="hidden" r:id="rId27"/>
    <sheet name="15" sheetId="60" state="hidden" r:id="rId28"/>
    <sheet name="16" sheetId="61" state="hidden" r:id="rId29"/>
    <sheet name="17" sheetId="62" state="hidden" r:id="rId30"/>
    <sheet name="18" sheetId="63" state="hidden" r:id="rId31"/>
    <sheet name="19" sheetId="64" state="hidden" r:id="rId32"/>
  </sheets>
  <definedNames>
    <definedName name="_xlnm._FilterDatabase" localSheetId="2" hidden="1">'Conventional Supply'!$A$1:$CO$1152</definedName>
    <definedName name="_xlnm._FilterDatabase" localSheetId="3" hidden="1">'Non-Self-Contained Supply'!$A$1:$BN$33</definedName>
    <definedName name="_xlnm._FilterDatabase" localSheetId="0" hidden="1">'Summary Tables'!$A$276:$E$302</definedName>
    <definedName name="_xlnm.Print_Area" localSheetId="6">Abbreviations!$A$1:$B$89</definedName>
    <definedName name="_xlnm.Print_Area" localSheetId="1">'Housing Trajectory'!$A$1:$U$70</definedName>
    <definedName name="_xlnm.Print_Area" localSheetId="5">'Non-Self-Contained Assumptions'!$A$1:$C$12</definedName>
    <definedName name="_xlnm.Print_Area" localSheetId="0">'Summary Tables'!$A$1:$Q$359</definedName>
    <definedName name="_xlnm.Print_Titles" localSheetId="2">'Conventional Supply'!$A:$C,'Conventional Supply'!$1:$1</definedName>
    <definedName name="_xlnm.Print_Titles" localSheetId="5">'Non-Self-Contained Assumptions'!$3:$3</definedName>
  </definedNames>
  <calcPr calcId="191028"/>
  <pivotCaches>
    <pivotCache cacheId="0" r:id="rId33"/>
    <pivotCache cacheId="1" r:id="rId34"/>
    <pivotCache cacheId="2" r:id="rId3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7" i="72" l="1"/>
  <c r="BM7" i="72"/>
  <c r="AT7" i="72"/>
  <c r="AC7" i="72"/>
  <c r="Y7" i="72"/>
  <c r="U7" i="72"/>
  <c r="Q7" i="72"/>
  <c r="M7" i="72"/>
  <c r="BZ913" i="28"/>
  <c r="BY913" i="28"/>
  <c r="BX913" i="28"/>
  <c r="CO3" i="28"/>
  <c r="CO4" i="28"/>
  <c r="CO5" i="28"/>
  <c r="CO6" i="28"/>
  <c r="CO7" i="28"/>
  <c r="CO8" i="28"/>
  <c r="CO9" i="28"/>
  <c r="CO10" i="28"/>
  <c r="CO11" i="28"/>
  <c r="CO12" i="28"/>
  <c r="CO13" i="28"/>
  <c r="CO14" i="28"/>
  <c r="CO15" i="28"/>
  <c r="CO16" i="28"/>
  <c r="CO17" i="28"/>
  <c r="CO18" i="28"/>
  <c r="CO19" i="28"/>
  <c r="CO20" i="28"/>
  <c r="CO21" i="28"/>
  <c r="CO22" i="28"/>
  <c r="CO23" i="28"/>
  <c r="CO24" i="28"/>
  <c r="CO25" i="28"/>
  <c r="CO26" i="28"/>
  <c r="CO27" i="28"/>
  <c r="CO28" i="28"/>
  <c r="CO29" i="28"/>
  <c r="CO30" i="28"/>
  <c r="CO31" i="28"/>
  <c r="CO32" i="28"/>
  <c r="CO33" i="28"/>
  <c r="CO34" i="28"/>
  <c r="CO35" i="28"/>
  <c r="CO36" i="28"/>
  <c r="CO37" i="28"/>
  <c r="CO38" i="28"/>
  <c r="CO39" i="28"/>
  <c r="CO40" i="28"/>
  <c r="CO41" i="28"/>
  <c r="CO42" i="28"/>
  <c r="CO43" i="28"/>
  <c r="CO111" i="28"/>
  <c r="CO45" i="28"/>
  <c r="CO46" i="28"/>
  <c r="CO47" i="28"/>
  <c r="CO48" i="28"/>
  <c r="CO49" i="28"/>
  <c r="CO50" i="28"/>
  <c r="CO51" i="28"/>
  <c r="CO52" i="28"/>
  <c r="CO53" i="28"/>
  <c r="CO54" i="28"/>
  <c r="CO55" i="28"/>
  <c r="CO56" i="28"/>
  <c r="CO57" i="28"/>
  <c r="CO58" i="28"/>
  <c r="CO59" i="28"/>
  <c r="CO60" i="28"/>
  <c r="CO118" i="28"/>
  <c r="CO62" i="28"/>
  <c r="CO63" i="28"/>
  <c r="CO64" i="28"/>
  <c r="CO65" i="28"/>
  <c r="CO66" i="28"/>
  <c r="CO67" i="28"/>
  <c r="CO149" i="28"/>
  <c r="CO69" i="28"/>
  <c r="CO70" i="28"/>
  <c r="CO71" i="28"/>
  <c r="CO72" i="28"/>
  <c r="CO73" i="28"/>
  <c r="CO74" i="28"/>
  <c r="CO75" i="28"/>
  <c r="CO76" i="28"/>
  <c r="CO77" i="28"/>
  <c r="CO78" i="28"/>
  <c r="CO79" i="28"/>
  <c r="CO80" i="28"/>
  <c r="CO81" i="28"/>
  <c r="CO82" i="28"/>
  <c r="CO83" i="28"/>
  <c r="CO84" i="28"/>
  <c r="CO85" i="28"/>
  <c r="CO86" i="28"/>
  <c r="CO87" i="28"/>
  <c r="CO88" i="28"/>
  <c r="CO89" i="28"/>
  <c r="CO90" i="28"/>
  <c r="CO91" i="28"/>
  <c r="CO92" i="28"/>
  <c r="CO93" i="28"/>
  <c r="CO94" i="28"/>
  <c r="CO95" i="28"/>
  <c r="CO96" i="28"/>
  <c r="CO97" i="28"/>
  <c r="CO98" i="28"/>
  <c r="CO99" i="28"/>
  <c r="CO100" i="28"/>
  <c r="CO101" i="28"/>
  <c r="CO152" i="28"/>
  <c r="CO103" i="28"/>
  <c r="CO104" i="28"/>
  <c r="CO105" i="28"/>
  <c r="CO106" i="28"/>
  <c r="CO107" i="28"/>
  <c r="CO108" i="28"/>
  <c r="CO109" i="28"/>
  <c r="CO110" i="28"/>
  <c r="CO179" i="28"/>
  <c r="CO112" i="28"/>
  <c r="CO113" i="28"/>
  <c r="CO114" i="28"/>
  <c r="CO115" i="28"/>
  <c r="CO116" i="28"/>
  <c r="CO117" i="28"/>
  <c r="CO156" i="28"/>
  <c r="CO119" i="28"/>
  <c r="CO120" i="28"/>
  <c r="CO121" i="28"/>
  <c r="CO122" i="28"/>
  <c r="CO123" i="28"/>
  <c r="CO124" i="28"/>
  <c r="CO125" i="28"/>
  <c r="CO126" i="28"/>
  <c r="CO127" i="28"/>
  <c r="CO128" i="28"/>
  <c r="CO129" i="28"/>
  <c r="CO130" i="28"/>
  <c r="CO131" i="28"/>
  <c r="CO132" i="28"/>
  <c r="CO133" i="28"/>
  <c r="CO134" i="28"/>
  <c r="CO135" i="28"/>
  <c r="CO136" i="28"/>
  <c r="CO137" i="28"/>
  <c r="CO138" i="28"/>
  <c r="CO139" i="28"/>
  <c r="CO140" i="28"/>
  <c r="CO141" i="28"/>
  <c r="CO142" i="28"/>
  <c r="CO143" i="28"/>
  <c r="CO144" i="28"/>
  <c r="CO145" i="28"/>
  <c r="CO146" i="28"/>
  <c r="CO147" i="28"/>
  <c r="CO148" i="28"/>
  <c r="CO157" i="28"/>
  <c r="CO150" i="28"/>
  <c r="CO151" i="28"/>
  <c r="CO165" i="28"/>
  <c r="CO153" i="28"/>
  <c r="CO154" i="28"/>
  <c r="CO155" i="28"/>
  <c r="CO183" i="28"/>
  <c r="CO920" i="28"/>
  <c r="CO951" i="28"/>
  <c r="CO158" i="28"/>
  <c r="CO159" i="28"/>
  <c r="CO160" i="28"/>
  <c r="CO161" i="28"/>
  <c r="CO162" i="28"/>
  <c r="CO163" i="28"/>
  <c r="CO164" i="28"/>
  <c r="CO68" i="28"/>
  <c r="CO973" i="28"/>
  <c r="CO167" i="28"/>
  <c r="CO168" i="28"/>
  <c r="CO169" i="28"/>
  <c r="CO170" i="28"/>
  <c r="CO171" i="28"/>
  <c r="CO172" i="28"/>
  <c r="CO173" i="28"/>
  <c r="CO174" i="28"/>
  <c r="CO177" i="28"/>
  <c r="CO178" i="28"/>
  <c r="CO44" i="28"/>
  <c r="CO102" i="28"/>
  <c r="CO180" i="28"/>
  <c r="CO61" i="28"/>
  <c r="CO181" i="28"/>
  <c r="CO182" i="28"/>
  <c r="CO347" i="28"/>
  <c r="CO359" i="28"/>
  <c r="CO384" i="28"/>
  <c r="CO974" i="28"/>
  <c r="CO976" i="28"/>
  <c r="CO1083" i="28"/>
  <c r="CO1084" i="28"/>
  <c r="CO1085" i="28"/>
  <c r="CO1086" i="28"/>
  <c r="CO1087" i="28"/>
  <c r="CO1088" i="28"/>
  <c r="CO1102" i="28"/>
  <c r="CO1110" i="28"/>
  <c r="CO1152" i="28"/>
  <c r="CN3" i="28"/>
  <c r="CN4" i="28"/>
  <c r="CN5" i="28"/>
  <c r="CN6" i="28"/>
  <c r="CN7" i="28"/>
  <c r="CN8" i="28"/>
  <c r="CN9" i="28"/>
  <c r="CN10" i="28"/>
  <c r="CN11" i="28"/>
  <c r="CN12" i="28"/>
  <c r="CN13" i="28"/>
  <c r="CN14" i="28"/>
  <c r="CN15" i="28"/>
  <c r="CN16" i="28"/>
  <c r="CN17" i="28"/>
  <c r="CN18" i="28"/>
  <c r="CN19" i="28"/>
  <c r="CN20" i="28"/>
  <c r="CN21" i="28"/>
  <c r="CN22" i="28"/>
  <c r="CN23" i="28"/>
  <c r="CN24" i="28"/>
  <c r="CN25" i="28"/>
  <c r="CN26" i="28"/>
  <c r="CN27" i="28"/>
  <c r="CN28" i="28"/>
  <c r="CN29" i="28"/>
  <c r="CN30" i="28"/>
  <c r="CN31" i="28"/>
  <c r="CN32" i="28"/>
  <c r="CN33" i="28"/>
  <c r="CN34" i="28"/>
  <c r="CN35" i="28"/>
  <c r="CN36" i="28"/>
  <c r="CN37" i="28"/>
  <c r="CN38" i="28"/>
  <c r="CN39" i="28"/>
  <c r="CN40" i="28"/>
  <c r="CN41" i="28"/>
  <c r="CN42" i="28"/>
  <c r="CN43" i="28"/>
  <c r="CN111" i="28"/>
  <c r="CN45" i="28"/>
  <c r="CN46" i="28"/>
  <c r="CN47" i="28"/>
  <c r="CN48" i="28"/>
  <c r="CN49" i="28"/>
  <c r="CN50" i="28"/>
  <c r="CN51" i="28"/>
  <c r="CN52" i="28"/>
  <c r="CN53" i="28"/>
  <c r="CN54" i="28"/>
  <c r="CN55" i="28"/>
  <c r="CN56" i="28"/>
  <c r="CN57" i="28"/>
  <c r="CN58" i="28"/>
  <c r="CN59" i="28"/>
  <c r="CN60" i="28"/>
  <c r="CN118" i="28"/>
  <c r="CN62" i="28"/>
  <c r="CN63" i="28"/>
  <c r="CN64" i="28"/>
  <c r="CN65" i="28"/>
  <c r="CN66" i="28"/>
  <c r="CN67" i="28"/>
  <c r="CN149" i="28"/>
  <c r="CN69" i="28"/>
  <c r="CN70" i="28"/>
  <c r="CN71" i="28"/>
  <c r="CN72" i="28"/>
  <c r="CN73" i="28"/>
  <c r="CN74" i="28"/>
  <c r="CN75" i="28"/>
  <c r="CN76" i="28"/>
  <c r="CN77" i="28"/>
  <c r="CN78" i="28"/>
  <c r="CN79" i="28"/>
  <c r="CN80" i="28"/>
  <c r="CN81" i="28"/>
  <c r="CN82" i="28"/>
  <c r="CN83" i="28"/>
  <c r="CN84" i="28"/>
  <c r="CN85" i="28"/>
  <c r="CN86" i="28"/>
  <c r="CN87" i="28"/>
  <c r="CN88" i="28"/>
  <c r="CN89" i="28"/>
  <c r="CN90" i="28"/>
  <c r="CN91" i="28"/>
  <c r="CN92" i="28"/>
  <c r="CN93" i="28"/>
  <c r="CN94" i="28"/>
  <c r="CN95" i="28"/>
  <c r="CN96" i="28"/>
  <c r="CN97" i="28"/>
  <c r="CN98" i="28"/>
  <c r="CN99" i="28"/>
  <c r="CN100" i="28"/>
  <c r="CN101" i="28"/>
  <c r="CN152" i="28"/>
  <c r="CN103" i="28"/>
  <c r="CN104" i="28"/>
  <c r="CN105" i="28"/>
  <c r="CN106" i="28"/>
  <c r="CN107" i="28"/>
  <c r="CN108" i="28"/>
  <c r="CN109" i="28"/>
  <c r="CN110" i="28"/>
  <c r="CN179" i="28"/>
  <c r="CN112" i="28"/>
  <c r="CN113" i="28"/>
  <c r="CN114" i="28"/>
  <c r="CN115" i="28"/>
  <c r="CN116" i="28"/>
  <c r="CN117" i="28"/>
  <c r="CN156" i="28"/>
  <c r="CN119" i="28"/>
  <c r="CN120" i="28"/>
  <c r="CN121" i="28"/>
  <c r="CN122" i="28"/>
  <c r="CN123" i="28"/>
  <c r="CN124" i="28"/>
  <c r="CN125" i="28"/>
  <c r="CN126" i="28"/>
  <c r="CN127" i="28"/>
  <c r="CN128" i="28"/>
  <c r="CN129" i="28"/>
  <c r="CN130" i="28"/>
  <c r="CN131" i="28"/>
  <c r="CN132" i="28"/>
  <c r="CN133" i="28"/>
  <c r="CN134" i="28"/>
  <c r="CN135" i="28"/>
  <c r="CN136" i="28"/>
  <c r="CN137" i="28"/>
  <c r="CN138" i="28"/>
  <c r="CN139" i="28"/>
  <c r="CN140" i="28"/>
  <c r="CN141" i="28"/>
  <c r="CN142" i="28"/>
  <c r="CN143" i="28"/>
  <c r="CN144" i="28"/>
  <c r="CN145" i="28"/>
  <c r="CN146" i="28"/>
  <c r="CN147" i="28"/>
  <c r="CN148" i="28"/>
  <c r="CN157" i="28"/>
  <c r="CN150" i="28"/>
  <c r="CN151" i="28"/>
  <c r="CN165" i="28"/>
  <c r="CN153" i="28"/>
  <c r="CN154" i="28"/>
  <c r="CN155" i="28"/>
  <c r="CN183" i="28"/>
  <c r="CN920" i="28"/>
  <c r="CN951" i="28"/>
  <c r="CN158" i="28"/>
  <c r="CN159" i="28"/>
  <c r="CN160" i="28"/>
  <c r="CN161" i="28"/>
  <c r="CN162" i="28"/>
  <c r="CN163" i="28"/>
  <c r="CN164" i="28"/>
  <c r="CN68" i="28"/>
  <c r="CN973" i="28"/>
  <c r="CN167" i="28"/>
  <c r="CN168" i="28"/>
  <c r="CN169" i="28"/>
  <c r="CN170" i="28"/>
  <c r="CN171" i="28"/>
  <c r="CN172" i="28"/>
  <c r="CN173" i="28"/>
  <c r="CN174" i="28"/>
  <c r="CN177" i="28"/>
  <c r="CN178" i="28"/>
  <c r="CN44" i="28"/>
  <c r="CN102" i="28"/>
  <c r="CN180" i="28"/>
  <c r="CN61" i="28"/>
  <c r="CN181" i="28"/>
  <c r="CN182" i="28"/>
  <c r="CN347" i="28"/>
  <c r="CN359" i="28"/>
  <c r="CN384" i="28"/>
  <c r="CN974" i="28"/>
  <c r="CN976" i="28"/>
  <c r="CN518" i="28"/>
  <c r="CN570" i="28"/>
  <c r="CN474" i="28"/>
  <c r="CN475" i="28"/>
  <c r="CN476" i="28"/>
  <c r="CN477" i="28"/>
  <c r="CN831" i="28"/>
  <c r="CN175" i="28"/>
  <c r="CN405" i="28"/>
  <c r="CN406" i="28"/>
  <c r="CN407" i="28"/>
  <c r="CN408" i="28"/>
  <c r="CN852" i="28"/>
  <c r="CN853" i="28"/>
  <c r="CN854" i="28"/>
  <c r="CN855" i="28"/>
  <c r="CN856" i="28"/>
  <c r="CN872" i="28"/>
  <c r="CN873" i="28"/>
  <c r="CN874" i="28"/>
  <c r="CN875" i="28"/>
  <c r="CN878" i="28"/>
  <c r="CN879" i="28"/>
  <c r="CN880" i="28"/>
  <c r="CN409" i="28"/>
  <c r="CN410" i="28"/>
  <c r="CN411" i="28"/>
  <c r="CN412" i="28"/>
  <c r="CN846" i="28"/>
  <c r="CN847" i="28"/>
  <c r="CN848" i="28"/>
  <c r="CN849" i="28"/>
  <c r="CN923" i="28"/>
  <c r="CN478" i="28"/>
  <c r="CN479" i="28"/>
  <c r="CN953" i="28"/>
  <c r="CN956" i="28"/>
  <c r="CN987" i="28"/>
  <c r="CN988" i="28"/>
  <c r="CN989" i="28"/>
  <c r="CN990" i="28"/>
  <c r="CN992" i="28"/>
  <c r="CN993" i="28"/>
  <c r="CN994" i="28"/>
  <c r="CN995" i="28"/>
  <c r="CN996" i="28"/>
  <c r="CN997" i="28"/>
  <c r="CN998" i="28"/>
  <c r="CN999" i="28"/>
  <c r="CN1011" i="28"/>
  <c r="CN1012" i="28"/>
  <c r="CN1013" i="28"/>
  <c r="CN1019" i="28"/>
  <c r="CN1020" i="28"/>
  <c r="CN1021" i="28"/>
  <c r="CN1022" i="28"/>
  <c r="CN1030" i="28"/>
  <c r="CN1031" i="28"/>
  <c r="CN1032" i="28"/>
  <c r="CN1056" i="28"/>
  <c r="CN1057" i="28"/>
  <c r="CN1058" i="28"/>
  <c r="CN1059" i="28"/>
  <c r="CN1066" i="28"/>
  <c r="CN1067" i="28"/>
  <c r="CN1068" i="28"/>
  <c r="CN1078" i="28"/>
  <c r="CN1083" i="28"/>
  <c r="CN1084" i="28"/>
  <c r="CN1085" i="28"/>
  <c r="CN1086" i="28"/>
  <c r="CN1087" i="28"/>
  <c r="CN1088" i="28"/>
  <c r="CN1090" i="28"/>
  <c r="CN1091" i="28"/>
  <c r="CN1092" i="28"/>
  <c r="CN1093" i="28"/>
  <c r="CN1094" i="28"/>
  <c r="CN1095" i="28"/>
  <c r="CN1102" i="28"/>
  <c r="CN1107" i="28"/>
  <c r="CN1108" i="28"/>
  <c r="CN1109" i="28"/>
  <c r="CN1110" i="28"/>
  <c r="CN1112" i="28"/>
  <c r="CN1113" i="28"/>
  <c r="CN1114" i="28"/>
  <c r="CN1118" i="28"/>
  <c r="CN1121" i="28"/>
  <c r="CN1122" i="28"/>
  <c r="CN1123" i="28"/>
  <c r="CN1124" i="28"/>
  <c r="CN1135" i="28"/>
  <c r="CN1139" i="28"/>
  <c r="CN1140" i="28"/>
  <c r="CN1141" i="28"/>
  <c r="CN1142" i="28"/>
  <c r="CN1152" i="28"/>
  <c r="CB1058" i="28"/>
  <c r="CB1059" i="28"/>
  <c r="CA1058" i="28"/>
  <c r="CA1059" i="28"/>
  <c r="BZ1058" i="28"/>
  <c r="BZ1059" i="28"/>
  <c r="CB1057" i="28"/>
  <c r="CA1057" i="28"/>
  <c r="BZ1057" i="28"/>
  <c r="CO1059" i="28" l="1"/>
  <c r="CO1057" i="28"/>
  <c r="CO1058" i="28"/>
  <c r="N259" i="22"/>
  <c r="I174" i="22"/>
  <c r="K174" i="22"/>
  <c r="I161" i="22"/>
  <c r="J161" i="22" s="1"/>
  <c r="K161" i="22"/>
  <c r="G282" i="22"/>
  <c r="G301" i="22"/>
  <c r="D289" i="22"/>
  <c r="G296" i="22"/>
  <c r="E290" i="22"/>
  <c r="D287" i="22"/>
  <c r="H342" i="22"/>
  <c r="D297" i="22"/>
  <c r="G293" i="22"/>
  <c r="D292" i="22"/>
  <c r="G289" i="22"/>
  <c r="D285" i="22"/>
  <c r="H345" i="22"/>
  <c r="G162" i="22"/>
  <c r="D288" i="22"/>
  <c r="G290" i="22"/>
  <c r="D291" i="22"/>
  <c r="E282" i="22"/>
  <c r="E298" i="22"/>
  <c r="E288" i="22"/>
  <c r="G284" i="22"/>
  <c r="D301" i="22"/>
  <c r="D299" i="22"/>
  <c r="G283" i="22"/>
  <c r="E295" i="22"/>
  <c r="H344" i="22"/>
  <c r="E287" i="22"/>
  <c r="G286" i="22"/>
  <c r="G295" i="22"/>
  <c r="E286" i="22"/>
  <c r="D300" i="22"/>
  <c r="E294" i="22"/>
  <c r="G292" i="22"/>
  <c r="G287" i="22"/>
  <c r="D284" i="22"/>
  <c r="E285" i="22"/>
  <c r="E293" i="22"/>
  <c r="G298" i="22"/>
  <c r="G294" i="22"/>
  <c r="E284" i="22"/>
  <c r="G299" i="22"/>
  <c r="G288" i="22"/>
  <c r="G285" i="22"/>
  <c r="E296" i="22"/>
  <c r="E283" i="22"/>
  <c r="E301" i="22"/>
  <c r="E297" i="22"/>
  <c r="D281" i="22"/>
  <c r="H343" i="22"/>
  <c r="D282" i="22"/>
  <c r="G281" i="22"/>
  <c r="G297" i="22"/>
  <c r="D294" i="22"/>
  <c r="H346" i="22"/>
  <c r="G291" i="22"/>
  <c r="E291" i="22"/>
  <c r="E300" i="22"/>
  <c r="D298" i="22"/>
  <c r="D280" i="22"/>
  <c r="D296" i="22"/>
  <c r="E281" i="22"/>
  <c r="D283" i="22"/>
  <c r="D293" i="22"/>
  <c r="D290" i="22"/>
  <c r="D286" i="22"/>
  <c r="H341" i="22"/>
  <c r="G300" i="22"/>
  <c r="G280" i="22"/>
  <c r="E289" i="22"/>
  <c r="E280" i="22"/>
  <c r="D295" i="22"/>
  <c r="E292" i="22"/>
  <c r="E299" i="22"/>
  <c r="J174" i="22" l="1"/>
  <c r="H174" i="22"/>
  <c r="F174" i="22"/>
  <c r="D302" i="22"/>
  <c r="H161" i="22"/>
  <c r="K32" i="22" l="1"/>
  <c r="BU388" i="28" l="1"/>
  <c r="BU389" i="28"/>
  <c r="BU387" i="28"/>
  <c r="E272" i="22"/>
  <c r="H9" i="22"/>
  <c r="CO388" i="28" l="1"/>
  <c r="CN388" i="28"/>
  <c r="CO389" i="28"/>
  <c r="CN389" i="28"/>
  <c r="CO387" i="28"/>
  <c r="CN387" i="28"/>
  <c r="I9" i="22"/>
  <c r="BV375" i="28"/>
  <c r="BV363" i="28"/>
  <c r="BV351" i="28"/>
  <c r="BU381" i="28"/>
  <c r="BU383" i="28"/>
  <c r="BU380" i="28"/>
  <c r="BV378" i="28"/>
  <c r="BV377" i="28"/>
  <c r="BV376" i="28"/>
  <c r="BU371" i="28"/>
  <c r="BU370" i="28"/>
  <c r="BU369" i="28"/>
  <c r="BU368" i="28"/>
  <c r="BU367" i="28"/>
  <c r="BU366" i="28"/>
  <c r="BU365" i="28"/>
  <c r="BU364" i="28"/>
  <c r="BU358" i="28"/>
  <c r="BU357" i="28"/>
  <c r="BU354" i="28"/>
  <c r="BU352" i="28"/>
  <c r="BU329" i="28"/>
  <c r="BM2" i="72"/>
  <c r="BN2" i="72"/>
  <c r="BM33" i="72"/>
  <c r="BM3" i="72"/>
  <c r="BN3" i="72"/>
  <c r="BM4" i="72"/>
  <c r="BN4" i="72"/>
  <c r="BM5" i="72"/>
  <c r="BN5" i="72"/>
  <c r="BM6" i="72"/>
  <c r="BN6" i="72"/>
  <c r="BM32" i="72"/>
  <c r="BM8" i="72"/>
  <c r="BN8" i="72"/>
  <c r="BM9" i="72"/>
  <c r="BN9" i="72"/>
  <c r="BM10" i="72"/>
  <c r="BN10" i="72"/>
  <c r="CO370" i="28" l="1"/>
  <c r="CN370" i="28"/>
  <c r="CO375" i="28"/>
  <c r="CN375" i="28"/>
  <c r="CO365" i="28"/>
  <c r="CN365" i="28"/>
  <c r="CN377" i="28"/>
  <c r="CO377" i="28"/>
  <c r="CO366" i="28"/>
  <c r="CN366" i="28"/>
  <c r="CO378" i="28"/>
  <c r="CN378" i="28"/>
  <c r="CO357" i="28"/>
  <c r="CN357" i="28"/>
  <c r="CO358" i="28"/>
  <c r="CN358" i="28"/>
  <c r="CO371" i="28"/>
  <c r="CN371" i="28"/>
  <c r="CO364" i="28"/>
  <c r="CN364" i="28"/>
  <c r="CN329" i="28"/>
  <c r="CO329" i="28"/>
  <c r="CO352" i="28"/>
  <c r="CN352" i="28"/>
  <c r="CO368" i="28"/>
  <c r="CN368" i="28"/>
  <c r="CO383" i="28"/>
  <c r="CN383" i="28"/>
  <c r="CO351" i="28"/>
  <c r="CN351" i="28"/>
  <c r="CO363" i="28"/>
  <c r="CN363" i="28"/>
  <c r="CO376" i="28"/>
  <c r="CN376" i="28"/>
  <c r="CO367" i="28"/>
  <c r="CN367" i="28"/>
  <c r="CO380" i="28"/>
  <c r="CN380" i="28"/>
  <c r="CO354" i="28"/>
  <c r="CN354" i="28"/>
  <c r="CN369" i="28"/>
  <c r="CO369" i="28"/>
  <c r="CO381" i="28"/>
  <c r="CN381" i="28"/>
  <c r="CO2" i="28"/>
  <c r="CN2" i="28"/>
  <c r="BZ997" i="28"/>
  <c r="CA997" i="28"/>
  <c r="CB997" i="28"/>
  <c r="CC997" i="28"/>
  <c r="BZ999" i="28"/>
  <c r="CA999" i="28"/>
  <c r="CB999" i="28"/>
  <c r="CC999" i="28"/>
  <c r="BZ998" i="28"/>
  <c r="CA998" i="28"/>
  <c r="CB998" i="28"/>
  <c r="CC998" i="28"/>
  <c r="CC996" i="28"/>
  <c r="CB996" i="28"/>
  <c r="CA996" i="28"/>
  <c r="BZ996" i="28"/>
  <c r="BZ995" i="28"/>
  <c r="CA995" i="28"/>
  <c r="CB995" i="28"/>
  <c r="BZ993" i="28"/>
  <c r="CA993" i="28"/>
  <c r="CB993" i="28"/>
  <c r="BZ994" i="28"/>
  <c r="CA994" i="28"/>
  <c r="CB994" i="28"/>
  <c r="CB992" i="28"/>
  <c r="CA992" i="28"/>
  <c r="BZ992" i="28"/>
  <c r="BU331" i="28"/>
  <c r="BX554" i="28"/>
  <c r="BW554" i="28"/>
  <c r="BV554" i="28"/>
  <c r="BU554" i="28"/>
  <c r="BX952" i="28"/>
  <c r="BW952" i="28"/>
  <c r="BV952" i="28"/>
  <c r="BU952" i="28"/>
  <c r="BX904" i="28"/>
  <c r="BW904" i="28"/>
  <c r="BV904" i="28"/>
  <c r="BU904" i="28"/>
  <c r="BX490" i="28"/>
  <c r="BW490" i="28"/>
  <c r="BV490" i="28"/>
  <c r="BU490" i="28"/>
  <c r="BX487" i="28"/>
  <c r="BW487" i="28"/>
  <c r="BV487" i="28"/>
  <c r="BU487" i="28"/>
  <c r="BX489" i="28"/>
  <c r="BW489" i="28"/>
  <c r="BV489" i="28"/>
  <c r="BU489" i="28"/>
  <c r="BX488" i="28"/>
  <c r="BW488" i="28"/>
  <c r="BV488" i="28"/>
  <c r="BU488" i="28"/>
  <c r="BX491" i="28"/>
  <c r="BW491" i="28"/>
  <c r="BV491" i="28"/>
  <c r="BU491" i="28"/>
  <c r="BX492" i="28"/>
  <c r="BW492" i="28"/>
  <c r="BV492" i="28"/>
  <c r="BU492" i="28"/>
  <c r="BX485" i="28"/>
  <c r="BW485" i="28"/>
  <c r="BV485" i="28"/>
  <c r="BU485" i="28"/>
  <c r="BX483" i="28"/>
  <c r="BW483" i="28"/>
  <c r="BV483" i="28"/>
  <c r="BU483" i="28"/>
  <c r="BX481" i="28"/>
  <c r="BW481" i="28"/>
  <c r="BV481" i="28"/>
  <c r="BU481" i="28"/>
  <c r="BX482" i="28"/>
  <c r="BW482" i="28"/>
  <c r="BV482" i="28"/>
  <c r="BU482" i="28"/>
  <c r="BX486" i="28"/>
  <c r="BW486" i="28"/>
  <c r="BV486" i="28"/>
  <c r="BU486" i="28"/>
  <c r="BX484" i="28"/>
  <c r="BW484" i="28"/>
  <c r="BV484" i="28"/>
  <c r="BU484" i="28"/>
  <c r="CC831" i="28"/>
  <c r="CB831" i="28"/>
  <c r="CA831" i="28"/>
  <c r="BZ831" i="28"/>
  <c r="CC953" i="28"/>
  <c r="CB953" i="28"/>
  <c r="CA953" i="28"/>
  <c r="BZ953" i="28"/>
  <c r="CC923" i="28"/>
  <c r="CB923" i="28"/>
  <c r="CA923" i="28"/>
  <c r="BZ923" i="28"/>
  <c r="CC479" i="28"/>
  <c r="CB479" i="28"/>
  <c r="CA479" i="28"/>
  <c r="BZ479" i="28"/>
  <c r="CC518" i="28"/>
  <c r="CB518" i="28"/>
  <c r="CA518" i="28"/>
  <c r="BZ518" i="28"/>
  <c r="CC477" i="28"/>
  <c r="CB477" i="28"/>
  <c r="CA477" i="28"/>
  <c r="BZ477" i="28"/>
  <c r="CC570" i="28"/>
  <c r="CB570" i="28"/>
  <c r="CA570" i="28"/>
  <c r="BZ570" i="28"/>
  <c r="CC476" i="28"/>
  <c r="CB476" i="28"/>
  <c r="CA476" i="28"/>
  <c r="BZ476" i="28"/>
  <c r="CC478" i="28"/>
  <c r="CB478" i="28"/>
  <c r="CA478" i="28"/>
  <c r="BZ478" i="28"/>
  <c r="CC475" i="28"/>
  <c r="CB475" i="28"/>
  <c r="CA475" i="28"/>
  <c r="BZ475" i="28"/>
  <c r="CC474" i="28"/>
  <c r="CB474" i="28"/>
  <c r="CA474" i="28"/>
  <c r="BZ474" i="28"/>
  <c r="BX796" i="28"/>
  <c r="BW796" i="28"/>
  <c r="BV796" i="28"/>
  <c r="BU796" i="28"/>
  <c r="BX820" i="28"/>
  <c r="BW820" i="28"/>
  <c r="BV820" i="28"/>
  <c r="BU820" i="28"/>
  <c r="BX797" i="28"/>
  <c r="BW797" i="28"/>
  <c r="BV797" i="28"/>
  <c r="BU797" i="28"/>
  <c r="BX825" i="28"/>
  <c r="BW825" i="28"/>
  <c r="BV825" i="28"/>
  <c r="BU825" i="28"/>
  <c r="BX814" i="28"/>
  <c r="BW814" i="28"/>
  <c r="BV814" i="28"/>
  <c r="BU814" i="28"/>
  <c r="BX510" i="28"/>
  <c r="BW510" i="28"/>
  <c r="BV510" i="28"/>
  <c r="BU510" i="28"/>
  <c r="BX603" i="28"/>
  <c r="BW603" i="28"/>
  <c r="BV603" i="28"/>
  <c r="BU603" i="28"/>
  <c r="BX513" i="28"/>
  <c r="BW513" i="28"/>
  <c r="BV513" i="28"/>
  <c r="BU513" i="28"/>
  <c r="BX634" i="28"/>
  <c r="BW634" i="28"/>
  <c r="BV634" i="28"/>
  <c r="BU634" i="28"/>
  <c r="BX783" i="28"/>
  <c r="BW783" i="28"/>
  <c r="BV783" i="28"/>
  <c r="BU783" i="28"/>
  <c r="BX648" i="28"/>
  <c r="BW648" i="28"/>
  <c r="BV648" i="28"/>
  <c r="BU648" i="28"/>
  <c r="BX527" i="28"/>
  <c r="BW527" i="28"/>
  <c r="BV527" i="28"/>
  <c r="BU527" i="28"/>
  <c r="BX508" i="28"/>
  <c r="BW508" i="28"/>
  <c r="BV508" i="28"/>
  <c r="BU508" i="28"/>
  <c r="BX638" i="28"/>
  <c r="BW638" i="28"/>
  <c r="BV638" i="28"/>
  <c r="BU638" i="28"/>
  <c r="BX802" i="28"/>
  <c r="BW802" i="28"/>
  <c r="BV802" i="28"/>
  <c r="BU802" i="28"/>
  <c r="BX784" i="28"/>
  <c r="BW784" i="28"/>
  <c r="BV784" i="28"/>
  <c r="BU784" i="28"/>
  <c r="BX779" i="28"/>
  <c r="BW779" i="28"/>
  <c r="BV779" i="28"/>
  <c r="BU779" i="28"/>
  <c r="BX726" i="28"/>
  <c r="BW726" i="28"/>
  <c r="BV726" i="28"/>
  <c r="BU726" i="28"/>
  <c r="BX595" i="28"/>
  <c r="BW595" i="28"/>
  <c r="BV595" i="28"/>
  <c r="BU595" i="28"/>
  <c r="BX553" i="28"/>
  <c r="BW553" i="28"/>
  <c r="BV553" i="28"/>
  <c r="BU553" i="28"/>
  <c r="BX823" i="28"/>
  <c r="BW823" i="28"/>
  <c r="BV823" i="28"/>
  <c r="BU823" i="28"/>
  <c r="BX543" i="28"/>
  <c r="BW543" i="28"/>
  <c r="BV543" i="28"/>
  <c r="BU543" i="28"/>
  <c r="BX544" i="28"/>
  <c r="BW544" i="28"/>
  <c r="BV544" i="28"/>
  <c r="BU544" i="28"/>
  <c r="BX668" i="28"/>
  <c r="BW668" i="28"/>
  <c r="BV668" i="28"/>
  <c r="BU668" i="28"/>
  <c r="BX714" i="28"/>
  <c r="BW714" i="28"/>
  <c r="BV714" i="28"/>
  <c r="BU714" i="28"/>
  <c r="BX641" i="28"/>
  <c r="BW641" i="28"/>
  <c r="BV641" i="28"/>
  <c r="BU641" i="28"/>
  <c r="BX636" i="28"/>
  <c r="BW636" i="28"/>
  <c r="BV636" i="28"/>
  <c r="BU636" i="28"/>
  <c r="BX768" i="28"/>
  <c r="BW768" i="28"/>
  <c r="BV768" i="28"/>
  <c r="BU768" i="28"/>
  <c r="BX667" i="28"/>
  <c r="BW667" i="28"/>
  <c r="BV667" i="28"/>
  <c r="BU667" i="28"/>
  <c r="BX684" i="28"/>
  <c r="BW684" i="28"/>
  <c r="BV684" i="28"/>
  <c r="BU684" i="28"/>
  <c r="BX763" i="28"/>
  <c r="BW763" i="28"/>
  <c r="BV763" i="28"/>
  <c r="BU763" i="28"/>
  <c r="BX678" i="28"/>
  <c r="BW678" i="28"/>
  <c r="BV678" i="28"/>
  <c r="BU678" i="28"/>
  <c r="BX724" i="28"/>
  <c r="BW724" i="28"/>
  <c r="BV724" i="28"/>
  <c r="BU724" i="28"/>
  <c r="BX758" i="28"/>
  <c r="BW758" i="28"/>
  <c r="BV758" i="28"/>
  <c r="BU758" i="28"/>
  <c r="BX809" i="28"/>
  <c r="BW809" i="28"/>
  <c r="BV809" i="28"/>
  <c r="BU809" i="28"/>
  <c r="BX691" i="28"/>
  <c r="BW691" i="28"/>
  <c r="BV691" i="28"/>
  <c r="BU691" i="28"/>
  <c r="BX607" i="28"/>
  <c r="BW607" i="28"/>
  <c r="BV607" i="28"/>
  <c r="BU607" i="28"/>
  <c r="BX769" i="28"/>
  <c r="BW769" i="28"/>
  <c r="BV769" i="28"/>
  <c r="BU769" i="28"/>
  <c r="BX747" i="28"/>
  <c r="BW747" i="28"/>
  <c r="BV747" i="28"/>
  <c r="BU747" i="28"/>
  <c r="BX681" i="28"/>
  <c r="BW681" i="28"/>
  <c r="BV681" i="28"/>
  <c r="BU681" i="28"/>
  <c r="BX494" i="28"/>
  <c r="BW494" i="28"/>
  <c r="BV494" i="28"/>
  <c r="BU494" i="28"/>
  <c r="BX659" i="28"/>
  <c r="BW659" i="28"/>
  <c r="BV659" i="28"/>
  <c r="BU659" i="28"/>
  <c r="BX633" i="28"/>
  <c r="BW633" i="28"/>
  <c r="BV633" i="28"/>
  <c r="BU633" i="28"/>
  <c r="BX771" i="28"/>
  <c r="BW771" i="28"/>
  <c r="BV771" i="28"/>
  <c r="BU771" i="28"/>
  <c r="BX670" i="28"/>
  <c r="BW670" i="28"/>
  <c r="BV670" i="28"/>
  <c r="BU670" i="28"/>
  <c r="BX799" i="28"/>
  <c r="BW799" i="28"/>
  <c r="BV799" i="28"/>
  <c r="BU799" i="28"/>
  <c r="BX764" i="28"/>
  <c r="BW764" i="28"/>
  <c r="BV764" i="28"/>
  <c r="BU764" i="28"/>
  <c r="BX737" i="28"/>
  <c r="BW737" i="28"/>
  <c r="BV737" i="28"/>
  <c r="BU737" i="28"/>
  <c r="BX664" i="28"/>
  <c r="BW664" i="28"/>
  <c r="BV664" i="28"/>
  <c r="BU664" i="28"/>
  <c r="BX785" i="28"/>
  <c r="BW785" i="28"/>
  <c r="BV785" i="28"/>
  <c r="BU785" i="28"/>
  <c r="BX688" i="28"/>
  <c r="BW688" i="28"/>
  <c r="BV688" i="28"/>
  <c r="BU688" i="28"/>
  <c r="BX736" i="28"/>
  <c r="BW736" i="28"/>
  <c r="BV736" i="28"/>
  <c r="BU736" i="28"/>
  <c r="BX710" i="28"/>
  <c r="BW710" i="28"/>
  <c r="BV710" i="28"/>
  <c r="BU710" i="28"/>
  <c r="BX618" i="28"/>
  <c r="BW618" i="28"/>
  <c r="BV618" i="28"/>
  <c r="BU618" i="28"/>
  <c r="BX628" i="28"/>
  <c r="BW628" i="28"/>
  <c r="BV628" i="28"/>
  <c r="BU628" i="28"/>
  <c r="BX704" i="28"/>
  <c r="BW704" i="28"/>
  <c r="BV704" i="28"/>
  <c r="BU704" i="28"/>
  <c r="BX776" i="28"/>
  <c r="BW776" i="28"/>
  <c r="BV776" i="28"/>
  <c r="BU776" i="28"/>
  <c r="BX610" i="28"/>
  <c r="BW610" i="28"/>
  <c r="BV610" i="28"/>
  <c r="BU610" i="28"/>
  <c r="BX683" i="28"/>
  <c r="BW683" i="28"/>
  <c r="BV683" i="28"/>
  <c r="BU683" i="28"/>
  <c r="BX746" i="28"/>
  <c r="BW746" i="28"/>
  <c r="BV746" i="28"/>
  <c r="BU746" i="28"/>
  <c r="BX649" i="28"/>
  <c r="BW649" i="28"/>
  <c r="BV649" i="28"/>
  <c r="BU649" i="28"/>
  <c r="BX690" i="28"/>
  <c r="BW690" i="28"/>
  <c r="BV690" i="28"/>
  <c r="BU690" i="28"/>
  <c r="BX625" i="28"/>
  <c r="BW625" i="28"/>
  <c r="BV625" i="28"/>
  <c r="BU625" i="28"/>
  <c r="BX751" i="28"/>
  <c r="BW751" i="28"/>
  <c r="BV751" i="28"/>
  <c r="BU751" i="28"/>
  <c r="BX924" i="28"/>
  <c r="BW924" i="28"/>
  <c r="BV924" i="28"/>
  <c r="BU924" i="28"/>
  <c r="BX665" i="28"/>
  <c r="BW665" i="28"/>
  <c r="BV665" i="28"/>
  <c r="BU665" i="28"/>
  <c r="BX623" i="28"/>
  <c r="BW623" i="28"/>
  <c r="BV623" i="28"/>
  <c r="BU623" i="28"/>
  <c r="BX750" i="28"/>
  <c r="BW750" i="28"/>
  <c r="BV750" i="28"/>
  <c r="BU750" i="28"/>
  <c r="BX686" i="28"/>
  <c r="BW686" i="28"/>
  <c r="BV686" i="28"/>
  <c r="BU686" i="28"/>
  <c r="BX741" i="28"/>
  <c r="BW741" i="28"/>
  <c r="BV741" i="28"/>
  <c r="BU741" i="28"/>
  <c r="BX598" i="28"/>
  <c r="BW598" i="28"/>
  <c r="BV598" i="28"/>
  <c r="BU598" i="28"/>
  <c r="BX631" i="28"/>
  <c r="BW631" i="28"/>
  <c r="BV631" i="28"/>
  <c r="BU631" i="28"/>
  <c r="BX703" i="28"/>
  <c r="BW703" i="28"/>
  <c r="BV703" i="28"/>
  <c r="BU703" i="28"/>
  <c r="BX702" i="28"/>
  <c r="BW702" i="28"/>
  <c r="BV702" i="28"/>
  <c r="BU702" i="28"/>
  <c r="BX599" i="28"/>
  <c r="BW599" i="28"/>
  <c r="BV599" i="28"/>
  <c r="BU599" i="28"/>
  <c r="BX677" i="28"/>
  <c r="BW677" i="28"/>
  <c r="BV677" i="28"/>
  <c r="BU677" i="28"/>
  <c r="BX801" i="28"/>
  <c r="BW801" i="28"/>
  <c r="BV801" i="28"/>
  <c r="BU801" i="28"/>
  <c r="BX615" i="28"/>
  <c r="BW615" i="28"/>
  <c r="BV615" i="28"/>
  <c r="BU615" i="28"/>
  <c r="BX902" i="28"/>
  <c r="BW902" i="28"/>
  <c r="BV902" i="28"/>
  <c r="BU902" i="28"/>
  <c r="BX674" i="28"/>
  <c r="BW674" i="28"/>
  <c r="BV674" i="28"/>
  <c r="BU674" i="28"/>
  <c r="BX694" i="28"/>
  <c r="BW694" i="28"/>
  <c r="BV694" i="28"/>
  <c r="BU694" i="28"/>
  <c r="BX651" i="28"/>
  <c r="BW651" i="28"/>
  <c r="BV651" i="28"/>
  <c r="BU651" i="28"/>
  <c r="BX656" i="28"/>
  <c r="BW656" i="28"/>
  <c r="BV656" i="28"/>
  <c r="BU656" i="28"/>
  <c r="BX837" i="28"/>
  <c r="BW837" i="28"/>
  <c r="BV837" i="28"/>
  <c r="BU837" i="28"/>
  <c r="BX640" i="28"/>
  <c r="BW640" i="28"/>
  <c r="BV640" i="28"/>
  <c r="BU640" i="28"/>
  <c r="BX693" i="28"/>
  <c r="BW693" i="28"/>
  <c r="BV693" i="28"/>
  <c r="BU693" i="28"/>
  <c r="BX697" i="28"/>
  <c r="BW697" i="28"/>
  <c r="BV697" i="28"/>
  <c r="BU697" i="28"/>
  <c r="BX696" i="28"/>
  <c r="BW696" i="28"/>
  <c r="BV696" i="28"/>
  <c r="BU696" i="28"/>
  <c r="BX606" i="28"/>
  <c r="BW606" i="28"/>
  <c r="BV606" i="28"/>
  <c r="BU606" i="28"/>
  <c r="BX605" i="28"/>
  <c r="BW605" i="28"/>
  <c r="BV605" i="28"/>
  <c r="BU605" i="28"/>
  <c r="BX698" i="28"/>
  <c r="BW698" i="28"/>
  <c r="BV698" i="28"/>
  <c r="BU698" i="28"/>
  <c r="BX617" i="28"/>
  <c r="BW617" i="28"/>
  <c r="BV617" i="28"/>
  <c r="BU617" i="28"/>
  <c r="BX925" i="28"/>
  <c r="BW925" i="28"/>
  <c r="BV925" i="28"/>
  <c r="BU925" i="28"/>
  <c r="BX903" i="28"/>
  <c r="BW903" i="28"/>
  <c r="BV903" i="28"/>
  <c r="BU903" i="28"/>
  <c r="BX896" i="28"/>
  <c r="BW896" i="28"/>
  <c r="BV896" i="28"/>
  <c r="BU896" i="28"/>
  <c r="BX676" i="28"/>
  <c r="BW676" i="28"/>
  <c r="BV676" i="28"/>
  <c r="BU676" i="28"/>
  <c r="BX772" i="28"/>
  <c r="BW772" i="28"/>
  <c r="BV772" i="28"/>
  <c r="BU772" i="28"/>
  <c r="BX671" i="28"/>
  <c r="BW671" i="28"/>
  <c r="BV671" i="28"/>
  <c r="BU671" i="28"/>
  <c r="BX803" i="28"/>
  <c r="BW803" i="28"/>
  <c r="BV803" i="28"/>
  <c r="BU803" i="28"/>
  <c r="BX744" i="28"/>
  <c r="BW744" i="28"/>
  <c r="BV744" i="28"/>
  <c r="BU744" i="28"/>
  <c r="BX692" i="28"/>
  <c r="BW692" i="28"/>
  <c r="BV692" i="28"/>
  <c r="BU692" i="28"/>
  <c r="BX778" i="28"/>
  <c r="BW778" i="28"/>
  <c r="BV778" i="28"/>
  <c r="BU778" i="28"/>
  <c r="BX774" i="28"/>
  <c r="BW774" i="28"/>
  <c r="BV774" i="28"/>
  <c r="BU774" i="28"/>
  <c r="BX680" i="28"/>
  <c r="BW680" i="28"/>
  <c r="BV680" i="28"/>
  <c r="BU680" i="28"/>
  <c r="BX954" i="28"/>
  <c r="BW954" i="28"/>
  <c r="BV954" i="28"/>
  <c r="BU954" i="28"/>
  <c r="BX748" i="28"/>
  <c r="BW748" i="28"/>
  <c r="BV748" i="28"/>
  <c r="BU748" i="28"/>
  <c r="BX811" i="28"/>
  <c r="BW811" i="28"/>
  <c r="BV811" i="28"/>
  <c r="BU811" i="28"/>
  <c r="BX842" i="28"/>
  <c r="BW842" i="28"/>
  <c r="BV842" i="28"/>
  <c r="BU842" i="28"/>
  <c r="BX836" i="28"/>
  <c r="BW836" i="28"/>
  <c r="BV836" i="28"/>
  <c r="BU836" i="28"/>
  <c r="BX728" i="28"/>
  <c r="BW728" i="28"/>
  <c r="BV728" i="28"/>
  <c r="BU728" i="28"/>
  <c r="BX738" i="28"/>
  <c r="BW738" i="28"/>
  <c r="BV738" i="28"/>
  <c r="BU738" i="28"/>
  <c r="BX716" i="28"/>
  <c r="BW716" i="28"/>
  <c r="BV716" i="28"/>
  <c r="BU716" i="28"/>
  <c r="BX806" i="28"/>
  <c r="BW806" i="28"/>
  <c r="BV806" i="28"/>
  <c r="BU806" i="28"/>
  <c r="BX643" i="28"/>
  <c r="BW643" i="28"/>
  <c r="BV643" i="28"/>
  <c r="BU643" i="28"/>
  <c r="BX647" i="28"/>
  <c r="BW647" i="28"/>
  <c r="BV647" i="28"/>
  <c r="BU647" i="28"/>
  <c r="BX927" i="28"/>
  <c r="BW927" i="28"/>
  <c r="BV927" i="28"/>
  <c r="BU927" i="28"/>
  <c r="BX905" i="28"/>
  <c r="BW905" i="28"/>
  <c r="BV905" i="28"/>
  <c r="BU905" i="28"/>
  <c r="BX740" i="28"/>
  <c r="BW740" i="28"/>
  <c r="BV740" i="28"/>
  <c r="BU740" i="28"/>
  <c r="BX742" i="28"/>
  <c r="BW742" i="28"/>
  <c r="BV742" i="28"/>
  <c r="BU742" i="28"/>
  <c r="BX928" i="28"/>
  <c r="BW928" i="28"/>
  <c r="BV928" i="28"/>
  <c r="BU928" i="28"/>
  <c r="BX723" i="28"/>
  <c r="BW723" i="28"/>
  <c r="BV723" i="28"/>
  <c r="BU723" i="28"/>
  <c r="BX845" i="28"/>
  <c r="BW845" i="28"/>
  <c r="BV845" i="28"/>
  <c r="BU845" i="28"/>
  <c r="BX932" i="28"/>
  <c r="BW932" i="28"/>
  <c r="BV932" i="28"/>
  <c r="BU932" i="28"/>
  <c r="BX663" i="28"/>
  <c r="BW663" i="28"/>
  <c r="BV663" i="28"/>
  <c r="BU663" i="28"/>
  <c r="BX672" i="28"/>
  <c r="BW672" i="28"/>
  <c r="BV672" i="28"/>
  <c r="BU672" i="28"/>
  <c r="BX832" i="28"/>
  <c r="BW832" i="28"/>
  <c r="BV832" i="28"/>
  <c r="BU832" i="28"/>
  <c r="BX673" i="28"/>
  <c r="BW673" i="28"/>
  <c r="BV673" i="28"/>
  <c r="BU673" i="28"/>
  <c r="BX699" i="28"/>
  <c r="BW699" i="28"/>
  <c r="BV699" i="28"/>
  <c r="BU699" i="28"/>
  <c r="BX558" i="28"/>
  <c r="BW558" i="28"/>
  <c r="BV558" i="28"/>
  <c r="BU558" i="28"/>
  <c r="BX621" i="28"/>
  <c r="BW621" i="28"/>
  <c r="BV621" i="28"/>
  <c r="BU621" i="28"/>
  <c r="BX712" i="28"/>
  <c r="BW712" i="28"/>
  <c r="BV712" i="28"/>
  <c r="BU712" i="28"/>
  <c r="BX613" i="28"/>
  <c r="BW613" i="28"/>
  <c r="BV613" i="28"/>
  <c r="BU613" i="28"/>
  <c r="BX669" i="28"/>
  <c r="BW669" i="28"/>
  <c r="BV669" i="28"/>
  <c r="BU669" i="28"/>
  <c r="BX700" i="28"/>
  <c r="BW700" i="28"/>
  <c r="BV700" i="28"/>
  <c r="BU700" i="28"/>
  <c r="BX682" i="28"/>
  <c r="BW682" i="28"/>
  <c r="BV682" i="28"/>
  <c r="BU682" i="28"/>
  <c r="BX646" i="28"/>
  <c r="BW646" i="28"/>
  <c r="BV646" i="28"/>
  <c r="BU646" i="28"/>
  <c r="BX662" i="28"/>
  <c r="BW662" i="28"/>
  <c r="BV662" i="28"/>
  <c r="BU662" i="28"/>
  <c r="BX550" i="28"/>
  <c r="BW550" i="28"/>
  <c r="BV550" i="28"/>
  <c r="BU550" i="28"/>
  <c r="BX609" i="28"/>
  <c r="BW609" i="28"/>
  <c r="BV609" i="28"/>
  <c r="BU609" i="28"/>
  <c r="BX556" i="28"/>
  <c r="BW556" i="28"/>
  <c r="BV556" i="28"/>
  <c r="BU556" i="28"/>
  <c r="BX537" i="28"/>
  <c r="BW537" i="28"/>
  <c r="BV537" i="28"/>
  <c r="BU537" i="28"/>
  <c r="BX608" i="28"/>
  <c r="BW608" i="28"/>
  <c r="BV608" i="28"/>
  <c r="BU608" i="28"/>
  <c r="BX594" i="28"/>
  <c r="BW594" i="28"/>
  <c r="BV594" i="28"/>
  <c r="BU594" i="28"/>
  <c r="BX591" i="28"/>
  <c r="BW591" i="28"/>
  <c r="BV591" i="28"/>
  <c r="BU591" i="28"/>
  <c r="BX709" i="28"/>
  <c r="BW709" i="28"/>
  <c r="BV709" i="28"/>
  <c r="BU709" i="28"/>
  <c r="BX652" i="28"/>
  <c r="BW652" i="28"/>
  <c r="BV652" i="28"/>
  <c r="BU652" i="28"/>
  <c r="BX542" i="28"/>
  <c r="BW542" i="28"/>
  <c r="BV542" i="28"/>
  <c r="BU542" i="28"/>
  <c r="BX718" i="28"/>
  <c r="BW718" i="28"/>
  <c r="BV718" i="28"/>
  <c r="BU718" i="28"/>
  <c r="BX576" i="28"/>
  <c r="BW576" i="28"/>
  <c r="BV576" i="28"/>
  <c r="BU576" i="28"/>
  <c r="BX901" i="28"/>
  <c r="BW901" i="28"/>
  <c r="BV901" i="28"/>
  <c r="BU901" i="28"/>
  <c r="BX685" i="28"/>
  <c r="BW685" i="28"/>
  <c r="BV685" i="28"/>
  <c r="BU685" i="28"/>
  <c r="BX701" i="28"/>
  <c r="BW701" i="28"/>
  <c r="BV701" i="28"/>
  <c r="BU701" i="28"/>
  <c r="BX551" i="28"/>
  <c r="BW551" i="28"/>
  <c r="BV551" i="28"/>
  <c r="BU551" i="28"/>
  <c r="BX650" i="28"/>
  <c r="BW650" i="28"/>
  <c r="BV650" i="28"/>
  <c r="BU650" i="28"/>
  <c r="BX574" i="28"/>
  <c r="BW574" i="28"/>
  <c r="BV574" i="28"/>
  <c r="BU574" i="28"/>
  <c r="BX585" i="28"/>
  <c r="BW585" i="28"/>
  <c r="BV585" i="28"/>
  <c r="BU585" i="28"/>
  <c r="BX719" i="28"/>
  <c r="BW719" i="28"/>
  <c r="BV719" i="28"/>
  <c r="BU719" i="28"/>
  <c r="BX687" i="28"/>
  <c r="BW687" i="28"/>
  <c r="BV687" i="28"/>
  <c r="BU687" i="28"/>
  <c r="BX838" i="28"/>
  <c r="BW838" i="28"/>
  <c r="BV838" i="28"/>
  <c r="BU838" i="28"/>
  <c r="BX577" i="28"/>
  <c r="BW577" i="28"/>
  <c r="BV577" i="28"/>
  <c r="BU577" i="28"/>
  <c r="BX734" i="28"/>
  <c r="BW734" i="28"/>
  <c r="BV734" i="28"/>
  <c r="BU734" i="28"/>
  <c r="BX589" i="28"/>
  <c r="BW589" i="28"/>
  <c r="BV589" i="28"/>
  <c r="BU589" i="28"/>
  <c r="BX675" i="28"/>
  <c r="BW675" i="28"/>
  <c r="BV675" i="28"/>
  <c r="BU675" i="28"/>
  <c r="BX926" i="28"/>
  <c r="BW926" i="28"/>
  <c r="BV926" i="28"/>
  <c r="BU926" i="28"/>
  <c r="BX592" i="28"/>
  <c r="BW592" i="28"/>
  <c r="BV592" i="28"/>
  <c r="BU592" i="28"/>
  <c r="BX893" i="28"/>
  <c r="BW893" i="28"/>
  <c r="BV893" i="28"/>
  <c r="BU893" i="28"/>
  <c r="BX666" i="28"/>
  <c r="BW666" i="28"/>
  <c r="BV666" i="28"/>
  <c r="BU666" i="28"/>
  <c r="BX657" i="28"/>
  <c r="BW657" i="28"/>
  <c r="BV657" i="28"/>
  <c r="BU657" i="28"/>
  <c r="BX557" i="28"/>
  <c r="BW557" i="28"/>
  <c r="BV557" i="28"/>
  <c r="BU557" i="28"/>
  <c r="BX931" i="28"/>
  <c r="BW931" i="28"/>
  <c r="BV931" i="28"/>
  <c r="BU931" i="28"/>
  <c r="BX495" i="28"/>
  <c r="BW495" i="28"/>
  <c r="BV495" i="28"/>
  <c r="BU495" i="28"/>
  <c r="BX812" i="28"/>
  <c r="BW812" i="28"/>
  <c r="BV812" i="28"/>
  <c r="BU812" i="28"/>
  <c r="BX722" i="28"/>
  <c r="BW722" i="28"/>
  <c r="BV722" i="28"/>
  <c r="BU722" i="28"/>
  <c r="BX587" i="28"/>
  <c r="BW587" i="28"/>
  <c r="BV587" i="28"/>
  <c r="BU587" i="28"/>
  <c r="BX644" i="28"/>
  <c r="BW644" i="28"/>
  <c r="BV644" i="28"/>
  <c r="BU644" i="28"/>
  <c r="BX624" i="28"/>
  <c r="BW624" i="28"/>
  <c r="BV624" i="28"/>
  <c r="BU624" i="28"/>
  <c r="BX689" i="28"/>
  <c r="BW689" i="28"/>
  <c r="BV689" i="28"/>
  <c r="BU689" i="28"/>
  <c r="BX545" i="28"/>
  <c r="BW545" i="28"/>
  <c r="BV545" i="28"/>
  <c r="BU545" i="28"/>
  <c r="BX529" i="28"/>
  <c r="BW529" i="28"/>
  <c r="BV529" i="28"/>
  <c r="BU529" i="28"/>
  <c r="BX571" i="28"/>
  <c r="BW571" i="28"/>
  <c r="BV571" i="28"/>
  <c r="BU571" i="28"/>
  <c r="BX516" i="28"/>
  <c r="BW516" i="28"/>
  <c r="BV516" i="28"/>
  <c r="BU516" i="28"/>
  <c r="BX514" i="28"/>
  <c r="BW514" i="28"/>
  <c r="BV514" i="28"/>
  <c r="BU514" i="28"/>
  <c r="BX791" i="28"/>
  <c r="BW791" i="28"/>
  <c r="BV791" i="28"/>
  <c r="BU791" i="28"/>
  <c r="BX515" i="28"/>
  <c r="BW515" i="28"/>
  <c r="BV515" i="28"/>
  <c r="BU515" i="28"/>
  <c r="BX753" i="28"/>
  <c r="BW753" i="28"/>
  <c r="BV753" i="28"/>
  <c r="BU753" i="28"/>
  <c r="BX541" i="28"/>
  <c r="BW541" i="28"/>
  <c r="BV541" i="28"/>
  <c r="BU541" i="28"/>
  <c r="BX539" i="28"/>
  <c r="BW539" i="28"/>
  <c r="BV539" i="28"/>
  <c r="BU539" i="28"/>
  <c r="BX536" i="28"/>
  <c r="BW536" i="28"/>
  <c r="BV536" i="28"/>
  <c r="BU536" i="28"/>
  <c r="BX535" i="28"/>
  <c r="BW535" i="28"/>
  <c r="BV535" i="28"/>
  <c r="BU535" i="28"/>
  <c r="BX534" i="28"/>
  <c r="BW534" i="28"/>
  <c r="BV534" i="28"/>
  <c r="BU534" i="28"/>
  <c r="BX549" i="28"/>
  <c r="BW549" i="28"/>
  <c r="BV549" i="28"/>
  <c r="BU549" i="28"/>
  <c r="BX839" i="28"/>
  <c r="BW839" i="28"/>
  <c r="BV839" i="28"/>
  <c r="BU839" i="28"/>
  <c r="BX533" i="28"/>
  <c r="BW533" i="28"/>
  <c r="BV533" i="28"/>
  <c r="BU533" i="28"/>
  <c r="BX532" i="28"/>
  <c r="BW532" i="28"/>
  <c r="BV532" i="28"/>
  <c r="BU532" i="28"/>
  <c r="BX540" i="28"/>
  <c r="BW540" i="28"/>
  <c r="BV540" i="28"/>
  <c r="BU540" i="28"/>
  <c r="BX538" i="28"/>
  <c r="BW538" i="28"/>
  <c r="BV538" i="28"/>
  <c r="BU538" i="28"/>
  <c r="BX930" i="28"/>
  <c r="BW930" i="28"/>
  <c r="BV930" i="28"/>
  <c r="BU930" i="28"/>
  <c r="BX530" i="28"/>
  <c r="BW530" i="28"/>
  <c r="BV530" i="28"/>
  <c r="BU530" i="28"/>
  <c r="BX894" i="28"/>
  <c r="BW894" i="28"/>
  <c r="BV894" i="28"/>
  <c r="BU894" i="28"/>
  <c r="BX821" i="28"/>
  <c r="BW821" i="28"/>
  <c r="BV821" i="28"/>
  <c r="BU821" i="28"/>
  <c r="BX506" i="28"/>
  <c r="BW506" i="28"/>
  <c r="BV506" i="28"/>
  <c r="BU506" i="28"/>
  <c r="BX531" i="28"/>
  <c r="BW531" i="28"/>
  <c r="BV531" i="28"/>
  <c r="BU531" i="28"/>
  <c r="BX522" i="28"/>
  <c r="BW522" i="28"/>
  <c r="BV522" i="28"/>
  <c r="BU522" i="28"/>
  <c r="BX572" i="28"/>
  <c r="BW572" i="28"/>
  <c r="BV572" i="28"/>
  <c r="BU572" i="28"/>
  <c r="BX807" i="28"/>
  <c r="BW807" i="28"/>
  <c r="BV807" i="28"/>
  <c r="BU807" i="28"/>
  <c r="BX504" i="28"/>
  <c r="BW504" i="28"/>
  <c r="BV504" i="28"/>
  <c r="BU504" i="28"/>
  <c r="BX528" i="28"/>
  <c r="BW528" i="28"/>
  <c r="BV528" i="28"/>
  <c r="BU528" i="28"/>
  <c r="BX505" i="28"/>
  <c r="BW505" i="28"/>
  <c r="BV505" i="28"/>
  <c r="BU505" i="28"/>
  <c r="BX929" i="28"/>
  <c r="BW929" i="28"/>
  <c r="BV929" i="28"/>
  <c r="BU929" i="28"/>
  <c r="BX892" i="28"/>
  <c r="BW892" i="28"/>
  <c r="BV892" i="28"/>
  <c r="BU892" i="28"/>
  <c r="BX509" i="28"/>
  <c r="BW509" i="28"/>
  <c r="BV509" i="28"/>
  <c r="BU509" i="28"/>
  <c r="BX794" i="28"/>
  <c r="BW794" i="28"/>
  <c r="BV794" i="28"/>
  <c r="BU794" i="28"/>
  <c r="BX765" i="28"/>
  <c r="BW765" i="28"/>
  <c r="BV765" i="28"/>
  <c r="BU765" i="28"/>
  <c r="BX546" i="28"/>
  <c r="BW546" i="28"/>
  <c r="BV546" i="28"/>
  <c r="BU546" i="28"/>
  <c r="BX708" i="28"/>
  <c r="BW708" i="28"/>
  <c r="BV708" i="28"/>
  <c r="BU708" i="28"/>
  <c r="BX777" i="28"/>
  <c r="BW777" i="28"/>
  <c r="BV777" i="28"/>
  <c r="BU777" i="28"/>
  <c r="BX804" i="28"/>
  <c r="BW804" i="28"/>
  <c r="BV804" i="28"/>
  <c r="BU804" i="28"/>
  <c r="BX639" i="28"/>
  <c r="BW639" i="28"/>
  <c r="BV639" i="28"/>
  <c r="BU639" i="28"/>
  <c r="BX507" i="28"/>
  <c r="BW507" i="28"/>
  <c r="BV507" i="28"/>
  <c r="BU507" i="28"/>
  <c r="BX498" i="28"/>
  <c r="BW498" i="28"/>
  <c r="BV498" i="28"/>
  <c r="BU498" i="28"/>
  <c r="BX496" i="28"/>
  <c r="BW496" i="28"/>
  <c r="BV496" i="28"/>
  <c r="BU496" i="28"/>
  <c r="BX497" i="28"/>
  <c r="BW497" i="28"/>
  <c r="BV497" i="28"/>
  <c r="BU497" i="28"/>
  <c r="BX752" i="28"/>
  <c r="BW752" i="28"/>
  <c r="BV752" i="28"/>
  <c r="BU752" i="28"/>
  <c r="BX560" i="28"/>
  <c r="BW560" i="28"/>
  <c r="BV560" i="28"/>
  <c r="BU560" i="28"/>
  <c r="BX720" i="28"/>
  <c r="BW720" i="28"/>
  <c r="BV720" i="28"/>
  <c r="BU720" i="28"/>
  <c r="BX826" i="28"/>
  <c r="BW826" i="28"/>
  <c r="BV826" i="28"/>
  <c r="BU826" i="28"/>
  <c r="BX503" i="28"/>
  <c r="BW503" i="28"/>
  <c r="BV503" i="28"/>
  <c r="BU503" i="28"/>
  <c r="BX501" i="28"/>
  <c r="BW501" i="28"/>
  <c r="BV501" i="28"/>
  <c r="BU501" i="28"/>
  <c r="BX984" i="28"/>
  <c r="BW984" i="28"/>
  <c r="BV984" i="28"/>
  <c r="BU984" i="28"/>
  <c r="BX630" i="28"/>
  <c r="BW630" i="28"/>
  <c r="BV630" i="28"/>
  <c r="BU630" i="28"/>
  <c r="BX813" i="28"/>
  <c r="BW813" i="28"/>
  <c r="BV813" i="28"/>
  <c r="BU813" i="28"/>
  <c r="BX895" i="28"/>
  <c r="BW895" i="28"/>
  <c r="BV895" i="28"/>
  <c r="BU895" i="28"/>
  <c r="BX745" i="28"/>
  <c r="BW745" i="28"/>
  <c r="BV745" i="28"/>
  <c r="BU745" i="28"/>
  <c r="BX800" i="28"/>
  <c r="BW800" i="28"/>
  <c r="BV800" i="28"/>
  <c r="BU800" i="28"/>
  <c r="BX499" i="28"/>
  <c r="BW499" i="28"/>
  <c r="BV499" i="28"/>
  <c r="BU499" i="28"/>
  <c r="BX611" i="28"/>
  <c r="BW611" i="28"/>
  <c r="BV611" i="28"/>
  <c r="BU611" i="28"/>
  <c r="BX580" i="28"/>
  <c r="BW580" i="28"/>
  <c r="BV580" i="28"/>
  <c r="BU580" i="28"/>
  <c r="BX586" i="28"/>
  <c r="BW586" i="28"/>
  <c r="BV586" i="28"/>
  <c r="BU586" i="28"/>
  <c r="BX730" i="28"/>
  <c r="BW730" i="28"/>
  <c r="BV730" i="28"/>
  <c r="BU730" i="28"/>
  <c r="BX859" i="28"/>
  <c r="BW859" i="28"/>
  <c r="BV859" i="28"/>
  <c r="BU859" i="28"/>
  <c r="BX626" i="28"/>
  <c r="BW626" i="28"/>
  <c r="BV626" i="28"/>
  <c r="BU626" i="28"/>
  <c r="BX858" i="28"/>
  <c r="BW858" i="28"/>
  <c r="BV858" i="28"/>
  <c r="BU858" i="28"/>
  <c r="BX604" i="28"/>
  <c r="BW604" i="28"/>
  <c r="BV604" i="28"/>
  <c r="BU604" i="28"/>
  <c r="BX781" i="28"/>
  <c r="BW781" i="28"/>
  <c r="BV781" i="28"/>
  <c r="BU781" i="28"/>
  <c r="BX713" i="28"/>
  <c r="BW713" i="28"/>
  <c r="BV713" i="28"/>
  <c r="BU713" i="28"/>
  <c r="BX493" i="28"/>
  <c r="BW493" i="28"/>
  <c r="BV493" i="28"/>
  <c r="BU493" i="28"/>
  <c r="BX739" i="28"/>
  <c r="BW739" i="28"/>
  <c r="BV739" i="28"/>
  <c r="BU739" i="28"/>
  <c r="BX660" i="28"/>
  <c r="BW660" i="28"/>
  <c r="BV660" i="28"/>
  <c r="BU660" i="28"/>
  <c r="BX661" i="28"/>
  <c r="BW661" i="28"/>
  <c r="BV661" i="28"/>
  <c r="BU661" i="28"/>
  <c r="BX575" i="28"/>
  <c r="BW575" i="28"/>
  <c r="BV575" i="28"/>
  <c r="BU575" i="28"/>
  <c r="BX782" i="28"/>
  <c r="BW782" i="28"/>
  <c r="BV782" i="28"/>
  <c r="BU782" i="28"/>
  <c r="BX620" i="28"/>
  <c r="BW620" i="28"/>
  <c r="BV620" i="28"/>
  <c r="BU620" i="28"/>
  <c r="BX500" i="28"/>
  <c r="BW500" i="28"/>
  <c r="BV500" i="28"/>
  <c r="BU500" i="28"/>
  <c r="BX642" i="28"/>
  <c r="BW642" i="28"/>
  <c r="BV642" i="28"/>
  <c r="BU642" i="28"/>
  <c r="BX658" i="28"/>
  <c r="BW658" i="28"/>
  <c r="BV658" i="28"/>
  <c r="BU658" i="28"/>
  <c r="BX653" i="28"/>
  <c r="BW653" i="28"/>
  <c r="BV653" i="28"/>
  <c r="BU653" i="28"/>
  <c r="BX602" i="28"/>
  <c r="BW602" i="28"/>
  <c r="BV602" i="28"/>
  <c r="BU602" i="28"/>
  <c r="BX637" i="28"/>
  <c r="BW637" i="28"/>
  <c r="BV637" i="28"/>
  <c r="BU637" i="28"/>
  <c r="BX512" i="28"/>
  <c r="BW512" i="28"/>
  <c r="BV512" i="28"/>
  <c r="BU512" i="28"/>
  <c r="BX780" i="28"/>
  <c r="BW780" i="28"/>
  <c r="BV780" i="28"/>
  <c r="BU780" i="28"/>
  <c r="BX578" i="28"/>
  <c r="BW578" i="28"/>
  <c r="BV578" i="28"/>
  <c r="BU578" i="28"/>
  <c r="BX792" i="28"/>
  <c r="BW792" i="28"/>
  <c r="BV792" i="28"/>
  <c r="BU792" i="28"/>
  <c r="BX645" i="28"/>
  <c r="BW645" i="28"/>
  <c r="BV645" i="28"/>
  <c r="BU645" i="28"/>
  <c r="BX835" i="28"/>
  <c r="BW835" i="28"/>
  <c r="BV835" i="28"/>
  <c r="BU835" i="28"/>
  <c r="BX582" i="28"/>
  <c r="BW582" i="28"/>
  <c r="BV582" i="28"/>
  <c r="BU582" i="28"/>
  <c r="BX798" i="28"/>
  <c r="BW798" i="28"/>
  <c r="BV798" i="28"/>
  <c r="BU798" i="28"/>
  <c r="BX616" i="28"/>
  <c r="BW616" i="28"/>
  <c r="BV616" i="28"/>
  <c r="BU616" i="28"/>
  <c r="BX816" i="28"/>
  <c r="BW816" i="28"/>
  <c r="BV816" i="28"/>
  <c r="BU816" i="28"/>
  <c r="BX833" i="28"/>
  <c r="BW833" i="28"/>
  <c r="BV833" i="28"/>
  <c r="BU833" i="28"/>
  <c r="BX573" i="28"/>
  <c r="BW573" i="28"/>
  <c r="BV573" i="28"/>
  <c r="BU573" i="28"/>
  <c r="BX593" i="28"/>
  <c r="BW593" i="28"/>
  <c r="BV593" i="28"/>
  <c r="BU593" i="28"/>
  <c r="BX679" i="28"/>
  <c r="BW679" i="28"/>
  <c r="BV679" i="28"/>
  <c r="BU679" i="28"/>
  <c r="BX810" i="28"/>
  <c r="BW810" i="28"/>
  <c r="BV810" i="28"/>
  <c r="BU810" i="28"/>
  <c r="BX725" i="28"/>
  <c r="BW725" i="28"/>
  <c r="BV725" i="28"/>
  <c r="BU725" i="28"/>
  <c r="BX793" i="28"/>
  <c r="BW793" i="28"/>
  <c r="BV793" i="28"/>
  <c r="BU793" i="28"/>
  <c r="BX511" i="28"/>
  <c r="BW511" i="28"/>
  <c r="BV511" i="28"/>
  <c r="BU511" i="28"/>
  <c r="BX762" i="28"/>
  <c r="BW762" i="28"/>
  <c r="BV762" i="28"/>
  <c r="BU762" i="28"/>
  <c r="BV319" i="28"/>
  <c r="BU319" i="28"/>
  <c r="BV323" i="28"/>
  <c r="BU323" i="28"/>
  <c r="BV209" i="28"/>
  <c r="BU209" i="28"/>
  <c r="BV320" i="28"/>
  <c r="BU320" i="28"/>
  <c r="BV293" i="28"/>
  <c r="BU293" i="28"/>
  <c r="BV264" i="28"/>
  <c r="BU264" i="28"/>
  <c r="BV238" i="28"/>
  <c r="BU238" i="28"/>
  <c r="BV302" i="28"/>
  <c r="BU302" i="28"/>
  <c r="BV315" i="28"/>
  <c r="BU315" i="28"/>
  <c r="BV292" i="28"/>
  <c r="BU292" i="28"/>
  <c r="BV228" i="28"/>
  <c r="BU228" i="28"/>
  <c r="BV300" i="28"/>
  <c r="BU300" i="28"/>
  <c r="BV295" i="28"/>
  <c r="BU295" i="28"/>
  <c r="BV325" i="28"/>
  <c r="BU325" i="28"/>
  <c r="BV321" i="28"/>
  <c r="BU321" i="28"/>
  <c r="BV322" i="28"/>
  <c r="BU322" i="28"/>
  <c r="BV473" i="28"/>
  <c r="BU473" i="28"/>
  <c r="BV294" i="28"/>
  <c r="BU294" i="28"/>
  <c r="BV296" i="28"/>
  <c r="BU296" i="28"/>
  <c r="BV299" i="28"/>
  <c r="BU299" i="28"/>
  <c r="BV301" i="28"/>
  <c r="BU301" i="28"/>
  <c r="BV272" i="28"/>
  <c r="BU272" i="28"/>
  <c r="BV261" i="28"/>
  <c r="BU261" i="28"/>
  <c r="BV260" i="28"/>
  <c r="BU260" i="28"/>
  <c r="BV259" i="28"/>
  <c r="BU259" i="28"/>
  <c r="BV317" i="28"/>
  <c r="BU317" i="28"/>
  <c r="BV233" i="28"/>
  <c r="BU233" i="28"/>
  <c r="BV273" i="28"/>
  <c r="BU273" i="28"/>
  <c r="BV267" i="28"/>
  <c r="BU267" i="28"/>
  <c r="BV297" i="28"/>
  <c r="BU297" i="28"/>
  <c r="BU290" i="28"/>
  <c r="BU289" i="28"/>
  <c r="BU395" i="28"/>
  <c r="BU392" i="28"/>
  <c r="BU215" i="28"/>
  <c r="BU212" i="28"/>
  <c r="BU214" i="28"/>
  <c r="BU207" i="28"/>
  <c r="BU216" i="28"/>
  <c r="BU332" i="28"/>
  <c r="BU333" i="28"/>
  <c r="BU394" i="28"/>
  <c r="BU275" i="28"/>
  <c r="BU306" i="28"/>
  <c r="BU328" i="28"/>
  <c r="BU253" i="28"/>
  <c r="BU303" i="28"/>
  <c r="BU327" i="28"/>
  <c r="BU258" i="28"/>
  <c r="BU324" i="28"/>
  <c r="BU218" i="28"/>
  <c r="BU270" i="28"/>
  <c r="BU269" i="28"/>
  <c r="BU263" i="28"/>
  <c r="BU262" i="28"/>
  <c r="BU469" i="28"/>
  <c r="BU335" i="28"/>
  <c r="BU196" i="28"/>
  <c r="BU249" i="28"/>
  <c r="BU254" i="28"/>
  <c r="BU313" i="28"/>
  <c r="BU220" i="28"/>
  <c r="BU246" i="28"/>
  <c r="BU288" i="28"/>
  <c r="BU194" i="28"/>
  <c r="BU248" i="28"/>
  <c r="BU330" i="28"/>
  <c r="BU251" i="28"/>
  <c r="BU250" i="28"/>
  <c r="BU307" i="28"/>
  <c r="BU282" i="28"/>
  <c r="BU281" i="28"/>
  <c r="BU334" i="28"/>
  <c r="BU326" i="28"/>
  <c r="BU242" i="28"/>
  <c r="BU266" i="28"/>
  <c r="BU236" i="28"/>
  <c r="BU224" i="28"/>
  <c r="BU239" i="28"/>
  <c r="BU221" i="28"/>
  <c r="BU235" i="28"/>
  <c r="BU268" i="28"/>
  <c r="BU314" i="28"/>
  <c r="BU252" i="28"/>
  <c r="BU225" i="28"/>
  <c r="BU229" i="28"/>
  <c r="BU257" i="28"/>
  <c r="BU240" i="28"/>
  <c r="BU468" i="28"/>
  <c r="BU467" i="28"/>
  <c r="BU402" i="28"/>
  <c r="BU396" i="28"/>
  <c r="BU413" i="28"/>
  <c r="BU241" i="28"/>
  <c r="BU223" i="28"/>
  <c r="BU247" i="28"/>
  <c r="BU217" i="28"/>
  <c r="BU256" i="28"/>
  <c r="BU393" i="28"/>
  <c r="BU226" i="28"/>
  <c r="BU227" i="28"/>
  <c r="BU271" i="28"/>
  <c r="BU213" i="28"/>
  <c r="BU274" i="28"/>
  <c r="BU244" i="28"/>
  <c r="BU243" i="28"/>
  <c r="BU211" i="28"/>
  <c r="BU203" i="28"/>
  <c r="BU201" i="28"/>
  <c r="BU202" i="28"/>
  <c r="BU197" i="28"/>
  <c r="BU465" i="28"/>
  <c r="BU190" i="28"/>
  <c r="BU187" i="28"/>
  <c r="BU185" i="28"/>
  <c r="BZ922" i="28"/>
  <c r="BY922" i="28"/>
  <c r="BX922" i="28"/>
  <c r="BZ921" i="28"/>
  <c r="BY921" i="28"/>
  <c r="BX921" i="28"/>
  <c r="BZ841" i="28"/>
  <c r="BY841" i="28"/>
  <c r="BX841" i="28"/>
  <c r="BZ840" i="28"/>
  <c r="BY840" i="28"/>
  <c r="BX840" i="28"/>
  <c r="BZ843" i="28"/>
  <c r="BY843" i="28"/>
  <c r="BX843" i="28"/>
  <c r="BZ817" i="28"/>
  <c r="BY817" i="28"/>
  <c r="BX817" i="28"/>
  <c r="BZ870" i="28"/>
  <c r="BY870" i="28"/>
  <c r="BX870" i="28"/>
  <c r="BZ588" i="28"/>
  <c r="BY588" i="28"/>
  <c r="BX588" i="28"/>
  <c r="BZ890" i="28"/>
  <c r="BY890" i="28"/>
  <c r="BX890" i="28"/>
  <c r="BZ583" i="28"/>
  <c r="BY583" i="28"/>
  <c r="BX583" i="28"/>
  <c r="BZ978" i="28"/>
  <c r="BY978" i="28"/>
  <c r="BX978" i="28"/>
  <c r="BZ581" i="28"/>
  <c r="BY581" i="28"/>
  <c r="BX581" i="28"/>
  <c r="BZ955" i="28"/>
  <c r="BY955" i="28"/>
  <c r="BX955" i="28"/>
  <c r="BZ943" i="28"/>
  <c r="BY943" i="28"/>
  <c r="BX943" i="28"/>
  <c r="BZ991" i="28"/>
  <c r="BY991" i="28"/>
  <c r="BX991" i="28"/>
  <c r="BZ862" i="28"/>
  <c r="BY862" i="28"/>
  <c r="BX862" i="28"/>
  <c r="BZ569" i="28"/>
  <c r="BY569" i="28"/>
  <c r="BX569" i="28"/>
  <c r="BZ891" i="28"/>
  <c r="BY891" i="28"/>
  <c r="BX891" i="28"/>
  <c r="BZ424" i="28"/>
  <c r="BY424" i="28"/>
  <c r="BX424" i="28"/>
  <c r="BZ547" i="28"/>
  <c r="BY547" i="28"/>
  <c r="BX547" i="28"/>
  <c r="BZ568" i="28"/>
  <c r="BY568" i="28"/>
  <c r="BX568" i="28"/>
  <c r="BZ949" i="28"/>
  <c r="BY949" i="28"/>
  <c r="BX949" i="28"/>
  <c r="BZ863" i="28"/>
  <c r="BY863" i="28"/>
  <c r="BX863" i="28"/>
  <c r="BZ898" i="28"/>
  <c r="BY898" i="28"/>
  <c r="BX898" i="28"/>
  <c r="BZ877" i="28"/>
  <c r="BY877" i="28"/>
  <c r="BX877" i="28"/>
  <c r="BZ865" i="28"/>
  <c r="BY865" i="28"/>
  <c r="BX865" i="28"/>
  <c r="BZ869" i="28"/>
  <c r="BY869" i="28"/>
  <c r="BX869" i="28"/>
  <c r="BZ871" i="28"/>
  <c r="BY871" i="28"/>
  <c r="BX871" i="28"/>
  <c r="BZ983" i="28"/>
  <c r="BY983" i="28"/>
  <c r="BX983" i="28"/>
  <c r="BZ899" i="28"/>
  <c r="BY899" i="28"/>
  <c r="BX899" i="28"/>
  <c r="BZ857" i="28"/>
  <c r="BY857" i="28"/>
  <c r="BX857" i="28"/>
  <c r="BZ864" i="28"/>
  <c r="BY864" i="28"/>
  <c r="BX864" i="28"/>
  <c r="BZ861" i="28"/>
  <c r="BY861" i="28"/>
  <c r="BX861" i="28"/>
  <c r="BZ957" i="28"/>
  <c r="BY957" i="28"/>
  <c r="BX957" i="28"/>
  <c r="BZ947" i="28"/>
  <c r="BY947" i="28"/>
  <c r="BX947" i="28"/>
  <c r="BZ977" i="28"/>
  <c r="BY977" i="28"/>
  <c r="BX977" i="28"/>
  <c r="BZ945" i="28"/>
  <c r="BY945" i="28"/>
  <c r="BX945" i="28"/>
  <c r="BZ975" i="28"/>
  <c r="BY975" i="28"/>
  <c r="BX975" i="28"/>
  <c r="BZ946" i="28"/>
  <c r="BY946" i="28"/>
  <c r="BX946" i="28"/>
  <c r="BZ971" i="28"/>
  <c r="BY971" i="28"/>
  <c r="BX971" i="28"/>
  <c r="BZ567" i="28"/>
  <c r="BY567" i="28"/>
  <c r="BX567" i="28"/>
  <c r="BZ876" i="28"/>
  <c r="BY876" i="28"/>
  <c r="BX876" i="28"/>
  <c r="BZ867" i="28"/>
  <c r="BY867" i="28"/>
  <c r="BX867" i="28"/>
  <c r="BZ897" i="28"/>
  <c r="BY897" i="28"/>
  <c r="BX897" i="28"/>
  <c r="BZ860" i="28"/>
  <c r="BY860" i="28"/>
  <c r="BX860" i="28"/>
  <c r="BZ868" i="28"/>
  <c r="BY868" i="28"/>
  <c r="BX868" i="28"/>
  <c r="BZ423" i="28"/>
  <c r="BY423" i="28"/>
  <c r="BX423" i="28"/>
  <c r="BZ972" i="28"/>
  <c r="BY972" i="28"/>
  <c r="BX972" i="28"/>
  <c r="BZ866" i="28"/>
  <c r="BY866" i="28"/>
  <c r="BX866" i="28"/>
  <c r="BZ970" i="28"/>
  <c r="BY970" i="28"/>
  <c r="BX970" i="28"/>
  <c r="BZ881" i="28"/>
  <c r="BY881" i="28"/>
  <c r="BX881" i="28"/>
  <c r="BZ422" i="28"/>
  <c r="BY422" i="28"/>
  <c r="BX422" i="28"/>
  <c r="BZ844" i="28"/>
  <c r="BY844" i="28"/>
  <c r="BX844" i="28"/>
  <c r="BZ525" i="28"/>
  <c r="BY525" i="28"/>
  <c r="BX525" i="28"/>
  <c r="CB956" i="28"/>
  <c r="CA956" i="28"/>
  <c r="BZ956" i="28"/>
  <c r="BY834" i="28"/>
  <c r="BX834" i="28"/>
  <c r="BW834" i="28"/>
  <c r="BV834" i="28"/>
  <c r="BY830" i="28"/>
  <c r="BX830" i="28"/>
  <c r="BW830" i="28"/>
  <c r="BV830" i="28"/>
  <c r="BY829" i="28"/>
  <c r="BX829" i="28"/>
  <c r="BW829" i="28"/>
  <c r="BV829" i="28"/>
  <c r="BY827" i="28"/>
  <c r="BX827" i="28"/>
  <c r="BW827" i="28"/>
  <c r="BV827" i="28"/>
  <c r="BY824" i="28"/>
  <c r="BX824" i="28"/>
  <c r="BW824" i="28"/>
  <c r="BV824" i="28"/>
  <c r="BY822" i="28"/>
  <c r="BX822" i="28"/>
  <c r="BW822" i="28"/>
  <c r="BV822" i="28"/>
  <c r="BY819" i="28"/>
  <c r="BX819" i="28"/>
  <c r="BW819" i="28"/>
  <c r="BV819" i="28"/>
  <c r="BY818" i="28"/>
  <c r="BX818" i="28"/>
  <c r="BW818" i="28"/>
  <c r="BV818" i="28"/>
  <c r="BY815" i="28"/>
  <c r="BX815" i="28"/>
  <c r="BW815" i="28"/>
  <c r="BV815" i="28"/>
  <c r="BY941" i="28"/>
  <c r="BX941" i="28"/>
  <c r="BW941" i="28"/>
  <c r="BV941" i="28"/>
  <c r="BY939" i="28"/>
  <c r="BX939" i="28"/>
  <c r="BW939" i="28"/>
  <c r="BV939" i="28"/>
  <c r="BY937" i="28"/>
  <c r="BX937" i="28"/>
  <c r="BW937" i="28"/>
  <c r="BV937" i="28"/>
  <c r="BY808" i="28"/>
  <c r="BX808" i="28"/>
  <c r="BW808" i="28"/>
  <c r="BV808" i="28"/>
  <c r="BY805" i="28"/>
  <c r="BX805" i="28"/>
  <c r="BW805" i="28"/>
  <c r="BV805" i="28"/>
  <c r="BY795" i="28"/>
  <c r="BX795" i="28"/>
  <c r="BW795" i="28"/>
  <c r="BV795" i="28"/>
  <c r="BY986" i="28"/>
  <c r="BX986" i="28"/>
  <c r="BW986" i="28"/>
  <c r="BV986" i="28"/>
  <c r="BY985" i="28"/>
  <c r="BX985" i="28"/>
  <c r="BW985" i="28"/>
  <c r="BV985" i="28"/>
  <c r="BY790" i="28"/>
  <c r="BX790" i="28"/>
  <c r="BW790" i="28"/>
  <c r="BV790" i="28"/>
  <c r="BY789" i="28"/>
  <c r="BX789" i="28"/>
  <c r="BW789" i="28"/>
  <c r="BV789" i="28"/>
  <c r="BY788" i="28"/>
  <c r="BX788" i="28"/>
  <c r="BW788" i="28"/>
  <c r="BV788" i="28"/>
  <c r="BY787" i="28"/>
  <c r="BX787" i="28"/>
  <c r="BW787" i="28"/>
  <c r="BV787" i="28"/>
  <c r="BY786" i="28"/>
  <c r="BX786" i="28"/>
  <c r="BW786" i="28"/>
  <c r="BV786" i="28"/>
  <c r="BY775" i="28"/>
  <c r="BX775" i="28"/>
  <c r="BW775" i="28"/>
  <c r="BV775" i="28"/>
  <c r="BY773" i="28"/>
  <c r="BX773" i="28"/>
  <c r="BW773" i="28"/>
  <c r="BV773" i="28"/>
  <c r="BY770" i="28"/>
  <c r="BX770" i="28"/>
  <c r="BW770" i="28"/>
  <c r="BV770" i="28"/>
  <c r="BY767" i="28"/>
  <c r="BX767" i="28"/>
  <c r="BW767" i="28"/>
  <c r="BV767" i="28"/>
  <c r="BY766" i="28"/>
  <c r="BX766" i="28"/>
  <c r="BW766" i="28"/>
  <c r="BV766" i="28"/>
  <c r="BY761" i="28"/>
  <c r="BX761" i="28"/>
  <c r="BW761" i="28"/>
  <c r="BV761" i="28"/>
  <c r="BY912" i="28"/>
  <c r="BX912" i="28"/>
  <c r="BW912" i="28"/>
  <c r="BV912" i="28"/>
  <c r="BY911" i="28"/>
  <c r="BX911" i="28"/>
  <c r="BW911" i="28"/>
  <c r="BV911" i="28"/>
  <c r="BY760" i="28"/>
  <c r="BX760" i="28"/>
  <c r="BW760" i="28"/>
  <c r="BV760" i="28"/>
  <c r="BY759" i="28"/>
  <c r="BX759" i="28"/>
  <c r="BW759" i="28"/>
  <c r="BV759" i="28"/>
  <c r="BY757" i="28"/>
  <c r="BX757" i="28"/>
  <c r="BW757" i="28"/>
  <c r="BV757" i="28"/>
  <c r="BY756" i="28"/>
  <c r="BX756" i="28"/>
  <c r="BW756" i="28"/>
  <c r="BV756" i="28"/>
  <c r="BY755" i="28"/>
  <c r="BX755" i="28"/>
  <c r="BW755" i="28"/>
  <c r="BV755" i="28"/>
  <c r="BY754" i="28"/>
  <c r="BX754" i="28"/>
  <c r="BW754" i="28"/>
  <c r="BV754" i="28"/>
  <c r="BY749" i="28"/>
  <c r="BX749" i="28"/>
  <c r="BW749" i="28"/>
  <c r="BV749" i="28"/>
  <c r="BY743" i="28"/>
  <c r="BX743" i="28"/>
  <c r="BW743" i="28"/>
  <c r="BV743" i="28"/>
  <c r="BY735" i="28"/>
  <c r="BX735" i="28"/>
  <c r="BW735" i="28"/>
  <c r="BV735" i="28"/>
  <c r="BY733" i="28"/>
  <c r="BX733" i="28"/>
  <c r="BW733" i="28"/>
  <c r="BV733" i="28"/>
  <c r="BY732" i="28"/>
  <c r="BX732" i="28"/>
  <c r="BW732" i="28"/>
  <c r="BV732" i="28"/>
  <c r="BY731" i="28"/>
  <c r="BX731" i="28"/>
  <c r="BW731" i="28"/>
  <c r="BV731" i="28"/>
  <c r="BY729" i="28"/>
  <c r="BX729" i="28"/>
  <c r="BW729" i="28"/>
  <c r="BV729" i="28"/>
  <c r="BY727" i="28"/>
  <c r="BX727" i="28"/>
  <c r="BW727" i="28"/>
  <c r="BV727" i="28"/>
  <c r="BY721" i="28"/>
  <c r="BX721" i="28"/>
  <c r="BW721" i="28"/>
  <c r="BV721" i="28"/>
  <c r="BY717" i="28"/>
  <c r="BX717" i="28"/>
  <c r="BW717" i="28"/>
  <c r="BV717" i="28"/>
  <c r="BY715" i="28"/>
  <c r="BX715" i="28"/>
  <c r="BW715" i="28"/>
  <c r="BV715" i="28"/>
  <c r="BY711" i="28"/>
  <c r="BX711" i="28"/>
  <c r="BW711" i="28"/>
  <c r="BV711" i="28"/>
  <c r="BY707" i="28"/>
  <c r="BX707" i="28"/>
  <c r="BW707" i="28"/>
  <c r="BV707" i="28"/>
  <c r="BY706" i="28"/>
  <c r="BX706" i="28"/>
  <c r="BW706" i="28"/>
  <c r="BV706" i="28"/>
  <c r="BY705" i="28"/>
  <c r="BX705" i="28"/>
  <c r="BW705" i="28"/>
  <c r="BV705" i="28"/>
  <c r="BY695" i="28"/>
  <c r="BX695" i="28"/>
  <c r="BW695" i="28"/>
  <c r="BV695" i="28"/>
  <c r="BY942" i="28"/>
  <c r="BX942" i="28"/>
  <c r="BW942" i="28"/>
  <c r="BV942" i="28"/>
  <c r="BY940" i="28"/>
  <c r="BX940" i="28"/>
  <c r="BW940" i="28"/>
  <c r="BV940" i="28"/>
  <c r="BY938" i="28"/>
  <c r="BX938" i="28"/>
  <c r="BW938" i="28"/>
  <c r="BV938" i="28"/>
  <c r="BY655" i="28"/>
  <c r="BX655" i="28"/>
  <c r="BW655" i="28"/>
  <c r="BV655" i="28"/>
  <c r="BY654" i="28"/>
  <c r="BX654" i="28"/>
  <c r="BW654" i="28"/>
  <c r="BV654" i="28"/>
  <c r="BY635" i="28"/>
  <c r="BX635" i="28"/>
  <c r="BW635" i="28"/>
  <c r="BV635" i="28"/>
  <c r="BY632" i="28"/>
  <c r="BX632" i="28"/>
  <c r="BW632" i="28"/>
  <c r="BV632" i="28"/>
  <c r="BY629" i="28"/>
  <c r="BX629" i="28"/>
  <c r="BW629" i="28"/>
  <c r="BV629" i="28"/>
  <c r="BY627" i="28"/>
  <c r="BX627" i="28"/>
  <c r="BW627" i="28"/>
  <c r="BV627" i="28"/>
  <c r="BY622" i="28"/>
  <c r="BX622" i="28"/>
  <c r="BW622" i="28"/>
  <c r="BV622" i="28"/>
  <c r="BY619" i="28"/>
  <c r="BX619" i="28"/>
  <c r="BW619" i="28"/>
  <c r="BV619" i="28"/>
  <c r="BY614" i="28"/>
  <c r="BX614" i="28"/>
  <c r="BW614" i="28"/>
  <c r="BV614" i="28"/>
  <c r="BY612" i="28"/>
  <c r="BX612" i="28"/>
  <c r="BW612" i="28"/>
  <c r="BV612" i="28"/>
  <c r="BY601" i="28"/>
  <c r="BX601" i="28"/>
  <c r="BW601" i="28"/>
  <c r="BV601" i="28"/>
  <c r="BY600" i="28"/>
  <c r="BX600" i="28"/>
  <c r="BW600" i="28"/>
  <c r="BV600" i="28"/>
  <c r="BY596" i="28"/>
  <c r="BX596" i="28"/>
  <c r="BW596" i="28"/>
  <c r="BV596" i="28"/>
  <c r="BY584" i="28"/>
  <c r="BX584" i="28"/>
  <c r="BW584" i="28"/>
  <c r="BV584" i="28"/>
  <c r="BY579" i="28"/>
  <c r="BX579" i="28"/>
  <c r="BW579" i="28"/>
  <c r="BV579" i="28"/>
  <c r="BY563" i="28"/>
  <c r="BX563" i="28"/>
  <c r="BW563" i="28"/>
  <c r="BV563" i="28"/>
  <c r="BY562" i="28"/>
  <c r="BX562" i="28"/>
  <c r="BW562" i="28"/>
  <c r="BV562" i="28"/>
  <c r="BY561" i="28"/>
  <c r="BX561" i="28"/>
  <c r="BW561" i="28"/>
  <c r="BV561" i="28"/>
  <c r="BY559" i="28"/>
  <c r="BX559" i="28"/>
  <c r="BW559" i="28"/>
  <c r="BV559" i="28"/>
  <c r="BY555" i="28"/>
  <c r="BX555" i="28"/>
  <c r="BW555" i="28"/>
  <c r="BV555" i="28"/>
  <c r="BY552" i="28"/>
  <c r="BX552" i="28"/>
  <c r="BW552" i="28"/>
  <c r="BV552" i="28"/>
  <c r="BY936" i="28"/>
  <c r="BX936" i="28"/>
  <c r="BW936" i="28"/>
  <c r="BV936" i="28"/>
  <c r="BY548" i="28"/>
  <c r="BX548" i="28"/>
  <c r="BW548" i="28"/>
  <c r="BV548" i="28"/>
  <c r="BY934" i="28"/>
  <c r="BX934" i="28"/>
  <c r="BW934" i="28"/>
  <c r="BV934" i="28"/>
  <c r="BY176" i="28"/>
  <c r="BX176" i="28"/>
  <c r="BW176" i="28"/>
  <c r="BV176" i="28"/>
  <c r="BY403" i="28"/>
  <c r="BX403" i="28"/>
  <c r="BW403" i="28"/>
  <c r="BV403" i="28"/>
  <c r="BY400" i="28"/>
  <c r="BX400" i="28"/>
  <c r="BW400" i="28"/>
  <c r="BV400" i="28"/>
  <c r="BY340" i="28"/>
  <c r="BX340" i="28"/>
  <c r="BW340" i="28"/>
  <c r="BV340" i="28"/>
  <c r="BY464" i="28"/>
  <c r="BX464" i="28"/>
  <c r="BW464" i="28"/>
  <c r="BV464" i="28"/>
  <c r="BY401" i="28"/>
  <c r="BX401" i="28"/>
  <c r="BW401" i="28"/>
  <c r="BV401" i="28"/>
  <c r="BY404" i="28"/>
  <c r="BX404" i="28"/>
  <c r="BW404" i="28"/>
  <c r="BV404" i="28"/>
  <c r="BU480" i="28"/>
  <c r="BV205" i="28"/>
  <c r="BU205" i="28"/>
  <c r="BV310" i="28"/>
  <c r="BU310" i="28"/>
  <c r="BV285" i="28"/>
  <c r="BU285" i="28"/>
  <c r="BV298" i="28"/>
  <c r="BU298" i="28"/>
  <c r="BV234" i="28"/>
  <c r="BU234" i="28"/>
  <c r="BV472" i="28"/>
  <c r="BU472" i="28"/>
  <c r="BV308" i="28"/>
  <c r="BU308" i="28"/>
  <c r="BU279" i="28"/>
  <c r="BU278" i="28"/>
  <c r="BU232" i="28"/>
  <c r="BU277" i="28"/>
  <c r="BU219" i="28"/>
  <c r="BU206" i="28"/>
  <c r="BU200" i="28"/>
  <c r="BU230" i="28"/>
  <c r="BU311" i="28"/>
  <c r="BU280" i="28"/>
  <c r="BU287" i="28"/>
  <c r="BU339" i="28"/>
  <c r="BU338" i="28"/>
  <c r="BU309" i="28"/>
  <c r="BU399" i="28"/>
  <c r="BU398" i="28"/>
  <c r="BU305" i="28"/>
  <c r="BU204" i="28"/>
  <c r="BU276" i="28"/>
  <c r="BU283" i="28"/>
  <c r="BU291" i="28"/>
  <c r="BU304" i="28"/>
  <c r="BU316" i="28"/>
  <c r="BU255" i="28"/>
  <c r="BU245" i="28"/>
  <c r="BU318" i="28"/>
  <c r="BU284" i="28"/>
  <c r="BU208" i="28"/>
  <c r="BU312" i="28"/>
  <c r="BU231" i="28"/>
  <c r="BU237" i="28"/>
  <c r="BU265" i="28"/>
  <c r="BU192" i="28"/>
  <c r="BU186" i="28"/>
  <c r="BU471" i="28"/>
  <c r="BU470" i="28"/>
  <c r="BU210" i="28"/>
  <c r="BU390" i="28"/>
  <c r="BU337" i="28"/>
  <c r="BW828" i="28"/>
  <c r="BW597" i="28"/>
  <c r="BW590" i="28"/>
  <c r="BU348" i="28"/>
  <c r="BW900" i="28"/>
  <c r="BW933" i="28"/>
  <c r="BX524" i="28"/>
  <c r="BX523" i="28"/>
  <c r="BW944" i="28"/>
  <c r="BW948" i="28"/>
  <c r="BW519" i="28"/>
  <c r="BU199" i="28"/>
  <c r="BU188" i="28"/>
  <c r="BW517" i="28"/>
  <c r="BU502" i="28"/>
  <c r="BU222" i="28"/>
  <c r="BU195" i="28"/>
  <c r="BV198" i="28"/>
  <c r="BV950" i="28"/>
  <c r="BV979" i="28"/>
  <c r="BV935" i="28"/>
  <c r="BU336" i="28"/>
  <c r="BU189" i="28"/>
  <c r="BW888" i="28"/>
  <c r="BW889" i="28"/>
  <c r="BX967" i="28"/>
  <c r="BX966" i="28"/>
  <c r="BX968" i="28"/>
  <c r="BX969" i="28"/>
  <c r="BY566" i="28"/>
  <c r="BY565" i="28"/>
  <c r="BY564" i="28"/>
  <c r="BY982" i="28"/>
  <c r="BY981" i="28"/>
  <c r="BX980" i="28"/>
  <c r="BX910" i="28"/>
  <c r="BX909" i="28"/>
  <c r="BX908" i="28"/>
  <c r="BX907" i="28"/>
  <c r="BX906" i="28"/>
  <c r="BY965" i="28"/>
  <c r="BY964" i="28"/>
  <c r="BY963" i="28"/>
  <c r="BY962" i="28"/>
  <c r="BY961" i="28"/>
  <c r="BY960" i="28"/>
  <c r="BV421" i="28"/>
  <c r="BU420" i="28"/>
  <c r="BU419" i="28"/>
  <c r="BU959" i="28"/>
  <c r="BU958" i="28"/>
  <c r="BU418" i="28"/>
  <c r="BU417" i="28"/>
  <c r="BU416" i="28"/>
  <c r="BU415" i="28"/>
  <c r="BU414" i="28"/>
  <c r="BV452" i="28"/>
  <c r="BU428" i="28"/>
  <c r="BU433" i="28"/>
  <c r="BU427" i="28"/>
  <c r="BV451" i="28"/>
  <c r="BV447" i="28"/>
  <c r="BU432" i="28"/>
  <c r="BV449" i="28"/>
  <c r="BV448" i="28"/>
  <c r="BV450" i="28"/>
  <c r="BU431" i="28"/>
  <c r="BU426" i="28"/>
  <c r="BV453" i="28"/>
  <c r="BU425" i="28"/>
  <c r="BU438" i="28"/>
  <c r="BU434" i="28"/>
  <c r="BU441" i="28"/>
  <c r="BU439" i="28"/>
  <c r="BU430" i="28"/>
  <c r="BU429" i="28"/>
  <c r="BU436" i="28"/>
  <c r="BU445" i="28"/>
  <c r="BU444" i="28"/>
  <c r="BU442" i="28"/>
  <c r="BU435" i="28"/>
  <c r="BU443" i="28"/>
  <c r="BU440" i="28"/>
  <c r="BU437" i="28"/>
  <c r="BU446" i="28"/>
  <c r="BX887" i="28"/>
  <c r="BY886" i="28"/>
  <c r="BY885" i="28"/>
  <c r="BY882" i="28"/>
  <c r="BY883" i="28"/>
  <c r="BY884" i="28"/>
  <c r="BU386" i="28"/>
  <c r="BU385" i="28"/>
  <c r="BU382" i="28"/>
  <c r="BU379" i="28"/>
  <c r="BU372" i="28"/>
  <c r="BU360" i="28"/>
  <c r="BU349" i="28"/>
  <c r="CB880" i="28"/>
  <c r="CA880" i="28"/>
  <c r="BZ880" i="28"/>
  <c r="CB879" i="28"/>
  <c r="CA879" i="28"/>
  <c r="BZ879" i="28"/>
  <c r="CB878" i="28"/>
  <c r="CA878" i="28"/>
  <c r="BZ878" i="28"/>
  <c r="CB856" i="28"/>
  <c r="CA856" i="28"/>
  <c r="BZ856" i="28"/>
  <c r="CB855" i="28"/>
  <c r="CA855" i="28"/>
  <c r="BZ855" i="28"/>
  <c r="CB854" i="28"/>
  <c r="CA854" i="28"/>
  <c r="BZ854" i="28"/>
  <c r="CB853" i="28"/>
  <c r="CA853" i="28"/>
  <c r="BZ853" i="28"/>
  <c r="CB875" i="28"/>
  <c r="CA875" i="28"/>
  <c r="BZ875" i="28"/>
  <c r="CB852" i="28"/>
  <c r="CA852" i="28"/>
  <c r="BZ852" i="28"/>
  <c r="CB874" i="28"/>
  <c r="CA874" i="28"/>
  <c r="BZ874" i="28"/>
  <c r="CB873" i="28"/>
  <c r="CA873" i="28"/>
  <c r="BZ873" i="28"/>
  <c r="CB872" i="28"/>
  <c r="CA872" i="28"/>
  <c r="BZ872" i="28"/>
  <c r="BV344" i="28"/>
  <c r="BV342" i="28"/>
  <c r="BV346" i="28"/>
  <c r="BV343" i="28"/>
  <c r="BV345" i="28"/>
  <c r="BV341" i="28"/>
  <c r="BW286" i="28"/>
  <c r="BU191" i="28"/>
  <c r="BV356" i="28"/>
  <c r="BV373" i="28"/>
  <c r="BV355" i="28"/>
  <c r="BV353" i="28"/>
  <c r="BV361" i="28"/>
  <c r="BU466" i="28"/>
  <c r="BU397" i="28"/>
  <c r="BU193" i="28"/>
  <c r="BW521" i="28"/>
  <c r="BX526" i="28"/>
  <c r="BV520" i="28"/>
  <c r="BV362" i="28"/>
  <c r="BV374" i="28"/>
  <c r="BV350" i="28"/>
  <c r="BU391" i="28"/>
  <c r="BU184" i="28"/>
  <c r="BW918" i="28"/>
  <c r="BW917" i="28"/>
  <c r="BW916" i="28"/>
  <c r="BW915" i="28"/>
  <c r="BW914" i="28"/>
  <c r="BW851" i="28"/>
  <c r="BX850" i="28"/>
  <c r="CO852" i="28" l="1"/>
  <c r="CO880" i="28"/>
  <c r="CO475" i="28"/>
  <c r="CO476" i="28"/>
  <c r="CO477" i="28"/>
  <c r="CO479" i="28"/>
  <c r="CO953" i="28"/>
  <c r="CO854" i="28"/>
  <c r="CO874" i="28"/>
  <c r="CO879" i="28"/>
  <c r="CO875" i="28"/>
  <c r="CO956" i="28"/>
  <c r="CO993" i="28"/>
  <c r="CO437" i="28"/>
  <c r="CN437" i="28"/>
  <c r="CO910" i="28"/>
  <c r="CN910" i="28"/>
  <c r="CO284" i="28"/>
  <c r="CN284" i="28"/>
  <c r="CO945" i="28"/>
  <c r="CN945" i="28"/>
  <c r="CO983" i="28"/>
  <c r="CN983" i="28"/>
  <c r="CO568" i="28"/>
  <c r="CN568" i="28"/>
  <c r="CO843" i="28"/>
  <c r="CN843" i="28"/>
  <c r="CO187" i="28"/>
  <c r="CN187" i="28"/>
  <c r="CO243" i="28"/>
  <c r="CN243" i="28"/>
  <c r="CO256" i="28"/>
  <c r="CN256" i="28"/>
  <c r="CO467" i="28"/>
  <c r="CN467" i="28"/>
  <c r="CO268" i="28"/>
  <c r="CN268" i="28"/>
  <c r="CO326" i="28"/>
  <c r="CN326" i="28"/>
  <c r="CO248" i="28"/>
  <c r="CN248" i="28"/>
  <c r="CO394" i="28"/>
  <c r="CN394" i="28"/>
  <c r="CO273" i="28"/>
  <c r="CN273" i="28"/>
  <c r="CO260" i="28"/>
  <c r="CN260" i="28"/>
  <c r="CO299" i="28"/>
  <c r="CN299" i="28"/>
  <c r="CO322" i="28"/>
  <c r="CN322" i="28"/>
  <c r="CO300" i="28"/>
  <c r="CN300" i="28"/>
  <c r="CO302" i="28"/>
  <c r="CN302" i="28"/>
  <c r="CO320" i="28"/>
  <c r="CN320" i="28"/>
  <c r="CO762" i="28"/>
  <c r="CN762" i="28"/>
  <c r="CO793" i="28"/>
  <c r="CN793" i="28"/>
  <c r="CO810" i="28"/>
  <c r="CN810" i="28"/>
  <c r="CO593" i="28"/>
  <c r="CN593" i="28"/>
  <c r="CO833" i="28"/>
  <c r="CN833" i="28"/>
  <c r="CO616" i="28"/>
  <c r="CN616" i="28"/>
  <c r="CO582" i="28"/>
  <c r="CN582" i="28"/>
  <c r="CO645" i="28"/>
  <c r="CN645" i="28"/>
  <c r="CN578" i="28"/>
  <c r="CO578" i="28"/>
  <c r="CO512" i="28"/>
  <c r="CN512" i="28"/>
  <c r="CO602" i="28"/>
  <c r="CN602" i="28"/>
  <c r="CO658" i="28"/>
  <c r="CN658" i="28"/>
  <c r="CO500" i="28"/>
  <c r="CN500" i="28"/>
  <c r="CO782" i="28"/>
  <c r="CN782" i="28"/>
  <c r="CO661" i="28"/>
  <c r="CN661" i="28"/>
  <c r="CO739" i="28"/>
  <c r="CN739" i="28"/>
  <c r="CO713" i="28"/>
  <c r="CN713" i="28"/>
  <c r="CO604" i="28"/>
  <c r="CN604" i="28"/>
  <c r="CO626" i="28"/>
  <c r="CN626" i="28"/>
  <c r="CO730" i="28"/>
  <c r="CN730" i="28"/>
  <c r="CO580" i="28"/>
  <c r="CN580" i="28"/>
  <c r="CO499" i="28"/>
  <c r="CN499" i="28"/>
  <c r="CO745" i="28"/>
  <c r="CN745" i="28"/>
  <c r="CO813" i="28"/>
  <c r="CN813" i="28"/>
  <c r="CN984" i="28"/>
  <c r="CO984" i="28"/>
  <c r="CO503" i="28"/>
  <c r="CN503" i="28"/>
  <c r="CO720" i="28"/>
  <c r="CN720" i="28"/>
  <c r="CO752" i="28"/>
  <c r="CN752" i="28"/>
  <c r="CO496" i="28"/>
  <c r="CN496" i="28"/>
  <c r="CO507" i="28"/>
  <c r="CN507" i="28"/>
  <c r="CO804" i="28"/>
  <c r="CN804" i="28"/>
  <c r="CO708" i="28"/>
  <c r="CN708" i="28"/>
  <c r="CO765" i="28"/>
  <c r="CN765" i="28"/>
  <c r="CO509" i="28"/>
  <c r="CN509" i="28"/>
  <c r="CO929" i="28"/>
  <c r="CN929" i="28"/>
  <c r="CO528" i="28"/>
  <c r="CN528" i="28"/>
  <c r="CO807" i="28"/>
  <c r="CN807" i="28"/>
  <c r="CN522" i="28"/>
  <c r="CO522" i="28"/>
  <c r="CN506" i="28"/>
  <c r="CO506" i="28"/>
  <c r="CO894" i="28"/>
  <c r="CN894" i="28"/>
  <c r="CO930" i="28"/>
  <c r="CN930" i="28"/>
  <c r="CO540" i="28"/>
  <c r="CN540" i="28"/>
  <c r="CO533" i="28"/>
  <c r="CN533" i="28"/>
  <c r="CO549" i="28"/>
  <c r="CN549" i="28"/>
  <c r="CO535" i="28"/>
  <c r="CN535" i="28"/>
  <c r="CO539" i="28"/>
  <c r="CN539" i="28"/>
  <c r="CO753" i="28"/>
  <c r="CN753" i="28"/>
  <c r="CO791" i="28"/>
  <c r="CN791" i="28"/>
  <c r="CO516" i="28"/>
  <c r="CN516" i="28"/>
  <c r="CO529" i="28"/>
  <c r="CN529" i="28"/>
  <c r="CO689" i="28"/>
  <c r="CN689" i="28"/>
  <c r="CO644" i="28"/>
  <c r="CN644" i="28"/>
  <c r="CO722" i="28"/>
  <c r="CN722" i="28"/>
  <c r="CO495" i="28"/>
  <c r="CN495" i="28"/>
  <c r="CO557" i="28"/>
  <c r="CN557" i="28"/>
  <c r="CO666" i="28"/>
  <c r="CN666" i="28"/>
  <c r="CO592" i="28"/>
  <c r="CN592" i="28"/>
  <c r="CO675" i="28"/>
  <c r="CN675" i="28"/>
  <c r="CO734" i="28"/>
  <c r="CN734" i="28"/>
  <c r="CN838" i="28"/>
  <c r="CO838" i="28"/>
  <c r="CO719" i="28"/>
  <c r="CN719" i="28"/>
  <c r="CO574" i="28"/>
  <c r="CN574" i="28"/>
  <c r="CO551" i="28"/>
  <c r="CN551" i="28"/>
  <c r="CO685" i="28"/>
  <c r="CN685" i="28"/>
  <c r="CO576" i="28"/>
  <c r="CN576" i="28"/>
  <c r="CO542" i="28"/>
  <c r="CN542" i="28"/>
  <c r="CO709" i="28"/>
  <c r="CN709" i="28"/>
  <c r="CO594" i="28"/>
  <c r="CN594" i="28"/>
  <c r="CO537" i="28"/>
  <c r="CN537" i="28"/>
  <c r="CO609" i="28"/>
  <c r="CN609" i="28"/>
  <c r="CO662" i="28"/>
  <c r="CN662" i="28"/>
  <c r="CO682" i="28"/>
  <c r="CN682" i="28"/>
  <c r="CO669" i="28"/>
  <c r="CN669" i="28"/>
  <c r="CN712" i="28"/>
  <c r="CO712" i="28"/>
  <c r="CO558" i="28"/>
  <c r="CN558" i="28"/>
  <c r="CO673" i="28"/>
  <c r="CN673" i="28"/>
  <c r="CO672" i="28"/>
  <c r="CN672" i="28"/>
  <c r="CO932" i="28"/>
  <c r="CN932" i="28"/>
  <c r="CO723" i="28"/>
  <c r="CN723" i="28"/>
  <c r="CO742" i="28"/>
  <c r="CN742" i="28"/>
  <c r="CO905" i="28"/>
  <c r="CN905" i="28"/>
  <c r="CO647" i="28"/>
  <c r="CN647" i="28"/>
  <c r="CO806" i="28"/>
  <c r="CN806" i="28"/>
  <c r="CO738" i="28"/>
  <c r="CN738" i="28"/>
  <c r="CO836" i="28"/>
  <c r="CN836" i="28"/>
  <c r="CO811" i="28"/>
  <c r="CN811" i="28"/>
  <c r="CO954" i="28"/>
  <c r="CN954" i="28"/>
  <c r="CO774" i="28"/>
  <c r="CN774" i="28"/>
  <c r="CO692" i="28"/>
  <c r="CN692" i="28"/>
  <c r="CO803" i="28"/>
  <c r="CN803" i="28"/>
  <c r="CO772" i="28"/>
  <c r="CN772" i="28"/>
  <c r="CO896" i="28"/>
  <c r="CN896" i="28"/>
  <c r="CO925" i="28"/>
  <c r="CN925" i="28"/>
  <c r="CO698" i="28"/>
  <c r="CN698" i="28"/>
  <c r="CO606" i="28"/>
  <c r="CN606" i="28"/>
  <c r="CO697" i="28"/>
  <c r="CN697" i="28"/>
  <c r="CO640" i="28"/>
  <c r="CN640" i="28"/>
  <c r="CO656" i="28"/>
  <c r="CN656" i="28"/>
  <c r="CO694" i="28"/>
  <c r="CN694" i="28"/>
  <c r="CN902" i="28"/>
  <c r="CO902" i="28"/>
  <c r="CO801" i="28"/>
  <c r="CN801" i="28"/>
  <c r="CO599" i="28"/>
  <c r="CN599" i="28"/>
  <c r="CO703" i="28"/>
  <c r="CN703" i="28"/>
  <c r="CO598" i="28"/>
  <c r="CN598" i="28"/>
  <c r="CO686" i="28"/>
  <c r="CN686" i="28"/>
  <c r="CO623" i="28"/>
  <c r="CN623" i="28"/>
  <c r="CO924" i="28"/>
  <c r="CN924" i="28"/>
  <c r="CO625" i="28"/>
  <c r="CN625" i="28"/>
  <c r="CO649" i="28"/>
  <c r="CN649" i="28"/>
  <c r="CO683" i="28"/>
  <c r="CN683" i="28"/>
  <c r="CN776" i="28"/>
  <c r="CO776" i="28"/>
  <c r="CO628" i="28"/>
  <c r="CN628" i="28"/>
  <c r="CO710" i="28"/>
  <c r="CN710" i="28"/>
  <c r="CO688" i="28"/>
  <c r="CN688" i="28"/>
  <c r="CO664" i="28"/>
  <c r="CN664" i="28"/>
  <c r="CO764" i="28"/>
  <c r="CN764" i="28"/>
  <c r="CO670" i="28"/>
  <c r="CN670" i="28"/>
  <c r="CO633" i="28"/>
  <c r="CN633" i="28"/>
  <c r="CO494" i="28"/>
  <c r="CN494" i="28"/>
  <c r="CO747" i="28"/>
  <c r="CN747" i="28"/>
  <c r="CO607" i="28"/>
  <c r="CN607" i="28"/>
  <c r="CO809" i="28"/>
  <c r="CN809" i="28"/>
  <c r="CO724" i="28"/>
  <c r="CN724" i="28"/>
  <c r="CO763" i="28"/>
  <c r="CN763" i="28"/>
  <c r="CO667" i="28"/>
  <c r="CN667" i="28"/>
  <c r="CO636" i="28"/>
  <c r="CN636" i="28"/>
  <c r="CO714" i="28"/>
  <c r="CN714" i="28"/>
  <c r="CO544" i="28"/>
  <c r="CN544" i="28"/>
  <c r="CN823" i="28"/>
  <c r="CO823" i="28"/>
  <c r="CO595" i="28"/>
  <c r="CN595" i="28"/>
  <c r="CO779" i="28"/>
  <c r="CN779" i="28"/>
  <c r="CO802" i="28"/>
  <c r="CN802" i="28"/>
  <c r="CO508" i="28"/>
  <c r="CN508" i="28"/>
  <c r="CO648" i="28"/>
  <c r="CN648" i="28"/>
  <c r="CN634" i="28"/>
  <c r="CO634" i="28"/>
  <c r="CO603" i="28"/>
  <c r="CN603" i="28"/>
  <c r="CO814" i="28"/>
  <c r="CN814" i="28"/>
  <c r="CO797" i="28"/>
  <c r="CN797" i="28"/>
  <c r="CO796" i="28"/>
  <c r="CN796" i="28"/>
  <c r="CO484" i="28"/>
  <c r="CN484" i="28"/>
  <c r="CN482" i="28"/>
  <c r="CO482" i="28"/>
  <c r="CO483" i="28"/>
  <c r="CN483" i="28"/>
  <c r="CO492" i="28"/>
  <c r="CN492" i="28"/>
  <c r="CO488" i="28"/>
  <c r="CN488" i="28"/>
  <c r="CO487" i="28"/>
  <c r="CN487" i="28"/>
  <c r="CO904" i="28"/>
  <c r="CN904" i="28"/>
  <c r="CN554" i="28"/>
  <c r="CO554" i="28"/>
  <c r="CO995" i="28"/>
  <c r="CO998" i="28"/>
  <c r="CO997" i="28"/>
  <c r="CO915" i="28"/>
  <c r="CN915" i="28"/>
  <c r="CO374" i="28"/>
  <c r="CN374" i="28"/>
  <c r="CN361" i="28"/>
  <c r="CO361" i="28"/>
  <c r="CN345" i="28"/>
  <c r="CO345" i="28"/>
  <c r="CO873" i="28"/>
  <c r="CO878" i="28"/>
  <c r="CO884" i="28"/>
  <c r="CN884" i="28"/>
  <c r="CO440" i="28"/>
  <c r="CN440" i="28"/>
  <c r="CO430" i="28"/>
  <c r="CN430" i="28"/>
  <c r="CN431" i="28"/>
  <c r="CO431" i="28"/>
  <c r="CO433" i="28"/>
  <c r="CN433" i="28"/>
  <c r="CO958" i="28"/>
  <c r="CN958" i="28"/>
  <c r="CO963" i="28"/>
  <c r="CN963" i="28"/>
  <c r="CN980" i="28"/>
  <c r="CO980" i="28"/>
  <c r="CO966" i="28"/>
  <c r="CN966" i="28"/>
  <c r="CO950" i="28"/>
  <c r="CN950" i="28"/>
  <c r="CO519" i="28"/>
  <c r="CN519" i="28"/>
  <c r="CO590" i="28"/>
  <c r="CN590" i="28"/>
  <c r="CO186" i="28"/>
  <c r="CN186" i="28"/>
  <c r="CO318" i="28"/>
  <c r="CN318" i="28"/>
  <c r="CN204" i="28"/>
  <c r="CO204" i="28"/>
  <c r="CO280" i="28"/>
  <c r="CN280" i="28"/>
  <c r="CO278" i="28"/>
  <c r="CN278" i="28"/>
  <c r="CO298" i="28"/>
  <c r="CN298" i="28"/>
  <c r="CO480" i="28"/>
  <c r="CN480" i="28"/>
  <c r="CN970" i="28"/>
  <c r="CO970" i="28"/>
  <c r="CO876" i="28"/>
  <c r="CN876" i="28"/>
  <c r="CN957" i="28"/>
  <c r="CO957" i="28"/>
  <c r="CO865" i="28"/>
  <c r="CN865" i="28"/>
  <c r="CO891" i="28"/>
  <c r="CN891" i="28"/>
  <c r="CO583" i="28"/>
  <c r="CN583" i="28"/>
  <c r="CO921" i="28"/>
  <c r="CN921" i="28"/>
  <c r="CO190" i="28"/>
  <c r="CN190" i="28"/>
  <c r="CO244" i="28"/>
  <c r="CN244" i="28"/>
  <c r="CO217" i="28"/>
  <c r="CN217" i="28"/>
  <c r="CO468" i="28"/>
  <c r="CN468" i="28"/>
  <c r="CO235" i="28"/>
  <c r="CN235" i="28"/>
  <c r="CO334" i="28"/>
  <c r="CN334" i="28"/>
  <c r="CO194" i="28"/>
  <c r="CN194" i="28"/>
  <c r="CO335" i="28"/>
  <c r="CN335" i="28"/>
  <c r="CO258" i="28"/>
  <c r="CN258" i="28"/>
  <c r="CO333" i="28"/>
  <c r="CN333" i="28"/>
  <c r="CO395" i="28"/>
  <c r="CN395" i="28"/>
  <c r="CO996" i="28"/>
  <c r="CO913" i="28"/>
  <c r="CN913" i="28"/>
  <c r="CO446" i="28"/>
  <c r="CN446" i="28"/>
  <c r="CO451" i="28"/>
  <c r="CN451" i="28"/>
  <c r="CN909" i="28"/>
  <c r="CO909" i="28"/>
  <c r="CN188" i="28"/>
  <c r="CO188" i="28"/>
  <c r="CO208" i="28"/>
  <c r="CN208" i="28"/>
  <c r="CO339" i="28"/>
  <c r="CN339" i="28"/>
  <c r="CO205" i="28"/>
  <c r="CN205" i="28"/>
  <c r="CO972" i="28"/>
  <c r="CN972" i="28"/>
  <c r="CO971" i="28"/>
  <c r="CN971" i="28"/>
  <c r="CO864" i="28"/>
  <c r="CN864" i="28"/>
  <c r="CN862" i="28"/>
  <c r="CO862" i="28"/>
  <c r="CO588" i="28"/>
  <c r="CN588" i="28"/>
  <c r="CN393" i="28"/>
  <c r="CO393" i="28"/>
  <c r="CO402" i="28"/>
  <c r="CN402" i="28"/>
  <c r="CO242" i="28"/>
  <c r="CN242" i="28"/>
  <c r="CO249" i="28"/>
  <c r="CN249" i="28"/>
  <c r="CO275" i="28"/>
  <c r="CN275" i="28"/>
  <c r="CO341" i="28"/>
  <c r="CN341" i="28"/>
  <c r="CO386" i="28"/>
  <c r="CN386" i="28"/>
  <c r="CO962" i="28"/>
  <c r="CN962" i="28"/>
  <c r="CO471" i="28"/>
  <c r="CN471" i="28"/>
  <c r="CO860" i="28"/>
  <c r="CN860" i="28"/>
  <c r="CN196" i="28"/>
  <c r="CO196" i="28"/>
  <c r="CO959" i="28"/>
  <c r="CN959" i="28"/>
  <c r="CO597" i="28"/>
  <c r="CN597" i="28"/>
  <c r="CO548" i="28"/>
  <c r="CN548" i="28"/>
  <c r="CO596" i="28"/>
  <c r="CN596" i="28"/>
  <c r="CO635" i="28"/>
  <c r="CN635" i="28"/>
  <c r="CO711" i="28"/>
  <c r="CN711" i="28"/>
  <c r="CO743" i="28"/>
  <c r="CN743" i="28"/>
  <c r="CO761" i="28"/>
  <c r="CN761" i="28"/>
  <c r="CO788" i="28"/>
  <c r="CN788" i="28"/>
  <c r="CO937" i="28"/>
  <c r="CN937" i="28"/>
  <c r="CO830" i="28"/>
  <c r="CN830" i="28"/>
  <c r="CO240" i="28"/>
  <c r="CN240" i="28"/>
  <c r="CO261" i="28"/>
  <c r="CN261" i="28"/>
  <c r="CO209" i="28"/>
  <c r="CN209" i="28"/>
  <c r="CO994" i="28"/>
  <c r="CO917" i="28"/>
  <c r="CN917" i="28"/>
  <c r="CO520" i="28"/>
  <c r="CN520" i="28"/>
  <c r="CO355" i="28"/>
  <c r="CN355" i="28"/>
  <c r="CO346" i="28"/>
  <c r="CN346" i="28"/>
  <c r="CO855" i="28"/>
  <c r="CO360" i="28"/>
  <c r="CN360" i="28"/>
  <c r="CO882" i="28"/>
  <c r="CN882" i="28"/>
  <c r="CO435" i="28"/>
  <c r="CN435" i="28"/>
  <c r="CO441" i="28"/>
  <c r="CN441" i="28"/>
  <c r="CO448" i="28"/>
  <c r="CN448" i="28"/>
  <c r="CO452" i="28"/>
  <c r="CN452" i="28"/>
  <c r="CO419" i="28"/>
  <c r="CN419" i="28"/>
  <c r="CN965" i="28"/>
  <c r="CO965" i="28"/>
  <c r="CO982" i="28"/>
  <c r="CN982" i="28"/>
  <c r="CO889" i="28"/>
  <c r="CN889" i="28"/>
  <c r="CO195" i="28"/>
  <c r="CN195" i="28"/>
  <c r="CO944" i="28"/>
  <c r="CN944" i="28"/>
  <c r="CO828" i="28"/>
  <c r="CN828" i="28"/>
  <c r="CO265" i="28"/>
  <c r="CN265" i="28"/>
  <c r="CO255" i="28"/>
  <c r="CN255" i="28"/>
  <c r="CO398" i="28"/>
  <c r="CN398" i="28"/>
  <c r="CO230" i="28"/>
  <c r="CN230" i="28"/>
  <c r="CO308" i="28"/>
  <c r="CN308" i="28"/>
  <c r="CO285" i="28"/>
  <c r="CN285" i="28"/>
  <c r="CO422" i="28"/>
  <c r="CN422" i="28"/>
  <c r="CO897" i="28"/>
  <c r="CN897" i="28"/>
  <c r="CO977" i="28"/>
  <c r="CN977" i="28"/>
  <c r="CN871" i="28"/>
  <c r="CO871" i="28"/>
  <c r="CO547" i="28"/>
  <c r="CN547" i="28"/>
  <c r="CO581" i="28"/>
  <c r="CN581" i="28"/>
  <c r="CO840" i="28"/>
  <c r="CN840" i="28"/>
  <c r="CO197" i="28"/>
  <c r="CN197" i="28"/>
  <c r="CO213" i="28"/>
  <c r="CN213" i="28"/>
  <c r="CO223" i="28"/>
  <c r="CN223" i="28"/>
  <c r="CO257" i="28"/>
  <c r="CN257" i="28"/>
  <c r="CO239" i="28"/>
  <c r="CN239" i="28"/>
  <c r="CN282" i="28"/>
  <c r="CO282" i="28"/>
  <c r="CO246" i="28"/>
  <c r="CN246" i="28"/>
  <c r="CO262" i="28"/>
  <c r="CN262" i="28"/>
  <c r="CO303" i="28"/>
  <c r="CN303" i="28"/>
  <c r="CO216" i="28"/>
  <c r="CN216" i="28"/>
  <c r="CN290" i="28"/>
  <c r="CO290" i="28"/>
  <c r="CO620" i="28"/>
  <c r="CN620" i="28"/>
  <c r="CO575" i="28"/>
  <c r="CN575" i="28"/>
  <c r="CO660" i="28"/>
  <c r="CN660" i="28"/>
  <c r="CO493" i="28"/>
  <c r="CN493" i="28"/>
  <c r="CO781" i="28"/>
  <c r="CN781" i="28"/>
  <c r="CO858" i="28"/>
  <c r="CN858" i="28"/>
  <c r="CO859" i="28"/>
  <c r="CN859" i="28"/>
  <c r="CO586" i="28"/>
  <c r="CN586" i="28"/>
  <c r="CO611" i="28"/>
  <c r="CN611" i="28"/>
  <c r="CN800" i="28"/>
  <c r="CO800" i="28"/>
  <c r="CO895" i="28"/>
  <c r="CN895" i="28"/>
  <c r="CO630" i="28"/>
  <c r="CN630" i="28"/>
  <c r="CO501" i="28"/>
  <c r="CN501" i="28"/>
  <c r="CO826" i="28"/>
  <c r="CN826" i="28"/>
  <c r="CO560" i="28"/>
  <c r="CN560" i="28"/>
  <c r="CO497" i="28"/>
  <c r="CN497" i="28"/>
  <c r="CN498" i="28"/>
  <c r="CO498" i="28"/>
  <c r="CO639" i="28"/>
  <c r="CN639" i="28"/>
  <c r="CO777" i="28"/>
  <c r="CN777" i="28"/>
  <c r="CN546" i="28"/>
  <c r="CO546" i="28"/>
  <c r="CO794" i="28"/>
  <c r="CN794" i="28"/>
  <c r="CO892" i="28"/>
  <c r="CN892" i="28"/>
  <c r="CO505" i="28"/>
  <c r="CN505" i="28"/>
  <c r="CO504" i="28"/>
  <c r="CN504" i="28"/>
  <c r="CO572" i="28"/>
  <c r="CN572" i="28"/>
  <c r="CO531" i="28"/>
  <c r="CN531" i="28"/>
  <c r="CO821" i="28"/>
  <c r="CN821" i="28"/>
  <c r="CO530" i="28"/>
  <c r="CN530" i="28"/>
  <c r="CO538" i="28"/>
  <c r="CN538" i="28"/>
  <c r="CO532" i="28"/>
  <c r="CN532" i="28"/>
  <c r="CO839" i="28"/>
  <c r="CN839" i="28"/>
  <c r="CO534" i="28"/>
  <c r="CN534" i="28"/>
  <c r="CO536" i="28"/>
  <c r="CN536" i="28"/>
  <c r="CO541" i="28"/>
  <c r="CN541" i="28"/>
  <c r="CO515" i="28"/>
  <c r="CN515" i="28"/>
  <c r="CN514" i="28"/>
  <c r="CO514" i="28"/>
  <c r="CO571" i="28"/>
  <c r="CN571" i="28"/>
  <c r="CO545" i="28"/>
  <c r="CN545" i="28"/>
  <c r="CO624" i="28"/>
  <c r="CN624" i="28"/>
  <c r="CO587" i="28"/>
  <c r="CN587" i="28"/>
  <c r="CO812" i="28"/>
  <c r="CN812" i="28"/>
  <c r="CO931" i="28"/>
  <c r="CN931" i="28"/>
  <c r="CO657" i="28"/>
  <c r="CN657" i="28"/>
  <c r="CO893" i="28"/>
  <c r="CN893" i="28"/>
  <c r="CO926" i="28"/>
  <c r="CN926" i="28"/>
  <c r="CO589" i="28"/>
  <c r="CN589" i="28"/>
  <c r="CO577" i="28"/>
  <c r="CN577" i="28"/>
  <c r="CO687" i="28"/>
  <c r="CN687" i="28"/>
  <c r="CO585" i="28"/>
  <c r="CN585" i="28"/>
  <c r="CO650" i="28"/>
  <c r="CN650" i="28"/>
  <c r="CO701" i="28"/>
  <c r="CN701" i="28"/>
  <c r="CO901" i="28"/>
  <c r="CN901" i="28"/>
  <c r="CO718" i="28"/>
  <c r="CN718" i="28"/>
  <c r="CO652" i="28"/>
  <c r="CN652" i="28"/>
  <c r="CO591" i="28"/>
  <c r="CN591" i="28"/>
  <c r="CO608" i="28"/>
  <c r="CN608" i="28"/>
  <c r="CO556" i="28"/>
  <c r="CN556" i="28"/>
  <c r="CO550" i="28"/>
  <c r="CN550" i="28"/>
  <c r="CO646" i="28"/>
  <c r="CN646" i="28"/>
  <c r="CO700" i="28"/>
  <c r="CN700" i="28"/>
  <c r="CO613" i="28"/>
  <c r="CN613" i="28"/>
  <c r="CO621" i="28"/>
  <c r="CN621" i="28"/>
  <c r="CO699" i="28"/>
  <c r="CN699" i="28"/>
  <c r="CO832" i="28"/>
  <c r="CN832" i="28"/>
  <c r="CO663" i="28"/>
  <c r="CN663" i="28"/>
  <c r="CO845" i="28"/>
  <c r="CN845" i="28"/>
  <c r="CO928" i="28"/>
  <c r="CN928" i="28"/>
  <c r="CO740" i="28"/>
  <c r="CN740" i="28"/>
  <c r="CN927" i="28"/>
  <c r="CO927" i="28"/>
  <c r="CO643" i="28"/>
  <c r="CN643" i="28"/>
  <c r="CO716" i="28"/>
  <c r="CN716" i="28"/>
  <c r="CO728" i="28"/>
  <c r="CN728" i="28"/>
  <c r="CO842" i="28"/>
  <c r="CN842" i="28"/>
  <c r="CO748" i="28"/>
  <c r="CN748" i="28"/>
  <c r="CO680" i="28"/>
  <c r="CN680" i="28"/>
  <c r="CO778" i="28"/>
  <c r="CN778" i="28"/>
  <c r="CO744" i="28"/>
  <c r="CN744" i="28"/>
  <c r="CO671" i="28"/>
  <c r="CN671" i="28"/>
  <c r="CO676" i="28"/>
  <c r="CN676" i="28"/>
  <c r="CN903" i="28"/>
  <c r="CO903" i="28"/>
  <c r="CO617" i="28"/>
  <c r="CN617" i="28"/>
  <c r="CO605" i="28"/>
  <c r="CN605" i="28"/>
  <c r="CN696" i="28"/>
  <c r="CO696" i="28"/>
  <c r="CO693" i="28"/>
  <c r="CN693" i="28"/>
  <c r="CO837" i="28"/>
  <c r="CN837" i="28"/>
  <c r="CO651" i="28"/>
  <c r="CN651" i="28"/>
  <c r="CN674" i="28"/>
  <c r="CO674" i="28"/>
  <c r="CO615" i="28"/>
  <c r="CN615" i="28"/>
  <c r="CO677" i="28"/>
  <c r="CN677" i="28"/>
  <c r="CO702" i="28"/>
  <c r="CN702" i="28"/>
  <c r="CO631" i="28"/>
  <c r="CN631" i="28"/>
  <c r="CO741" i="28"/>
  <c r="CN741" i="28"/>
  <c r="CO750" i="28"/>
  <c r="CN750" i="28"/>
  <c r="CO665" i="28"/>
  <c r="CN665" i="28"/>
  <c r="CO751" i="28"/>
  <c r="CN751" i="28"/>
  <c r="CO690" i="28"/>
  <c r="CN690" i="28"/>
  <c r="CO746" i="28"/>
  <c r="CN746" i="28"/>
  <c r="CN610" i="28"/>
  <c r="CO610" i="28"/>
  <c r="CO704" i="28"/>
  <c r="CN704" i="28"/>
  <c r="CO618" i="28"/>
  <c r="CN618" i="28"/>
  <c r="CN736" i="28"/>
  <c r="CO736" i="28"/>
  <c r="CO785" i="28"/>
  <c r="CN785" i="28"/>
  <c r="CO737" i="28"/>
  <c r="CN737" i="28"/>
  <c r="CO799" i="28"/>
  <c r="CN799" i="28"/>
  <c r="CO771" i="28"/>
  <c r="CN771" i="28"/>
  <c r="CO659" i="28"/>
  <c r="CN659" i="28"/>
  <c r="CO681" i="28"/>
  <c r="CN681" i="28"/>
  <c r="CO769" i="28"/>
  <c r="CN769" i="28"/>
  <c r="CO691" i="28"/>
  <c r="CN691" i="28"/>
  <c r="CO758" i="28"/>
  <c r="CN758" i="28"/>
  <c r="CO678" i="28"/>
  <c r="CN678" i="28"/>
  <c r="CO684" i="28"/>
  <c r="CN684" i="28"/>
  <c r="CN768" i="28"/>
  <c r="CO768" i="28"/>
  <c r="CO641" i="28"/>
  <c r="CN641" i="28"/>
  <c r="CO668" i="28"/>
  <c r="CN668" i="28"/>
  <c r="CO543" i="28"/>
  <c r="CN543" i="28"/>
  <c r="CO553" i="28"/>
  <c r="CN553" i="28"/>
  <c r="CO726" i="28"/>
  <c r="CN726" i="28"/>
  <c r="CO784" i="28"/>
  <c r="CN784" i="28"/>
  <c r="CO638" i="28"/>
  <c r="CN638" i="28"/>
  <c r="CO527" i="28"/>
  <c r="CN527" i="28"/>
  <c r="CO783" i="28"/>
  <c r="CN783" i="28"/>
  <c r="CO513" i="28"/>
  <c r="CN513" i="28"/>
  <c r="CO510" i="28"/>
  <c r="CN510" i="28"/>
  <c r="CO825" i="28"/>
  <c r="CN825" i="28"/>
  <c r="CO820" i="28"/>
  <c r="CN820" i="28"/>
  <c r="CO474" i="28"/>
  <c r="CO478" i="28"/>
  <c r="CO570" i="28"/>
  <c r="CO518" i="28"/>
  <c r="CO923" i="28"/>
  <c r="CO831" i="28"/>
  <c r="CO486" i="28"/>
  <c r="CN486" i="28"/>
  <c r="CO481" i="28"/>
  <c r="CN481" i="28"/>
  <c r="CO485" i="28"/>
  <c r="CN485" i="28"/>
  <c r="CO491" i="28"/>
  <c r="CN491" i="28"/>
  <c r="CO489" i="28"/>
  <c r="CN489" i="28"/>
  <c r="CN490" i="28"/>
  <c r="CO490" i="28"/>
  <c r="CN952" i="28"/>
  <c r="CO952" i="28"/>
  <c r="CO331" i="28"/>
  <c r="CN331" i="28"/>
  <c r="CO999" i="28"/>
  <c r="CO391" i="28"/>
  <c r="CN391" i="28"/>
  <c r="CO286" i="28"/>
  <c r="CN286" i="28"/>
  <c r="CN385" i="28"/>
  <c r="CO385" i="28"/>
  <c r="CO453" i="28"/>
  <c r="CN453" i="28"/>
  <c r="CO961" i="28"/>
  <c r="CN961" i="28"/>
  <c r="CO935" i="28"/>
  <c r="CN935" i="28"/>
  <c r="CO900" i="28"/>
  <c r="CN900" i="28"/>
  <c r="CO283" i="28"/>
  <c r="CN283" i="28"/>
  <c r="CO277" i="28"/>
  <c r="CN277" i="28"/>
  <c r="CO898" i="28"/>
  <c r="CN898" i="28"/>
  <c r="CO211" i="28"/>
  <c r="CN211" i="28"/>
  <c r="CO314" i="28"/>
  <c r="CN314" i="28"/>
  <c r="CO330" i="28"/>
  <c r="CN330" i="28"/>
  <c r="CO218" i="28"/>
  <c r="CN218" i="28"/>
  <c r="CO215" i="28"/>
  <c r="CN215" i="28"/>
  <c r="CO914" i="28"/>
  <c r="CN914" i="28"/>
  <c r="CO466" i="28"/>
  <c r="CN466" i="28"/>
  <c r="CO429" i="28"/>
  <c r="CN429" i="28"/>
  <c r="CO427" i="28"/>
  <c r="CN427" i="28"/>
  <c r="CN968" i="28"/>
  <c r="CO968" i="28"/>
  <c r="CO199" i="28"/>
  <c r="CN199" i="28"/>
  <c r="CO276" i="28"/>
  <c r="CN276" i="28"/>
  <c r="CO232" i="28"/>
  <c r="CN232" i="28"/>
  <c r="CO392" i="28"/>
  <c r="CN392" i="28"/>
  <c r="CO362" i="28"/>
  <c r="CN362" i="28"/>
  <c r="CO343" i="28"/>
  <c r="CN343" i="28"/>
  <c r="CO349" i="28"/>
  <c r="CN349" i="28"/>
  <c r="CO443" i="28"/>
  <c r="CN443" i="28"/>
  <c r="CO450" i="28"/>
  <c r="CN450" i="28"/>
  <c r="CN964" i="28"/>
  <c r="CO964" i="28"/>
  <c r="CO967" i="28"/>
  <c r="CN967" i="28"/>
  <c r="CN948" i="28"/>
  <c r="CO948" i="28"/>
  <c r="CO245" i="28"/>
  <c r="CN245" i="28"/>
  <c r="CO311" i="28"/>
  <c r="CN311" i="28"/>
  <c r="CO404" i="28"/>
  <c r="CN404" i="28"/>
  <c r="CO400" i="28"/>
  <c r="CN400" i="28"/>
  <c r="CO552" i="28"/>
  <c r="CN552" i="28"/>
  <c r="CN562" i="28"/>
  <c r="CO562" i="28"/>
  <c r="CO601" i="28"/>
  <c r="CN601" i="28"/>
  <c r="CO622" i="28"/>
  <c r="CN622" i="28"/>
  <c r="CO655" i="28"/>
  <c r="CN655" i="28"/>
  <c r="CO695" i="28"/>
  <c r="CN695" i="28"/>
  <c r="CO717" i="28"/>
  <c r="CN717" i="28"/>
  <c r="CO731" i="28"/>
  <c r="CN731" i="28"/>
  <c r="CO754" i="28"/>
  <c r="CN754" i="28"/>
  <c r="CO759" i="28"/>
  <c r="CN759" i="28"/>
  <c r="CO767" i="28"/>
  <c r="CN767" i="28"/>
  <c r="CO786" i="28"/>
  <c r="CN786" i="28"/>
  <c r="CO986" i="28"/>
  <c r="CN986" i="28"/>
  <c r="CO818" i="28"/>
  <c r="CN818" i="28"/>
  <c r="CN423" i="28"/>
  <c r="CO423" i="28"/>
  <c r="CO863" i="28"/>
  <c r="CN863" i="28"/>
  <c r="CO465" i="28"/>
  <c r="CN465" i="28"/>
  <c r="CN274" i="28"/>
  <c r="CO274" i="28"/>
  <c r="CO221" i="28"/>
  <c r="CN221" i="28"/>
  <c r="CO288" i="28"/>
  <c r="CN288" i="28"/>
  <c r="CO327" i="28"/>
  <c r="CN327" i="28"/>
  <c r="CO289" i="28"/>
  <c r="CN289" i="28"/>
  <c r="CO296" i="28"/>
  <c r="CN296" i="28"/>
  <c r="CN228" i="28"/>
  <c r="CO228" i="28"/>
  <c r="CO918" i="28"/>
  <c r="CN918" i="28"/>
  <c r="CO373" i="28"/>
  <c r="CN373" i="28"/>
  <c r="CO342" i="28"/>
  <c r="CN342" i="28"/>
  <c r="CO442" i="28"/>
  <c r="CN442" i="28"/>
  <c r="CO449" i="28"/>
  <c r="CN449" i="28"/>
  <c r="CO420" i="28"/>
  <c r="CN420" i="28"/>
  <c r="CO564" i="28"/>
  <c r="CN564" i="28"/>
  <c r="CO222" i="28"/>
  <c r="CN222" i="28"/>
  <c r="CN337" i="28"/>
  <c r="CO337" i="28"/>
  <c r="CO316" i="28"/>
  <c r="CN316" i="28"/>
  <c r="CO200" i="28"/>
  <c r="CN200" i="28"/>
  <c r="CO866" i="28"/>
  <c r="CN866" i="28"/>
  <c r="CO861" i="28"/>
  <c r="CN861" i="28"/>
  <c r="CO877" i="28"/>
  <c r="CN877" i="28"/>
  <c r="CN890" i="28"/>
  <c r="CO890" i="28"/>
  <c r="CO202" i="28"/>
  <c r="CN202" i="28"/>
  <c r="CO241" i="28"/>
  <c r="CN241" i="28"/>
  <c r="CO224" i="28"/>
  <c r="CN224" i="28"/>
  <c r="CN220" i="28"/>
  <c r="CO220" i="28"/>
  <c r="CO253" i="28"/>
  <c r="CN253" i="28"/>
  <c r="CO297" i="28"/>
  <c r="CN297" i="28"/>
  <c r="CO272" i="28"/>
  <c r="CN272" i="28"/>
  <c r="CO325" i="28"/>
  <c r="CN325" i="28"/>
  <c r="CO264" i="28"/>
  <c r="CN264" i="28"/>
  <c r="CO511" i="28"/>
  <c r="CN511" i="28"/>
  <c r="CO679" i="28"/>
  <c r="CN679" i="28"/>
  <c r="CO816" i="28"/>
  <c r="CN816" i="28"/>
  <c r="CO780" i="28"/>
  <c r="CN780" i="28"/>
  <c r="CN642" i="28"/>
  <c r="CO642" i="28"/>
  <c r="CO850" i="28"/>
  <c r="CN850" i="28"/>
  <c r="CO919" i="28"/>
  <c r="CN919" i="28"/>
  <c r="CO521" i="28"/>
  <c r="CN521" i="28"/>
  <c r="CO356" i="28"/>
  <c r="CN356" i="28"/>
  <c r="CO344" i="28"/>
  <c r="CN344" i="28"/>
  <c r="CO853" i="28"/>
  <c r="CO379" i="28"/>
  <c r="CN379" i="28"/>
  <c r="CN886" i="28"/>
  <c r="CO886" i="28"/>
  <c r="CO444" i="28"/>
  <c r="CN444" i="28"/>
  <c r="CO438" i="28"/>
  <c r="CN438" i="28"/>
  <c r="CO432" i="28"/>
  <c r="CN432" i="28"/>
  <c r="CN415" i="28"/>
  <c r="CO415" i="28"/>
  <c r="CO421" i="28"/>
  <c r="CN421" i="28"/>
  <c r="CO907" i="28"/>
  <c r="CN907" i="28"/>
  <c r="CO565" i="28"/>
  <c r="CN565" i="28"/>
  <c r="CO189" i="28"/>
  <c r="CN189" i="28"/>
  <c r="CO502" i="28"/>
  <c r="CN502" i="28"/>
  <c r="CO524" i="28"/>
  <c r="CN524" i="28"/>
  <c r="CO390" i="28"/>
  <c r="CN390" i="28"/>
  <c r="CO231" i="28"/>
  <c r="CN231" i="28"/>
  <c r="CO304" i="28"/>
  <c r="CN304" i="28"/>
  <c r="CO309" i="28"/>
  <c r="CN309" i="28"/>
  <c r="CO206" i="28"/>
  <c r="CN206" i="28"/>
  <c r="CO472" i="28"/>
  <c r="CN472" i="28"/>
  <c r="CO310" i="28"/>
  <c r="CN310" i="28"/>
  <c r="CO525" i="28"/>
  <c r="CN525" i="28"/>
  <c r="CO868" i="28"/>
  <c r="CN868" i="28"/>
  <c r="CO975" i="28"/>
  <c r="CN975" i="28"/>
  <c r="CO899" i="28"/>
  <c r="CN899" i="28"/>
  <c r="CN949" i="28"/>
  <c r="CO949" i="28"/>
  <c r="CO943" i="28"/>
  <c r="CN943" i="28"/>
  <c r="CO817" i="28"/>
  <c r="CN817" i="28"/>
  <c r="CO201" i="28"/>
  <c r="CN201" i="28"/>
  <c r="CO227" i="28"/>
  <c r="CN227" i="28"/>
  <c r="CO413" i="28"/>
  <c r="CN413" i="28"/>
  <c r="CO225" i="28"/>
  <c r="CN225" i="28"/>
  <c r="CO236" i="28"/>
  <c r="CN236" i="28"/>
  <c r="CO250" i="28"/>
  <c r="CN250" i="28"/>
  <c r="CN313" i="28"/>
  <c r="CO313" i="28"/>
  <c r="CO269" i="28"/>
  <c r="CN269" i="28"/>
  <c r="CO328" i="28"/>
  <c r="CN328" i="28"/>
  <c r="CO214" i="28"/>
  <c r="CN214" i="28"/>
  <c r="CO992" i="28"/>
  <c r="CO397" i="28"/>
  <c r="CN397" i="28"/>
  <c r="CO436" i="28"/>
  <c r="CN436" i="28"/>
  <c r="CO417" i="28"/>
  <c r="CN417" i="28"/>
  <c r="CO969" i="28"/>
  <c r="CN969" i="28"/>
  <c r="CO470" i="28"/>
  <c r="CN470" i="28"/>
  <c r="CO234" i="28"/>
  <c r="CN234" i="28"/>
  <c r="CO185" i="28"/>
  <c r="CN185" i="28"/>
  <c r="CO350" i="28"/>
  <c r="CN350" i="28"/>
  <c r="CO426" i="28"/>
  <c r="CN426" i="28"/>
  <c r="CO418" i="28"/>
  <c r="CN418" i="28"/>
  <c r="CO979" i="28"/>
  <c r="CN979" i="28"/>
  <c r="CO348" i="28"/>
  <c r="CN348" i="28"/>
  <c r="CO287" i="28"/>
  <c r="CN287" i="28"/>
  <c r="CO844" i="28"/>
  <c r="CN844" i="28"/>
  <c r="CN955" i="28"/>
  <c r="CO955" i="28"/>
  <c r="CO324" i="28"/>
  <c r="CN324" i="28"/>
  <c r="CO916" i="28"/>
  <c r="CN916" i="28"/>
  <c r="CO353" i="28"/>
  <c r="CN353" i="28"/>
  <c r="CO883" i="28"/>
  <c r="CN883" i="28"/>
  <c r="CN439" i="28"/>
  <c r="CO439" i="28"/>
  <c r="CO428" i="28"/>
  <c r="CN428" i="28"/>
  <c r="CN981" i="28"/>
  <c r="CO981" i="28"/>
  <c r="CO198" i="28"/>
  <c r="CN198" i="28"/>
  <c r="CO192" i="28"/>
  <c r="CN192" i="28"/>
  <c r="CO305" i="28"/>
  <c r="CN305" i="28"/>
  <c r="CO279" i="28"/>
  <c r="CN279" i="28"/>
  <c r="CO464" i="28"/>
  <c r="CN464" i="28"/>
  <c r="CO176" i="28"/>
  <c r="CN176" i="28"/>
  <c r="CO559" i="28"/>
  <c r="CN559" i="28"/>
  <c r="CO579" i="28"/>
  <c r="CN579" i="28"/>
  <c r="CO614" i="28"/>
  <c r="CN614" i="28"/>
  <c r="CO629" i="28"/>
  <c r="CN629" i="28"/>
  <c r="CO940" i="28"/>
  <c r="CN940" i="28"/>
  <c r="CO706" i="28"/>
  <c r="CN706" i="28"/>
  <c r="CO727" i="28"/>
  <c r="CN727" i="28"/>
  <c r="CO733" i="28"/>
  <c r="CN733" i="28"/>
  <c r="CO756" i="28"/>
  <c r="CN756" i="28"/>
  <c r="CO911" i="28"/>
  <c r="CN911" i="28"/>
  <c r="CO773" i="28"/>
  <c r="CN773" i="28"/>
  <c r="CO790" i="28"/>
  <c r="CN790" i="28"/>
  <c r="CO805" i="28"/>
  <c r="CN805" i="28"/>
  <c r="CO941" i="28"/>
  <c r="CN941" i="28"/>
  <c r="CO822" i="28"/>
  <c r="CN822" i="28"/>
  <c r="CO827" i="28"/>
  <c r="CN827" i="28"/>
  <c r="CO946" i="28"/>
  <c r="CN946" i="28"/>
  <c r="CO857" i="28"/>
  <c r="CN857" i="28"/>
  <c r="CO991" i="28"/>
  <c r="CN991" i="28"/>
  <c r="CN870" i="28"/>
  <c r="CO870" i="28"/>
  <c r="CO247" i="28"/>
  <c r="CN247" i="28"/>
  <c r="CO281" i="28"/>
  <c r="CN281" i="28"/>
  <c r="CO469" i="28"/>
  <c r="CN469" i="28"/>
  <c r="CO332" i="28"/>
  <c r="CN332" i="28"/>
  <c r="CO233" i="28"/>
  <c r="CN233" i="28"/>
  <c r="CN321" i="28"/>
  <c r="CO321" i="28"/>
  <c r="CO238" i="28"/>
  <c r="CN238" i="28"/>
  <c r="CO526" i="28"/>
  <c r="CN526" i="28"/>
  <c r="CO372" i="28"/>
  <c r="CN372" i="28"/>
  <c r="CO885" i="28"/>
  <c r="CN885" i="28"/>
  <c r="CO434" i="28"/>
  <c r="CN434" i="28"/>
  <c r="CO414" i="28"/>
  <c r="CN414" i="28"/>
  <c r="CN906" i="28"/>
  <c r="CO906" i="28"/>
  <c r="CO888" i="28"/>
  <c r="CN888" i="28"/>
  <c r="CO523" i="28"/>
  <c r="CN523" i="28"/>
  <c r="CO237" i="28"/>
  <c r="CN237" i="28"/>
  <c r="CO399" i="28"/>
  <c r="CN399" i="28"/>
  <c r="CO567" i="28"/>
  <c r="CN567" i="28"/>
  <c r="CO569" i="28"/>
  <c r="CN569" i="28"/>
  <c r="CN922" i="28"/>
  <c r="CO922" i="28"/>
  <c r="CO271" i="28"/>
  <c r="CN271" i="28"/>
  <c r="CO229" i="28"/>
  <c r="CN229" i="28"/>
  <c r="CO307" i="28"/>
  <c r="CN307" i="28"/>
  <c r="CO263" i="28"/>
  <c r="CN263" i="28"/>
  <c r="CO207" i="28"/>
  <c r="CN207" i="28"/>
  <c r="CO317" i="28"/>
  <c r="CN317" i="28"/>
  <c r="CO294" i="28"/>
  <c r="CN294" i="28"/>
  <c r="CO292" i="28"/>
  <c r="CN292" i="28"/>
  <c r="CO323" i="28"/>
  <c r="CN323" i="28"/>
  <c r="CO725" i="28"/>
  <c r="CN725" i="28"/>
  <c r="CO573" i="28"/>
  <c r="CN573" i="28"/>
  <c r="CO798" i="28"/>
  <c r="CN798" i="28"/>
  <c r="CO835" i="28"/>
  <c r="CN835" i="28"/>
  <c r="CO792" i="28"/>
  <c r="CN792" i="28"/>
  <c r="CO637" i="28"/>
  <c r="CN637" i="28"/>
  <c r="CO653" i="28"/>
  <c r="CN653" i="28"/>
  <c r="CO851" i="28"/>
  <c r="CN851" i="28"/>
  <c r="CO184" i="28"/>
  <c r="CN184" i="28"/>
  <c r="CO193" i="28"/>
  <c r="CN193" i="28"/>
  <c r="CO191" i="28"/>
  <c r="CN191" i="28"/>
  <c r="CO872" i="28"/>
  <c r="CO856" i="28"/>
  <c r="CO382" i="28"/>
  <c r="CN382" i="28"/>
  <c r="CN887" i="28"/>
  <c r="CO887" i="28"/>
  <c r="CO445" i="28"/>
  <c r="CN445" i="28"/>
  <c r="CO425" i="28"/>
  <c r="CN425" i="28"/>
  <c r="CN447" i="28"/>
  <c r="CO447" i="28"/>
  <c r="CO416" i="28"/>
  <c r="CN416" i="28"/>
  <c r="CO960" i="28"/>
  <c r="CN960" i="28"/>
  <c r="CO908" i="28"/>
  <c r="CN908" i="28"/>
  <c r="CO566" i="28"/>
  <c r="CN566" i="28"/>
  <c r="CO336" i="28"/>
  <c r="CN336" i="28"/>
  <c r="CO517" i="28"/>
  <c r="CN517" i="28"/>
  <c r="CN933" i="28"/>
  <c r="CO933" i="28"/>
  <c r="CO210" i="28"/>
  <c r="CN210" i="28"/>
  <c r="CO312" i="28"/>
  <c r="CN312" i="28"/>
  <c r="CO291" i="28"/>
  <c r="CN291" i="28"/>
  <c r="CO338" i="28"/>
  <c r="CN338" i="28"/>
  <c r="CO219" i="28"/>
  <c r="CN219" i="28"/>
  <c r="CO401" i="28"/>
  <c r="CN401" i="28"/>
  <c r="CO340" i="28"/>
  <c r="CN340" i="28"/>
  <c r="CO403" i="28"/>
  <c r="CN403" i="28"/>
  <c r="CN934" i="28"/>
  <c r="CO934" i="28"/>
  <c r="CN936" i="28"/>
  <c r="CO936" i="28"/>
  <c r="CO555" i="28"/>
  <c r="CN555" i="28"/>
  <c r="CO561" i="28"/>
  <c r="CN561" i="28"/>
  <c r="CO563" i="28"/>
  <c r="CN563" i="28"/>
  <c r="CO584" i="28"/>
  <c r="CN584" i="28"/>
  <c r="CO600" i="28"/>
  <c r="CN600" i="28"/>
  <c r="CO612" i="28"/>
  <c r="CN612" i="28"/>
  <c r="CO619" i="28"/>
  <c r="CN619" i="28"/>
  <c r="CO627" i="28"/>
  <c r="CN627" i="28"/>
  <c r="CO632" i="28"/>
  <c r="CN632" i="28"/>
  <c r="CO654" i="28"/>
  <c r="CN654" i="28"/>
  <c r="CO938" i="28"/>
  <c r="CN938" i="28"/>
  <c r="CO942" i="28"/>
  <c r="CN942" i="28"/>
  <c r="CO705" i="28"/>
  <c r="CN705" i="28"/>
  <c r="CO707" i="28"/>
  <c r="CN707" i="28"/>
  <c r="CO715" i="28"/>
  <c r="CN715" i="28"/>
  <c r="CO721" i="28"/>
  <c r="CN721" i="28"/>
  <c r="CO729" i="28"/>
  <c r="CN729" i="28"/>
  <c r="CO732" i="28"/>
  <c r="CN732" i="28"/>
  <c r="CO735" i="28"/>
  <c r="CN735" i="28"/>
  <c r="CO749" i="28"/>
  <c r="CN749" i="28"/>
  <c r="CO755" i="28"/>
  <c r="CN755" i="28"/>
  <c r="CO757" i="28"/>
  <c r="CN757" i="28"/>
  <c r="CN760" i="28"/>
  <c r="CO760" i="28"/>
  <c r="CO912" i="28"/>
  <c r="CN912" i="28"/>
  <c r="CO766" i="28"/>
  <c r="CN766" i="28"/>
  <c r="CO770" i="28"/>
  <c r="CN770" i="28"/>
  <c r="CO775" i="28"/>
  <c r="CN775" i="28"/>
  <c r="CO787" i="28"/>
  <c r="CN787" i="28"/>
  <c r="CO789" i="28"/>
  <c r="CN789" i="28"/>
  <c r="CO985" i="28"/>
  <c r="CN985" i="28"/>
  <c r="CO795" i="28"/>
  <c r="CN795" i="28"/>
  <c r="CO808" i="28"/>
  <c r="CN808" i="28"/>
  <c r="CO939" i="28"/>
  <c r="CN939" i="28"/>
  <c r="CO815" i="28"/>
  <c r="CN815" i="28"/>
  <c r="CO819" i="28"/>
  <c r="CN819" i="28"/>
  <c r="CO824" i="28"/>
  <c r="CN824" i="28"/>
  <c r="CO829" i="28"/>
  <c r="CN829" i="28"/>
  <c r="CO834" i="28"/>
  <c r="CN834" i="28"/>
  <c r="CO881" i="28"/>
  <c r="CN881" i="28"/>
  <c r="CO867" i="28"/>
  <c r="CN867" i="28"/>
  <c r="CO947" i="28"/>
  <c r="CN947" i="28"/>
  <c r="CO869" i="28"/>
  <c r="CN869" i="28"/>
  <c r="CO424" i="28"/>
  <c r="CN424" i="28"/>
  <c r="CO978" i="28"/>
  <c r="CN978" i="28"/>
  <c r="CO841" i="28"/>
  <c r="CN841" i="28"/>
  <c r="CO203" i="28"/>
  <c r="CN203" i="28"/>
  <c r="CO226" i="28"/>
  <c r="CN226" i="28"/>
  <c r="CO396" i="28"/>
  <c r="CN396" i="28"/>
  <c r="CO252" i="28"/>
  <c r="CN252" i="28"/>
  <c r="CN266" i="28"/>
  <c r="CO266" i="28"/>
  <c r="CN251" i="28"/>
  <c r="CO251" i="28"/>
  <c r="CO254" i="28"/>
  <c r="CN254" i="28"/>
  <c r="CO270" i="28"/>
  <c r="CN270" i="28"/>
  <c r="CO306" i="28"/>
  <c r="CN306" i="28"/>
  <c r="CN212" i="28"/>
  <c r="CO212" i="28"/>
  <c r="CO267" i="28"/>
  <c r="CN267" i="28"/>
  <c r="CN259" i="28"/>
  <c r="CO259" i="28"/>
  <c r="CO301" i="28"/>
  <c r="CN301" i="28"/>
  <c r="CO473" i="28"/>
  <c r="CN473" i="28"/>
  <c r="CO295" i="28"/>
  <c r="CN295" i="28"/>
  <c r="CO315" i="28"/>
  <c r="CN315" i="28"/>
  <c r="CO293" i="28"/>
  <c r="CN293" i="28"/>
  <c r="CO319" i="28"/>
  <c r="CN319" i="28"/>
  <c r="CC848" i="28"/>
  <c r="CO848" i="28" s="1"/>
  <c r="CD847" i="28"/>
  <c r="CO847" i="28" s="1"/>
  <c r="CC846" i="28"/>
  <c r="CO846" i="28" s="1"/>
  <c r="CC412" i="28"/>
  <c r="CO412" i="28" s="1"/>
  <c r="CB411" i="28"/>
  <c r="CO411" i="28" s="1"/>
  <c r="CB410" i="28"/>
  <c r="CO410" i="28" s="1"/>
  <c r="CB409" i="28"/>
  <c r="CO409" i="28" s="1"/>
  <c r="CB849" i="28"/>
  <c r="CO849" i="28" s="1"/>
  <c r="CA989" i="28"/>
  <c r="CO989" i="28" s="1"/>
  <c r="CA988" i="28"/>
  <c r="CO988" i="28" s="1"/>
  <c r="CA990" i="28"/>
  <c r="CO990" i="28" s="1"/>
  <c r="CA987" i="28"/>
  <c r="CO987" i="28" s="1"/>
  <c r="CB408" i="28"/>
  <c r="CO408" i="28" s="1"/>
  <c r="CC407" i="28"/>
  <c r="CO407" i="28" s="1"/>
  <c r="CC406" i="28"/>
  <c r="CO406" i="28" s="1"/>
  <c r="CB405" i="28"/>
  <c r="CO405" i="28" s="1"/>
  <c r="CB175" i="28"/>
  <c r="CO175" i="28" s="1"/>
  <c r="BX166" i="28"/>
  <c r="CO166" i="28" l="1"/>
  <c r="CN166" i="28"/>
  <c r="BW461" i="28"/>
  <c r="BV458" i="28"/>
  <c r="BV456" i="28"/>
  <c r="BV455" i="28"/>
  <c r="BV457" i="28"/>
  <c r="BV459" i="28"/>
  <c r="BV460" i="28"/>
  <c r="BV454" i="28"/>
  <c r="BU463" i="28"/>
  <c r="BU462" i="28"/>
  <c r="CO459" i="28" l="1"/>
  <c r="CN459" i="28"/>
  <c r="CO457" i="28"/>
  <c r="CN457" i="28"/>
  <c r="CO455" i="28"/>
  <c r="CN455" i="28"/>
  <c r="CO456" i="28"/>
  <c r="CN456" i="28"/>
  <c r="CO462" i="28"/>
  <c r="CN462" i="28"/>
  <c r="CO463" i="28"/>
  <c r="CN463" i="28"/>
  <c r="CO461" i="28"/>
  <c r="CN461" i="28"/>
  <c r="CO460" i="28"/>
  <c r="CN460" i="28"/>
  <c r="CO458" i="28"/>
  <c r="CN458" i="28"/>
  <c r="CO454" i="28"/>
  <c r="CN454" i="28"/>
  <c r="AT10" i="72"/>
  <c r="AT9" i="72"/>
  <c r="AT8" i="72"/>
  <c r="AT6" i="72"/>
  <c r="AT5" i="72"/>
  <c r="AT4" i="72"/>
  <c r="AT3" i="72"/>
  <c r="AT2" i="72"/>
  <c r="BT146" i="28"/>
  <c r="BT155" i="28"/>
  <c r="BT145" i="28"/>
  <c r="BT144" i="28"/>
  <c r="BT143" i="28"/>
  <c r="BT142" i="28"/>
  <c r="BT141" i="28"/>
  <c r="BT140" i="28"/>
  <c r="BT139" i="28"/>
  <c r="BT138" i="28"/>
  <c r="BT137" i="28"/>
  <c r="BT136" i="28"/>
  <c r="BT135" i="28"/>
  <c r="BT134" i="28"/>
  <c r="BT133" i="28"/>
  <c r="BT132" i="28"/>
  <c r="BT131" i="28"/>
  <c r="BT130" i="28"/>
  <c r="BT129" i="28"/>
  <c r="BT128" i="28"/>
  <c r="BT127" i="28"/>
  <c r="BT126" i="28"/>
  <c r="BT125" i="28"/>
  <c r="BT123" i="28"/>
  <c r="BT122" i="28"/>
  <c r="BT121" i="28"/>
  <c r="BT120" i="28"/>
  <c r="BT119" i="28"/>
  <c r="BT156" i="28"/>
  <c r="BT117" i="28"/>
  <c r="BT116" i="28"/>
  <c r="BT115" i="28"/>
  <c r="BT114" i="28"/>
  <c r="BT113" i="28"/>
  <c r="BT112" i="28"/>
  <c r="BT179" i="28"/>
  <c r="BT110" i="28"/>
  <c r="BT159" i="28"/>
  <c r="BT109" i="28"/>
  <c r="BT108" i="28"/>
  <c r="BT107" i="28"/>
  <c r="BT106" i="28"/>
  <c r="BT103" i="28"/>
  <c r="BT152" i="28"/>
  <c r="BT100" i="28"/>
  <c r="BT99" i="28"/>
  <c r="BT98" i="28"/>
  <c r="BT96" i="28"/>
  <c r="BT95" i="28"/>
  <c r="BT94" i="28"/>
  <c r="BT93" i="28"/>
  <c r="BT92" i="28"/>
  <c r="BT91" i="28"/>
  <c r="BT89" i="28"/>
  <c r="BT87" i="28"/>
  <c r="BT85" i="28"/>
  <c r="BT84" i="28"/>
  <c r="BT83" i="28"/>
  <c r="BT80" i="28"/>
  <c r="BT79" i="28"/>
  <c r="BT78" i="28"/>
  <c r="BT77" i="28"/>
  <c r="BT76" i="28"/>
  <c r="BT75" i="28"/>
  <c r="BT74" i="28"/>
  <c r="BT73" i="28"/>
  <c r="BT72" i="28"/>
  <c r="BT149" i="28"/>
  <c r="BT66" i="28"/>
  <c r="BT65" i="28"/>
  <c r="BT62" i="28"/>
  <c r="BT118" i="28"/>
  <c r="BT58" i="28"/>
  <c r="BT57" i="28"/>
  <c r="BT56" i="28"/>
  <c r="BT55" i="28"/>
  <c r="BT52" i="28"/>
  <c r="BT50" i="28"/>
  <c r="BT49" i="28"/>
  <c r="BT48" i="28"/>
  <c r="BT47" i="28"/>
  <c r="BT46" i="28"/>
  <c r="BT45" i="28"/>
  <c r="BT111" i="28"/>
  <c r="BT154" i="28"/>
  <c r="BT42" i="28"/>
  <c r="BT41" i="28"/>
  <c r="BT40" i="28"/>
  <c r="BT39" i="28"/>
  <c r="BT38" i="28"/>
  <c r="BT37" i="28"/>
  <c r="BT36" i="28"/>
  <c r="BT35" i="28"/>
  <c r="BT34" i="28"/>
  <c r="BT33" i="28"/>
  <c r="BT32" i="28"/>
  <c r="BT31" i="28"/>
  <c r="BT30" i="28"/>
  <c r="BT29" i="28"/>
  <c r="BT27" i="28"/>
  <c r="BT26" i="28"/>
  <c r="BT25" i="28"/>
  <c r="BT24" i="28"/>
  <c r="BT23" i="28"/>
  <c r="BT21" i="28"/>
  <c r="BT153" i="28"/>
  <c r="BT17" i="28"/>
  <c r="BT15" i="28"/>
  <c r="BT14" i="28"/>
  <c r="BT12" i="28"/>
  <c r="BT11" i="28"/>
  <c r="BT8" i="28"/>
  <c r="BT5" i="28"/>
  <c r="BT174" i="28"/>
  <c r="BT920" i="28"/>
  <c r="BT951" i="28"/>
  <c r="BT124" i="28"/>
  <c r="BT105" i="28"/>
  <c r="BT104" i="28"/>
  <c r="BT164" i="28"/>
  <c r="BT163" i="28"/>
  <c r="BT101" i="28"/>
  <c r="BT97" i="28"/>
  <c r="BT90" i="28"/>
  <c r="BT88" i="28"/>
  <c r="BT86" i="28"/>
  <c r="BT182" i="28"/>
  <c r="BT181" i="28"/>
  <c r="BT82" i="28"/>
  <c r="BT81" i="28"/>
  <c r="BT71" i="28"/>
  <c r="BT70" i="28"/>
  <c r="BT69" i="28"/>
  <c r="BT67" i="28"/>
  <c r="BT64" i="28"/>
  <c r="BT63" i="28"/>
  <c r="BT60" i="28"/>
  <c r="BT59" i="28"/>
  <c r="BT54" i="28"/>
  <c r="BT53" i="28"/>
  <c r="BT51" i="28"/>
  <c r="BT158" i="28"/>
  <c r="BT171" i="28"/>
  <c r="BT43" i="28"/>
  <c r="BT28" i="28"/>
  <c r="BT22" i="28"/>
  <c r="BT148" i="28"/>
  <c r="BT169" i="28"/>
  <c r="BT168" i="28"/>
  <c r="BT20" i="28"/>
  <c r="BT147" i="28"/>
  <c r="BT19" i="28"/>
  <c r="BT18" i="28"/>
  <c r="BT16" i="28"/>
  <c r="BT150" i="28"/>
  <c r="BT13" i="28"/>
  <c r="BT10" i="28"/>
  <c r="BT9" i="28"/>
  <c r="BT183" i="28"/>
  <c r="BT7" i="28"/>
  <c r="BT6" i="28"/>
  <c r="BT151" i="28"/>
  <c r="BT68" i="28"/>
  <c r="BT167" i="28"/>
  <c r="BT170" i="28"/>
  <c r="BT4" i="28"/>
  <c r="BT173" i="28"/>
  <c r="BT102" i="28"/>
  <c r="BT165" i="28"/>
  <c r="BT61" i="28"/>
  <c r="BT162" i="28"/>
  <c r="BT44" i="28"/>
  <c r="BT172" i="28"/>
  <c r="BT161" i="28"/>
  <c r="BT3" i="28"/>
  <c r="BT2" i="28"/>
  <c r="BT177" i="28"/>
  <c r="BT178" i="28"/>
  <c r="BT160" i="28"/>
  <c r="BT180" i="28"/>
  <c r="BT157" i="28"/>
  <c r="BT973" i="28"/>
  <c r="I6" i="69" l="1"/>
  <c r="AC9" i="72"/>
  <c r="AC10" i="72"/>
  <c r="AC5" i="72"/>
  <c r="AC3" i="72"/>
  <c r="AC6" i="72"/>
  <c r="AC2" i="72"/>
  <c r="AC4" i="72"/>
  <c r="AC15" i="72"/>
  <c r="AC12" i="72"/>
  <c r="AC17" i="72"/>
  <c r="AC16" i="72"/>
  <c r="AC14" i="72"/>
  <c r="AC11" i="72"/>
  <c r="AC13" i="72"/>
  <c r="AC25" i="72"/>
  <c r="AC31" i="72"/>
  <c r="AC32" i="72"/>
  <c r="AC27" i="72"/>
  <c r="AC18" i="72"/>
  <c r="AC28" i="72"/>
  <c r="AC26" i="72"/>
  <c r="AC21" i="72"/>
  <c r="AC29" i="72"/>
  <c r="AC19" i="72"/>
  <c r="AC20" i="72"/>
  <c r="AC22" i="72"/>
  <c r="AC23" i="72"/>
  <c r="AC30" i="72"/>
  <c r="AC24" i="72"/>
  <c r="AC33" i="72"/>
  <c r="AC8" i="72"/>
  <c r="Y9" i="72"/>
  <c r="Y10" i="72"/>
  <c r="Y5" i="72"/>
  <c r="Y3" i="72"/>
  <c r="Y6" i="72"/>
  <c r="Y2" i="72"/>
  <c r="Y4" i="72"/>
  <c r="Y15" i="72"/>
  <c r="Y12" i="72"/>
  <c r="Y17" i="72"/>
  <c r="Y16" i="72"/>
  <c r="Y14" i="72"/>
  <c r="Y11" i="72"/>
  <c r="Y13" i="72"/>
  <c r="Y25" i="72"/>
  <c r="Y31" i="72"/>
  <c r="Y32" i="72"/>
  <c r="Y27" i="72"/>
  <c r="Y18" i="72"/>
  <c r="Y28" i="72"/>
  <c r="Y26" i="72"/>
  <c r="Y21" i="72"/>
  <c r="Y29" i="72"/>
  <c r="Y19" i="72"/>
  <c r="Y20" i="72"/>
  <c r="Y22" i="72"/>
  <c r="Y23" i="72"/>
  <c r="Y30" i="72"/>
  <c r="Y24" i="72"/>
  <c r="Y33" i="72"/>
  <c r="Y8" i="72"/>
  <c r="U9" i="72"/>
  <c r="U10" i="72"/>
  <c r="U5" i="72"/>
  <c r="U3" i="72"/>
  <c r="U6" i="72"/>
  <c r="U2" i="72"/>
  <c r="U4" i="72"/>
  <c r="U15" i="72"/>
  <c r="U12" i="72"/>
  <c r="U17" i="72"/>
  <c r="U16" i="72"/>
  <c r="U14" i="72"/>
  <c r="U11" i="72"/>
  <c r="U13" i="72"/>
  <c r="U25" i="72"/>
  <c r="U31" i="72"/>
  <c r="U32" i="72"/>
  <c r="U27" i="72"/>
  <c r="U18" i="72"/>
  <c r="U28" i="72"/>
  <c r="U26" i="72"/>
  <c r="U21" i="72"/>
  <c r="U29" i="72"/>
  <c r="U19" i="72"/>
  <c r="U20" i="72"/>
  <c r="U22" i="72"/>
  <c r="U23" i="72"/>
  <c r="U30" i="72"/>
  <c r="U24" i="72"/>
  <c r="U33" i="72"/>
  <c r="U8" i="72"/>
  <c r="Q9" i="72"/>
  <c r="Q10" i="72"/>
  <c r="Q5" i="72"/>
  <c r="Q3" i="72"/>
  <c r="Q6" i="72"/>
  <c r="Q2" i="72"/>
  <c r="Q4" i="72"/>
  <c r="Q15" i="72"/>
  <c r="Q12" i="72"/>
  <c r="Q17" i="72"/>
  <c r="Q16" i="72"/>
  <c r="Q14" i="72"/>
  <c r="Q11" i="72"/>
  <c r="Q13" i="72"/>
  <c r="Q25" i="72"/>
  <c r="Q31" i="72"/>
  <c r="Q32" i="72"/>
  <c r="Q27" i="72"/>
  <c r="Q18" i="72"/>
  <c r="Q28" i="72"/>
  <c r="Q26" i="72"/>
  <c r="Q21" i="72"/>
  <c r="Q29" i="72"/>
  <c r="Q19" i="72"/>
  <c r="Q20" i="72"/>
  <c r="Q22" i="72"/>
  <c r="Q23" i="72"/>
  <c r="Q30" i="72"/>
  <c r="Q24" i="72"/>
  <c r="Q33" i="72"/>
  <c r="Q8" i="72"/>
  <c r="M9" i="72"/>
  <c r="M10" i="72"/>
  <c r="M5" i="72"/>
  <c r="M3" i="72"/>
  <c r="M6" i="72"/>
  <c r="M2" i="72"/>
  <c r="M4" i="72"/>
  <c r="M15" i="72"/>
  <c r="M12" i="72"/>
  <c r="M17" i="72"/>
  <c r="M16" i="72"/>
  <c r="M14" i="72"/>
  <c r="M11" i="72"/>
  <c r="M13" i="72"/>
  <c r="M25" i="72"/>
  <c r="M31" i="72"/>
  <c r="M32" i="72"/>
  <c r="M27" i="72"/>
  <c r="M18" i="72"/>
  <c r="M28" i="72"/>
  <c r="M26" i="72"/>
  <c r="M21" i="72"/>
  <c r="M29" i="72"/>
  <c r="M19" i="72"/>
  <c r="M20" i="72"/>
  <c r="M22" i="72"/>
  <c r="M23" i="72"/>
  <c r="M30" i="72"/>
  <c r="M24" i="72"/>
  <c r="M33" i="72"/>
  <c r="M8" i="72"/>
  <c r="AD29" i="72" l="1"/>
  <c r="AD11" i="72"/>
  <c r="AY11" i="72" s="1"/>
  <c r="AD14" i="72"/>
  <c r="AU14" i="72" s="1"/>
  <c r="AD23" i="72"/>
  <c r="AD18" i="72"/>
  <c r="AD16" i="72"/>
  <c r="AU16" i="72" s="1"/>
  <c r="AD26" i="72"/>
  <c r="AD22" i="72"/>
  <c r="AD27" i="72"/>
  <c r="AD17" i="72"/>
  <c r="AY17" i="72" s="1"/>
  <c r="AD24" i="72"/>
  <c r="AD28" i="72"/>
  <c r="AD20" i="72"/>
  <c r="AD32" i="72"/>
  <c r="AD12" i="72"/>
  <c r="AV12" i="72" s="1"/>
  <c r="AD30" i="72"/>
  <c r="AD19" i="72"/>
  <c r="AD31" i="72"/>
  <c r="AD15" i="72"/>
  <c r="AU15" i="72" s="1"/>
  <c r="AD33" i="72"/>
  <c r="AD21" i="72"/>
  <c r="AD13" i="72"/>
  <c r="AY13" i="72" s="1"/>
  <c r="AD25" i="72"/>
  <c r="BM16" i="72" l="1"/>
  <c r="BN16" i="72"/>
  <c r="BM12" i="72"/>
  <c r="BN12" i="72"/>
  <c r="BM14" i="72"/>
  <c r="BN14" i="72"/>
  <c r="BN15" i="72"/>
  <c r="BM15" i="72"/>
  <c r="AZ25" i="72"/>
  <c r="AY25" i="72"/>
  <c r="AX25" i="72"/>
  <c r="BC32" i="72"/>
  <c r="BB32" i="72"/>
  <c r="BA32" i="72"/>
  <c r="AZ32" i="72"/>
  <c r="BA33" i="72"/>
  <c r="BC33" i="72"/>
  <c r="BB33" i="72"/>
  <c r="AZ33" i="72"/>
  <c r="AY21" i="72"/>
  <c r="AX21" i="72"/>
  <c r="AV21" i="72"/>
  <c r="AW21" i="72"/>
  <c r="AY20" i="72"/>
  <c r="AX20" i="72"/>
  <c r="AW20" i="72"/>
  <c r="AV20" i="72"/>
  <c r="AY18" i="72"/>
  <c r="AX18" i="72"/>
  <c r="AW18" i="72"/>
  <c r="AV18" i="72"/>
  <c r="AY30" i="72"/>
  <c r="AX30" i="72"/>
  <c r="AW30" i="72"/>
  <c r="AV30" i="72"/>
  <c r="AY26" i="72"/>
  <c r="AX26" i="72"/>
  <c r="AV26" i="72"/>
  <c r="AW26" i="72"/>
  <c r="AY28" i="72"/>
  <c r="AX28" i="72"/>
  <c r="AV28" i="72"/>
  <c r="AW28" i="72"/>
  <c r="AY23" i="72"/>
  <c r="AX23" i="72"/>
  <c r="AV23" i="72"/>
  <c r="AW23" i="72"/>
  <c r="AY22" i="72"/>
  <c r="AX22" i="72"/>
  <c r="AW22" i="72"/>
  <c r="AV22" i="72"/>
  <c r="AY24" i="72"/>
  <c r="AX24" i="72"/>
  <c r="AW24" i="72"/>
  <c r="AV24" i="72"/>
  <c r="AY31" i="72"/>
  <c r="AX31" i="72"/>
  <c r="AW31" i="72"/>
  <c r="AV31" i="72"/>
  <c r="AY19" i="72"/>
  <c r="AX19" i="72"/>
  <c r="AV19" i="72"/>
  <c r="AW19" i="72"/>
  <c r="AY27" i="72"/>
  <c r="AX27" i="72"/>
  <c r="AW27" i="72"/>
  <c r="AV27" i="72"/>
  <c r="AY29" i="72"/>
  <c r="AX29" i="72"/>
  <c r="AW29" i="72"/>
  <c r="AV29" i="72"/>
  <c r="AX13" i="72"/>
  <c r="AW13" i="72"/>
  <c r="AV13" i="72"/>
  <c r="AX17" i="72"/>
  <c r="AW17" i="72"/>
  <c r="AV17" i="72"/>
  <c r="AV11" i="72"/>
  <c r="AW11" i="72"/>
  <c r="AX11" i="72"/>
  <c r="J72" i="22"/>
  <c r="BN32" i="72" l="1"/>
  <c r="BM24" i="72"/>
  <c r="BN24" i="72"/>
  <c r="BM23" i="72"/>
  <c r="BN23" i="72"/>
  <c r="BN29" i="72"/>
  <c r="BM29" i="72"/>
  <c r="BM18" i="72"/>
  <c r="BN18" i="72"/>
  <c r="BN11" i="72"/>
  <c r="BM11" i="72"/>
  <c r="BN19" i="72"/>
  <c r="BM19" i="72"/>
  <c r="BM26" i="72"/>
  <c r="BN26" i="72"/>
  <c r="BM21" i="72"/>
  <c r="BN21" i="72"/>
  <c r="BM17" i="72"/>
  <c r="BN17" i="72"/>
  <c r="BM27" i="72"/>
  <c r="BN27" i="72"/>
  <c r="BM31" i="72"/>
  <c r="BN31" i="72"/>
  <c r="BM22" i="72"/>
  <c r="BN22" i="72"/>
  <c r="BM30" i="72"/>
  <c r="BN30" i="72"/>
  <c r="BM20" i="72"/>
  <c r="BN20" i="72"/>
  <c r="BN33" i="72"/>
  <c r="BM25" i="72"/>
  <c r="BN25" i="72"/>
  <c r="BM13" i="72"/>
  <c r="BN13" i="72"/>
  <c r="BM28" i="72"/>
  <c r="BN28" i="72"/>
  <c r="F357" i="22"/>
  <c r="F347" i="22"/>
  <c r="M259" i="22"/>
  <c r="I220" i="22"/>
  <c r="G220" i="22"/>
  <c r="E220" i="22"/>
  <c r="C220" i="22"/>
  <c r="I173" i="22"/>
  <c r="F173" i="22" s="1"/>
  <c r="K173" i="22"/>
  <c r="D173" i="22" s="1"/>
  <c r="K160" i="22"/>
  <c r="D160" i="22" s="1"/>
  <c r="I160" i="22"/>
  <c r="I130" i="22"/>
  <c r="G130" i="22"/>
  <c r="E130" i="22"/>
  <c r="C130" i="22"/>
  <c r="E268" i="22"/>
  <c r="J160" i="22" l="1"/>
  <c r="H173" i="22"/>
  <c r="J173" i="22"/>
  <c r="H160" i="22"/>
  <c r="F160" i="22"/>
  <c r="J9" i="22" l="1"/>
  <c r="BW1008" i="28"/>
  <c r="BW1009" i="28"/>
  <c r="BW1007" i="28"/>
  <c r="BZ1130" i="28"/>
  <c r="BZ1131" i="28"/>
  <c r="BY1130" i="28"/>
  <c r="BY1131" i="28"/>
  <c r="BX1130" i="28"/>
  <c r="BX1131" i="28"/>
  <c r="BZ1129" i="28"/>
  <c r="BY1129" i="28"/>
  <c r="BX1129" i="28"/>
  <c r="BY1127" i="28"/>
  <c r="BY1126" i="28"/>
  <c r="BY1125" i="28"/>
  <c r="BY1101" i="28"/>
  <c r="BY1100" i="28"/>
  <c r="BY1099" i="28"/>
  <c r="BY1045" i="28"/>
  <c r="BY1046" i="28"/>
  <c r="BY1044" i="28"/>
  <c r="BW1001" i="28"/>
  <c r="BW1002" i="28"/>
  <c r="BW1000" i="28"/>
  <c r="BW1006" i="28"/>
  <c r="BW1005" i="28"/>
  <c r="BW1004" i="28"/>
  <c r="BW1003" i="28"/>
  <c r="E273" i="22"/>
  <c r="CN1100" i="28" l="1"/>
  <c r="CO1100" i="28"/>
  <c r="CO1002" i="28"/>
  <c r="CN1002" i="28"/>
  <c r="CN1005" i="28"/>
  <c r="CO1005" i="28"/>
  <c r="CO1009" i="28"/>
  <c r="CN1009" i="28"/>
  <c r="CO1006" i="28"/>
  <c r="CN1006" i="28"/>
  <c r="CN1131" i="28"/>
  <c r="CN1125" i="28"/>
  <c r="CO1125" i="28"/>
  <c r="CO1001" i="28"/>
  <c r="CN1001" i="28"/>
  <c r="CO1126" i="28"/>
  <c r="CN1126" i="28"/>
  <c r="CN1044" i="28"/>
  <c r="CO1044" i="28"/>
  <c r="CO1127" i="28"/>
  <c r="CN1127" i="28"/>
  <c r="CO1003" i="28"/>
  <c r="CN1003" i="28"/>
  <c r="CO1046" i="28"/>
  <c r="CN1046" i="28"/>
  <c r="CN1129" i="28"/>
  <c r="CO1004" i="28"/>
  <c r="CN1004" i="28"/>
  <c r="CN1045" i="28"/>
  <c r="CO1045" i="28"/>
  <c r="CO1007" i="28"/>
  <c r="CN1007" i="28"/>
  <c r="CO1099" i="28"/>
  <c r="CN1099" i="28"/>
  <c r="CO1008" i="28"/>
  <c r="CN1008" i="28"/>
  <c r="CN1000" i="28"/>
  <c r="CO1000" i="28"/>
  <c r="CN1101" i="28"/>
  <c r="CO1101" i="28"/>
  <c r="CN1130" i="28"/>
  <c r="J7" i="69"/>
  <c r="BY1147" i="28"/>
  <c r="BY1148" i="28"/>
  <c r="BY1146" i="28"/>
  <c r="BX1144" i="28"/>
  <c r="BX1145" i="28"/>
  <c r="BX1143" i="28"/>
  <c r="CC1142" i="28"/>
  <c r="CC1140" i="28"/>
  <c r="CC1141" i="28"/>
  <c r="CC1139" i="28"/>
  <c r="BY1137" i="28"/>
  <c r="BY1138" i="28"/>
  <c r="BY1136" i="28"/>
  <c r="CD1135" i="28"/>
  <c r="CC1135" i="28"/>
  <c r="BY1133" i="28"/>
  <c r="BY1134" i="28"/>
  <c r="BY1132" i="28"/>
  <c r="BY1128" i="28"/>
  <c r="CC1124" i="28"/>
  <c r="CC1122" i="28"/>
  <c r="CC1123" i="28"/>
  <c r="CC1121" i="28"/>
  <c r="BY1120" i="28"/>
  <c r="BY1119" i="28"/>
  <c r="BY1116" i="28"/>
  <c r="BY1117" i="28"/>
  <c r="BY1115" i="28"/>
  <c r="CB1113" i="28"/>
  <c r="CB1114" i="28"/>
  <c r="CB1112" i="28"/>
  <c r="BY1111" i="28"/>
  <c r="CM1110" i="28"/>
  <c r="BY1106" i="28"/>
  <c r="BX1104" i="28"/>
  <c r="BX1105" i="28"/>
  <c r="BX1103" i="28"/>
  <c r="BY1097" i="28"/>
  <c r="BY1098" i="28"/>
  <c r="BY1096" i="28"/>
  <c r="CC1094" i="28"/>
  <c r="CC1095" i="28"/>
  <c r="CC1093" i="28"/>
  <c r="CC1091" i="28"/>
  <c r="CC1092" i="28"/>
  <c r="CC1090" i="28"/>
  <c r="BY1089" i="28"/>
  <c r="CH1087" i="28"/>
  <c r="CH1088" i="28"/>
  <c r="CH1086" i="28"/>
  <c r="CH1084" i="28"/>
  <c r="CH1085" i="28"/>
  <c r="CH1083" i="28"/>
  <c r="BY1082" i="28"/>
  <c r="BY1080" i="28"/>
  <c r="BY1081" i="28"/>
  <c r="BY1079" i="28"/>
  <c r="CC1078" i="28"/>
  <c r="BW1076" i="28"/>
  <c r="BW1077" i="28"/>
  <c r="BW1075" i="28"/>
  <c r="BY1073" i="28"/>
  <c r="BY1074" i="28"/>
  <c r="BY1072" i="28"/>
  <c r="BY1070" i="28"/>
  <c r="BY1071" i="28"/>
  <c r="BY1069" i="28"/>
  <c r="CC1067" i="28"/>
  <c r="CC1068" i="28"/>
  <c r="CC1066" i="28"/>
  <c r="BY1064" i="28"/>
  <c r="BY1065" i="28"/>
  <c r="BY1063" i="28"/>
  <c r="BY1054" i="28"/>
  <c r="BY1055" i="28"/>
  <c r="BY1053" i="28"/>
  <c r="BY1051" i="28"/>
  <c r="BY1052" i="28"/>
  <c r="BY1050" i="28"/>
  <c r="BX1040" i="28"/>
  <c r="BY1035" i="28"/>
  <c r="BY1036" i="28"/>
  <c r="BY1034" i="28"/>
  <c r="BY1033" i="28"/>
  <c r="CC1031" i="28"/>
  <c r="CC1032" i="28"/>
  <c r="CC1030" i="28"/>
  <c r="BY1029" i="28"/>
  <c r="BY1027" i="28"/>
  <c r="BY1028" i="28"/>
  <c r="BY1026" i="28"/>
  <c r="BX1024" i="28"/>
  <c r="BX1025" i="28"/>
  <c r="BX1023" i="28"/>
  <c r="CC1022" i="28"/>
  <c r="CD1020" i="28"/>
  <c r="CD1021" i="28"/>
  <c r="CD1019" i="28"/>
  <c r="CC1020" i="28"/>
  <c r="CC1021" i="28"/>
  <c r="CB1020" i="28"/>
  <c r="CB1021" i="28"/>
  <c r="CA1020" i="28"/>
  <c r="CA1021" i="28"/>
  <c r="CC1019" i="28"/>
  <c r="CB1019" i="28"/>
  <c r="CA1019" i="28"/>
  <c r="BX1018" i="28"/>
  <c r="BY1016" i="28"/>
  <c r="BY1017" i="28"/>
  <c r="BY1015" i="28"/>
  <c r="BY1014" i="28"/>
  <c r="CC1012" i="28"/>
  <c r="CC1013" i="28"/>
  <c r="CC1011" i="28"/>
  <c r="BY1010" i="28"/>
  <c r="CN1052" i="28" l="1"/>
  <c r="CN1016" i="28"/>
  <c r="CO1019" i="28"/>
  <c r="CN1026" i="28"/>
  <c r="CN1034" i="28"/>
  <c r="CN1055" i="28"/>
  <c r="CN1069" i="28"/>
  <c r="CN1117" i="28"/>
  <c r="CO1117" i="28"/>
  <c r="CO1128" i="28"/>
  <c r="CN1128" i="28"/>
  <c r="CN1137" i="28"/>
  <c r="CO1146" i="28"/>
  <c r="CN1146" i="28"/>
  <c r="CN1028" i="28"/>
  <c r="CN1036" i="28"/>
  <c r="CN1054" i="28"/>
  <c r="CN1071" i="28"/>
  <c r="CN1106" i="28"/>
  <c r="CN1116" i="28"/>
  <c r="CO1116" i="28"/>
  <c r="CN1132" i="28"/>
  <c r="CN1148" i="28"/>
  <c r="CO1148" i="28"/>
  <c r="CN1027" i="28"/>
  <c r="CN1035" i="28"/>
  <c r="CN1063" i="28"/>
  <c r="CN1070" i="28"/>
  <c r="CN1079" i="28"/>
  <c r="CO1119" i="28"/>
  <c r="CN1119" i="28"/>
  <c r="CN1134" i="28"/>
  <c r="CO1147" i="28"/>
  <c r="CN1147" i="28"/>
  <c r="CO1014" i="28"/>
  <c r="CN1014" i="28"/>
  <c r="CO1021" i="28"/>
  <c r="CN1029" i="28"/>
  <c r="CO1029" i="28"/>
  <c r="CN1065" i="28"/>
  <c r="CN1072" i="28"/>
  <c r="CN1081" i="28"/>
  <c r="CN1096" i="28"/>
  <c r="CN1111" i="28"/>
  <c r="CN1120" i="28"/>
  <c r="CO1120" i="28"/>
  <c r="CN1133" i="28"/>
  <c r="CN1015" i="28"/>
  <c r="CO1020" i="28"/>
  <c r="CN1050" i="28"/>
  <c r="CN1064" i="28"/>
  <c r="CN1074" i="28"/>
  <c r="CN1080" i="28"/>
  <c r="CO1089" i="28"/>
  <c r="CN1089" i="28"/>
  <c r="CN1098" i="28"/>
  <c r="CO1135" i="28"/>
  <c r="CN1017" i="28"/>
  <c r="CO1023" i="28"/>
  <c r="CN1023" i="28"/>
  <c r="CN1073" i="28"/>
  <c r="CO1082" i="28"/>
  <c r="CN1082" i="28"/>
  <c r="CN1097" i="28"/>
  <c r="CO1025" i="28"/>
  <c r="CN1025" i="28"/>
  <c r="CN1051" i="28"/>
  <c r="CN1136" i="28"/>
  <c r="CO1010" i="28"/>
  <c r="CN1010" i="28"/>
  <c r="CO1024" i="28"/>
  <c r="CN1024" i="28"/>
  <c r="CO1033" i="28"/>
  <c r="CN1033" i="28"/>
  <c r="CN1053" i="28"/>
  <c r="CO1115" i="28"/>
  <c r="CN1115" i="28"/>
  <c r="CN1138" i="28"/>
  <c r="BZ1118" i="28"/>
  <c r="CO1118" i="28" s="1"/>
  <c r="CH1102" i="28"/>
  <c r="BX1061" i="28"/>
  <c r="BX1062" i="28"/>
  <c r="BX1060" i="28"/>
  <c r="BZ1056" i="28"/>
  <c r="CO1056" i="28" s="1"/>
  <c r="BY1042" i="28"/>
  <c r="BY1043" i="28"/>
  <c r="BY1041" i="28"/>
  <c r="BX1038" i="28"/>
  <c r="BX1039" i="28"/>
  <c r="BX1037" i="28"/>
  <c r="BX1048" i="28"/>
  <c r="BX1049" i="28"/>
  <c r="BX1047" i="28"/>
  <c r="BZ1108" i="28"/>
  <c r="CO1108" i="28" s="1"/>
  <c r="BZ1109" i="28"/>
  <c r="CO1109" i="28" s="1"/>
  <c r="BZ1107" i="28"/>
  <c r="CO1107" i="28" s="1"/>
  <c r="CO1043" i="28" l="1"/>
  <c r="CN1043" i="28"/>
  <c r="CO1042" i="28"/>
  <c r="CN1042" i="28"/>
  <c r="CO1047" i="28"/>
  <c r="CN1047" i="28"/>
  <c r="CO1049" i="28"/>
  <c r="CN1049" i="28"/>
  <c r="CO1041" i="28"/>
  <c r="CN1041" i="28"/>
  <c r="CN1048" i="28"/>
  <c r="CO1048" i="28"/>
  <c r="K7" i="69"/>
  <c r="V10" i="69"/>
  <c r="W10" i="69"/>
  <c r="X10" i="69"/>
  <c r="F31" i="22" l="1"/>
  <c r="F30" i="22"/>
  <c r="D32" i="22"/>
  <c r="H8" i="69" l="1"/>
  <c r="F32" i="22"/>
  <c r="H12" i="69"/>
  <c r="E32" i="22" l="1"/>
  <c r="L259" i="22"/>
  <c r="K259" i="22"/>
  <c r="J259" i="22"/>
  <c r="I259" i="22"/>
  <c r="H259" i="22"/>
  <c r="G259" i="22"/>
  <c r="F259" i="22"/>
  <c r="E259" i="22"/>
  <c r="E68" i="22"/>
  <c r="G54" i="22"/>
  <c r="I68" i="22"/>
  <c r="E40" i="22"/>
  <c r="F54" i="22"/>
  <c r="G40" i="22"/>
  <c r="I54" i="22"/>
  <c r="H54" i="22"/>
  <c r="J54" i="22"/>
  <c r="F68" i="22"/>
  <c r="D40" i="22"/>
  <c r="K54" i="22"/>
  <c r="H68" i="22"/>
  <c r="G68" i="22"/>
  <c r="E54" i="22"/>
  <c r="D68" i="22"/>
  <c r="F40" i="22"/>
  <c r="D54" i="22"/>
  <c r="CL1150" i="28" l="1"/>
  <c r="CK1150" i="28"/>
  <c r="CJ1150" i="28"/>
  <c r="CI1150" i="28"/>
  <c r="CH1150" i="28"/>
  <c r="CG1150" i="28"/>
  <c r="CF1150" i="28"/>
  <c r="CE1150" i="28"/>
  <c r="CD1150" i="28"/>
  <c r="CC1150" i="28"/>
  <c r="CB1150" i="28"/>
  <c r="CA1150" i="28"/>
  <c r="BZ1150" i="28"/>
  <c r="BY1150" i="28"/>
  <c r="CL1151" i="28"/>
  <c r="CK1151" i="28"/>
  <c r="CJ1151" i="28"/>
  <c r="CI1151" i="28"/>
  <c r="CH1151" i="28"/>
  <c r="CG1151" i="28"/>
  <c r="CF1151" i="28"/>
  <c r="CE1151" i="28"/>
  <c r="CD1151" i="28"/>
  <c r="CC1151" i="28"/>
  <c r="CB1151" i="28"/>
  <c r="CA1151" i="28"/>
  <c r="BZ1151" i="28"/>
  <c r="BY1151" i="28"/>
  <c r="CL1149" i="28"/>
  <c r="CK1149" i="28"/>
  <c r="CJ1149" i="28"/>
  <c r="CI1149" i="28"/>
  <c r="CH1149" i="28"/>
  <c r="CG1149" i="28"/>
  <c r="CF1149" i="28"/>
  <c r="CE1149" i="28"/>
  <c r="CD1149" i="28"/>
  <c r="CC1149" i="28"/>
  <c r="CB1149" i="28"/>
  <c r="CA1149" i="28"/>
  <c r="BZ1149" i="28"/>
  <c r="BY1149" i="28"/>
  <c r="CG1129" i="28"/>
  <c r="CF1129" i="28"/>
  <c r="CE1129" i="28"/>
  <c r="CD1129" i="28"/>
  <c r="CC1129" i="28"/>
  <c r="CB1129" i="28"/>
  <c r="CA1129" i="28"/>
  <c r="CG1130" i="28"/>
  <c r="CF1130" i="28"/>
  <c r="CE1130" i="28"/>
  <c r="CD1130" i="28"/>
  <c r="CC1130" i="28"/>
  <c r="CB1130" i="28"/>
  <c r="CA1130" i="28"/>
  <c r="CG1131" i="28"/>
  <c r="CF1131" i="28"/>
  <c r="CE1131" i="28"/>
  <c r="CD1131" i="28"/>
  <c r="CC1131" i="28"/>
  <c r="CB1131" i="28"/>
  <c r="CA1131" i="28"/>
  <c r="CG1145" i="28"/>
  <c r="CF1145" i="28"/>
  <c r="CE1145" i="28"/>
  <c r="CD1145" i="28"/>
  <c r="CC1145" i="28"/>
  <c r="CB1145" i="28"/>
  <c r="CA1145" i="28"/>
  <c r="BZ1145" i="28"/>
  <c r="BY1145" i="28"/>
  <c r="CG1144" i="28"/>
  <c r="CF1144" i="28"/>
  <c r="CE1144" i="28"/>
  <c r="CD1144" i="28"/>
  <c r="CC1144" i="28"/>
  <c r="CB1144" i="28"/>
  <c r="CA1144" i="28"/>
  <c r="BZ1144" i="28"/>
  <c r="BY1144" i="28"/>
  <c r="CG1143" i="28"/>
  <c r="CF1143" i="28"/>
  <c r="CE1143" i="28"/>
  <c r="CD1143" i="28"/>
  <c r="CC1143" i="28"/>
  <c r="CB1143" i="28"/>
  <c r="CA1143" i="28"/>
  <c r="BZ1143" i="28"/>
  <c r="BY1143" i="28"/>
  <c r="CM1102" i="28"/>
  <c r="CL1102" i="28"/>
  <c r="CK1102" i="28"/>
  <c r="CJ1102" i="28"/>
  <c r="CI1102" i="28"/>
  <c r="CB1018" i="28"/>
  <c r="CA1018" i="28"/>
  <c r="BZ1018" i="28"/>
  <c r="BY1018" i="28"/>
  <c r="CH1054" i="28"/>
  <c r="CG1054" i="28"/>
  <c r="CF1054" i="28"/>
  <c r="CE1054" i="28"/>
  <c r="CD1054" i="28"/>
  <c r="CC1054" i="28"/>
  <c r="CB1054" i="28"/>
  <c r="CA1054" i="28"/>
  <c r="BZ1054" i="28"/>
  <c r="CH1053" i="28"/>
  <c r="CG1053" i="28"/>
  <c r="CF1053" i="28"/>
  <c r="CE1053" i="28"/>
  <c r="CD1053" i="28"/>
  <c r="CC1053" i="28"/>
  <c r="CB1053" i="28"/>
  <c r="CA1053" i="28"/>
  <c r="BZ1053" i="28"/>
  <c r="CH1055" i="28"/>
  <c r="CG1055" i="28"/>
  <c r="CF1055" i="28"/>
  <c r="CE1055" i="28"/>
  <c r="CD1055" i="28"/>
  <c r="CC1055" i="28"/>
  <c r="CB1055" i="28"/>
  <c r="CA1055" i="28"/>
  <c r="BZ1055" i="28"/>
  <c r="CM1022" i="28"/>
  <c r="CL1022" i="28"/>
  <c r="CK1022" i="28"/>
  <c r="CJ1022" i="28"/>
  <c r="CI1022" i="28"/>
  <c r="CH1022" i="28"/>
  <c r="CG1022" i="28"/>
  <c r="CF1022" i="28"/>
  <c r="CE1022" i="28"/>
  <c r="CD1022" i="28"/>
  <c r="CO1022" i="28" s="1"/>
  <c r="CC1052" i="28"/>
  <c r="CB1052" i="28"/>
  <c r="CA1052" i="28"/>
  <c r="BZ1052" i="28"/>
  <c r="CC1051" i="28"/>
  <c r="CB1051" i="28"/>
  <c r="CA1051" i="28"/>
  <c r="BZ1051" i="28"/>
  <c r="CC1050" i="28"/>
  <c r="CB1050" i="28"/>
  <c r="CA1050" i="28"/>
  <c r="BZ1050" i="28"/>
  <c r="CM1111" i="28"/>
  <c r="CL1111" i="28"/>
  <c r="CK1111" i="28"/>
  <c r="CJ1111" i="28"/>
  <c r="CI1111" i="28"/>
  <c r="CH1111" i="28"/>
  <c r="CG1111" i="28"/>
  <c r="CF1111" i="28"/>
  <c r="CE1111" i="28"/>
  <c r="CD1111" i="28"/>
  <c r="CC1111" i="28"/>
  <c r="CB1111" i="28"/>
  <c r="CA1111" i="28"/>
  <c r="BZ1111" i="28"/>
  <c r="CM1078" i="28"/>
  <c r="CL1078" i="28"/>
  <c r="CK1078" i="28"/>
  <c r="CJ1078" i="28"/>
  <c r="CI1078" i="28"/>
  <c r="CH1078" i="28"/>
  <c r="CG1078" i="28"/>
  <c r="CF1078" i="28"/>
  <c r="CE1078" i="28"/>
  <c r="CD1078" i="28"/>
  <c r="CO1078" i="28" s="1"/>
  <c r="CM1032" i="28"/>
  <c r="CL1032" i="28"/>
  <c r="CK1032" i="28"/>
  <c r="CJ1032" i="28"/>
  <c r="CI1032" i="28"/>
  <c r="CH1032" i="28"/>
  <c r="CG1032" i="28"/>
  <c r="CF1032" i="28"/>
  <c r="CE1032" i="28"/>
  <c r="CD1032" i="28"/>
  <c r="CO1032" i="28" s="1"/>
  <c r="CM1031" i="28"/>
  <c r="CL1031" i="28"/>
  <c r="CK1031" i="28"/>
  <c r="CJ1031" i="28"/>
  <c r="CI1031" i="28"/>
  <c r="CH1031" i="28"/>
  <c r="CG1031" i="28"/>
  <c r="CF1031" i="28"/>
  <c r="CE1031" i="28"/>
  <c r="CD1031" i="28"/>
  <c r="CO1031" i="28" s="1"/>
  <c r="CF1075" i="28"/>
  <c r="CE1075" i="28"/>
  <c r="CD1075" i="28"/>
  <c r="CC1075" i="28"/>
  <c r="CB1075" i="28"/>
  <c r="CA1075" i="28"/>
  <c r="BZ1075" i="28"/>
  <c r="BY1075" i="28"/>
  <c r="BX1075" i="28"/>
  <c r="CF1077" i="28"/>
  <c r="CE1077" i="28"/>
  <c r="CD1077" i="28"/>
  <c r="CC1077" i="28"/>
  <c r="CB1077" i="28"/>
  <c r="CA1077" i="28"/>
  <c r="BZ1077" i="28"/>
  <c r="BY1077" i="28"/>
  <c r="BX1077" i="28"/>
  <c r="CF1076" i="28"/>
  <c r="CE1076" i="28"/>
  <c r="CD1076" i="28"/>
  <c r="CC1076" i="28"/>
  <c r="CB1076" i="28"/>
  <c r="CA1076" i="28"/>
  <c r="BZ1076" i="28"/>
  <c r="BY1076" i="28"/>
  <c r="BX1076" i="28"/>
  <c r="CM1030" i="28"/>
  <c r="CL1030" i="28"/>
  <c r="CK1030" i="28"/>
  <c r="CJ1030" i="28"/>
  <c r="CI1030" i="28"/>
  <c r="CH1030" i="28"/>
  <c r="CG1030" i="28"/>
  <c r="CF1030" i="28"/>
  <c r="CE1030" i="28"/>
  <c r="CD1030" i="28"/>
  <c r="CO1030" i="28" s="1"/>
  <c r="CH1106" i="28"/>
  <c r="CG1106" i="28"/>
  <c r="CF1106" i="28"/>
  <c r="CE1106" i="28"/>
  <c r="CD1106" i="28"/>
  <c r="CC1106" i="28"/>
  <c r="CB1106" i="28"/>
  <c r="CA1106" i="28"/>
  <c r="BZ1106" i="28"/>
  <c r="CM1123" i="28"/>
  <c r="CL1123" i="28"/>
  <c r="CK1123" i="28"/>
  <c r="CJ1123" i="28"/>
  <c r="CI1123" i="28"/>
  <c r="CH1123" i="28"/>
  <c r="CG1123" i="28"/>
  <c r="CF1123" i="28"/>
  <c r="CE1123" i="28"/>
  <c r="CD1123" i="28"/>
  <c r="CO1123" i="28" s="1"/>
  <c r="CM1122" i="28"/>
  <c r="CL1122" i="28"/>
  <c r="CK1122" i="28"/>
  <c r="CJ1122" i="28"/>
  <c r="CI1122" i="28"/>
  <c r="CH1122" i="28"/>
  <c r="CG1122" i="28"/>
  <c r="CF1122" i="28"/>
  <c r="CE1122" i="28"/>
  <c r="CD1122" i="28"/>
  <c r="CO1122" i="28" s="1"/>
  <c r="CM1121" i="28"/>
  <c r="CL1121" i="28"/>
  <c r="CK1121" i="28"/>
  <c r="CJ1121" i="28"/>
  <c r="CI1121" i="28"/>
  <c r="CH1121" i="28"/>
  <c r="CG1121" i="28"/>
  <c r="CF1121" i="28"/>
  <c r="CE1121" i="28"/>
  <c r="CD1121" i="28"/>
  <c r="CO1121" i="28" s="1"/>
  <c r="CM1090" i="28"/>
  <c r="CL1090" i="28"/>
  <c r="CK1090" i="28"/>
  <c r="CJ1090" i="28"/>
  <c r="CI1090" i="28"/>
  <c r="CH1090" i="28"/>
  <c r="CG1090" i="28"/>
  <c r="CF1090" i="28"/>
  <c r="CE1090" i="28"/>
  <c r="CD1090" i="28"/>
  <c r="CO1090" i="28" s="1"/>
  <c r="CM1135" i="28"/>
  <c r="CL1135" i="28"/>
  <c r="CK1135" i="28"/>
  <c r="CJ1135" i="28"/>
  <c r="CI1135" i="28"/>
  <c r="CH1135" i="28"/>
  <c r="CG1135" i="28"/>
  <c r="CF1135" i="28"/>
  <c r="CE1135" i="28"/>
  <c r="CM1112" i="28"/>
  <c r="CL1112" i="28"/>
  <c r="CK1112" i="28"/>
  <c r="CJ1112" i="28"/>
  <c r="CI1112" i="28"/>
  <c r="CH1112" i="28"/>
  <c r="CG1112" i="28"/>
  <c r="CF1112" i="28"/>
  <c r="CE1112" i="28"/>
  <c r="CD1112" i="28"/>
  <c r="CC1112" i="28"/>
  <c r="CM1114" i="28"/>
  <c r="CL1114" i="28"/>
  <c r="CK1114" i="28"/>
  <c r="CJ1114" i="28"/>
  <c r="CI1114" i="28"/>
  <c r="CH1114" i="28"/>
  <c r="CG1114" i="28"/>
  <c r="CF1114" i="28"/>
  <c r="CE1114" i="28"/>
  <c r="CD1114" i="28"/>
  <c r="CC1114" i="28"/>
  <c r="CM1113" i="28"/>
  <c r="CL1113" i="28"/>
  <c r="CK1113" i="28"/>
  <c r="CJ1113" i="28"/>
  <c r="CI1113" i="28"/>
  <c r="CH1113" i="28"/>
  <c r="CG1113" i="28"/>
  <c r="CF1113" i="28"/>
  <c r="CE1113" i="28"/>
  <c r="CD1113" i="28"/>
  <c r="CC1113" i="28"/>
  <c r="CM1092" i="28"/>
  <c r="CL1092" i="28"/>
  <c r="CK1092" i="28"/>
  <c r="CJ1092" i="28"/>
  <c r="CI1092" i="28"/>
  <c r="CH1092" i="28"/>
  <c r="CG1092" i="28"/>
  <c r="CF1092" i="28"/>
  <c r="CE1092" i="28"/>
  <c r="CD1092" i="28"/>
  <c r="CO1092" i="28" s="1"/>
  <c r="CM1063" i="28"/>
  <c r="CL1063" i="28"/>
  <c r="CK1063" i="28"/>
  <c r="CJ1063" i="28"/>
  <c r="CI1063" i="28"/>
  <c r="CH1063" i="28"/>
  <c r="CG1063" i="28"/>
  <c r="CF1063" i="28"/>
  <c r="CE1063" i="28"/>
  <c r="CD1063" i="28"/>
  <c r="CC1063" i="28"/>
  <c r="CB1063" i="28"/>
  <c r="CA1063" i="28"/>
  <c r="BZ1063" i="28"/>
  <c r="CM1065" i="28"/>
  <c r="CL1065" i="28"/>
  <c r="CK1065" i="28"/>
  <c r="CJ1065" i="28"/>
  <c r="CI1065" i="28"/>
  <c r="CH1065" i="28"/>
  <c r="CG1065" i="28"/>
  <c r="CF1065" i="28"/>
  <c r="CE1065" i="28"/>
  <c r="CD1065" i="28"/>
  <c r="CC1065" i="28"/>
  <c r="CB1065" i="28"/>
  <c r="CA1065" i="28"/>
  <c r="BZ1065" i="28"/>
  <c r="CM1064" i="28"/>
  <c r="CL1064" i="28"/>
  <c r="CK1064" i="28"/>
  <c r="CJ1064" i="28"/>
  <c r="CI1064" i="28"/>
  <c r="CH1064" i="28"/>
  <c r="CG1064" i="28"/>
  <c r="CF1064" i="28"/>
  <c r="CE1064" i="28"/>
  <c r="CD1064" i="28"/>
  <c r="CC1064" i="28"/>
  <c r="CB1064" i="28"/>
  <c r="CA1064" i="28"/>
  <c r="BZ1064" i="28"/>
  <c r="CM1091" i="28"/>
  <c r="CL1091" i="28"/>
  <c r="CK1091" i="28"/>
  <c r="CJ1091" i="28"/>
  <c r="CI1091" i="28"/>
  <c r="CH1091" i="28"/>
  <c r="CG1091" i="28"/>
  <c r="CF1091" i="28"/>
  <c r="CE1091" i="28"/>
  <c r="CD1091" i="28"/>
  <c r="CO1091" i="28" s="1"/>
  <c r="CM1138" i="28"/>
  <c r="CL1138" i="28"/>
  <c r="CK1138" i="28"/>
  <c r="CJ1138" i="28"/>
  <c r="CI1138" i="28"/>
  <c r="CH1138" i="28"/>
  <c r="CG1138" i="28"/>
  <c r="CF1138" i="28"/>
  <c r="CE1138" i="28"/>
  <c r="CD1138" i="28"/>
  <c r="CC1138" i="28"/>
  <c r="CB1138" i="28"/>
  <c r="CA1138" i="28"/>
  <c r="BZ1138" i="28"/>
  <c r="CM1136" i="28"/>
  <c r="CL1136" i="28"/>
  <c r="CK1136" i="28"/>
  <c r="CJ1136" i="28"/>
  <c r="CI1136" i="28"/>
  <c r="CH1136" i="28"/>
  <c r="CG1136" i="28"/>
  <c r="CF1136" i="28"/>
  <c r="CE1136" i="28"/>
  <c r="CD1136" i="28"/>
  <c r="CC1136" i="28"/>
  <c r="CB1136" i="28"/>
  <c r="CA1136" i="28"/>
  <c r="BZ1136" i="28"/>
  <c r="CM1137" i="28"/>
  <c r="CL1137" i="28"/>
  <c r="CK1137" i="28"/>
  <c r="CJ1137" i="28"/>
  <c r="CI1137" i="28"/>
  <c r="CH1137" i="28"/>
  <c r="CG1137" i="28"/>
  <c r="CF1137" i="28"/>
  <c r="CE1137" i="28"/>
  <c r="CD1137" i="28"/>
  <c r="CC1137" i="28"/>
  <c r="CB1137" i="28"/>
  <c r="CA1137" i="28"/>
  <c r="BZ1137" i="28"/>
  <c r="CM1097" i="28"/>
  <c r="CL1097" i="28"/>
  <c r="CK1097" i="28"/>
  <c r="CJ1097" i="28"/>
  <c r="CI1097" i="28"/>
  <c r="CH1097" i="28"/>
  <c r="CG1097" i="28"/>
  <c r="CF1097" i="28"/>
  <c r="CE1097" i="28"/>
  <c r="CD1097" i="28"/>
  <c r="CC1097" i="28"/>
  <c r="CB1097" i="28"/>
  <c r="CA1097" i="28"/>
  <c r="BZ1097" i="28"/>
  <c r="CM1096" i="28"/>
  <c r="CL1096" i="28"/>
  <c r="CK1096" i="28"/>
  <c r="CJ1096" i="28"/>
  <c r="CI1096" i="28"/>
  <c r="CH1096" i="28"/>
  <c r="CG1096" i="28"/>
  <c r="CF1096" i="28"/>
  <c r="CE1096" i="28"/>
  <c r="CD1096" i="28"/>
  <c r="CC1096" i="28"/>
  <c r="CB1096" i="28"/>
  <c r="CA1096" i="28"/>
  <c r="BZ1096" i="28"/>
  <c r="CM1098" i="28"/>
  <c r="CL1098" i="28"/>
  <c r="CK1098" i="28"/>
  <c r="CJ1098" i="28"/>
  <c r="CI1098" i="28"/>
  <c r="CH1098" i="28"/>
  <c r="CG1098" i="28"/>
  <c r="CF1098" i="28"/>
  <c r="CE1098" i="28"/>
  <c r="CD1098" i="28"/>
  <c r="CC1098" i="28"/>
  <c r="CB1098" i="28"/>
  <c r="CA1098" i="28"/>
  <c r="BZ1098" i="28"/>
  <c r="CH1071" i="28"/>
  <c r="CG1071" i="28"/>
  <c r="CF1071" i="28"/>
  <c r="CE1071" i="28"/>
  <c r="CD1071" i="28"/>
  <c r="CC1071" i="28"/>
  <c r="CB1071" i="28"/>
  <c r="CA1071" i="28"/>
  <c r="BZ1071" i="28"/>
  <c r="CH1069" i="28"/>
  <c r="CG1069" i="28"/>
  <c r="CF1069" i="28"/>
  <c r="CE1069" i="28"/>
  <c r="CD1069" i="28"/>
  <c r="CC1069" i="28"/>
  <c r="CB1069" i="28"/>
  <c r="CA1069" i="28"/>
  <c r="BZ1069" i="28"/>
  <c r="CH1070" i="28"/>
  <c r="CG1070" i="28"/>
  <c r="CF1070" i="28"/>
  <c r="CE1070" i="28"/>
  <c r="CD1070" i="28"/>
  <c r="CC1070" i="28"/>
  <c r="CB1070" i="28"/>
  <c r="CA1070" i="28"/>
  <c r="BZ1070" i="28"/>
  <c r="CB1039" i="28"/>
  <c r="CA1039" i="28"/>
  <c r="BZ1039" i="28"/>
  <c r="BY1039" i="28"/>
  <c r="CB1038" i="28"/>
  <c r="CA1038" i="28"/>
  <c r="BZ1038" i="28"/>
  <c r="BY1038" i="28"/>
  <c r="CB1037" i="28"/>
  <c r="CA1037" i="28"/>
  <c r="BZ1037" i="28"/>
  <c r="BY1037" i="28"/>
  <c r="CM1067" i="28"/>
  <c r="CL1067" i="28"/>
  <c r="CK1067" i="28"/>
  <c r="CJ1067" i="28"/>
  <c r="CI1067" i="28"/>
  <c r="CH1067" i="28"/>
  <c r="CG1067" i="28"/>
  <c r="CF1067" i="28"/>
  <c r="CE1067" i="28"/>
  <c r="CD1067" i="28"/>
  <c r="CO1067" i="28" s="1"/>
  <c r="CM1068" i="28"/>
  <c r="CL1068" i="28"/>
  <c r="CK1068" i="28"/>
  <c r="CJ1068" i="28"/>
  <c r="CI1068" i="28"/>
  <c r="CH1068" i="28"/>
  <c r="CG1068" i="28"/>
  <c r="CF1068" i="28"/>
  <c r="CE1068" i="28"/>
  <c r="CD1068" i="28"/>
  <c r="CO1068" i="28" s="1"/>
  <c r="CM1066" i="28"/>
  <c r="CL1066" i="28"/>
  <c r="CK1066" i="28"/>
  <c r="CJ1066" i="28"/>
  <c r="CI1066" i="28"/>
  <c r="CH1066" i="28"/>
  <c r="CG1066" i="28"/>
  <c r="CF1066" i="28"/>
  <c r="CE1066" i="28"/>
  <c r="CD1066" i="28"/>
  <c r="CO1066" i="28" s="1"/>
  <c r="CM1105" i="28"/>
  <c r="CL1105" i="28"/>
  <c r="CK1105" i="28"/>
  <c r="CJ1105" i="28"/>
  <c r="CI1105" i="28"/>
  <c r="CH1105" i="28"/>
  <c r="CG1105" i="28"/>
  <c r="CF1105" i="28"/>
  <c r="CE1105" i="28"/>
  <c r="CD1105" i="28"/>
  <c r="CC1105" i="28"/>
  <c r="CB1105" i="28"/>
  <c r="CA1105" i="28"/>
  <c r="BZ1105" i="28"/>
  <c r="BY1105" i="28"/>
  <c r="CM1104" i="28"/>
  <c r="CL1104" i="28"/>
  <c r="CK1104" i="28"/>
  <c r="CJ1104" i="28"/>
  <c r="CI1104" i="28"/>
  <c r="CH1104" i="28"/>
  <c r="CG1104" i="28"/>
  <c r="CF1104" i="28"/>
  <c r="CE1104" i="28"/>
  <c r="CD1104" i="28"/>
  <c r="CC1104" i="28"/>
  <c r="CB1104" i="28"/>
  <c r="CA1104" i="28"/>
  <c r="BZ1104" i="28"/>
  <c r="BY1104" i="28"/>
  <c r="CM1103" i="28"/>
  <c r="CL1103" i="28"/>
  <c r="CK1103" i="28"/>
  <c r="CJ1103" i="28"/>
  <c r="CI1103" i="28"/>
  <c r="CH1103" i="28"/>
  <c r="CG1103" i="28"/>
  <c r="CF1103" i="28"/>
  <c r="CE1103" i="28"/>
  <c r="CD1103" i="28"/>
  <c r="CC1103" i="28"/>
  <c r="CB1103" i="28"/>
  <c r="CA1103" i="28"/>
  <c r="BZ1103" i="28"/>
  <c r="BY1103" i="28"/>
  <c r="CM1134" i="28"/>
  <c r="CL1134" i="28"/>
  <c r="CK1134" i="28"/>
  <c r="CJ1134" i="28"/>
  <c r="CI1134" i="28"/>
  <c r="CH1134" i="28"/>
  <c r="CG1134" i="28"/>
  <c r="CF1134" i="28"/>
  <c r="CE1134" i="28"/>
  <c r="CD1134" i="28"/>
  <c r="CC1134" i="28"/>
  <c r="CB1134" i="28"/>
  <c r="CA1134" i="28"/>
  <c r="BZ1134" i="28"/>
  <c r="CM1133" i="28"/>
  <c r="CL1133" i="28"/>
  <c r="CK1133" i="28"/>
  <c r="CJ1133" i="28"/>
  <c r="CI1133" i="28"/>
  <c r="CH1133" i="28"/>
  <c r="CG1133" i="28"/>
  <c r="CF1133" i="28"/>
  <c r="CE1133" i="28"/>
  <c r="CD1133" i="28"/>
  <c r="CC1133" i="28"/>
  <c r="CB1133" i="28"/>
  <c r="CA1133" i="28"/>
  <c r="BZ1133" i="28"/>
  <c r="CM1132" i="28"/>
  <c r="CL1132" i="28"/>
  <c r="CK1132" i="28"/>
  <c r="CJ1132" i="28"/>
  <c r="CI1132" i="28"/>
  <c r="CH1132" i="28"/>
  <c r="CG1132" i="28"/>
  <c r="CF1132" i="28"/>
  <c r="CE1132" i="28"/>
  <c r="CD1132" i="28"/>
  <c r="CC1132" i="28"/>
  <c r="CB1132" i="28"/>
  <c r="CA1132" i="28"/>
  <c r="BZ1132" i="28"/>
  <c r="CG1040" i="28"/>
  <c r="CF1040" i="28"/>
  <c r="CE1040" i="28"/>
  <c r="CD1040" i="28"/>
  <c r="CC1040" i="28"/>
  <c r="CB1040" i="28"/>
  <c r="CA1040" i="28"/>
  <c r="BZ1040" i="28"/>
  <c r="BY1040" i="28"/>
  <c r="CM1142" i="28"/>
  <c r="CL1142" i="28"/>
  <c r="CK1142" i="28"/>
  <c r="CJ1142" i="28"/>
  <c r="CI1142" i="28"/>
  <c r="CH1142" i="28"/>
  <c r="CG1142" i="28"/>
  <c r="CF1142" i="28"/>
  <c r="CE1142" i="28"/>
  <c r="CD1142" i="28"/>
  <c r="CO1142" i="28" s="1"/>
  <c r="CM1083" i="28"/>
  <c r="CL1083" i="28"/>
  <c r="CK1083" i="28"/>
  <c r="CJ1083" i="28"/>
  <c r="CI1083" i="28"/>
  <c r="CM1085" i="28"/>
  <c r="CL1085" i="28"/>
  <c r="CK1085" i="28"/>
  <c r="CJ1085" i="28"/>
  <c r="CI1085" i="28"/>
  <c r="CM1084" i="28"/>
  <c r="CL1084" i="28"/>
  <c r="CK1084" i="28"/>
  <c r="CJ1084" i="28"/>
  <c r="CI1084" i="28"/>
  <c r="CM1124" i="28"/>
  <c r="CL1124" i="28"/>
  <c r="CK1124" i="28"/>
  <c r="CJ1124" i="28"/>
  <c r="CI1124" i="28"/>
  <c r="CH1124" i="28"/>
  <c r="CG1124" i="28"/>
  <c r="CF1124" i="28"/>
  <c r="CE1124" i="28"/>
  <c r="CD1124" i="28"/>
  <c r="CO1124" i="28" s="1"/>
  <c r="CM1074" i="28"/>
  <c r="CL1074" i="28"/>
  <c r="CK1074" i="28"/>
  <c r="CJ1074" i="28"/>
  <c r="CI1074" i="28"/>
  <c r="CH1074" i="28"/>
  <c r="CG1074" i="28"/>
  <c r="CF1074" i="28"/>
  <c r="CE1074" i="28"/>
  <c r="CD1074" i="28"/>
  <c r="CC1074" i="28"/>
  <c r="CB1074" i="28"/>
  <c r="CA1074" i="28"/>
  <c r="BZ1074" i="28"/>
  <c r="CM1073" i="28"/>
  <c r="CL1073" i="28"/>
  <c r="CK1073" i="28"/>
  <c r="CJ1073" i="28"/>
  <c r="CI1073" i="28"/>
  <c r="CH1073" i="28"/>
  <c r="CG1073" i="28"/>
  <c r="CF1073" i="28"/>
  <c r="CE1073" i="28"/>
  <c r="CD1073" i="28"/>
  <c r="CC1073" i="28"/>
  <c r="CB1073" i="28"/>
  <c r="CA1073" i="28"/>
  <c r="BZ1073" i="28"/>
  <c r="CM1072" i="28"/>
  <c r="CL1072" i="28"/>
  <c r="CK1072" i="28"/>
  <c r="CJ1072" i="28"/>
  <c r="CI1072" i="28"/>
  <c r="CH1072" i="28"/>
  <c r="CG1072" i="28"/>
  <c r="CF1072" i="28"/>
  <c r="CE1072" i="28"/>
  <c r="CD1072" i="28"/>
  <c r="CC1072" i="28"/>
  <c r="CB1072" i="28"/>
  <c r="CA1072" i="28"/>
  <c r="BZ1072" i="28"/>
  <c r="CM1028" i="28"/>
  <c r="CL1028" i="28"/>
  <c r="CK1028" i="28"/>
  <c r="CJ1028" i="28"/>
  <c r="CI1028" i="28"/>
  <c r="CH1028" i="28"/>
  <c r="CG1028" i="28"/>
  <c r="CF1028" i="28"/>
  <c r="CE1028" i="28"/>
  <c r="CD1028" i="28"/>
  <c r="CC1028" i="28"/>
  <c r="CB1028" i="28"/>
  <c r="CA1028" i="28"/>
  <c r="BZ1028" i="28"/>
  <c r="CM1027" i="28"/>
  <c r="CL1027" i="28"/>
  <c r="CK1027" i="28"/>
  <c r="CJ1027" i="28"/>
  <c r="CI1027" i="28"/>
  <c r="CH1027" i="28"/>
  <c r="CG1027" i="28"/>
  <c r="CF1027" i="28"/>
  <c r="CE1027" i="28"/>
  <c r="CD1027" i="28"/>
  <c r="CC1027" i="28"/>
  <c r="CB1027" i="28"/>
  <c r="CA1027" i="28"/>
  <c r="BZ1027" i="28"/>
  <c r="CM1026" i="28"/>
  <c r="CL1026" i="28"/>
  <c r="CK1026" i="28"/>
  <c r="CJ1026" i="28"/>
  <c r="CI1026" i="28"/>
  <c r="CH1026" i="28"/>
  <c r="CG1026" i="28"/>
  <c r="CF1026" i="28"/>
  <c r="CE1026" i="28"/>
  <c r="CD1026" i="28"/>
  <c r="CC1026" i="28"/>
  <c r="CB1026" i="28"/>
  <c r="CA1026" i="28"/>
  <c r="BZ1026" i="28"/>
  <c r="CM1017" i="28"/>
  <c r="CL1017" i="28"/>
  <c r="CK1017" i="28"/>
  <c r="CJ1017" i="28"/>
  <c r="CI1017" i="28"/>
  <c r="CH1017" i="28"/>
  <c r="CG1017" i="28"/>
  <c r="CF1017" i="28"/>
  <c r="CE1017" i="28"/>
  <c r="CD1017" i="28"/>
  <c r="CC1017" i="28"/>
  <c r="CB1017" i="28"/>
  <c r="CA1017" i="28"/>
  <c r="BZ1017" i="28"/>
  <c r="CM1016" i="28"/>
  <c r="CL1016" i="28"/>
  <c r="CK1016" i="28"/>
  <c r="CJ1016" i="28"/>
  <c r="CI1016" i="28"/>
  <c r="CH1016" i="28"/>
  <c r="CG1016" i="28"/>
  <c r="CF1016" i="28"/>
  <c r="CE1016" i="28"/>
  <c r="CD1016" i="28"/>
  <c r="CC1016" i="28"/>
  <c r="CB1016" i="28"/>
  <c r="CA1016" i="28"/>
  <c r="BZ1016" i="28"/>
  <c r="CM1015" i="28"/>
  <c r="CL1015" i="28"/>
  <c r="CK1015" i="28"/>
  <c r="CJ1015" i="28"/>
  <c r="CI1015" i="28"/>
  <c r="CH1015" i="28"/>
  <c r="CG1015" i="28"/>
  <c r="CF1015" i="28"/>
  <c r="CE1015" i="28"/>
  <c r="CD1015" i="28"/>
  <c r="CC1015" i="28"/>
  <c r="CB1015" i="28"/>
  <c r="CA1015" i="28"/>
  <c r="BZ1015" i="28"/>
  <c r="CM1034" i="28"/>
  <c r="CL1034" i="28"/>
  <c r="CK1034" i="28"/>
  <c r="CJ1034" i="28"/>
  <c r="CI1034" i="28"/>
  <c r="CH1034" i="28"/>
  <c r="CG1034" i="28"/>
  <c r="CF1034" i="28"/>
  <c r="CE1034" i="28"/>
  <c r="CD1034" i="28"/>
  <c r="CC1034" i="28"/>
  <c r="CB1034" i="28"/>
  <c r="CA1034" i="28"/>
  <c r="BZ1034" i="28"/>
  <c r="CM1035" i="28"/>
  <c r="CL1035" i="28"/>
  <c r="CK1035" i="28"/>
  <c r="CJ1035" i="28"/>
  <c r="CI1035" i="28"/>
  <c r="CH1035" i="28"/>
  <c r="CG1035" i="28"/>
  <c r="CF1035" i="28"/>
  <c r="CE1035" i="28"/>
  <c r="CD1035" i="28"/>
  <c r="CC1035" i="28"/>
  <c r="CB1035" i="28"/>
  <c r="CA1035" i="28"/>
  <c r="BZ1035" i="28"/>
  <c r="CM1036" i="28"/>
  <c r="CL1036" i="28"/>
  <c r="CK1036" i="28"/>
  <c r="CJ1036" i="28"/>
  <c r="CI1036" i="28"/>
  <c r="CH1036" i="28"/>
  <c r="CG1036" i="28"/>
  <c r="CF1036" i="28"/>
  <c r="CE1036" i="28"/>
  <c r="CD1036" i="28"/>
  <c r="CC1036" i="28"/>
  <c r="CB1036" i="28"/>
  <c r="CA1036" i="28"/>
  <c r="BZ1036" i="28"/>
  <c r="CM1088" i="28"/>
  <c r="CL1088" i="28"/>
  <c r="CK1088" i="28"/>
  <c r="CJ1088" i="28"/>
  <c r="CI1088" i="28"/>
  <c r="CM1087" i="28"/>
  <c r="CL1087" i="28"/>
  <c r="CK1087" i="28"/>
  <c r="CJ1087" i="28"/>
  <c r="CI1087" i="28"/>
  <c r="CM1086" i="28"/>
  <c r="CL1086" i="28"/>
  <c r="CK1086" i="28"/>
  <c r="CJ1086" i="28"/>
  <c r="CI1086" i="28"/>
  <c r="CM1081" i="28"/>
  <c r="CL1081" i="28"/>
  <c r="CK1081" i="28"/>
  <c r="CJ1081" i="28"/>
  <c r="CI1081" i="28"/>
  <c r="CH1081" i="28"/>
  <c r="CG1081" i="28"/>
  <c r="CF1081" i="28"/>
  <c r="CE1081" i="28"/>
  <c r="CD1081" i="28"/>
  <c r="CC1081" i="28"/>
  <c r="CB1081" i="28"/>
  <c r="CA1081" i="28"/>
  <c r="BZ1081" i="28"/>
  <c r="CM1080" i="28"/>
  <c r="CL1080" i="28"/>
  <c r="CK1080" i="28"/>
  <c r="CJ1080" i="28"/>
  <c r="CI1080" i="28"/>
  <c r="CH1080" i="28"/>
  <c r="CG1080" i="28"/>
  <c r="CF1080" i="28"/>
  <c r="CE1080" i="28"/>
  <c r="CD1080" i="28"/>
  <c r="CC1080" i="28"/>
  <c r="CB1080" i="28"/>
  <c r="CA1080" i="28"/>
  <c r="BZ1080" i="28"/>
  <c r="CM1079" i="28"/>
  <c r="CL1079" i="28"/>
  <c r="CK1079" i="28"/>
  <c r="CJ1079" i="28"/>
  <c r="CI1079" i="28"/>
  <c r="CH1079" i="28"/>
  <c r="CG1079" i="28"/>
  <c r="CF1079" i="28"/>
  <c r="CE1079" i="28"/>
  <c r="CD1079" i="28"/>
  <c r="CC1079" i="28"/>
  <c r="CB1079" i="28"/>
  <c r="CA1079" i="28"/>
  <c r="BZ1079" i="28"/>
  <c r="CB1062" i="28"/>
  <c r="CA1062" i="28"/>
  <c r="BZ1062" i="28"/>
  <c r="BY1062" i="28"/>
  <c r="CB1061" i="28"/>
  <c r="CA1061" i="28"/>
  <c r="BZ1061" i="28"/>
  <c r="BY1061" i="28"/>
  <c r="CB1060" i="28"/>
  <c r="CA1060" i="28"/>
  <c r="BZ1060" i="28"/>
  <c r="BY1060" i="28"/>
  <c r="CM1141" i="28"/>
  <c r="CL1141" i="28"/>
  <c r="CK1141" i="28"/>
  <c r="CJ1141" i="28"/>
  <c r="CI1141" i="28"/>
  <c r="CH1141" i="28"/>
  <c r="CG1141" i="28"/>
  <c r="CF1141" i="28"/>
  <c r="CE1141" i="28"/>
  <c r="CD1141" i="28"/>
  <c r="CO1141" i="28" s="1"/>
  <c r="CM1140" i="28"/>
  <c r="CL1140" i="28"/>
  <c r="CK1140" i="28"/>
  <c r="CJ1140" i="28"/>
  <c r="CI1140" i="28"/>
  <c r="CH1140" i="28"/>
  <c r="CG1140" i="28"/>
  <c r="CF1140" i="28"/>
  <c r="CE1140" i="28"/>
  <c r="CD1140" i="28"/>
  <c r="CO1140" i="28" s="1"/>
  <c r="CM1139" i="28"/>
  <c r="CL1139" i="28"/>
  <c r="CK1139" i="28"/>
  <c r="CJ1139" i="28"/>
  <c r="CI1139" i="28"/>
  <c r="CH1139" i="28"/>
  <c r="CG1139" i="28"/>
  <c r="CF1139" i="28"/>
  <c r="CE1139" i="28"/>
  <c r="CD1139" i="28"/>
  <c r="CO1139" i="28" s="1"/>
  <c r="CM1013" i="28"/>
  <c r="CL1013" i="28"/>
  <c r="CK1013" i="28"/>
  <c r="CJ1013" i="28"/>
  <c r="CI1013" i="28"/>
  <c r="CH1013" i="28"/>
  <c r="CG1013" i="28"/>
  <c r="CF1013" i="28"/>
  <c r="CE1013" i="28"/>
  <c r="CD1013" i="28"/>
  <c r="CO1013" i="28" s="1"/>
  <c r="CM1012" i="28"/>
  <c r="CL1012" i="28"/>
  <c r="CK1012" i="28"/>
  <c r="CJ1012" i="28"/>
  <c r="CI1012" i="28"/>
  <c r="CH1012" i="28"/>
  <c r="CG1012" i="28"/>
  <c r="CF1012" i="28"/>
  <c r="CE1012" i="28"/>
  <c r="CD1012" i="28"/>
  <c r="CO1012" i="28" s="1"/>
  <c r="CM1011" i="28"/>
  <c r="CL1011" i="28"/>
  <c r="CK1011" i="28"/>
  <c r="CJ1011" i="28"/>
  <c r="CI1011" i="28"/>
  <c r="CH1011" i="28"/>
  <c r="CG1011" i="28"/>
  <c r="CF1011" i="28"/>
  <c r="CE1011" i="28"/>
  <c r="CD1011" i="28"/>
  <c r="CO1011" i="28" s="1"/>
  <c r="CM1095" i="28"/>
  <c r="CL1095" i="28"/>
  <c r="CK1095" i="28"/>
  <c r="CJ1095" i="28"/>
  <c r="CI1095" i="28"/>
  <c r="CH1095" i="28"/>
  <c r="CG1095" i="28"/>
  <c r="CF1095" i="28"/>
  <c r="CE1095" i="28"/>
  <c r="CD1095" i="28"/>
  <c r="CO1095" i="28" s="1"/>
  <c r="CM1094" i="28"/>
  <c r="CL1094" i="28"/>
  <c r="CK1094" i="28"/>
  <c r="CJ1094" i="28"/>
  <c r="CI1094" i="28"/>
  <c r="CH1094" i="28"/>
  <c r="CG1094" i="28"/>
  <c r="CF1094" i="28"/>
  <c r="CE1094" i="28"/>
  <c r="CD1094" i="28"/>
  <c r="CO1094" i="28" s="1"/>
  <c r="CM1093" i="28"/>
  <c r="CL1093" i="28"/>
  <c r="CK1093" i="28"/>
  <c r="CJ1093" i="28"/>
  <c r="CI1093" i="28"/>
  <c r="CH1093" i="28"/>
  <c r="CG1093" i="28"/>
  <c r="CF1093" i="28"/>
  <c r="CE1093" i="28"/>
  <c r="CD1093" i="28"/>
  <c r="CO1093" i="28" s="1"/>
  <c r="E264" i="22"/>
  <c r="D70" i="22"/>
  <c r="E56" i="22"/>
  <c r="H353" i="22"/>
  <c r="F70" i="22"/>
  <c r="E270" i="22"/>
  <c r="I56" i="22"/>
  <c r="H70" i="22"/>
  <c r="E42" i="22"/>
  <c r="E265" i="22"/>
  <c r="E70" i="22"/>
  <c r="G56" i="22"/>
  <c r="G70" i="22"/>
  <c r="H356" i="22"/>
  <c r="E271" i="22"/>
  <c r="D56" i="22"/>
  <c r="E269" i="22"/>
  <c r="J56" i="22"/>
  <c r="E266" i="22"/>
  <c r="K56" i="22"/>
  <c r="D42" i="22"/>
  <c r="C162" i="22"/>
  <c r="H56" i="22"/>
  <c r="F56" i="22"/>
  <c r="I70" i="22"/>
  <c r="E267" i="22"/>
  <c r="CO1114" i="28" l="1"/>
  <c r="CO1015" i="28"/>
  <c r="CO1027" i="28"/>
  <c r="CO1074" i="28"/>
  <c r="CO1133" i="28"/>
  <c r="CO1137" i="28"/>
  <c r="CO1063" i="28"/>
  <c r="CO1113" i="28"/>
  <c r="CO1051" i="28"/>
  <c r="CO1130" i="28"/>
  <c r="CO1080" i="28"/>
  <c r="CO1070" i="28"/>
  <c r="CO1053" i="28"/>
  <c r="CO1050" i="28"/>
  <c r="CO1052" i="28"/>
  <c r="CN1145" i="28"/>
  <c r="CO1145" i="28"/>
  <c r="CN1060" i="28"/>
  <c r="CO1060" i="28"/>
  <c r="CN1062" i="28"/>
  <c r="CO1062" i="28"/>
  <c r="CO1081" i="28"/>
  <c r="CO1040" i="28"/>
  <c r="CN1040" i="28"/>
  <c r="CO1131" i="28"/>
  <c r="CO1034" i="28"/>
  <c r="CO1026" i="28"/>
  <c r="CO1073" i="28"/>
  <c r="CO1132" i="28"/>
  <c r="CN1105" i="28"/>
  <c r="CO1105" i="28"/>
  <c r="CO1097" i="28"/>
  <c r="CO1065" i="28"/>
  <c r="CO1106" i="28"/>
  <c r="CO1055" i="28"/>
  <c r="CO1150" i="28"/>
  <c r="CN1150" i="28"/>
  <c r="CO1038" i="28"/>
  <c r="CN1038" i="28"/>
  <c r="CO1138" i="28"/>
  <c r="CO1054" i="28"/>
  <c r="CO1079" i="28"/>
  <c r="CO1071" i="28"/>
  <c r="CN1076" i="28"/>
  <c r="CO1076" i="28"/>
  <c r="CO1018" i="28"/>
  <c r="CN1018" i="28"/>
  <c r="CN1104" i="28"/>
  <c r="CO1104" i="28"/>
  <c r="CO1064" i="28"/>
  <c r="CN1061" i="28"/>
  <c r="CO1061" i="28"/>
  <c r="CO1036" i="28"/>
  <c r="CO1016" i="28"/>
  <c r="CO1028" i="28"/>
  <c r="CO1134" i="28"/>
  <c r="CO1098" i="28"/>
  <c r="CO1136" i="28"/>
  <c r="CO1112" i="28"/>
  <c r="CN1077" i="28"/>
  <c r="CO1077" i="28"/>
  <c r="CO1111" i="28"/>
  <c r="CO1143" i="28"/>
  <c r="CN1143" i="28"/>
  <c r="CN1149" i="28"/>
  <c r="CO1149" i="28"/>
  <c r="CO1035" i="28"/>
  <c r="CO1017" i="28"/>
  <c r="CO1072" i="28"/>
  <c r="CO1103" i="28"/>
  <c r="CN1103" i="28"/>
  <c r="CO1069" i="28"/>
  <c r="CO1096" i="28"/>
  <c r="CO1151" i="28"/>
  <c r="CN1151" i="28"/>
  <c r="CO1037" i="28"/>
  <c r="CN1037" i="28"/>
  <c r="CO1039" i="28"/>
  <c r="CN1039" i="28"/>
  <c r="CN1075" i="28"/>
  <c r="CO1075" i="28"/>
  <c r="CO1144" i="28"/>
  <c r="CN1144" i="28"/>
  <c r="CO1129" i="28"/>
  <c r="O7" i="69"/>
  <c r="U7" i="69"/>
  <c r="P7" i="69"/>
  <c r="L7" i="69"/>
  <c r="Q7" i="69"/>
  <c r="V7" i="69"/>
  <c r="M7" i="69"/>
  <c r="R7" i="69"/>
  <c r="W7" i="69"/>
  <c r="S7" i="69"/>
  <c r="X7" i="69"/>
  <c r="T7" i="69"/>
  <c r="N7" i="69"/>
  <c r="E274" i="22"/>
  <c r="I20" i="22" l="1"/>
  <c r="D259" i="22"/>
  <c r="J219" i="22"/>
  <c r="E219" i="22" s="1"/>
  <c r="I172" i="22"/>
  <c r="F172" i="22" s="1"/>
  <c r="K172" i="22"/>
  <c r="D172" i="22" s="1"/>
  <c r="I159" i="22"/>
  <c r="F159" i="22" s="1"/>
  <c r="K159" i="22"/>
  <c r="D159" i="22" s="1"/>
  <c r="J129" i="22"/>
  <c r="I129" i="22" s="1"/>
  <c r="C219" i="22" l="1"/>
  <c r="G219" i="22"/>
  <c r="I219" i="22"/>
  <c r="J159" i="22"/>
  <c r="G129" i="22"/>
  <c r="H159" i="22"/>
  <c r="J172" i="22"/>
  <c r="C129" i="22"/>
  <c r="E129" i="22"/>
  <c r="H172" i="22"/>
  <c r="E31" i="22"/>
  <c r="G31" i="22" s="1"/>
  <c r="E30" i="22"/>
  <c r="G30" i="22" s="1"/>
  <c r="F9" i="22"/>
  <c r="F41" i="22"/>
  <c r="G41" i="22"/>
  <c r="G32" i="22" l="1"/>
  <c r="I12" i="69"/>
  <c r="H218" i="22" l="1"/>
  <c r="J218" i="22" s="1"/>
  <c r="G218" i="22" s="1"/>
  <c r="K171" i="22"/>
  <c r="D171" i="22" s="1"/>
  <c r="I171" i="22"/>
  <c r="F171" i="22" s="1"/>
  <c r="K158" i="22"/>
  <c r="D158" i="22" s="1"/>
  <c r="I158" i="22"/>
  <c r="F158" i="22" s="1"/>
  <c r="D132" i="22"/>
  <c r="B132" i="22"/>
  <c r="F132" i="22"/>
  <c r="E357" i="22" l="1"/>
  <c r="E347" i="22"/>
  <c r="C218" i="22"/>
  <c r="E218" i="22"/>
  <c r="I218" i="22"/>
  <c r="J171" i="22"/>
  <c r="H171" i="22"/>
  <c r="J158" i="22"/>
  <c r="H158" i="22"/>
  <c r="H132" i="22"/>
  <c r="J132" i="22"/>
  <c r="F133" i="22"/>
  <c r="D133" i="22"/>
  <c r="B133" i="22"/>
  <c r="G132" i="22" l="1"/>
  <c r="E132" i="22"/>
  <c r="C132" i="22"/>
  <c r="I132" i="22"/>
  <c r="L30" i="22"/>
  <c r="L31" i="22"/>
  <c r="M31" i="22" l="1"/>
  <c r="N31" i="22" s="1"/>
  <c r="M30" i="22"/>
  <c r="N30" i="22" s="1"/>
  <c r="L32" i="22"/>
  <c r="D318" i="22"/>
  <c r="F320" i="22"/>
  <c r="I332" i="22"/>
  <c r="H332" i="22"/>
  <c r="H352" i="22"/>
  <c r="E328" i="22"/>
  <c r="G308" i="22"/>
  <c r="C309" i="22"/>
  <c r="G318" i="22"/>
  <c r="F332" i="22"/>
  <c r="C332" i="22"/>
  <c r="F316" i="22"/>
  <c r="E316" i="22"/>
  <c r="H355" i="22"/>
  <c r="H351" i="22"/>
  <c r="H330" i="22"/>
  <c r="D332" i="22"/>
  <c r="I309" i="22"/>
  <c r="J309" i="22"/>
  <c r="I318" i="22"/>
  <c r="D316" i="22"/>
  <c r="E320" i="22"/>
  <c r="G309" i="22"/>
  <c r="F309" i="22"/>
  <c r="F330" i="22"/>
  <c r="G332" i="22"/>
  <c r="H318" i="22"/>
  <c r="D330" i="22"/>
  <c r="G328" i="22"/>
  <c r="H328" i="22"/>
  <c r="D320" i="22"/>
  <c r="E330" i="22"/>
  <c r="G320" i="22"/>
  <c r="F328" i="22"/>
  <c r="I328" i="22"/>
  <c r="D37" i="22"/>
  <c r="G316" i="22"/>
  <c r="I308" i="22"/>
  <c r="G330" i="22"/>
  <c r="J308" i="22"/>
  <c r="I316" i="22"/>
  <c r="C308" i="22"/>
  <c r="F318" i="22"/>
  <c r="I320" i="22"/>
  <c r="C330" i="22"/>
  <c r="H316" i="22"/>
  <c r="F308" i="22"/>
  <c r="I330" i="22"/>
  <c r="E332" i="22"/>
  <c r="C318" i="22"/>
  <c r="H320" i="22"/>
  <c r="D308" i="22"/>
  <c r="D309" i="22"/>
  <c r="E318" i="22"/>
  <c r="C316" i="22"/>
  <c r="H354" i="22"/>
  <c r="D328" i="22"/>
  <c r="C328" i="22"/>
  <c r="C320" i="22"/>
  <c r="I341" i="22" l="1"/>
  <c r="I354" i="22"/>
  <c r="I352" i="22"/>
  <c r="I353" i="22"/>
  <c r="I355" i="22"/>
  <c r="H357" i="22"/>
  <c r="I351" i="22"/>
  <c r="I356" i="22"/>
  <c r="I343" i="22"/>
  <c r="H347" i="22"/>
  <c r="I345" i="22"/>
  <c r="I344" i="22"/>
  <c r="I342" i="22"/>
  <c r="I346" i="22"/>
  <c r="I170" i="22"/>
  <c r="C198" i="22"/>
  <c r="B222" i="22"/>
  <c r="B246" i="22"/>
  <c r="D222" i="22"/>
  <c r="C175" i="22"/>
  <c r="O257" i="22"/>
  <c r="O258" i="22"/>
  <c r="B198" i="22"/>
  <c r="O254" i="22"/>
  <c r="O256" i="22"/>
  <c r="E246" i="22"/>
  <c r="G175" i="22"/>
  <c r="F222" i="22"/>
  <c r="C246" i="22"/>
  <c r="E198" i="22"/>
  <c r="D198" i="22"/>
  <c r="D246" i="22"/>
  <c r="E175" i="22"/>
  <c r="B247" i="22" l="1"/>
  <c r="C247" i="22"/>
  <c r="O259" i="22"/>
  <c r="D247" i="22"/>
  <c r="E247" i="22"/>
  <c r="P254" i="22"/>
  <c r="P255" i="22"/>
  <c r="P256" i="22"/>
  <c r="P257" i="22"/>
  <c r="P258" i="22"/>
  <c r="F246" i="22"/>
  <c r="F247" i="22" s="1"/>
  <c r="B223" i="22"/>
  <c r="D223" i="22"/>
  <c r="G246" i="22"/>
  <c r="G247" i="22" s="1"/>
  <c r="F223" i="22"/>
  <c r="H222" i="22"/>
  <c r="B199" i="22"/>
  <c r="F198" i="22"/>
  <c r="F199" i="22" s="1"/>
  <c r="C199" i="22"/>
  <c r="G198" i="22"/>
  <c r="G199" i="22" s="1"/>
  <c r="D199" i="22"/>
  <c r="E199" i="22"/>
  <c r="K175" i="22"/>
  <c r="D175" i="22" s="1"/>
  <c r="I175" i="22"/>
  <c r="G176" i="22"/>
  <c r="E176" i="22"/>
  <c r="C176" i="22"/>
  <c r="H127" i="22"/>
  <c r="H65" i="22"/>
  <c r="D69" i="22"/>
  <c r="G69" i="22"/>
  <c r="D51" i="22"/>
  <c r="J55" i="22"/>
  <c r="F51" i="22"/>
  <c r="G52" i="22"/>
  <c r="F53" i="22"/>
  <c r="K51" i="22"/>
  <c r="K57" i="22"/>
  <c r="D57" i="22"/>
  <c r="E104" i="22"/>
  <c r="J57" i="22"/>
  <c r="H67" i="22"/>
  <c r="C93" i="22"/>
  <c r="E57" i="22"/>
  <c r="E51" i="22"/>
  <c r="D53" i="22"/>
  <c r="G67" i="22"/>
  <c r="K52" i="22"/>
  <c r="G39" i="22"/>
  <c r="E55" i="22"/>
  <c r="H57" i="22"/>
  <c r="G53" i="22"/>
  <c r="C98" i="22"/>
  <c r="E97" i="22"/>
  <c r="D104" i="22"/>
  <c r="D66" i="22"/>
  <c r="D52" i="22"/>
  <c r="H55" i="22"/>
  <c r="E69" i="22"/>
  <c r="G51" i="22"/>
  <c r="F55" i="22"/>
  <c r="I67" i="22"/>
  <c r="D97" i="22"/>
  <c r="K55" i="22"/>
  <c r="E53" i="22"/>
  <c r="I52" i="22"/>
  <c r="D105" i="22"/>
  <c r="G55" i="22"/>
  <c r="D93" i="22"/>
  <c r="F57" i="22"/>
  <c r="I51" i="22"/>
  <c r="G66" i="22"/>
  <c r="C97" i="22"/>
  <c r="I65" i="22"/>
  <c r="D39" i="22"/>
  <c r="D98" i="22"/>
  <c r="I53" i="22"/>
  <c r="F39" i="22"/>
  <c r="E67" i="22"/>
  <c r="E39" i="22"/>
  <c r="K53" i="22"/>
  <c r="J51" i="22"/>
  <c r="F65" i="22"/>
  <c r="G65" i="22"/>
  <c r="E105" i="22"/>
  <c r="I69" i="22"/>
  <c r="E98" i="22"/>
  <c r="G57" i="22"/>
  <c r="E52" i="22"/>
  <c r="H66" i="22"/>
  <c r="F66" i="22"/>
  <c r="H53" i="22"/>
  <c r="F52" i="22"/>
  <c r="E66" i="22"/>
  <c r="F105" i="22"/>
  <c r="I55" i="22"/>
  <c r="B93" i="22"/>
  <c r="H51" i="22"/>
  <c r="F104" i="22"/>
  <c r="D103" i="22"/>
  <c r="H52" i="22"/>
  <c r="J52" i="22"/>
  <c r="J53" i="22"/>
  <c r="I57" i="22"/>
  <c r="H69" i="22"/>
  <c r="D67" i="22"/>
  <c r="D55" i="22"/>
  <c r="E162" i="22"/>
  <c r="F67" i="22"/>
  <c r="F103" i="22"/>
  <c r="F69" i="22"/>
  <c r="D65" i="22"/>
  <c r="I66" i="22"/>
  <c r="E65" i="22"/>
  <c r="E103" i="22"/>
  <c r="I72" i="22" l="1"/>
  <c r="I162" i="22"/>
  <c r="L53" i="22"/>
  <c r="P53" i="22" s="1"/>
  <c r="M53" i="22"/>
  <c r="Q53" i="22" s="1"/>
  <c r="J222" i="22"/>
  <c r="I222" i="22" s="1"/>
  <c r="J175" i="22"/>
  <c r="F175" i="22"/>
  <c r="H175" i="22"/>
  <c r="K162" i="22"/>
  <c r="C163" i="22"/>
  <c r="E163" i="22"/>
  <c r="G163" i="22"/>
  <c r="J128" i="22"/>
  <c r="H128" i="22"/>
  <c r="H133" i="22" s="1"/>
  <c r="D58" i="22"/>
  <c r="G43" i="22"/>
  <c r="D41" i="22"/>
  <c r="F43" i="22"/>
  <c r="E41" i="22"/>
  <c r="J162" i="22" l="1"/>
  <c r="F162" i="22"/>
  <c r="H162" i="22"/>
  <c r="E128" i="22"/>
  <c r="E222" i="22"/>
  <c r="C222" i="22"/>
  <c r="G222" i="22"/>
  <c r="D162" i="22"/>
  <c r="I128" i="22"/>
  <c r="G128" i="22"/>
  <c r="C128" i="22"/>
  <c r="H42" i="22"/>
  <c r="I42" i="22"/>
  <c r="H43" i="22"/>
  <c r="I43" i="22"/>
  <c r="E37" i="22"/>
  <c r="E38" i="22"/>
  <c r="D38" i="22"/>
  <c r="G37" i="22"/>
  <c r="F37" i="22"/>
  <c r="F38" i="22"/>
  <c r="G38" i="22"/>
  <c r="D44" i="22" l="1"/>
  <c r="E44" i="22"/>
  <c r="F44" i="22"/>
  <c r="G44" i="22"/>
  <c r="J32" i="22"/>
  <c r="C12" i="69" l="1"/>
  <c r="C10" i="69"/>
  <c r="D10" i="69" s="1"/>
  <c r="E10" i="69" s="1"/>
  <c r="F10" i="69" s="1"/>
  <c r="G10" i="69" s="1"/>
  <c r="I10" i="69" s="1"/>
  <c r="J10" i="69" s="1"/>
  <c r="K10" i="69" s="1"/>
  <c r="L10" i="69" s="1"/>
  <c r="M10" i="69" s="1"/>
  <c r="N10" i="69" s="1"/>
  <c r="O10" i="69" s="1"/>
  <c r="P10" i="69" s="1"/>
  <c r="Q10" i="69" s="1"/>
  <c r="R10" i="69" s="1"/>
  <c r="S10" i="69" s="1"/>
  <c r="T10" i="69" s="1"/>
  <c r="U10" i="69" s="1"/>
  <c r="G5" i="69"/>
  <c r="C357" i="22" l="1"/>
  <c r="C347" i="22"/>
  <c r="D357" i="22" l="1"/>
  <c r="I357" i="22" s="1"/>
  <c r="D347" i="22" l="1"/>
  <c r="I347" i="22" s="1"/>
  <c r="I156" i="22"/>
  <c r="K72" i="22" l="1"/>
  <c r="M71" i="22"/>
  <c r="L71" i="22"/>
  <c r="P71" i="22" s="1"/>
  <c r="Q71" i="22" l="1"/>
  <c r="J58" i="22"/>
  <c r="K58" i="22"/>
  <c r="C8" i="69" l="1"/>
  <c r="I32" i="22"/>
  <c r="E308" i="22"/>
  <c r="L70" i="22"/>
  <c r="P70" i="22" s="1"/>
  <c r="N70" i="22" s="1"/>
  <c r="H38" i="22"/>
  <c r="I37" i="22"/>
  <c r="H37" i="22"/>
  <c r="K157" i="22"/>
  <c r="D157" i="22" s="1"/>
  <c r="L56" i="22"/>
  <c r="P56" i="22" s="1"/>
  <c r="M68" i="22"/>
  <c r="Q68" i="22" s="1"/>
  <c r="O68" i="22" s="1"/>
  <c r="E58" i="22"/>
  <c r="G58" i="22"/>
  <c r="F72" i="22"/>
  <c r="H41" i="22"/>
  <c r="G302" i="22"/>
  <c r="M57" i="22"/>
  <c r="Q57" i="22" s="1"/>
  <c r="L69" i="22"/>
  <c r="P69" i="22" s="1"/>
  <c r="N69" i="22" s="1"/>
  <c r="L68" i="22"/>
  <c r="P68" i="22" s="1"/>
  <c r="N68" i="22" s="1"/>
  <c r="M70" i="22"/>
  <c r="Q70" i="22" s="1"/>
  <c r="O70" i="22" s="1"/>
  <c r="H58" i="22"/>
  <c r="L52" i="22"/>
  <c r="P52" i="22" s="1"/>
  <c r="H308" i="22"/>
  <c r="H309" i="22"/>
  <c r="E302" i="22"/>
  <c r="L57" i="22"/>
  <c r="P57" i="22" s="1"/>
  <c r="E106" i="22"/>
  <c r="E108" i="22" s="1"/>
  <c r="K308" i="22"/>
  <c r="D106" i="22"/>
  <c r="D108" i="22" s="1"/>
  <c r="L67" i="22"/>
  <c r="P67" i="22" s="1"/>
  <c r="N67" i="22" s="1"/>
  <c r="L55" i="22"/>
  <c r="P55" i="22" s="1"/>
  <c r="L54" i="22"/>
  <c r="P54" i="22" s="1"/>
  <c r="M55" i="22"/>
  <c r="Q55" i="22" s="1"/>
  <c r="M54" i="22"/>
  <c r="Q54" i="22" s="1"/>
  <c r="I58" i="22"/>
  <c r="M52" i="22"/>
  <c r="Q52" i="22" s="1"/>
  <c r="G72" i="22"/>
  <c r="M69" i="22"/>
  <c r="Q69" i="22" s="1"/>
  <c r="O69" i="22" s="1"/>
  <c r="L66" i="22"/>
  <c r="H72" i="22"/>
  <c r="M56" i="22"/>
  <c r="Q56" i="22" s="1"/>
  <c r="M67" i="22"/>
  <c r="Q67" i="22" s="1"/>
  <c r="O67" i="22" s="1"/>
  <c r="M66" i="22"/>
  <c r="I41" i="22"/>
  <c r="I38" i="22"/>
  <c r="H40" i="22"/>
  <c r="I39" i="22"/>
  <c r="H39" i="22"/>
  <c r="K309" i="22"/>
  <c r="K170" i="22"/>
  <c r="E309" i="22"/>
  <c r="I157" i="22"/>
  <c r="I40" i="22"/>
  <c r="I163" i="22" l="1"/>
  <c r="D12" i="69"/>
  <c r="D170" i="22"/>
  <c r="C11" i="69"/>
  <c r="F106" i="22"/>
  <c r="F108" i="22" s="1"/>
  <c r="H157" i="22"/>
  <c r="J157" i="22"/>
  <c r="L72" i="22"/>
  <c r="P66" i="22"/>
  <c r="N66" i="22" s="1"/>
  <c r="F170" i="22"/>
  <c r="J170" i="22"/>
  <c r="H170" i="22"/>
  <c r="F157" i="22"/>
  <c r="Q66" i="22"/>
  <c r="O66" i="22" s="1"/>
  <c r="M72" i="22"/>
  <c r="H217" i="22"/>
  <c r="H223" i="22" s="1"/>
  <c r="J127" i="22"/>
  <c r="J133" i="22" s="1"/>
  <c r="K169" i="22"/>
  <c r="D169" i="22" s="1"/>
  <c r="I169" i="22"/>
  <c r="I176" i="22" s="1"/>
  <c r="K156" i="22"/>
  <c r="D156" i="22" s="1"/>
  <c r="E127" i="22" l="1"/>
  <c r="K176" i="22"/>
  <c r="D176" i="22" s="1"/>
  <c r="H176" i="22"/>
  <c r="F176" i="22"/>
  <c r="K163" i="22"/>
  <c r="D163" i="22" s="1"/>
  <c r="C127" i="22"/>
  <c r="G127" i="22"/>
  <c r="J217" i="22"/>
  <c r="J223" i="22" s="1"/>
  <c r="J169" i="22"/>
  <c r="J156" i="22"/>
  <c r="H169" i="22"/>
  <c r="F169" i="22"/>
  <c r="H156" i="22"/>
  <c r="F156" i="22"/>
  <c r="J176" i="22" l="1"/>
  <c r="J163" i="22"/>
  <c r="G217" i="22"/>
  <c r="C217" i="22"/>
  <c r="E217" i="22"/>
  <c r="I217" i="22"/>
  <c r="H163" i="22"/>
  <c r="F163" i="22"/>
  <c r="O56" i="22" l="1"/>
  <c r="N56" i="22"/>
  <c r="D8" i="69" l="1"/>
  <c r="E8" i="69" s="1"/>
  <c r="F8" i="69" s="1"/>
  <c r="G8" i="69" s="1"/>
  <c r="I8" i="69" s="1"/>
  <c r="I14" i="22" s="1"/>
  <c r="I15" i="22" s="1"/>
  <c r="I16" i="22" s="1"/>
  <c r="I17" i="22" l="1"/>
  <c r="I22" i="22"/>
  <c r="J8" i="69"/>
  <c r="J12" i="69"/>
  <c r="P259" i="22"/>
  <c r="K8" i="69" l="1"/>
  <c r="K12" i="69"/>
  <c r="F12" i="69"/>
  <c r="D11" i="69"/>
  <c r="E12" i="69"/>
  <c r="E11" i="69"/>
  <c r="L12" i="69" l="1"/>
  <c r="L8" i="69"/>
  <c r="M8" i="69" s="1"/>
  <c r="G12" i="69"/>
  <c r="F11" i="69"/>
  <c r="G11" i="69"/>
  <c r="H322" i="22"/>
  <c r="D334" i="22"/>
  <c r="O53" i="22"/>
  <c r="H334" i="22"/>
  <c r="I310" i="22"/>
  <c r="E322" i="22"/>
  <c r="C322" i="22"/>
  <c r="L51" i="22"/>
  <c r="P51" i="22" s="1"/>
  <c r="E72" i="22"/>
  <c r="Q72" i="22" s="1"/>
  <c r="O72" i="22" s="1"/>
  <c r="O55" i="22"/>
  <c r="G310" i="22"/>
  <c r="F310" i="22"/>
  <c r="D310" i="22"/>
  <c r="C310" i="22"/>
  <c r="D99" i="22"/>
  <c r="J310" i="22"/>
  <c r="D322" i="22"/>
  <c r="G334" i="22"/>
  <c r="E99" i="22"/>
  <c r="D72" i="22"/>
  <c r="P72" i="22" s="1"/>
  <c r="N72" i="22" s="1"/>
  <c r="F58" i="22"/>
  <c r="M65" i="22"/>
  <c r="F334" i="22"/>
  <c r="I334" i="22"/>
  <c r="L65" i="22"/>
  <c r="P65" i="22" s="1"/>
  <c r="N65" i="22" s="1"/>
  <c r="E310" i="22"/>
  <c r="F322" i="22"/>
  <c r="M51" i="22"/>
  <c r="C334" i="22"/>
  <c r="G322" i="22"/>
  <c r="I322" i="22"/>
  <c r="E334" i="22"/>
  <c r="C99" i="22"/>
  <c r="M12" i="69" l="1"/>
  <c r="N12" i="69"/>
  <c r="N8" i="69"/>
  <c r="Q51" i="22"/>
  <c r="O51" i="22" s="1"/>
  <c r="H11" i="69"/>
  <c r="Q65" i="22"/>
  <c r="O65" i="22" s="1"/>
  <c r="H44" i="22"/>
  <c r="I44" i="22"/>
  <c r="N52" i="22"/>
  <c r="L58" i="22"/>
  <c r="P58" i="22" s="1"/>
  <c r="O54" i="22"/>
  <c r="M58" i="22"/>
  <c r="Q58" i="22" s="1"/>
  <c r="O52" i="22"/>
  <c r="N55" i="22"/>
  <c r="N54" i="22"/>
  <c r="N53" i="22"/>
  <c r="H32" i="22"/>
  <c r="M32" i="22" s="1"/>
  <c r="N32" i="22" s="1"/>
  <c r="I18" i="22"/>
  <c r="I19" i="22" s="1"/>
  <c r="I21" i="22"/>
  <c r="K310" i="22"/>
  <c r="N51" i="22"/>
  <c r="J334" i="22"/>
  <c r="H310" i="22"/>
  <c r="J322" i="22"/>
  <c r="G223" i="22"/>
  <c r="J332" i="22"/>
  <c r="C333" i="22" s="1"/>
  <c r="J318" i="22"/>
  <c r="O12" i="69" l="1"/>
  <c r="O8" i="69"/>
  <c r="P8" i="69" s="1"/>
  <c r="Q8" i="69" s="1"/>
  <c r="R8" i="69" s="1"/>
  <c r="S8" i="69" s="1"/>
  <c r="T8" i="69" s="1"/>
  <c r="U8" i="69" s="1"/>
  <c r="V8" i="69" s="1"/>
  <c r="I11" i="69"/>
  <c r="I127" i="22"/>
  <c r="H335" i="22"/>
  <c r="C335" i="22"/>
  <c r="D335" i="22"/>
  <c r="I335" i="22"/>
  <c r="G335" i="22"/>
  <c r="F335" i="22"/>
  <c r="O58" i="22"/>
  <c r="G323" i="22"/>
  <c r="E323" i="22"/>
  <c r="F323" i="22"/>
  <c r="C323" i="22"/>
  <c r="I323" i="22"/>
  <c r="D323" i="22"/>
  <c r="J320" i="22" s="1"/>
  <c r="H323" i="22"/>
  <c r="N58" i="22"/>
  <c r="E335" i="22"/>
  <c r="I223" i="22"/>
  <c r="E223" i="22"/>
  <c r="C223" i="22"/>
  <c r="C319" i="22"/>
  <c r="I319" i="22"/>
  <c r="D319" i="22"/>
  <c r="H319" i="22"/>
  <c r="G319" i="22"/>
  <c r="E319" i="22"/>
  <c r="F319" i="22"/>
  <c r="I333" i="22"/>
  <c r="F333" i="22"/>
  <c r="D333" i="22"/>
  <c r="E333" i="22"/>
  <c r="G333" i="22"/>
  <c r="J330" i="22"/>
  <c r="H333" i="22"/>
  <c r="V11" i="69" l="1"/>
  <c r="W8" i="69"/>
  <c r="J11" i="69"/>
  <c r="C133" i="22"/>
  <c r="I133" i="22"/>
  <c r="E133" i="22"/>
  <c r="G133" i="22"/>
  <c r="J335" i="22"/>
  <c r="I321" i="22"/>
  <c r="F321" i="22"/>
  <c r="D321" i="22"/>
  <c r="H321" i="22"/>
  <c r="C321" i="22"/>
  <c r="E321" i="22"/>
  <c r="G321" i="22"/>
  <c r="J323" i="22"/>
  <c r="J319" i="22"/>
  <c r="F331" i="22"/>
  <c r="I331" i="22"/>
  <c r="C331" i="22"/>
  <c r="G331" i="22"/>
  <c r="H331" i="22"/>
  <c r="E331" i="22"/>
  <c r="D331" i="22"/>
  <c r="J316" i="22"/>
  <c r="W11" i="69" l="1"/>
  <c r="X8" i="69"/>
  <c r="X11" i="69" s="1"/>
  <c r="K11" i="69"/>
  <c r="J321" i="22"/>
  <c r="J331" i="22"/>
  <c r="E317" i="22"/>
  <c r="F317" i="22"/>
  <c r="D317" i="22"/>
  <c r="G317" i="22"/>
  <c r="I317" i="22"/>
  <c r="C317" i="22"/>
  <c r="H317" i="22"/>
  <c r="J328" i="22"/>
  <c r="L11" i="69" l="1"/>
  <c r="J317" i="22"/>
  <c r="D329" i="22"/>
  <c r="F329" i="22"/>
  <c r="I329" i="22"/>
  <c r="H329" i="22"/>
  <c r="E329" i="22"/>
  <c r="C329" i="22"/>
  <c r="G329" i="22"/>
  <c r="M11" i="69" l="1"/>
  <c r="J329" i="22"/>
  <c r="N11" i="69" l="1"/>
  <c r="O11" i="69" l="1"/>
  <c r="P11" i="69" l="1"/>
  <c r="Q11" i="69" l="1"/>
  <c r="R11" i="69" l="1"/>
  <c r="S11" i="69" l="1"/>
  <c r="T11" i="69" l="1"/>
  <c r="U11" i="69"/>
</calcChain>
</file>

<file path=xl/sharedStrings.xml><?xml version="1.0" encoding="utf-8"?>
<sst xmlns="http://schemas.openxmlformats.org/spreadsheetml/2006/main" count="20870" uniqueCount="3092">
  <si>
    <t>Wandsworth Local Plan – Authority Monitoring Report 2022/23
Housing Policy Performance Report – Summary Tables</t>
  </si>
  <si>
    <t>Housing Supply</t>
  </si>
  <si>
    <t>Table 1a</t>
  </si>
  <si>
    <t>Performance against 2021 London Plan target</t>
  </si>
  <si>
    <t>Net Additional Dwellings</t>
  </si>
  <si>
    <t>2021 London Plan Target</t>
  </si>
  <si>
    <t>Annual Target</t>
  </si>
  <si>
    <t>Provision - 20% of Plan period</t>
  </si>
  <si>
    <t>Total Provision</t>
  </si>
  <si>
    <t>% of 10-Year Target</t>
  </si>
  <si>
    <t>2021/22</t>
  </si>
  <si>
    <t>2022/23</t>
  </si>
  <si>
    <t>Conventional Supply and Non-Self-Contained Supply</t>
  </si>
  <si>
    <t>Table 1b</t>
  </si>
  <si>
    <t>Five year housing land supply calculation</t>
  </si>
  <si>
    <t>a</t>
  </si>
  <si>
    <t>2021 London Plan 10-year target</t>
  </si>
  <si>
    <t>b</t>
  </si>
  <si>
    <t>Net Completions 1 April 2021 to 31 March 2023</t>
  </si>
  <si>
    <t>c</t>
  </si>
  <si>
    <t>Remaining London Plan Requirement</t>
  </si>
  <si>
    <t>a - b</t>
  </si>
  <si>
    <t>d</t>
  </si>
  <si>
    <t>Average per year</t>
  </si>
  <si>
    <t>c ÷ 8</t>
  </si>
  <si>
    <t>e</t>
  </si>
  <si>
    <t>Five year requirement</t>
  </si>
  <si>
    <t>d x 5</t>
  </si>
  <si>
    <t>f</t>
  </si>
  <si>
    <t>Five percent buffer</t>
  </si>
  <si>
    <t>e × 0.05</t>
  </si>
  <si>
    <t>g</t>
  </si>
  <si>
    <t>Five year requirement including 5% buffer</t>
  </si>
  <si>
    <t>e + f</t>
  </si>
  <si>
    <t>h</t>
  </si>
  <si>
    <t>Estimated supply over five year period</t>
  </si>
  <si>
    <t>i</t>
  </si>
  <si>
    <t>Five year land supply as a percentage of requirement (excluding 5% buffer)</t>
  </si>
  <si>
    <t>(h ÷ e) x 100</t>
  </si>
  <si>
    <t>j</t>
  </si>
  <si>
    <t>Five year land supply expressed in years (excluding 5% buffer)</t>
  </si>
  <si>
    <t>h ÷ d</t>
  </si>
  <si>
    <t>Note: All dwelling counts in the following tables, Tables 1c–19, are of conventional supply.</t>
  </si>
  <si>
    <t>Table 1c</t>
  </si>
  <si>
    <t>Net affordable housing completions against Local Plan target</t>
  </si>
  <si>
    <t>Tenure</t>
  </si>
  <si>
    <t>Local Plan Target</t>
  </si>
  <si>
    <t>5-Year Target</t>
  </si>
  <si>
    <t xml:space="preserve">Completions </t>
  </si>
  <si>
    <t>Total</t>
  </si>
  <si>
    <t>% of 5-Year Target</t>
  </si>
  <si>
    <t>2015/16 to 2019/20</t>
  </si>
  <si>
    <t>2020/21 to 2024/25</t>
  </si>
  <si>
    <t>2018/19</t>
  </si>
  <si>
    <t>2019/20</t>
  </si>
  <si>
    <t>2020/21</t>
  </si>
  <si>
    <t>Intermediate</t>
  </si>
  <si>
    <t>Social/Affordable Rent</t>
  </si>
  <si>
    <t>Table 2</t>
  </si>
  <si>
    <t>Housing land capacity by development type at 31 March 2023</t>
  </si>
  <si>
    <t>Housing Capacity</t>
  </si>
  <si>
    <t>New Build</t>
  </si>
  <si>
    <t>Conversions</t>
  </si>
  <si>
    <t xml:space="preserve">Gross </t>
  </si>
  <si>
    <t>Net</t>
  </si>
  <si>
    <t>Completed 2022/23</t>
  </si>
  <si>
    <t>Under Construction</t>
  </si>
  <si>
    <t>Planning Permissions</t>
  </si>
  <si>
    <t>Applications Subject to Legal Agreement</t>
  </si>
  <si>
    <t>Identified Sites</t>
  </si>
  <si>
    <t>Potential Sites</t>
  </si>
  <si>
    <t>Small Sites Allowance</t>
  </si>
  <si>
    <t>Total Pipeline at 31 March 2023</t>
  </si>
  <si>
    <t>Note: Pipeline includes some dwellings expected to be completed beyond the phasing shown in the housing trajectory</t>
  </si>
  <si>
    <t>Table 3</t>
  </si>
  <si>
    <t>Housing land capacity at 31 March 2023, by tenure</t>
  </si>
  <si>
    <t>Status</t>
  </si>
  <si>
    <t>Open Market</t>
  </si>
  <si>
    <t>Affordable</t>
  </si>
  <si>
    <t>Unknown</t>
  </si>
  <si>
    <t>Total Affordable</t>
  </si>
  <si>
    <t>% Affordable</t>
  </si>
  <si>
    <t>Gross</t>
  </si>
  <si>
    <t>Table 4</t>
  </si>
  <si>
    <t>Housing land capacity at 31 March 2023, by tenure (new build only)</t>
  </si>
  <si>
    <t>Table 5</t>
  </si>
  <si>
    <t>Net units granted planning permission, started and completed in 2006/07 - 2022/23</t>
  </si>
  <si>
    <t>Year</t>
  </si>
  <si>
    <t xml:space="preserve"> Permissions</t>
  </si>
  <si>
    <t xml:space="preserve"> Starts</t>
  </si>
  <si>
    <t xml:space="preserve"> Completions</t>
  </si>
  <si>
    <t>2006/07</t>
  </si>
  <si>
    <t>2007/08</t>
  </si>
  <si>
    <t>2008/09</t>
  </si>
  <si>
    <t>2009/10</t>
  </si>
  <si>
    <t>2010/11</t>
  </si>
  <si>
    <t>2011/12</t>
  </si>
  <si>
    <t>2012/13</t>
  </si>
  <si>
    <t>2013/14</t>
  </si>
  <si>
    <t>2014/15</t>
  </si>
  <si>
    <t>2015/16</t>
  </si>
  <si>
    <t>2016/17</t>
  </si>
  <si>
    <t>2017/18</t>
  </si>
  <si>
    <t>Table 6</t>
  </si>
  <si>
    <t>Net units granted planning permission, started and completed in 2022/23 by development type</t>
  </si>
  <si>
    <t>Development Type</t>
  </si>
  <si>
    <t>Permissions</t>
  </si>
  <si>
    <t>Starts</t>
  </si>
  <si>
    <t>Completions</t>
  </si>
  <si>
    <t>Table 7</t>
  </si>
  <si>
    <t>Net units granted planning permission, started or completed in 2022/23 by tenure</t>
  </si>
  <si>
    <t>All Developments by Tenure</t>
  </si>
  <si>
    <t>Table 8a</t>
  </si>
  <si>
    <t>Net completions by tenure and financial year in 2006/07 - 2022/23</t>
  </si>
  <si>
    <t xml:space="preserve"> Open Market</t>
  </si>
  <si>
    <t xml:space="preserve"> Intermediate</t>
  </si>
  <si>
    <t xml:space="preserve"> Social/Affordable Rent</t>
  </si>
  <si>
    <t>Units</t>
  </si>
  <si>
    <t>%</t>
  </si>
  <si>
    <t>Major Developments by Tenure</t>
  </si>
  <si>
    <t>Table 8b</t>
  </si>
  <si>
    <t>Net completions on VNEB sites with developments of 10 or more dwellings, against Local Plan affordable mix targets</t>
  </si>
  <si>
    <t>Target (VNEB)</t>
  </si>
  <si>
    <t>Table 8c</t>
  </si>
  <si>
    <t>Net completions on sites outside VNEB with developments of 10 or more dwellings, against Local Plan affordable mix targets in 2016/17 - 2022/23</t>
  </si>
  <si>
    <t>Target (outside VNEB)</t>
  </si>
  <si>
    <t>Conversions/New Build</t>
  </si>
  <si>
    <t>Table 9</t>
  </si>
  <si>
    <t>Net completions by development type in 2006/07 - 2022/23</t>
  </si>
  <si>
    <t>Table 10</t>
  </si>
  <si>
    <t>Net units commenced per financial year by tenure in 2006/07 - 2022/23</t>
  </si>
  <si>
    <t>New Permissions</t>
  </si>
  <si>
    <t>Table 11</t>
  </si>
  <si>
    <t>Net units with new planning permission by development type in 2006/07 - 2022/23</t>
  </si>
  <si>
    <t xml:space="preserve"> New Build</t>
  </si>
  <si>
    <t xml:space="preserve"> Conversions</t>
  </si>
  <si>
    <t>Spatial Areas</t>
  </si>
  <si>
    <t>Town Centres</t>
  </si>
  <si>
    <t>Table 12</t>
  </si>
  <si>
    <t>Net completions in town centres in 2011/12 - 2022/23</t>
  </si>
  <si>
    <t>Town Centre</t>
  </si>
  <si>
    <t>Balham</t>
  </si>
  <si>
    <t>Clapham Junction</t>
  </si>
  <si>
    <t>Putney</t>
  </si>
  <si>
    <t>Tooting</t>
  </si>
  <si>
    <t>Wandsworth</t>
  </si>
  <si>
    <t>Policy Areas</t>
  </si>
  <si>
    <t>Table 13</t>
  </si>
  <si>
    <t>Net completions by policy areas</t>
  </si>
  <si>
    <t>Policy Area</t>
  </si>
  <si>
    <t>Clapham Junction Spatial Area Strategy</t>
  </si>
  <si>
    <t>Nine Elms Vauxhall Opportunity Area</t>
  </si>
  <si>
    <t>Putney Town Centre</t>
  </si>
  <si>
    <t>Roehampton Regeneration Area</t>
  </si>
  <si>
    <t>The Wandle Valley</t>
  </si>
  <si>
    <t>Wandsworth's Riverside</t>
  </si>
  <si>
    <t>Wandsworth Town, excl. Wandle Delta Masterplan Area</t>
  </si>
  <si>
    <t>Wandsworth Town, inc. Wandle Delta Masterplan Area</t>
  </si>
  <si>
    <t>Wards</t>
  </si>
  <si>
    <t>Table 14</t>
  </si>
  <si>
    <t>Net units by ward with planning permission not started or under construction as at 31 March 2023 or completed in 2022/23</t>
  </si>
  <si>
    <t>Ward</t>
  </si>
  <si>
    <t>Not Started</t>
  </si>
  <si>
    <t>Battersea Park</t>
  </si>
  <si>
    <t>East Putney</t>
  </si>
  <si>
    <t>Falconbrook</t>
  </si>
  <si>
    <t>Furzedown</t>
  </si>
  <si>
    <t>Lavender</t>
  </si>
  <si>
    <t>Nine Elms</t>
  </si>
  <si>
    <t>Northcote</t>
  </si>
  <si>
    <t>Roehampton</t>
  </si>
  <si>
    <t>Shaftesbury &amp; Queenstown</t>
  </si>
  <si>
    <t>South Balham</t>
  </si>
  <si>
    <t>Southfields</t>
  </si>
  <si>
    <t>St Mary's</t>
  </si>
  <si>
    <t>Thamesfield</t>
  </si>
  <si>
    <t>Tooting Bec</t>
  </si>
  <si>
    <t>Tooting Broadway</t>
  </si>
  <si>
    <t>Trinity</t>
  </si>
  <si>
    <t>Wandle</t>
  </si>
  <si>
    <t>Wandsworth Common</t>
  </si>
  <si>
    <t>Wandsworth Town</t>
  </si>
  <si>
    <t>West Hill</t>
  </si>
  <si>
    <t>West Putney</t>
  </si>
  <si>
    <t>Vauxhall, Nine Elms, Battersea Opportunity Area (VNEB)</t>
  </si>
  <si>
    <t>Table 15</t>
  </si>
  <si>
    <t>Net units in VNEB by tenure with planning permissions not started or under construction as at 31 March 2023 or completed in 2022/23</t>
  </si>
  <si>
    <t>Market</t>
  </si>
  <si>
    <t>VNEB</t>
  </si>
  <si>
    <t>Rest of Wandsworth</t>
  </si>
  <si>
    <t>Dwelling Mix</t>
  </si>
  <si>
    <t>Table 16</t>
  </si>
  <si>
    <t>Net new build units completed by unit size and tenure</t>
  </si>
  <si>
    <t>Studio</t>
  </si>
  <si>
    <t>1 bed</t>
  </si>
  <si>
    <t>2 bed</t>
  </si>
  <si>
    <t>3 bed</t>
  </si>
  <si>
    <t>4 bed</t>
  </si>
  <si>
    <t>5+ bed</t>
  </si>
  <si>
    <t>Not Known</t>
  </si>
  <si>
    <t>Table 17</t>
  </si>
  <si>
    <t>Net new build units with planning permission by unit size and tenure</t>
  </si>
  <si>
    <t>Table 18</t>
  </si>
  <si>
    <t>Completed conversions (gross units) in 2017/18 - 2022/23</t>
  </si>
  <si>
    <t>House &gt; Flats</t>
  </si>
  <si>
    <t>Flats &gt; House</t>
  </si>
  <si>
    <t>Flats &gt; Flats</t>
  </si>
  <si>
    <t>Houses &gt; Houses</t>
  </si>
  <si>
    <t>Change of Use</t>
  </si>
  <si>
    <t>Vertical Extension</t>
  </si>
  <si>
    <t>Table 19</t>
  </si>
  <si>
    <t>Conversions with planning permission (gross units) in 2017/18 - 2022/23</t>
  </si>
  <si>
    <t>For more information email planninginformation@wandsworth.gov.uk or call Planning Information on 020 8871 5830</t>
  </si>
  <si>
    <t>Housing Trajectory</t>
  </si>
  <si>
    <t>London Plan Period</t>
  </si>
  <si>
    <t>2016 London Plan</t>
  </si>
  <si>
    <t>2021 London Plan</t>
  </si>
  <si>
    <t>Further Alterations to the London Plan (Local Plan target applied)</t>
  </si>
  <si>
    <t>2023/24</t>
  </si>
  <si>
    <t>2024/25</t>
  </si>
  <si>
    <t>2025/26</t>
  </si>
  <si>
    <t>2026/27</t>
  </si>
  <si>
    <t>2027/28</t>
  </si>
  <si>
    <t>2028/29</t>
  </si>
  <si>
    <t>2029/30</t>
  </si>
  <si>
    <t>2030/31</t>
  </si>
  <si>
    <t>2031/32</t>
  </si>
  <si>
    <t>2032/33</t>
  </si>
  <si>
    <t>2033/34</t>
  </si>
  <si>
    <t>2034/35</t>
  </si>
  <si>
    <t>2035/36</t>
  </si>
  <si>
    <t>2036/37</t>
  </si>
  <si>
    <t>2037/38</t>
  </si>
  <si>
    <t>Years of Plan Remaining</t>
  </si>
  <si>
    <t>Past Completions</t>
  </si>
  <si>
    <t>Projected Completions</t>
  </si>
  <si>
    <t>Cumulative Completions over Plan Period</t>
  </si>
  <si>
    <t>Target</t>
  </si>
  <si>
    <t>Cumulative Target over Plan Period</t>
  </si>
  <si>
    <t>Delivery against London Plan Target</t>
  </si>
  <si>
    <t>Cumulative Completions above Cumulative Target</t>
  </si>
  <si>
    <t>Managed Annual Target Taking Account of Past and Projected Completions</t>
  </si>
  <si>
    <t>Site</t>
  </si>
  <si>
    <t>Application</t>
  </si>
  <si>
    <t>Address</t>
  </si>
  <si>
    <t>Phase</t>
  </si>
  <si>
    <t>Easting</t>
  </si>
  <si>
    <t>Northing</t>
  </si>
  <si>
    <t>Ward (2022)</t>
  </si>
  <si>
    <t>Site Construction Date</t>
  </si>
  <si>
    <t>Site Completion Date</t>
  </si>
  <si>
    <t>Phase Existing Units</t>
  </si>
  <si>
    <t>Phase Proposed Units</t>
  </si>
  <si>
    <t>Phase Net Units</t>
  </si>
  <si>
    <t>Application Proposed Units</t>
  </si>
  <si>
    <t>Application Net Units</t>
  </si>
  <si>
    <t>Scheme of 10 or More Proposed Units</t>
  </si>
  <si>
    <t>Proposal</t>
  </si>
  <si>
    <t>Application Status</t>
  </si>
  <si>
    <t>Application Received Date</t>
  </si>
  <si>
    <t>Application Decision Date</t>
  </si>
  <si>
    <t>Reporting Year Decision</t>
  </si>
  <si>
    <t>Appeal Status</t>
  </si>
  <si>
    <t>Appeal Decision Date</t>
  </si>
  <si>
    <t>Land Type</t>
  </si>
  <si>
    <t>Large Residential Development Type</t>
  </si>
  <si>
    <t>Minor Residential Development Type</t>
  </si>
  <si>
    <t>Phase Residential Site Area (ha)</t>
  </si>
  <si>
    <t>Phase Construction Date</t>
  </si>
  <si>
    <t>Reporting Year Start</t>
  </si>
  <si>
    <t>Phase Completion Date</t>
  </si>
  <si>
    <t>Tenure Code</t>
  </si>
  <si>
    <t>Site Specific Allocations Document Reference</t>
  </si>
  <si>
    <t>London SHLAA 2017 Reference</t>
  </si>
  <si>
    <t>Lifetime Homes</t>
  </si>
  <si>
    <t>M4(2) Dwellings</t>
  </si>
  <si>
    <t>Wheelchair Accessible Homes</t>
  </si>
  <si>
    <t>M4(3) Dwellings</t>
  </si>
  <si>
    <t>Net Studio Units</t>
  </si>
  <si>
    <t>Net 1 Bed Units</t>
  </si>
  <si>
    <t>Net 2 Bed Units</t>
  </si>
  <si>
    <t>Net 3 Bed Units</t>
  </si>
  <si>
    <t>Net 4 Bed Units</t>
  </si>
  <si>
    <t>Net 5+ Bed Units</t>
  </si>
  <si>
    <t>Net Not Known Bed Units</t>
  </si>
  <si>
    <t>Net Studio Flats</t>
  </si>
  <si>
    <t>Net 1 Bed Flats</t>
  </si>
  <si>
    <t>Net 2 Bed Flats</t>
  </si>
  <si>
    <t>Net 3 Bed Flats</t>
  </si>
  <si>
    <t>Net 4 Bed Flats</t>
  </si>
  <si>
    <t>Net 5+ Bed Flats</t>
  </si>
  <si>
    <t>Net Not Known Bed Flats</t>
  </si>
  <si>
    <t>Net Studio Houses</t>
  </si>
  <si>
    <t>Net 1 Bed Houses</t>
  </si>
  <si>
    <t>Net 2 Bed Houses</t>
  </si>
  <si>
    <t>Net 3 Bed Houses</t>
  </si>
  <si>
    <t>Net 4 Bed Houses</t>
  </si>
  <si>
    <t>Net 5+ Bed Houses</t>
  </si>
  <si>
    <t>Net Not Known Bed Houses</t>
  </si>
  <si>
    <t>Net Studio Live Work</t>
  </si>
  <si>
    <t>Net 1 Bed Live Work</t>
  </si>
  <si>
    <t>Net 2 Bed Live Work</t>
  </si>
  <si>
    <t>Net 3 Bed Live Work</t>
  </si>
  <si>
    <t>Net 4 Bed Live Work</t>
  </si>
  <si>
    <t>Net 5+ Bed Live Work</t>
  </si>
  <si>
    <t>Net Not Known Live Work</t>
  </si>
  <si>
    <t>Spatial area</t>
  </si>
  <si>
    <t>Phasing Assumption</t>
  </si>
  <si>
    <t>2038/39</t>
  </si>
  <si>
    <t>2039/40</t>
  </si>
  <si>
    <t>2040/41</t>
  </si>
  <si>
    <t>2041/42</t>
  </si>
  <si>
    <t>Delivery in 5 Years</t>
  </si>
  <si>
    <t>Delivery in 10 Years</t>
  </si>
  <si>
    <t>01 Completion</t>
  </si>
  <si>
    <t>2018/3709</t>
  </si>
  <si>
    <t>9, 11 and 19 Osiers Road</t>
  </si>
  <si>
    <t/>
  </si>
  <si>
    <t>Y</t>
  </si>
  <si>
    <t>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t>
  </si>
  <si>
    <t>PFLA</t>
  </si>
  <si>
    <t>Nil</t>
  </si>
  <si>
    <t>BF</t>
  </si>
  <si>
    <t>NB</t>
  </si>
  <si>
    <t>n/a</t>
  </si>
  <si>
    <t>ISL</t>
  </si>
  <si>
    <t>3.3.3</t>
  </si>
  <si>
    <t>Wandsworth Town, including the Wandle Delta Masterplan Area</t>
  </si>
  <si>
    <t>AL</t>
  </si>
  <si>
    <t>2016/5738</t>
  </si>
  <si>
    <t>Garages north of 99-152, 99-152 Gideon Road</t>
  </si>
  <si>
    <t>Demolition of existing garages and redevelopment to provide  18 units (15 flats and 3 houses) within 3 and 4 storey blocks with associated vehicle and cycle parking, bin storage and landscaping.</t>
  </si>
  <si>
    <t>PF</t>
  </si>
  <si>
    <t>AS</t>
  </si>
  <si>
    <t>Rest of Borough</t>
  </si>
  <si>
    <t>2021/1280</t>
  </si>
  <si>
    <t>96-100 Balham High Road</t>
  </si>
  <si>
    <t>Alterations in connection with change of use of of rear basement and ground floor levels from retail (Class E) to residential (Class C3) to create 2 x 2-bedroom flats and erection of part single/part two/part three storey rear extensions at first floor levels to extend existing dwellings, formation of rear roof terraces with 1.7m glazed safety surrounds, with associated cycle and refuse storage and outdoor amenity space.</t>
  </si>
  <si>
    <t>MIX</t>
  </si>
  <si>
    <t>EXT</t>
  </si>
  <si>
    <t>MR</t>
  </si>
  <si>
    <t>2019/4841</t>
  </si>
  <si>
    <t>Balham Club, 7-9 Ramsden Road</t>
  </si>
  <si>
    <t>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t>
  </si>
  <si>
    <t>S73</t>
  </si>
  <si>
    <t>ISO</t>
  </si>
  <si>
    <t>2016/2096</t>
  </si>
  <si>
    <t>134-142 Mitcham Road (Pearl Chemist)</t>
  </si>
  <si>
    <t>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t>
  </si>
  <si>
    <t>n</t>
  </si>
  <si>
    <t>M</t>
  </si>
  <si>
    <t>2016/6604</t>
  </si>
  <si>
    <t>Norman Court, 160 Lower Richmond Road</t>
  </si>
  <si>
    <t>Erection of roof extension at third floor level to provide 7 x 1-bedroom and 2 x studio flats with external balcony access; associated cycle and refuse storage; and landscaping including new front boundary treatment.</t>
  </si>
  <si>
    <t>k</t>
  </si>
  <si>
    <t>IR</t>
  </si>
  <si>
    <t>2020/4838</t>
  </si>
  <si>
    <t>56 Glenburnie Road</t>
  </si>
  <si>
    <t>Demolition of existing building and erection of two storey building (including roof and basement) to create 4 x 3-bedroom, 4 x 2-bedroom and 1 x 1-bedroom flats with associated refuse and cycle storage and outside amenity space.</t>
  </si>
  <si>
    <t>2019/4262</t>
  </si>
  <si>
    <t>134/134a Battersea High Street</t>
  </si>
  <si>
    <t>Demolition of existing building and erection of a ground and part one, part two, part three storey building (plus basement) to provide 8 x residential units and 1 x two storey house with refuse and cycle storage and associated landscaping including roof terraces.</t>
  </si>
  <si>
    <t>2021/0907</t>
  </si>
  <si>
    <t>The East Hill, 21 Alma Road</t>
  </si>
  <si>
    <t>Retention of the public house on the basement and ground floor and the conversion of upper floors to provide 5 x studio, 2 x 1-bedroom , and 1 x 2-bedroom  flats</t>
  </si>
  <si>
    <t>CON</t>
  </si>
  <si>
    <t>2021/4781</t>
  </si>
  <si>
    <t>6-8 West Hill</t>
  </si>
  <si>
    <t>Alterations including erection of single-storey rear/side extension to ground floor (both properties), erection of rear mansard roof extension to main rear roof and above two-storey back addition to both properties; formation of roof terraces with privacy screens to each upper floor; replacement front gable and ground floor front elevation to incorporate refuse and bike stores in connection with change of use of ground floor restaurant (Class E) to residential (Class C3) and together with accommodation above, provide of 3 x 2-bedroom, 3 x 1-bedroom and 2 x studio flats</t>
  </si>
  <si>
    <t>2019/1895</t>
  </si>
  <si>
    <t>189 Balham High Road</t>
  </si>
  <si>
    <t>Demolition of existing garages and erection of 7 x 3-storey (plus basement) 3-bedroom houses with associated landscaping, car and cycle parking.</t>
  </si>
  <si>
    <t>2019/2905</t>
  </si>
  <si>
    <t>83 Huron Road</t>
  </si>
  <si>
    <t>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t>
  </si>
  <si>
    <t>2020/2061</t>
  </si>
  <si>
    <t>Broadway Studio, 28 Tooting High Street</t>
  </si>
  <si>
    <t>Alterations to elevations and roofs along with provision of external spiral staircase to second floor, in connection with change of use of ground floor from flexible use (Class A1/A2/A3/B1/D1/D2) to residential (Class C3) to provide 1 x 1-bedroom, 4 x 2-bedroom and 1 x 3-bedroom flats with associated refuse and cycle storage and amenity space.</t>
  </si>
  <si>
    <t>COU</t>
  </si>
  <si>
    <t>2020/2528</t>
  </si>
  <si>
    <t>118a Disraeli Road</t>
  </si>
  <si>
    <t>Demolition of existing car garage and erection of a two and a half storey residential building comprising 6 residential flats (1 x 1-bedroom and 2 x 2-bedroom flats and 3 x 1-bedroom studios).</t>
  </si>
  <si>
    <t>2021/2046</t>
  </si>
  <si>
    <t>29-31 Cathles Road</t>
  </si>
  <si>
    <t>Demolition of existing buildings and erection of two-storey building with roof accommodation consisting of 6 self-contained flats with associated private outside amenity space, refuse and cycle parking. Formation of roof terraces with 1.7m high obscured glazed privacy screens at roof level.</t>
  </si>
  <si>
    <t>2019/2977</t>
  </si>
  <si>
    <t>180 Balham High Road</t>
  </si>
  <si>
    <t>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t>
  </si>
  <si>
    <t>2020/1998</t>
  </si>
  <si>
    <t>74a Vant Road</t>
  </si>
  <si>
    <t>Demolition of existing building and erection of two-storey (plus part single/part two-storey back addition, habitable roof space and basement with front and rear lightwells) building to provide 1 x 3-bedroom, 2 x 2-bedroom and 2 x 1-bedroom flats with associated cycle/bin storage and replacement of front boundary.</t>
  </si>
  <si>
    <t>2021/3345</t>
  </si>
  <si>
    <t>15 Smallwood Road</t>
  </si>
  <si>
    <t>Demolition of existing property and outbuildings and erection of two-storey building plus roof and basement with front and rear lightwells to create 1 x 3-bedroom, 2 x 2-bedroom and 2 x 1-bedroom flats with associated outside amenity space, refuse and cycle storage.</t>
  </si>
  <si>
    <t>2019/5216</t>
  </si>
  <si>
    <t>65 &amp; 65a, 65 Garratt Terrace</t>
  </si>
  <si>
    <t>Alterations including erection of mansard roof extension to main rear roof including raising ridge by 300mm; erection of roof extension above three-storey back addition; alterations to roof of two-storey back addition; lowering of front windows and erection of single storey rear/side extension in connection with conversion of property to 1 x 3-bedroom, 1 x 2-bedroom and 2 x studio flats with associated bin and cycle storage.</t>
  </si>
  <si>
    <t>2020/2613</t>
  </si>
  <si>
    <t>6 Broadwater Road</t>
  </si>
  <si>
    <t>Demolition of existing buildings and erection of three-storey building with basement and terraces to provide 2 x two bedroom, 1 x one bedroom and 1 x studio flats, with associated landscaping, and cycle and refuse storage.</t>
  </si>
  <si>
    <t>2020/3271</t>
  </si>
  <si>
    <t>Jessica House, Red Lion Square</t>
  </si>
  <si>
    <t>Alterations in connection with change of use of first floor from office (Class A2) to residential (Class C3) to create 3 x 2 bedroom and 1 x studio flats.</t>
  </si>
  <si>
    <t>2021/1671</t>
  </si>
  <si>
    <t>238-244 Mitcham Road</t>
  </si>
  <si>
    <t>Alterations including replacement front dormers, erection of three storey side/rear extension; erection of mansard roof extension to main rear roof and above two storey back addition in connection with conversion of existing upper floor flats into 4 x 2-bedroom with associated refuse and cycle store.</t>
  </si>
  <si>
    <t>2021/1673</t>
  </si>
  <si>
    <t>246-252 Mitcham Road</t>
  </si>
  <si>
    <t>2021/1703</t>
  </si>
  <si>
    <t>77 Dorothy Road</t>
  </si>
  <si>
    <t>Alterations including erection of hip-to-gable side roof extension and extension to main rear roof (with French doors and safety railings); Erection of part-single part two-storey rear extension with habitable roofspace; Change of use of ground floor from food and wine bar (Sui Generis) to residential (Class C3) in connection with provision of 2 x 2 bedroom flats and 2 x 3 bedroom flats</t>
  </si>
  <si>
    <t>c+</t>
  </si>
  <si>
    <t>2021/3204</t>
  </si>
  <si>
    <t>55 Gilbey Road</t>
  </si>
  <si>
    <t>Alterations including changing the first floor pitched roof to a flat roof and conversion of the property into 1 x 3-bedroom, 1 x 2-bedroom and 2 x 1-bedroom flats with associated refuse and cycle storage.</t>
  </si>
  <si>
    <t>2017/4506</t>
  </si>
  <si>
    <t>St Andrews Court, 1 - 6 St Andrews Court</t>
  </si>
  <si>
    <t>Erection of three storey building to provide 3 x 1-bedroom flats with balconies to all levels fronting Waynflete Street.</t>
  </si>
  <si>
    <t>Gdn</t>
  </si>
  <si>
    <t>2018/1582</t>
  </si>
  <si>
    <t>2 Windmill Road</t>
  </si>
  <si>
    <t>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t>
  </si>
  <si>
    <t>2019/1659</t>
  </si>
  <si>
    <t>173 Lavender Hill</t>
  </si>
  <si>
    <t>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t>
  </si>
  <si>
    <t>2019/4792</t>
  </si>
  <si>
    <t>116 Mitcham Lane</t>
  </si>
  <si>
    <t>Determination as to whether prior approval is required for change of use from retail (Class A1) to 2 x 2 bedroom flats and 1 x 1-bedroom flat (Class C3) at ground and first floor levels with associated external alterations to rear.</t>
  </si>
  <si>
    <t>PANR</t>
  </si>
  <si>
    <t>2020/0350</t>
  </si>
  <si>
    <t>195 Merton road</t>
  </si>
  <si>
    <t>Alterations including erection of part single, part three-storey rear/side extension and mansard roof extension in connection with the conversion of the existing 1 x 2 bedroom flat into 3 x 1 bedroom flats (Amended Description)</t>
  </si>
  <si>
    <t>2021/1499</t>
  </si>
  <si>
    <t>164-166 Tooting High Street</t>
  </si>
  <si>
    <t>Alterations including erection of mansard roof extension to main roof and a three-storey rear extension, in connection with the creation of 1 x 1-bedroom/studio flat on third floor level.</t>
  </si>
  <si>
    <t>2021/1857</t>
  </si>
  <si>
    <t>355 Garratt Lane</t>
  </si>
  <si>
    <t>Erection of a part-single and  part two-storey rear extension. Erection of a dormer extension to main rear roof with internal alterations in connection with the conversion of the existing ground floor shop and flats into a ground floor shop with basement and 3 self-contained residential units ( 1 x 3-bedroom and 2 x 1-bedroom)  with the additional habitable space.</t>
  </si>
  <si>
    <t>2021/2831</t>
  </si>
  <si>
    <t>47 Moyser Road</t>
  </si>
  <si>
    <t>Erection of single-storey rear/side extension to existing ground floor flat. Erection of a mansard roof extension to main rear roof slope and extension above part of two-storey back addition; Formation of a roof terrace with 1.7m high screen surround above the two-storey back addition in connection with creation of 1 x 1 bedroom flat. Replacement of first floor windows with French doors and safety railings to rear of back addition. Provision of associated cycle and refuse storage to front garden.</t>
  </si>
  <si>
    <t>2021/4131</t>
  </si>
  <si>
    <t>26 Trinity Road</t>
  </si>
  <si>
    <t>Alterations including erection of a mansard roof extension and extension over the back addition to create additional floor of accommodation, with roof terrace and 1.7m high screen surround above; Erection of single-storey side/rear extension; Replacement shopfront; Partial change of use of ground floor from shop (Class E) to residential (Class C3) in connection with conversion of the property into 3 x 1-bedroom flats.</t>
  </si>
  <si>
    <t>2021/4856</t>
  </si>
  <si>
    <t>134 Trinity Road</t>
  </si>
  <si>
    <t>Alterations including erection of rear mansard roof extension and formation of roof terrace with 1.7m safety glass surround over threestorey back addition; erection of single storey rear and side extension; and erection of front boundary and provision of cycle and waste storage to front garden. Alterations and extensions in connection with conversion of property into 1 x 3-bedroom, 1 x 2-bedroom and 1 x 1- bedroom flats</t>
  </si>
  <si>
    <t>2016/6355</t>
  </si>
  <si>
    <t>122 Clapham Common West Side</t>
  </si>
  <si>
    <t>Alterations including erection of single storey side/rear extension, replacement windows, and bin store to front area in connection with conversion of building into 2 x 3-bedroom flats.</t>
  </si>
  <si>
    <t>2017/1395</t>
  </si>
  <si>
    <t>7 Lavender Hill</t>
  </si>
  <si>
    <t>Alterations including erection of roof extension to create additional floor of accommodation in connection with conversion of property into 3 x 1-bedroom flats.</t>
  </si>
  <si>
    <t>2017/1456</t>
  </si>
  <si>
    <t>120 Upper Richmond Road</t>
  </si>
  <si>
    <t>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t>
  </si>
  <si>
    <t>2019/1481</t>
  </si>
  <si>
    <t>10-15 The Boulevard, Balham High Road</t>
  </si>
  <si>
    <t>Alterations including erection of mansard roof extensions to rear roof slope in connection with formation of 1 x 2-bedroom and 1 x 1-bedroom flats.</t>
  </si>
  <si>
    <t>2019/3393</t>
  </si>
  <si>
    <t>116 Tooting High Street</t>
  </si>
  <si>
    <t>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t>
  </si>
  <si>
    <t>2019/4923</t>
  </si>
  <si>
    <t>18 Trinity Road</t>
  </si>
  <si>
    <t>Erection of a part two, part three-storey extension to create two x 2-bedroom flats with associated refuse and cycle storage.</t>
  </si>
  <si>
    <t>2020/1167</t>
  </si>
  <si>
    <t>Royal Mail Group Site, Ponton Road (Nine Elms Park)</t>
  </si>
  <si>
    <t>Plot C1 - Block C</t>
  </si>
  <si>
    <t>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"Application for approval of reserved matters (Access, Appearance, Landscaping, Layout and Scale) for Plot C1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</si>
  <si>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S96A</t>
  </si>
  <si>
    <t>AA</t>
  </si>
  <si>
    <t>2.1.18</t>
  </si>
  <si>
    <t>2021/0607</t>
  </si>
  <si>
    <t>21 Balham High Road</t>
  </si>
  <si>
    <t>Erection of three-storey rear extension with second floor terrace to provide 1 x 1-bedroom and 1 x 2-bedroom  flats</t>
  </si>
  <si>
    <t>2021/1437</t>
  </si>
  <si>
    <t>19 Melrose Road</t>
  </si>
  <si>
    <t>Erection of single storey ground floor extension to the rear of the property and minor alterations within front lightwell and side elevation associated with the conversion of the lower ground to 1 x 1 bed and 1 x 2 bed residential dwellings.</t>
  </si>
  <si>
    <t>2021/2086</t>
  </si>
  <si>
    <t>58-60 Ashlone Road</t>
  </si>
  <si>
    <t>Alterations including erection of single storey rear extensions, installation of front dormer and french doors with safety railings within dormers to rear roof extension; infilling of side roof terrace and replacement fenestration throughout in connection with provision of 1 x 3-bedroom and 1 x 4-bedroom houses.</t>
  </si>
  <si>
    <t>Wandsworth riverside</t>
  </si>
  <si>
    <t>2021/3209</t>
  </si>
  <si>
    <t>177 Wandsworth High Street (1-12 Dutch Yard House)</t>
  </si>
  <si>
    <t>Alterations including change of use of part ground floor from café/yoga studio (Class A3/D2) to residential(Class C3) to provide 2 x 1 bedroom flats</t>
  </si>
  <si>
    <t>2021/3404</t>
  </si>
  <si>
    <t>49 Mantilla Road</t>
  </si>
  <si>
    <t>Alterations including erection of mansard roof extension to main rear roof with increase in ridge height of 300mm, extension above part of two-storey back addition and formation of roof terrace above two-storey back addition with 1.7m high screen surround in connection with creation of a 1-bedroom flat at 2nd floor level. bin storage within front garden.</t>
  </si>
  <si>
    <t>2021/4724</t>
  </si>
  <si>
    <t>First Floor Flat, 47 Lucien Road</t>
  </si>
  <si>
    <t>Erection of mansard roof extension to main rear roof slope and extension above part of the two-storey back addition to convert the property into a 1 x 2-bedroom and 1 x 1-bedroom unit. Formation of roof terrace above two-storey back addition with 1.7m screen surround.</t>
  </si>
  <si>
    <t>2015/5072</t>
  </si>
  <si>
    <t>Land east of 11-13 (11A), 11-13 Stanmer Street</t>
  </si>
  <si>
    <t>Erection of two-storey 2-bedroom dwelling at basement and ground floor levels (accessed from passage between 11 and 13 Stanmer Street and entrance gate) with lightwell to Stanmer Street.</t>
  </si>
  <si>
    <t>2016/1252</t>
  </si>
  <si>
    <t>Erection of single-storey rear extension at first floor level in connection with change of use of rear basement and ground floors from retail (Use Class A1) to 1 x 1-bedroom residential unit (Use Class C3) accessed from Abberley Mews.</t>
  </si>
  <si>
    <t>2016/3919</t>
  </si>
  <si>
    <t>42 Roehampton Gate</t>
  </si>
  <si>
    <t>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t>
  </si>
  <si>
    <t>2017/0927</t>
  </si>
  <si>
    <t>Garden Flat, 127 Trinity Road</t>
  </si>
  <si>
    <t>Demolition of existing bungalow and erection of a two-storey plus basement 3-bedroom house with associated refuse, recycling and cycle storage.</t>
  </si>
  <si>
    <t>2017/2547</t>
  </si>
  <si>
    <t>Marius Mansions, Marius Road</t>
  </si>
  <si>
    <t>Erection of three-storey side extension to create a 1 x 2 bedroom flat with roof level balcony.</t>
  </si>
  <si>
    <t>2017/4170</t>
  </si>
  <si>
    <t>155 Trevelyan Road</t>
  </si>
  <si>
    <t>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t>
  </si>
  <si>
    <t>2017/6510</t>
  </si>
  <si>
    <t>Land between 107-109, 107-109 Garratt Lane</t>
  </si>
  <si>
    <t>Erection and excavation of a two-storey (plus basement) 3-bedroom detached house with associated cycle and refuse storage and lightwell courtyard to the rear.</t>
  </si>
  <si>
    <t>2017/6683</t>
  </si>
  <si>
    <t>Garages rear of 60, Granville Road (Land adjoining playing field Viewfield Road)</t>
  </si>
  <si>
    <t>Demoliton of existing double garages and erection of single-storey plus basement level one-bedroom house.</t>
  </si>
  <si>
    <t>2017/6764</t>
  </si>
  <si>
    <t>Plot D1</t>
  </si>
  <si>
    <t>Reserved Matters application for scale, layout, access, external appearance and landscaping pursuant to Condition 3 of planning application 2017/6762 for "Minor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t>
  </si>
  <si>
    <t>DT</t>
  </si>
  <si>
    <t>IRD</t>
  </si>
  <si>
    <t>2018/1564</t>
  </si>
  <si>
    <t>4 Worfield Street</t>
  </si>
  <si>
    <t>Alterations including erection of a single storey side extension in connection with the change of use from the existing 2 x two-bedroom self-contained flats to a single dwellinghouse.</t>
  </si>
  <si>
    <t>2018/4073</t>
  </si>
  <si>
    <t>162 Trevelyan Road</t>
  </si>
  <si>
    <t>Demolition of the existing  property. Erection of a two-storey (plus basement and roof levels) 4-bedroom terraced house.</t>
  </si>
  <si>
    <t>2019/2340</t>
  </si>
  <si>
    <t>24 Romberg Road</t>
  </si>
  <si>
    <t>Demolition of single storey rear extension and garage, and erection of 1 x 1-bedroom two-storey dwellinghouse with associated refuse and cycle storage.</t>
  </si>
  <si>
    <t>2019/3361</t>
  </si>
  <si>
    <t>Ground floor, 186 Trinity Road</t>
  </si>
  <si>
    <t>Removal of existing shopfront, installation of 2 x windows at front elevation, replacement of windows at rear elevation and erection of 1m high metal railings to front boundary, in connection with change of use of shop (Class A1) to 1 x 1 bedroom flat (Class C3).</t>
  </si>
  <si>
    <t>2019/3481</t>
  </si>
  <si>
    <t>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t>
  </si>
  <si>
    <t>2021/0138</t>
  </si>
  <si>
    <t>South Lambeth Goods Depot, Cringle St./Battersea Park Rd., Kirtling Street (Battersea Power Station)</t>
  </si>
  <si>
    <t>Phase 3Aii (PP1 &amp; PP2, RS-4)</t>
  </si>
  <si>
    <t>Application under Section 96a of the Town and Country Planning Act 1990 (as amended) for non-material amendments to planning permission 2014/2837 dated 05/12/2015 ("Application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submitted details relate to the residential layouts of building O1 within phase 3A of the Battersea Power Station development.</t>
  </si>
  <si>
    <t>2.1.1</t>
  </si>
  <si>
    <t>2019/4763</t>
  </si>
  <si>
    <t>67 Blakenham Road</t>
  </si>
  <si>
    <t>Demolition of existing building and erection of a two-storey (plus basement) 2-bedroom dwelling (retrospective).</t>
  </si>
  <si>
    <t>2019/4852</t>
  </si>
  <si>
    <t>Garages South Of, 100 Lucien Road</t>
  </si>
  <si>
    <t>Demolition of existing garage and erection of two-storey 1-bedroom house with associated bin storage.</t>
  </si>
  <si>
    <t>2019/5025</t>
  </si>
  <si>
    <t>30 Roehampton Gate</t>
  </si>
  <si>
    <t>Demolition of existing dwelling and erection of a three-storey plus basement 4-bedroom house.</t>
  </si>
  <si>
    <t>2019/5099</t>
  </si>
  <si>
    <t>1 Langside Avenue</t>
  </si>
  <si>
    <t>Alterations including erection of a roof extension to main rear roof, two-storey rear extension, single storey rear/side extension,  formation of a roof terrace at rear first floor level, circular window, new front door, rooflights to front elevation and main roof slope, alterations to side elevation windows, new render in connection with use of the property as a single dwelling.</t>
  </si>
  <si>
    <t>2020/0009</t>
  </si>
  <si>
    <t>Lower ground floor and ground floor, 75a &amp; b Nightingale Lane</t>
  </si>
  <si>
    <t>Conversion of flats 75A and 75B into one x 3-bedroom flat.</t>
  </si>
  <si>
    <t>c-</t>
  </si>
  <si>
    <t>2020/0389</t>
  </si>
  <si>
    <t>165 Upper Richmond Road</t>
  </si>
  <si>
    <t>Erection of front and rear mansard roof extension to create an additional floor. Erection of single- and two-storey rear and side extensions (at first and second floor levels) in connection with use of upper floors as 1 x 1-bedroom and 1 x 2-bedroom flats.</t>
  </si>
  <si>
    <t>2020/0452</t>
  </si>
  <si>
    <t>11 Grandison Road</t>
  </si>
  <si>
    <t>Alterations to include the erection of single-storey rear/side extension in connection with conversion of 2 x existing self-contained flats into a single dwellinghouse.</t>
  </si>
  <si>
    <t>2020/0722</t>
  </si>
  <si>
    <t>13 Henderson Road</t>
  </si>
  <si>
    <t>Alterations including erection of front dormer, front portico, part single part three storey rear/side extension;  excavation to create basement including formation of front and rear lightwells with grille over in connection with use as a single dwelling house; the removal of two trees to the rear (Amended Description).</t>
  </si>
  <si>
    <t>2020/0777</t>
  </si>
  <si>
    <t>41 St James Drive</t>
  </si>
  <si>
    <t>Change of use of property from 3 x self-contained flats (Class C3) into a single dwellinghouse (Class C3).</t>
  </si>
  <si>
    <t>2020/1354</t>
  </si>
  <si>
    <t>18-21 Denton Street</t>
  </si>
  <si>
    <t>Alterations including raising the ridge by 350mm, erection of mansard roof extension to main rear roof and roof extension above part of two storey back addition in connection with formation of 1 x 2-bedroom flat.</t>
  </si>
  <si>
    <t>2020/1605</t>
  </si>
  <si>
    <t>Part change of use of ground floor take away (Class A5) to residential use (Class C3) and erection of single-storey rear extension, removal of ground floor rear door and installation of side windows to create 1 x studio flat.</t>
  </si>
  <si>
    <t>2020/2128</t>
  </si>
  <si>
    <t>Land to the rear of, 168 Bedford Hill (113 Ritherdon Road)</t>
  </si>
  <si>
    <t>Demolition of existing garage and erection of a one-storey (plus two-storey basement) 1-bedroom house.</t>
  </si>
  <si>
    <t>2020/2670</t>
  </si>
  <si>
    <t>Rear of, 795 Garratt Lane</t>
  </si>
  <si>
    <t>Redevelopment to provide a two-storey 2 bedroom dwelling (Class C3).</t>
  </si>
  <si>
    <t>2020/2743</t>
  </si>
  <si>
    <t>44 Bickley Street</t>
  </si>
  <si>
    <t>Alterations including erection of mansard roof extensions to main rear roof and above part of two storey back addition, formation of roof terrace with screen surround above two storey back addition in connection with the creation of 1 x 1-bedroom 1-person flat.</t>
  </si>
  <si>
    <t>2020/2753</t>
  </si>
  <si>
    <t>22-25 Denton Street</t>
  </si>
  <si>
    <t>Alterations including  erection of mansard roof extension to main rear roof including raising the ridge by 350mm and roof extension above part of two storey back addition in connection with formation of 1 x 2-bedroom flat.</t>
  </si>
  <si>
    <t>2020/2801</t>
  </si>
  <si>
    <t>55 and 55a, Oakmead Road</t>
  </si>
  <si>
    <t>Erection of a mansard roof extension on the main rear roof slope and above  part of two-storey rear addition to form new 1-bedroom flat with the formation of a roof terrace with 1.7m obscured glazed screen.  Erection of ground floor rear/side extension to ground floor flat. Installation of new rear windows to first floor flat and external stair modification. Erection of new bin stores.</t>
  </si>
  <si>
    <t>2020/3308</t>
  </si>
  <si>
    <t>30 Ellerton Road</t>
  </si>
  <si>
    <t>Excavation of basement, erection of two storey side and rear extension, single storey rear extension, two dormer roof extensions with rooflights to front and side roof slope. Erection of outbuilding and A/C condenser and acoustic enclosure. Changes to fenestration and new front boundary treatment</t>
  </si>
  <si>
    <t>2020/3493</t>
  </si>
  <si>
    <t>23 Tantallon Road</t>
  </si>
  <si>
    <t>Conversion of the property from two flats into a single dwellinghouse.</t>
  </si>
  <si>
    <t>2020/3651</t>
  </si>
  <si>
    <t>26 Roedean Crescent</t>
  </si>
  <si>
    <t>Demolition of existing house and erection of a two-storey 5- bedroom house (with external roof terraces to the rear).</t>
  </si>
  <si>
    <t>2020/3903</t>
  </si>
  <si>
    <t>39 Balham Hill</t>
  </si>
  <si>
    <t>Alterations including erection of roof extension to form additional storey of accommodation with terrace and screen surround to create a studio flat. New side entrance door to street and internal staircase.</t>
  </si>
  <si>
    <t>2020/4007</t>
  </si>
  <si>
    <t>11 Bellamy Street</t>
  </si>
  <si>
    <t>Demolition of existing dwelling (with retention of front facade) and construction of a replacement two-storey dwellinghouse with attic accommodation and basement level.</t>
  </si>
  <si>
    <t>2020/4293</t>
  </si>
  <si>
    <t>17a Trinity Road</t>
  </si>
  <si>
    <t>Alterations including erection of mansard roof extension to main rear roof (with french doors and safety railings), roof extension over two storey back addtion, and installation of french doors and railings to rear elevation of back addition,  in connection with conversion of existing flat into 1 x 3-bedroom and 1 x 1-bedroom flats.</t>
  </si>
  <si>
    <t>2020/4366</t>
  </si>
  <si>
    <t>92 Rossiter Road</t>
  </si>
  <si>
    <t>Alterations to lower ground floor and removal of external staircase to provide rear/side courtyard, in connection with the formation of a one bedroom flat at lower ground floor level.</t>
  </si>
  <si>
    <t>j+</t>
  </si>
  <si>
    <t>2020/4413</t>
  </si>
  <si>
    <t>1 Abberley Mews</t>
  </si>
  <si>
    <t>Alterations including erection of single-storey extension and installation of windows to south elevation in connection of conversion of garage to form a studio flat.  Alterations to the front wall to accommodate new refuse servicing. Formation of car turntable to front of property.</t>
  </si>
  <si>
    <t>2020/4547</t>
  </si>
  <si>
    <t>Nightingale Mansions, 42-44 Nightingale Lane</t>
  </si>
  <si>
    <t>Revised Scheme: 
Alterations including erection of  2 x rear dormers, 3 x side rooflights and a rear rooflight to roof in connection with creation of a 1 x 1-bed/studio flat.</t>
  </si>
  <si>
    <t>2021/1109</t>
  </si>
  <si>
    <t>11a Renmuir Street</t>
  </si>
  <si>
    <t>Alterations including erection of mansard roof extension to main rear roof (with French doors and safety railings) and extension above part of two-storey back addition; formation of roof terrace above two-storey back addition with 1.7m high screen surround in connection with the creation of 1 x 1 bedroom flat.</t>
  </si>
  <si>
    <t>2021/1311</t>
  </si>
  <si>
    <t>259-263 Wimbledon Park Road</t>
  </si>
  <si>
    <t>Erection of a single storey (ground floor and mezzanine) rear extension to provide 1x1 bedroom flat with rear roof terrace. Enlargement of rear balconies to all upper floors.</t>
  </si>
  <si>
    <t>2021/1819</t>
  </si>
  <si>
    <t>rear of /49 &amp; r/o The Studio, Ferndale and Killinhchy, Culverden Road (Land adjacent Fontenoy Road)</t>
  </si>
  <si>
    <t>Erection of single-storey (plus basement and roof accommodation) detached 3-bedroom dwelling  (amendment to planning permission ref 2016/1630).</t>
  </si>
  <si>
    <t>2021/2175</t>
  </si>
  <si>
    <t>31 Montserrat Road</t>
  </si>
  <si>
    <t>Alterations including partial rebuilding following fire damage and erection of dormer roof extensions to main rear roof (with French doors and safety railings) and above three-storey back addition; erection of replacement single-storey rear/side extension. Change of use from two flats to single family dwelling.</t>
  </si>
  <si>
    <t>2021/2423</t>
  </si>
  <si>
    <t>76 Brookwood Road</t>
  </si>
  <si>
    <t>Determination as to whether prior approval is required for change of use from retail (Class E) to 1 x 1-bedroom flat (Class C3).</t>
  </si>
  <si>
    <t>PAG</t>
  </si>
  <si>
    <t>2021/2939</t>
  </si>
  <si>
    <t>156 Battersea Park Road</t>
  </si>
  <si>
    <t>Determination as to whether prior approval is required for change of use from retail (Class A1) to 1 x 1 bedroom, 1 person flat (Class C3).</t>
  </si>
  <si>
    <t>2021/3518</t>
  </si>
  <si>
    <t>56 Canford Road</t>
  </si>
  <si>
    <t>Demolition of existing dwellinghouse except for front facade and erection of three-storey (plus basement) dwellinghouse.</t>
  </si>
  <si>
    <t>2022/5203</t>
  </si>
  <si>
    <t>50 Lavender Hill</t>
  </si>
  <si>
    <t>Use of property as ground floor shop (Class E) and 6 flats (Class C).</t>
  </si>
  <si>
    <t>LDC Exist</t>
  </si>
  <si>
    <t>2022/5085</t>
  </si>
  <si>
    <t>Land West Of, 1 Treville Street</t>
  </si>
  <si>
    <t>Continued use of outbuilding as residential dwelling.</t>
  </si>
  <si>
    <t>2022/4313</t>
  </si>
  <si>
    <t>and land at rear, 35 Keswick Road</t>
  </si>
  <si>
    <t>Use of basement as one-bedroom self contained  flat.</t>
  </si>
  <si>
    <t>2022/4763</t>
  </si>
  <si>
    <t>30 Trinity Road</t>
  </si>
  <si>
    <t>Determination as to whether prior approval is required for change of use from retail (Class E) to 1 x 1-bedroom flat(Class C3).</t>
  </si>
  <si>
    <t>2022/3895</t>
  </si>
  <si>
    <t>15 Chartfield Avenue</t>
  </si>
  <si>
    <t>Continued use as a single dwelling.</t>
  </si>
  <si>
    <t>2022/3055</t>
  </si>
  <si>
    <t>Dadu's Parade, 180-218 Upper Tooting Road</t>
  </si>
  <si>
    <t>Submission of details for the viability review mechanism pursuant to Schedule 3 of section 106 agreement dated 10th August 2018 related to planning permission ref 2017/4726 (as varied by 2020/2855 dated 02/12/2021) (Demolition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and to modify the s.106 legal agreement to remove obligations relating to affordable housing provision.</t>
  </si>
  <si>
    <t>S106</t>
  </si>
  <si>
    <t>O</t>
  </si>
  <si>
    <t>5.1</t>
  </si>
  <si>
    <t>2022/3357</t>
  </si>
  <si>
    <t>91 Louisville Road</t>
  </si>
  <si>
    <t>Conversion from two flats into a single dwellinghouse.</t>
  </si>
  <si>
    <t>2020/1094</t>
  </si>
  <si>
    <t>242 Queenstown Road</t>
  </si>
  <si>
    <t>Conversion of dwelling house into two apartments (1 x 3 bed and 1 x 1 bed), erection of single storey rear extension, roof extension including rear dormer, and creation of roof terrace at second floor level, together with associated refuse and cycle storage.</t>
  </si>
  <si>
    <t>2021/4834</t>
  </si>
  <si>
    <t>12 Steerforth Street</t>
  </si>
  <si>
    <t>Alterations including erection of mansard roof extension including raising the ridge by 300mm, extension above two storey back addition, and the formation of roof terrace with 1.7m high screen surround, in connection with use as a single dwellinghouse.</t>
  </si>
  <si>
    <t>2022/1701</t>
  </si>
  <si>
    <t>4 West Hill</t>
  </si>
  <si>
    <t>Alterations including erection of mansard roof extension to main rear roof (with French doors and safety railings) and front dormer; extension above two storey back addition; with formation of a roof terrace with high screen surround; installation of french doors with safety railings to rear first floor of back addition, in connection with conversion of upper floors into 2 x 1 bedroom and 1 x studio flats.</t>
  </si>
  <si>
    <t>2022/2837</t>
  </si>
  <si>
    <t>59 Byrne Road</t>
  </si>
  <si>
    <t>Change of use from HMO (Class C4) to residential dwelling house (Class C3)</t>
  </si>
  <si>
    <t>LDC Prop</t>
  </si>
  <si>
    <t>2022/1738</t>
  </si>
  <si>
    <t>Station Parade, 10 Balham High Road</t>
  </si>
  <si>
    <t>Alterations and extensions including erection of ground, first and second floor rear extensions with rear terraces. Formation of a roof extension to main roof to form additional storey with front and rear terraces and internal/external alterations in connection with the partial conversion of the property into 8 flats (5 x studio/1-person and 3 x 1-bedroom flats) and 1 x commercial unit (Class E).</t>
  </si>
  <si>
    <t>2022/1944</t>
  </si>
  <si>
    <t>49/49A, 49 Selkirk Road</t>
  </si>
  <si>
    <t>Variation of condition 2 pursuant to planning permission dated 31/08/2021ref 2021/2373 (Alterations including erection of a mansard roof extension to main rear roof slope, increase in height of front gable, alterations to windows on rear elevation, excavation of front and rear lightwells and extension of existing basement and conversion of property into 4 self-contained flats (2 x 3 bedroom, 1 x 2 bedroom 1 x 1 bedroom flats) with associated refuse and cycle storage.) to create additional garden space at ground floor, winter garden at first floor and terrace at second floor level resulting replacement of 1 x 3 bedroom with 1 x 2 bedroom and 1 x 2 bedroom with 1 x 1 bedroom flat.</t>
  </si>
  <si>
    <t>2022/2254</t>
  </si>
  <si>
    <t>42 Ritherdon Road (Flats a, b &amp; c)</t>
  </si>
  <si>
    <t>Use of property as a four bedroom single dwelling house.</t>
  </si>
  <si>
    <t>2018/1510</t>
  </si>
  <si>
    <t>Apts 2 &amp; 3 Centurian Building, 376 Queenstown Road (Chelsea Bridge Wharf)</t>
  </si>
  <si>
    <t>Conversion (without extension) of apartments 2 &amp; 3 Centurion building to form one self contained residential dwelling.</t>
  </si>
  <si>
    <t>2022/2885</t>
  </si>
  <si>
    <t>162a, Mitcham road</t>
  </si>
  <si>
    <t>Alterations including erection of roof extension to provide additional floor of accommodation with rear roof terrace to create 2 x studio flats and erection of two-storey rear extension in connection with conversion of existing two flats into 2 x 2 bedroom and 1 x 1 bedroom flats. Reinstatement of side gable feature. Change of use part ground floor from commercial (Class E) to residential (Class C3).</t>
  </si>
  <si>
    <t>2021/2914</t>
  </si>
  <si>
    <t>62 West Hill</t>
  </si>
  <si>
    <t>Alterations including erection of a first floor extension in connection with change of use from an outbuilding (Class SG) to a 1 x 1 bed self contained dwelling (Class C3).</t>
  </si>
  <si>
    <t>2022/1244</t>
  </si>
  <si>
    <t>39 Letchworth Street</t>
  </si>
  <si>
    <t>Retention of existing use as 4 x studio flats (more than 4 years).</t>
  </si>
  <si>
    <t>2021/3784</t>
  </si>
  <si>
    <t>13 Parkgate Road</t>
  </si>
  <si>
    <t>Alterations including erection of mansard roof extension to provide an additional floor of residential accommodation and erection of a part single/ part two/ part three-storey rear extension with rear roof terrace at first floor level in connection with the provision of 3 self-contained flats (3 x 1-bedroom).</t>
  </si>
  <si>
    <t>2021/3352</t>
  </si>
  <si>
    <t>127 Mitcham Lane</t>
  </si>
  <si>
    <t>Alterations including three-storey side/rear extension with terrace above (on top the existing single storey side/rear addition), raising of roof to main building and rear dormer extensions, roof terraces and balconies at first, second and third floor level, and conversion of existing residential units in connection with formation of 6 residential units 4 x 1-bedroom and 2 x 2-bedroom flats (3 additional) with access from Blegborough Road and associated cycle and refuse storage.</t>
  </si>
  <si>
    <t>2020/1226</t>
  </si>
  <si>
    <t>Land rear of, 117 Fernlea Road</t>
  </si>
  <si>
    <t>Demolition of existing garage and erection of two storey (and basement) 3 bedroom dwelling house with associated refuse and cycle storage.</t>
  </si>
  <si>
    <t>2022/1714</t>
  </si>
  <si>
    <t>Land rear of, 94 Bolingbroke Grove</t>
  </si>
  <si>
    <t>Retention of 4 x self-contained flats.</t>
  </si>
  <si>
    <t>2022/1739</t>
  </si>
  <si>
    <t>32 Cornford Grove</t>
  </si>
  <si>
    <t>Conversion of property into 2 x 3-bedroom flats, the erection of a single-storey rear/side ground floor extension and associated alterations.</t>
  </si>
  <si>
    <t>2022/1677</t>
  </si>
  <si>
    <t>84 Edencourt Road</t>
  </si>
  <si>
    <t>Use of property as 1 x 2 bedroom flat and 1 x 3-bedroom flat.</t>
  </si>
  <si>
    <t>2019/2633</t>
  </si>
  <si>
    <t>165-167 Lavender Hill</t>
  </si>
  <si>
    <t>Alterations in connection with change of use of rear ground floor from retail (Class A1) to 1 x 1-bedroom flat (Class C3).</t>
  </si>
  <si>
    <t>2022/0542</t>
  </si>
  <si>
    <t>59 Battersea Church Road</t>
  </si>
  <si>
    <t>Continued use of self contained studio flat at the rear.</t>
  </si>
  <si>
    <t>2021/5244</t>
  </si>
  <si>
    <t>Flats 43-48 Newlands Terrace, 159 Queenstown Road (48a)</t>
  </si>
  <si>
    <t>Alterations including erection of a mansard roof extension to main rear roof and extension above part of three storey back addition; Formation of a roof terrace above three storey back addition with 1.7m high screen surround, in connection with the reconfiguration of 1 x existing 1-bed flat and the creation of new 1 x 1-bedroom flat.</t>
  </si>
  <si>
    <t>2022/0367</t>
  </si>
  <si>
    <t>45 Trinity Road</t>
  </si>
  <si>
    <t>Continued use of the property as a self-contained studio apartment.</t>
  </si>
  <si>
    <t>2021/4650</t>
  </si>
  <si>
    <t>63 Queenstown Road</t>
  </si>
  <si>
    <t>Change of use from office (Class E) to part office (Class E) and part residential (Class C3) to provide 2-bedroom flat in conjunction with existing first floor accommodation.</t>
  </si>
  <si>
    <t>2022/0851</t>
  </si>
  <si>
    <t>113 Lavender Hill</t>
  </si>
  <si>
    <t>Use of the upper two-storyes as 6 x studio flats (Class C3)</t>
  </si>
  <si>
    <t>2021/1025</t>
  </si>
  <si>
    <t>17 Trinity Road</t>
  </si>
  <si>
    <t>Alterations to shopfront, erection of single-storey side and rear extension and change of use of ground floor from retail (Class E) to residential (Class C3) to provide a  1 x1-bedroom flat.</t>
  </si>
  <si>
    <t>2022/0725</t>
  </si>
  <si>
    <t>72 Lower Richmond Road</t>
  </si>
  <si>
    <t>Alterations including erection of a mansard roof extension to the main rear roof and extension above part of the three-storey back addition including formation of a roof terrace with 1.7m high screen surround; erection of single storey rear and side extensions; enlargement of existing basement; works in connection with change of use of rear ground floor and part first floor to provide a 1 x 1 bed flat and conversion of the first and second floor flat into:1 x studio and 1 x 2 bed flat.</t>
  </si>
  <si>
    <t>2020/2756</t>
  </si>
  <si>
    <t>14-17 Denton Street</t>
  </si>
  <si>
    <t>Erection of mansard roof extension to main rear roof and  extension above part of two-storey back addition and formation of roof terrace above part of two-storey back addition with 1.7m high screen surround in connection with creation of 1 x 2-bedroom flat. Alterations including raising the ridge by 350mm.</t>
  </si>
  <si>
    <t>Wandsworth Town, excluding the Wandle Delta Masterplan Area</t>
  </si>
  <si>
    <t>2021/5536</t>
  </si>
  <si>
    <t>Unit 1, 218-220 Garratt Lane</t>
  </si>
  <si>
    <t>Retention of former unit 1 (Use Class E) as 1 x 2 bed and 1 x 3 bed flats. (Use Class C3)</t>
  </si>
  <si>
    <t>2021/5537</t>
  </si>
  <si>
    <t>Unit 2 Bendon Valley House, 218-220 Garratt Lane</t>
  </si>
  <si>
    <t>Retention of former unit 2a (Class Use E) as 1 x 1 bedroom flat (2a) and 1 x 4 bedroom flat (2b) (Use Class C3)</t>
  </si>
  <si>
    <t>2021/5538</t>
  </si>
  <si>
    <t>Unit 3 Bendon Valley, 218-220 Garratt Lane</t>
  </si>
  <si>
    <t>Retention of former unit 3 (Class Use E) as 1 x studio (3a) and 1 x3 bedroom flat (3b) (Class Use C3)</t>
  </si>
  <si>
    <t>2021/4716</t>
  </si>
  <si>
    <t>Determination as to whether prior approval is required for change of use from retail (Class E) to 1 x studio flat (Class C3).</t>
  </si>
  <si>
    <t>2021/2077</t>
  </si>
  <si>
    <t>114 Putney High Street</t>
  </si>
  <si>
    <t>Alterations including erection of ground, first and second  floor extension in connection with creation of 2 x 2 bedroom flat and 1 x1 bedroom flat.</t>
  </si>
  <si>
    <t>2021/1534</t>
  </si>
  <si>
    <t>15 Mantilla Road</t>
  </si>
  <si>
    <t>Alterations including the erection of mansard roof extension to main rear roof including raising ridge 300mm, erection of roof extension and formation of roof terrace with screen surround above two-storey back addition in connection with creation of 1 x 1-bedroom flat.</t>
  </si>
  <si>
    <t>2021/1874</t>
  </si>
  <si>
    <t>45 Balham High Road</t>
  </si>
  <si>
    <t>Alterations including erection part single/part two storey rear extension at first and second floors in connection with creation of 1 x 2-bedroom, 1 x 1-bedroom flats. Replacement of windows.</t>
  </si>
  <si>
    <t>2021/0309</t>
  </si>
  <si>
    <t>14 Oxford Road</t>
  </si>
  <si>
    <t>Alterations including erection of front boundary wall, railings and gates and landscaping. Installation of replacement of replacement timber windows to side and rear lower ground floor elevations in connection with the change of use to a single dwelling.</t>
  </si>
  <si>
    <t>2021/2917</t>
  </si>
  <si>
    <t>9a Luttrell Avenue</t>
  </si>
  <si>
    <t>Change of use from residential (Class C3) to HMO (Class C4).</t>
  </si>
  <si>
    <t>2022/0208</t>
  </si>
  <si>
    <t>48 &amp; 48A, 48 Lower Richmond Road</t>
  </si>
  <si>
    <t>Erection of part single, part three storey rear/side extension and rear dormer in connection with the use of property as 1 x 3-bedroom flat. forrmation of roof terrace at rear second floor level.</t>
  </si>
  <si>
    <t>2020/2369</t>
  </si>
  <si>
    <t>Battersea Bar/The Chopper, 58-70 York Road</t>
  </si>
  <si>
    <t>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t>
  </si>
  <si>
    <t>10.14</t>
  </si>
  <si>
    <t>ISL CO</t>
  </si>
  <si>
    <t>2019/4378</t>
  </si>
  <si>
    <t>Apartments 5 &amp; 6, 2 Riverlight Quay (Riverlight)</t>
  </si>
  <si>
    <t>The amalgamation of two adjacent two-bed units to create one four-bed unit.</t>
  </si>
  <si>
    <t>2.1.9</t>
  </si>
  <si>
    <t>2018/0210</t>
  </si>
  <si>
    <t>Land rear of 4-24, Thrale Road (Land rear of Mitcham Lane)</t>
  </si>
  <si>
    <t>Block B</t>
  </si>
  <si>
    <t>Erection of 22 residential units (6x1bedroom, 10x2-bedroom and 6x3-bedroom) within three two/three-storey buildings accessed from Thrale Road (between Nos. 16 and 18 Thrale Road) with associated car and cycle parking, refuse storage and landscaping.</t>
  </si>
  <si>
    <t>Block C</t>
  </si>
  <si>
    <t>2021/0652</t>
  </si>
  <si>
    <t>24 Southolm Street</t>
  </si>
  <si>
    <t>Alterations including change of use from residential (Class C3) to 1 x 7-bedroom HMO (Class Sui Generis), replacement windows and bin store to front.</t>
  </si>
  <si>
    <t>2019/4774</t>
  </si>
  <si>
    <t>62 Thrale Road</t>
  </si>
  <si>
    <t>conv</t>
  </si>
  <si>
    <t>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t>
  </si>
  <si>
    <t>extn</t>
  </si>
  <si>
    <t>2021/4546</t>
  </si>
  <si>
    <t>4 Ellerton Road</t>
  </si>
  <si>
    <t>house</t>
  </si>
  <si>
    <t>Alterations in connection with the use of two flats as a single dwelling house.</t>
  </si>
  <si>
    <t>2021/1458</t>
  </si>
  <si>
    <t>Apartments 82 &amp; 83 &amp; 84, 1 Riverlight Quay (Riverlight)</t>
  </si>
  <si>
    <t>The amalgamation of two adjacent two-bed units to create one threebed unit and extension of the unit to incorporate 2 sqm of the communal hallway</t>
  </si>
  <si>
    <t>2015/4504</t>
  </si>
  <si>
    <t>46 Ponton Road (Lexington Gardens)</t>
  </si>
  <si>
    <t>Block A</t>
  </si>
  <si>
    <t>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t>
  </si>
  <si>
    <t>2.1.20</t>
  </si>
  <si>
    <t>2021/1291</t>
  </si>
  <si>
    <t>Brocklebank Health Centre, 249 Garratt Lane (and others), 229-247 Garratt Lane (Garratt Lane and Atheldene Regeneration Site)</t>
  </si>
  <si>
    <t>Phase 1 (Houses) 2x replacement</t>
  </si>
  <si>
    <t>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t>
  </si>
  <si>
    <t>2021/5678</t>
  </si>
  <si>
    <t>Peabody Estate, St Johns Hill</t>
  </si>
  <si>
    <t>Phase 1 [Tenure Change to Existing]</t>
  </si>
  <si>
    <t>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
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t>
  </si>
  <si>
    <t>LRC</t>
  </si>
  <si>
    <t>4.1.5</t>
  </si>
  <si>
    <t>2017/5837</t>
  </si>
  <si>
    <t>Phase 2</t>
  </si>
  <si>
    <t>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
Plot 2: two storey increase allowing an additional 23 flats and change in tenure to older persons social rent only, removal of basement carparking;
Plot 3: two story increase to the centre tower allowing an additional 11 flats and change in tenure to private rent only;
Plot 6: one storey increase allowing three additional flats;
Plot 7: four additional flats (through internal reconfigurations);
Plot 8: loss of one flat;
Plot 9: One storey increase to the western section, extension of southern section facing Comyn Road to close the building gap and removal of corner feature to Comyn Road to allow 31 additional flats, inclusion of parking below podium level;
General alterations to fenestration and finishes to accommodate changes and reconfiguration of carparking resulting in a loss of 28 spaces. Overall reconfiguration results in 599 residential units across the site.</t>
  </si>
  <si>
    <t>2016/6417</t>
  </si>
  <si>
    <t>Battersea Gasholder, 101 Prince of Wales Drive</t>
  </si>
  <si>
    <t>Block C-ii</t>
  </si>
  <si>
    <t>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t>
  </si>
  <si>
    <t>2.1.4</t>
  </si>
  <si>
    <t>03 Planning</t>
  </si>
  <si>
    <t>2023/0176</t>
  </si>
  <si>
    <t>New Covent Garden Market, Nine Elms Lane (Combined Main Market, Entrance site and Thessaly College site)</t>
  </si>
  <si>
    <t>Apex 1</t>
  </si>
  <si>
    <t>Application under Section 96a of the Town and Country Planning Act 1990 for "non-material" amendments to Condition 1 (revised drawings with design amendments to introduce a second staircore with consequential amendments to unit layouts, mix and elevations) of Reserved Matters application ref. 2021/5032 dated 4th March 2022.</t>
  </si>
  <si>
    <t>2.1.27</t>
  </si>
  <si>
    <t>2020/1779</t>
  </si>
  <si>
    <t>Springfield Hospital site, 61 Glenburnie Road</t>
  </si>
  <si>
    <t>Phase 5A - Block B1A</t>
  </si>
  <si>
    <t>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t>
  </si>
  <si>
    <t>9.1</t>
  </si>
  <si>
    <t>Phase 5A - Block B1B</t>
  </si>
  <si>
    <t>Phase 5A - Block B1C</t>
  </si>
  <si>
    <t>Phase 5A - Block C2A</t>
  </si>
  <si>
    <t>2020/1780</t>
  </si>
  <si>
    <t>Phase 5B - Block L</t>
  </si>
  <si>
    <t>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t>
  </si>
  <si>
    <t>Phase 5B - Block M</t>
  </si>
  <si>
    <t>2020/1490</t>
  </si>
  <si>
    <t>Phase 6A - Block S completed</t>
  </si>
  <si>
    <t>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t>
  </si>
  <si>
    <t>OTC</t>
  </si>
  <si>
    <t>2014/2810</t>
  </si>
  <si>
    <t>Apex Site - A2</t>
  </si>
  <si>
    <t>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t>
  </si>
  <si>
    <t>POLA</t>
  </si>
  <si>
    <t>02 Under Construction</t>
  </si>
  <si>
    <t>Phase 3 (rest of RS-4 + O1)</t>
  </si>
  <si>
    <t>Plot C1 - Block A</t>
  </si>
  <si>
    <t>Plot C1 - Block B</t>
  </si>
  <si>
    <t>2022/3187</t>
  </si>
  <si>
    <t>229 Queenstown Road</t>
  </si>
  <si>
    <t>Use as 12 x self-contained flats.</t>
  </si>
  <si>
    <t>2020/3080</t>
  </si>
  <si>
    <t>Garages and Land @, 5 Fishponds Road</t>
  </si>
  <si>
    <t>Unit A</t>
  </si>
  <si>
    <t>Demolition of existing garages and construction of 2 x two-storey houses.</t>
  </si>
  <si>
    <t>Unit B</t>
  </si>
  <si>
    <t>2019/1427</t>
  </si>
  <si>
    <t>150a-170 &amp; 2-8 Thornsett Road, Penwith Road</t>
  </si>
  <si>
    <t>Level 2/3</t>
  </si>
  <si>
    <t>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t>
  </si>
  <si>
    <t>RP</t>
  </si>
  <si>
    <t>APG</t>
  </si>
  <si>
    <t>2015/5942</t>
  </si>
  <si>
    <t>Market Towers, 1 Nine Elms Lane (One Nine Elms)</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</si>
  <si>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t>
  </si>
  <si>
    <t>2.1.12</t>
  </si>
  <si>
    <t>2021/0208</t>
  </si>
  <si>
    <t>190-194 St Anns Hill</t>
  </si>
  <si>
    <t>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t>
  </si>
  <si>
    <t>2019/0866</t>
  </si>
  <si>
    <t>1023-1025 Garratt Lane</t>
  </si>
  <si>
    <t>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t>
  </si>
  <si>
    <t>2018/4579</t>
  </si>
  <si>
    <t>Chatfield Court, 56 Chatfield Road</t>
  </si>
  <si>
    <t>Determination as to whether prior approval is required for change of use from office (Class B1a) to residential (Class C3) to provide 13 x 1-bedroom and 1 x 2-bedroom flats.</t>
  </si>
  <si>
    <t>OFC</t>
  </si>
  <si>
    <t>2014/5383</t>
  </si>
  <si>
    <t>19-21 Mitcham Road</t>
  </si>
  <si>
    <t>Conversion of existing building at first, second, and third floor levels into 19 self contained apartments.</t>
  </si>
  <si>
    <t>5.2</t>
  </si>
  <si>
    <t>2021/4727</t>
  </si>
  <si>
    <t>Argylle House, 1a All Saints Passage</t>
  </si>
  <si>
    <t>Variation of conditions 2 (in accordance with drawings) and 3 (materials) pursuant to planning permission dated 30/01/2020 ref 2016/7216 (Demolition of the existing building and construction of a part 4 part 5 storey building providing 17 residential units and 106sqm flexible B1 commercial floorspace with communal external amenity space at fourth floor level) to allow minor changes to the appearance of the building, layout of commercial waste and cycle stores and to change the wording of Condition 3 to include compliance trigger instead of pre-commencement.</t>
  </si>
  <si>
    <t>2016/3838</t>
  </si>
  <si>
    <t>Demolition of existing roof structure and erection of four-storey extension (to create fourth, fifth, sixth and seventh floors) to provide 2 x 1-bedroom, 5 x 2-bedroom and  2 x 3-bedroom residential units, creation of balconies and roof terraces, and external alterations.</t>
  </si>
  <si>
    <t>2020/5124</t>
  </si>
  <si>
    <t>Garages south of 156-232, 156-232 Whitlock Drive</t>
  </si>
  <si>
    <t>Demolition of existing garages and erection of three-storey (plus basement) residential building comprising 1 x 1-bed, 6 x 2-bed and 2 x 3-bed flats with associated landscaping, underground parking, refuse and cycle storage.</t>
  </si>
  <si>
    <t>2021/3550</t>
  </si>
  <si>
    <t>Silverdale House, 98-100 Wandsworth High Street</t>
  </si>
  <si>
    <t>Erection of six storey building in connection with creation of 2 x 3-bedroom, 1 x 2-bedroom and 6 x 1-bedroom flats with associated refuse and cycle storage.</t>
  </si>
  <si>
    <t>2017/6846</t>
  </si>
  <si>
    <t>Garages north of Fordyce House, Colson way</t>
  </si>
  <si>
    <t>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t>
  </si>
  <si>
    <t>AC</t>
  </si>
  <si>
    <t>2021/0831</t>
  </si>
  <si>
    <t>142 Trinity Road</t>
  </si>
  <si>
    <t>Alterations including demolition of existing garage, erection of dormer roof extensions to main rear roof, two-storey rear and side extension plus roof level extensions above, excavation to enlarge basement including formation of front and rear lightwells, alterations to fenestration in connection with conversion and creation of 2 x 3-bedroom, 5 x 2-bedroom and 1 x 1-bed/studio flats with associated boundary treatment, landscaping, cycle and refuse storage.</t>
  </si>
  <si>
    <t>2019/3275</t>
  </si>
  <si>
    <t>153-159 Putney High Street</t>
  </si>
  <si>
    <t>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t>
  </si>
  <si>
    <t>2021/1729</t>
  </si>
  <si>
    <t>73 Earlsfield Road</t>
  </si>
  <si>
    <t>Alterations including erection of rear mansard roof extension to main rear roof slope and above existing two-storey side extension; extension above part of two-storey rear addition with installation of 1.7m high obscure glazed balustrade to form roof terrace; erection of single-storey rear extension to create full width ground floor rear extension, excavation to enlarge existing basement with stairs up to rear garden. alterations to front fenestration and replacement of all windows and doors in association with conversion of single-family dwelling house into 8 self-contained flats (3 x 3 bed, 2 x 2 bed, 3 x 1 bed) with associated outside amenity space, secure refuse and cycle storage and off-street parking.</t>
  </si>
  <si>
    <t>2015/5875</t>
  </si>
  <si>
    <t>Chelsea Bridge Wharf (southern site), Queenstown Road (Phase 5, Residential Blocks F &amp; G (Lanson House &amp; Burnelli House))</t>
  </si>
  <si>
    <t>Change of use from "flexible commercial space" to provide 7 residential apartments with associated screening and landscaping</t>
  </si>
  <si>
    <t>2019/2186</t>
  </si>
  <si>
    <t>1 East Hill</t>
  </si>
  <si>
    <t>New 4 storey building with 2 new commercial units (Class A1, A2, A3 and B1) and 8 x residential self-contained flats (Class C3), comprising 2 x 1 bed units; and 5 x 2 bed units and 1 x 3 bed units.</t>
  </si>
  <si>
    <t>2021/0408</t>
  </si>
  <si>
    <t>5 Parma Crescent</t>
  </si>
  <si>
    <t>Demolition of existing building and erection of a part 2-storey, part 3-storey building (with basement) to provide 7 flats (2 x 3-bed, 4 x 2-bed, 1 x 1-bed flats) with associated refuse and cycle storage.</t>
  </si>
  <si>
    <t>2019/4665</t>
  </si>
  <si>
    <t>2 Replingham Road</t>
  </si>
  <si>
    <t>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t>
  </si>
  <si>
    <t>2021/2382</t>
  </si>
  <si>
    <t>336 Upper Richmond Road</t>
  </si>
  <si>
    <t>Variation of condition 2 (Approved Drawings) and 13 (Unit mix) of planning permission dated 20/08/2020 ref 2020/1463 (Erection of replacement single-storey rear/side extensions, erection of dormer extension to main rear and side roof slopes, and formation of a basement with front and rear lightwells in connection with a change of use from Dental Surgery (Class D1) to residential (Class C3) to provide flats with associated amenity space, refuse and bicycle storage.) to allow the changes to the approved drawings to allow alterations to the fenestration; bridges over basement lightwell; door to flat 4; flank walls to lightwells; addition of two first floor balconies to flats 6 and 7 with obscured glazed screening; increase in ground floor extension height; new window on north flank at first floor level and roof light added in flat 5; change of unit mix to 3 x 1 bedroom  3 x 2 bedroom and 1 x 3 bedroom flats.</t>
  </si>
  <si>
    <t>2021/3023</t>
  </si>
  <si>
    <t>Earlsfield House, 1 Swaffield Road</t>
  </si>
  <si>
    <t>Erection of a side extension with alterations as part of the change of use of Earlsfield House to provide 5 x 2-bedroom residential apartments.</t>
  </si>
  <si>
    <t>2021/2344</t>
  </si>
  <si>
    <t>Garages Rear of, 88 Longley Road</t>
  </si>
  <si>
    <t>Demolition of existing garage/storage facilities and erection of twostorey building to provide 3 x 1-bedroom and 2 x 2-bedroom flats with
associated terraces, provision of refuse and cycle storage.</t>
  </si>
  <si>
    <t>2021/3012</t>
  </si>
  <si>
    <t>82-84 Mitcham Lane</t>
  </si>
  <si>
    <t>Determination as to whether prior approval is required for demolition of existing workshop and erection of part 2/part 4-storey building to provide 8 x 1-bedroom and 1 x 2-bedroom flats.</t>
  </si>
  <si>
    <t>2017/3137</t>
  </si>
  <si>
    <t>37 Oldridge Road</t>
  </si>
  <si>
    <t>Demolition of existing building and erection of a four-storey building to provide 1 x studio, 1 x 1-bedroom and 2 x 2 bedroom flats, the erection of  a single-storey (plus basement) 1-bedroom house; associated cycle and refuse storage.</t>
  </si>
  <si>
    <t>2017/6879</t>
  </si>
  <si>
    <t>5 Laitwood Road</t>
  </si>
  <si>
    <t>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t>
  </si>
  <si>
    <t>2020/3861</t>
  </si>
  <si>
    <t>58 Selkirk Road</t>
  </si>
  <si>
    <t>Demolition of existing building and erection of two-storey with roof addition and basement building to provide accommodation consisting of 2 x 3-bedroom self-contained flats with media rooms, 3 x 1-bedroom one person self-contained flats with associated refuse and cycle storage.</t>
  </si>
  <si>
    <t>2022/0538</t>
  </si>
  <si>
    <t>Erection of four-storey side and rear extensions, conversion of rear part of ground floor to residential with retention of front part as commercial (Class E) use in connection with conversion of building into 8 residential units 1 x 3 bedroom, 6 x 2 bedroom and 1 x 1-bedroom units with associated bin and bike storage and landscaping.</t>
  </si>
  <si>
    <t>2018/3122</t>
  </si>
  <si>
    <t>Garages rear of 21, Granard Avenue</t>
  </si>
  <si>
    <t>Demolition of existing garages and construction of 4 x 2-bedroom houses ground and first floors with part basement.</t>
  </si>
  <si>
    <t>2014/1622</t>
  </si>
  <si>
    <t>Mission Church development site, 22-24 Kellino Street (Tooting Boys' Club)</t>
  </si>
  <si>
    <t>Change of use of the existing building from former community building (Class D1) to create four self-contained residential units comprising internal and external alterations (including terraces) and extensions.</t>
  </si>
  <si>
    <t>2019/0014</t>
  </si>
  <si>
    <t>113 St Johns Hill</t>
  </si>
  <si>
    <t>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t>
  </si>
  <si>
    <t>2013/5264</t>
  </si>
  <si>
    <t>155 Burntwood Lane</t>
  </si>
  <si>
    <t>Demolition of rear addition and alterations including erection of part single part two-storey front, side, rear extensions to rear addition, alterations to front and side ground floor elevations and enclosure of front and side forecourt in connection with use as three flats.</t>
  </si>
  <si>
    <t>2021/4551</t>
  </si>
  <si>
    <t>178 Lavender Hill</t>
  </si>
  <si>
    <t>Alterations including erection of a dormer extension to side and rear roof; two-storey extension above two-storey back addition and part-single/part-two-storey rear extension to back-addition; Formation of a roof terraces/balconies at first, second, third and fourth floors; Partial change of use of basement and ground floor from commercial use class E to residential use class C3 in connection with the creation of 2 x 1 bedroom and 2 x 2 bedroom flats.</t>
  </si>
  <si>
    <t>2020/4959</t>
  </si>
  <si>
    <t>22 Upper Richmond Road</t>
  </si>
  <si>
    <t>Alterations including erection of part single, part three-storey rear/side extension in connection with the creation of 1 x 1 bedroom flat and 2 x studio flats. Creation of roof-terrace at second floor level.</t>
  </si>
  <si>
    <t>2021/2952</t>
  </si>
  <si>
    <t>24 Bellevue Road</t>
  </si>
  <si>
    <t>Excavation to create a basement including formation of front and rear lightwells, erection of dormer roof extensions to front and rear roof. Erection of part single/ part two-storey rear extension and single storey outbuilding  in connection with conversion of property to 2 x 3-bedroom, 1 x 2-bedroom and 1 x 1-bedroom flats with associated cycle and refuse storage.</t>
  </si>
  <si>
    <t>2021/4567</t>
  </si>
  <si>
    <t>285-287 Putney Bridge Road</t>
  </si>
  <si>
    <t>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t>
  </si>
  <si>
    <t>2020/4436</t>
  </si>
  <si>
    <t>29 Roehampton Lane</t>
  </si>
  <si>
    <t>Alterations including installation of side dormer and rear dormer (with french doors and safety railing) and excavation to create basement with front and rear lightwells with grille over in connection with creation of 4 flats with associated bin and cycle storage.</t>
  </si>
  <si>
    <t>2021/5139</t>
  </si>
  <si>
    <t>43-45 Northcote Road</t>
  </si>
  <si>
    <t>Demolition of existing three storey building and erection of five storey building  to provide 5 residential units (1 x 1-bed, 3 x 2-bed and 1 x 3-bed units) and use of ground floor as Class E floorspace with associated access, cycle and refuse storage, private amenity space and plant enclosure to rear.</t>
  </si>
  <si>
    <t>2020/5053</t>
  </si>
  <si>
    <t>Bank House, 250 Wimbledon Park Road</t>
  </si>
  <si>
    <t>Alterations including erection of two storey rear and side extensions at the rear and side (plus roof), and alterations at second floor level fronting Augustus Road in connection with change of use of part of the first and second floors from office (Class E) to 3 x 1-bedroom flats (Class C3) with associated cycle and refuse storage</t>
  </si>
  <si>
    <t>2020/4252</t>
  </si>
  <si>
    <t>121 Earlsfield Road</t>
  </si>
  <si>
    <t>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t>
  </si>
  <si>
    <t>2021/5482</t>
  </si>
  <si>
    <t>17 Haldon Road</t>
  </si>
  <si>
    <t>Alterations including erection of hip to gable roof extension and rear mansard extension with rear dormer (with french doors and safety railings), erection of roof extension above part of two storey back addition, and single storey side and rear extension. Works in connection with conversion of dwellinghouse into 2 x 3-bedroom and 1 x 1-bedroom flats; refuse and cycle storage proposed for front garden.</t>
  </si>
  <si>
    <t>2020/0614</t>
  </si>
  <si>
    <t>259 Putney Bridge Road</t>
  </si>
  <si>
    <t>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t>
  </si>
  <si>
    <t>2018/0001</t>
  </si>
  <si>
    <t>27 Sainfoin Road</t>
  </si>
  <si>
    <t>Erection of mansard extension to main rear roof (with French doors and safety railings) and single storey rear/side extension, in connection with conversion of property into 1 x 3-bedroom and 2 x 2-bedroom flats.</t>
  </si>
  <si>
    <t>2016/4349</t>
  </si>
  <si>
    <t>28 Tooting Bec Road</t>
  </si>
  <si>
    <t>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t>
  </si>
  <si>
    <t>2020/1405</t>
  </si>
  <si>
    <t>46 Longley Road</t>
  </si>
  <si>
    <t>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t>
  </si>
  <si>
    <t>2020/0040</t>
  </si>
  <si>
    <t>521-525 Battersea Park Road</t>
  </si>
  <si>
    <t>Alterations including erection of part three-storey rear extension at rear in connection with the creation of 2 x 1-bedroom flats; formation of roof terraces on first floor level with 2m high screen surround. Relocation of 2 x air-conditioning units to rear first floor level.</t>
  </si>
  <si>
    <t>2019/1043</t>
  </si>
  <si>
    <t>61 Longfield Street</t>
  </si>
  <si>
    <t>Demolition of existing dwelling house and erection of a three-storey (plus basement) building to provide 2 x 1-bedroom and 1 x 3-bedroom flats(Use Class C3) together with associated landscaping, cycle and refuse storage.</t>
  </si>
  <si>
    <t>2017/1573</t>
  </si>
  <si>
    <t>8 Akehurst Street</t>
  </si>
  <si>
    <t>Erection of 2 x 5-bedroom three storey detached houses with associated landscaping, parking and cycle store.</t>
  </si>
  <si>
    <t>2018/2554</t>
  </si>
  <si>
    <t>Vehicle Repair Workshop Rear of, 7-9 Aldis Street</t>
  </si>
  <si>
    <t>Demolition of existing building and erection of two x 2-bedroom single storey houses with associated cycle and refuse storage.</t>
  </si>
  <si>
    <t>2021/2432</t>
  </si>
  <si>
    <t>125 Lower Richmond Road</t>
  </si>
  <si>
    <t>Alterations including erection of part single, part two storey side and rear extensions with roof terraces at first and second floor levels; roof extension to main rear roof with  access to thisrd floor level terrace;  excavation to extend basement including formation of side/rear lightwell;  in connection with conversion to 4 x 1-bedroom and 1 x 3-bedroom flats.  Installation of replacement shopfront and change of use of existing A1/B2 ground floor shop unit to Class E.</t>
  </si>
  <si>
    <t>2020/3018</t>
  </si>
  <si>
    <t>916 Garratt Lane</t>
  </si>
  <si>
    <t>Demolition of building and erection of a two-storey building with basement to form 1 x 3 bedroom ground floor flat, 1 x 2 bedroom first floor flat, 2 x 1 bedroom second and third floor flats.</t>
  </si>
  <si>
    <t>2021/1302</t>
  </si>
  <si>
    <t>1 Podmore Road</t>
  </si>
  <si>
    <t>Determination as to whether prior approval is required for change of use of office at ground floor level (Class E) to residential (Class C3) to provide 1 x 2-bedroom flat.</t>
  </si>
  <si>
    <t>2021/4589</t>
  </si>
  <si>
    <t>Alterations including erection of front and rear roof extension to provide an additional floor of accommodation to create 1 x1 bedroom flat.</t>
  </si>
  <si>
    <t>2016/5341</t>
  </si>
  <si>
    <t>1 Withycombe Road</t>
  </si>
  <si>
    <t>Demolition of existing house and erection of two, two-storey (plus basement) 3 -bedroom semi-detached houses including new boundary treatment.</t>
  </si>
  <si>
    <t>2021/5565</t>
  </si>
  <si>
    <t>12 Coverton Road</t>
  </si>
  <si>
    <t>Alterations including erection of a mansard roof extension to main rear roof (with French doors and safety railings) including raising ridge by 200mm and extension above the two storey back addition; Erection of single storey rear/side extension; Formation of second floor rear roof terrace with 1.7m glazed surround; In connection with creation of 1 x 3-bedroom, 1 x 2-bedroom and 1 x 1-bedroom and 1 x studio flats, with associated refuse storage to front garden and associate cycle storage.</t>
  </si>
  <si>
    <t>2018/4022</t>
  </si>
  <si>
    <t>13 Rookstone Road</t>
  </si>
  <si>
    <t>Erection of mansard roof extension to main rear roof and extension above two-storey back addition; erection of single storey rear/side extension in connection with conversion of property from 2 x 2 bedroom flats to 1 x 2 bedroom and 2 x 1 bedroom flats.</t>
  </si>
  <si>
    <t>2016/4543</t>
  </si>
  <si>
    <t>131 Lower Richmond Road</t>
  </si>
  <si>
    <t>Proposed use of the first and second floors as two residential flats.</t>
  </si>
  <si>
    <t>2013/6430</t>
  </si>
  <si>
    <t>15 Fernthorpe Road</t>
  </si>
  <si>
    <t>Demolition of existing garage. Construction of three-storey side extension with rear roof extension and conversion into self contained two bedroomed dwelling. Installation of 6 solar panels to front roof slope.</t>
  </si>
  <si>
    <t>2022/0863</t>
  </si>
  <si>
    <t>157-159 Wandsworth High Street</t>
  </si>
  <si>
    <t>Determination as to whether prior approval is required for change of use of office (Class E) at part of first floor level to a studio flat (Class C3).</t>
  </si>
  <si>
    <t>2022/0867</t>
  </si>
  <si>
    <t>Determination as to whether prior approval is required for change of use of part of first floor from Class E to 1 x 1-bedroom flat (Class C3).</t>
  </si>
  <si>
    <t>2016/4655</t>
  </si>
  <si>
    <t>16 Roehampton Gate</t>
  </si>
  <si>
    <t>Demolition of existing building and erection of a two-storey (plus basement and roof levels) house.</t>
  </si>
  <si>
    <t>2019/0799</t>
  </si>
  <si>
    <t>175 Wandsworth High Street</t>
  </si>
  <si>
    <t>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t>
  </si>
  <si>
    <t>2021/3335</t>
  </si>
  <si>
    <t>189b Balham High Road</t>
  </si>
  <si>
    <t>Change of use from storage facility (Class B8) to a single family dwelling house (Class C3) including external alterations.</t>
  </si>
  <si>
    <t>2018/4665</t>
  </si>
  <si>
    <t>190a Tooting High Street</t>
  </si>
  <si>
    <t>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t>
  </si>
  <si>
    <t>2019/2735</t>
  </si>
  <si>
    <t>2 Penwortham Road</t>
  </si>
  <si>
    <t>Alterations including excavation works in connection with change of use from Office/Business (Class A2) to residential (Class C3) to provide 1 x 1 bedroom unit with roof terrace.</t>
  </si>
  <si>
    <t>2018/0195</t>
  </si>
  <si>
    <t>22 Trinity Road</t>
  </si>
  <si>
    <t>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t>
  </si>
  <si>
    <t>2021/1586</t>
  </si>
  <si>
    <t>Alterations including erection of front and rear roof extension to main roof (with French doors and safety railings to front elevation), extension above three-storey back addition to provide 1 x 1 bedroom flat with front roof terrace.</t>
  </si>
  <si>
    <t>2019/1498</t>
  </si>
  <si>
    <t>26 Upper Richmond Road</t>
  </si>
  <si>
    <t>Change of use from Restaurants and Cafes/ Drinking Establishments (A3/A4) to residential (Class C3) to provide 1 x 1-bedroom flat.</t>
  </si>
  <si>
    <t>2016/4769</t>
  </si>
  <si>
    <t>30 Nimrod Road</t>
  </si>
  <si>
    <t>Alterations including erection of hip to gable side roof extensions, rear mansard roof extension, and extension above two storey back addition. Erection of single-storey side/rear extension. Erection of self-contained annexe to the rear garden with basement level.</t>
  </si>
  <si>
    <t>2020/4494</t>
  </si>
  <si>
    <t>30a Fountain Road</t>
  </si>
  <si>
    <t>Alterations including raising ridge height by 300mm, erection of a mansard roof extension on the main rear roof slope and above part of two-storey rear addition to form new 1-bedroom flat with the formation of a roof terrace with 1.7m obscured glazed screen.</t>
  </si>
  <si>
    <t>2019/4158</t>
  </si>
  <si>
    <t>335a Garratt Lane</t>
  </si>
  <si>
    <t>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t>
  </si>
  <si>
    <t>2022/0172</t>
  </si>
  <si>
    <t>34 Roehampton High Street</t>
  </si>
  <si>
    <t>Alterations to include the erection of two-storey rear extension, formation of a roof terrace above with opague balustrade. Change of use of part of lower and ground floor commercial space (Class Use E/A3) to form a 2-bedroom flat (Class Use C3)</t>
  </si>
  <si>
    <t>2019/3692</t>
  </si>
  <si>
    <t>376-378 Garratt Lane</t>
  </si>
  <si>
    <t>Alterations in connection with conversion of existing flat and  office (B1) to 4 x two-bedroom flats with associated bin and cycle storage.</t>
  </si>
  <si>
    <t>2021/3897</t>
  </si>
  <si>
    <t>463 Garratt Lane</t>
  </si>
  <si>
    <t>Alterations including replacement ground floor front elevation and erection of single-storey rear/side extension in connection with change of use of ground floor from retail (Class E) to residential (Class C3) and provision of 3 x1 bedroom flats with refuse and cycle storage at rear.</t>
  </si>
  <si>
    <t>2021/5066</t>
  </si>
  <si>
    <t>468 Garratt Lane</t>
  </si>
  <si>
    <t>Alterations including erection of rear extensions at ground, first and second floor levels including raising the main ridge of the roof by 300mm; F ormation of roof terrace at rear first floor and provision of refuse and cycle storage at rear in connection with use of the rear part of the gorund floor and upper floors as  3 x 1-bedroom flats.</t>
  </si>
  <si>
    <t>2020/1033</t>
  </si>
  <si>
    <t>51-53 Northcote Road</t>
  </si>
  <si>
    <t>Alterations to rear block facing Shelgate Road including erection of roof extension to create additional storey in connection with creation of 1 x 1-bedroom flat.</t>
  </si>
  <si>
    <t>2020/1371</t>
  </si>
  <si>
    <t>Alterations including erection of mansard roof extension to front and rear roof of No. 51 and rear dormer extension to the rear of No. 53 in connection with creation of 1 x 1-bedroom flat.</t>
  </si>
  <si>
    <t>2021/4782</t>
  </si>
  <si>
    <t>547 Old York Road</t>
  </si>
  <si>
    <t>Alterations including erection of a front dormer and a rear mansard roof extension (with French doors and safety railing) to main roof; extension above part of the two-storey back addition; erection of a single storey rear/side extension and formation of a first floor rear roof terrace with glazed screen; removal of window and installation of French doors and safety railing to first floor rear elevation; installation of a new shopfront and front access to upper floors; associated refuse and cycle storage, in connection with use of upper floors as 2 x 2- bed and 1 x 1-bed flats plus 1 x commercial unit (Class E) on part of the ground floor and basement levels.</t>
  </si>
  <si>
    <t>2019/2135</t>
  </si>
  <si>
    <t>65a Bramfield Road (145a Northcote Road)</t>
  </si>
  <si>
    <t>Demolition of single storey building and erection of two-storey 1-bedroom house.</t>
  </si>
  <si>
    <t>2021/3121</t>
  </si>
  <si>
    <t>7 Fairlight Road</t>
  </si>
  <si>
    <t>Alterations including erection of mansard roof extension to main rear roof including raising ridge by 300mm, erection of roof extension and formation of roof terrace with 1.7m glazed safety surround above two storey rear addition in connection with creation of 1 x 1-bedroom flat.</t>
  </si>
  <si>
    <t>2022/4648</t>
  </si>
  <si>
    <t>80 Taybridge Road</t>
  </si>
  <si>
    <t>Alterations including erection of dormer roof extensions to side roof slope, extension to roof at rear incuding increase ridge, erection of ground floor extension and replacement of shop frontage and lowering/replacement of windows in connection with the conversion of the commercial unit and dwelling into into 3 self-contained residential units (1 x 1 bedroom, and 2 x 2 bedroom units); provision cycle storage and waste storage.</t>
  </si>
  <si>
    <t>2020/2195</t>
  </si>
  <si>
    <t>842 Garratt Lane</t>
  </si>
  <si>
    <t>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t>
  </si>
  <si>
    <t>2020/2606</t>
  </si>
  <si>
    <t>88 Grayshott Road</t>
  </si>
  <si>
    <t>Determination as to whether prior approval is required for change of use of office at ground floor and lower ground floor (Class B1a) to residential (Class C3) to provide 1 x 1-bedroom flat.</t>
  </si>
  <si>
    <t>2021/5596</t>
  </si>
  <si>
    <t>93 Tooting Bec Road</t>
  </si>
  <si>
    <t>Alterations including erection of mansard roof extension to main rear roof, formation of roof terrace above two-storey back addition with 1.7m high screen surround, and  single-storey rear/side extension, in connection with conversion of property into  1 x 3-bedroom, 1 x 2-bedroom and 1 x 1-bedroom flats.</t>
  </si>
  <si>
    <t>2022/4396</t>
  </si>
  <si>
    <t>952 Garratt Lane</t>
  </si>
  <si>
    <t>Alterations including raising of ridge by 300mm, replacement rear mansard dormer and insertion of french doors and safety railings, erection of roof extension above two storey back addition with roof terrace (plus 1.7m high screening above) and erection of replacement single storey rear and side extension. Extensions and alterations in connection with conversion of property into three flats (1x3 bedroom, 1x2 bedroom and 1x1 bedroom flats). Provision of bin and cycle stores within front garden.</t>
  </si>
  <si>
    <t>2021/4534</t>
  </si>
  <si>
    <t>99 Lacy Road (Guildford House)</t>
  </si>
  <si>
    <t>Formation of a new 2-bedroom dwelling at lower ground floor level.</t>
  </si>
  <si>
    <t>2020/4967</t>
  </si>
  <si>
    <t>and 182A, 182 Mitcham Road</t>
  </si>
  <si>
    <t>Alterations to existing single storey rear/side extension and replacement rear boundary treatment, in connection with the conversion of the rear part of the ground floor into one-bedroom studio flat.</t>
  </si>
  <si>
    <t>2018/4639</t>
  </si>
  <si>
    <t>Car storage site rear of, 1 Kenlor Road</t>
  </si>
  <si>
    <t>Demolition of existing single storey building and the erection of a single-storey one bedroom detached house with associated cycle and refuse storage and landscaping.</t>
  </si>
  <si>
    <t>2022/4305</t>
  </si>
  <si>
    <t>Coach House adjoining 83, Mallinson Road</t>
  </si>
  <si>
    <t>Erection of a detached house with basement and roof terraces to front, rear and above roof.</t>
  </si>
  <si>
    <t>2018/5658</t>
  </si>
  <si>
    <t>Garages between 23 &amp; 25, Darley Road</t>
  </si>
  <si>
    <t>Demolition of existing garages and erection of two-storey(plus basement) 4-bedroom house with associated refuse and cycle storage.</t>
  </si>
  <si>
    <t>2019/0762</t>
  </si>
  <si>
    <t>garages north of 8, 8 Buckmaster Road</t>
  </si>
  <si>
    <t>Demolition of existing single-storey vehicle garages and the erection of a two-storey plus basement 2 x bedroom dwellinghouse (Class C3).</t>
  </si>
  <si>
    <t>2021/3346</t>
  </si>
  <si>
    <t>Garages rear of 194, Bedford Hill</t>
  </si>
  <si>
    <t>Demolition of existing garages and erection of single storey (plus twostorey basement) 2-bedroom house including alterations to boundary
walls</t>
  </si>
  <si>
    <t>2017/2024</t>
  </si>
  <si>
    <t>land adjacent to 72, 72A Bedford Hill</t>
  </si>
  <si>
    <t>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t>
  </si>
  <si>
    <t>2018/0917</t>
  </si>
  <si>
    <t>Land adjacent, 80 Manville Road</t>
  </si>
  <si>
    <t>Demolition of existing garage and erection of part single, part two-storey (plus basement) 3-bedroom detached house with associated landscaping, boundary treatment, cycle, refuse storage and car parking.</t>
  </si>
  <si>
    <t>2014/6325</t>
  </si>
  <si>
    <t>Land rear of, 13 Thurleigh Road</t>
  </si>
  <si>
    <t>Demolition of existing garages, erection of a single-storey plus basement attached self-contained dwelling fronting Blenkame Road with boundary treatment and associated landscaping.</t>
  </si>
  <si>
    <t>2022/1057</t>
  </si>
  <si>
    <t>Land rear of, 143 St Johns Hill</t>
  </si>
  <si>
    <t>Erection of two-storey building to provide one  x 2-bedroom and one x 1-bedroom flats with associated refuse and cycle storage.</t>
  </si>
  <si>
    <t>2021/3247</t>
  </si>
  <si>
    <t>Stroud Crescent (Open space adjacent to 178-204)</t>
  </si>
  <si>
    <t>Erection of three/four storey building to provide 14 x flats (4 x 1-bedroom, 6 x 2-bedroom and 4 x 3-bedroom) each with a balcony with metal rails and with associated landscaping, 6 parking spaces, 2 of which are disability spaces, erection of new refuse and cycle storage.</t>
  </si>
  <si>
    <t>2018/5918</t>
  </si>
  <si>
    <t>Rear of, 631 Garratt Lane</t>
  </si>
  <si>
    <t>Erection of two storey 1-bedroom house with first floor terraces with 1.7m high screen and access from Quinton Street.</t>
  </si>
  <si>
    <t>2019/0435</t>
  </si>
  <si>
    <t>Ross Court, 81 Putney Hill</t>
  </si>
  <si>
    <t>Determination as to whether prior approval is required for change of use from storage (Class B8) to residential (Class C3) to provide 1 x 1-bed flat.</t>
  </si>
  <si>
    <t>2020/0184</t>
  </si>
  <si>
    <t>Sterling House, Burston Road (Former garage site)</t>
  </si>
  <si>
    <t>Erection of roof extension to provide an additional floor of accommodation to accomodate 1x3 bedroom flat.</t>
  </si>
  <si>
    <t>2020/0797</t>
  </si>
  <si>
    <t>The Studio, 1c Moring Road</t>
  </si>
  <si>
    <t>Alterations in connection with change of use from office (Class B1) to residential (Class C3) to provide studio flat with associated refuse storage.</t>
  </si>
  <si>
    <t>2018/0585</t>
  </si>
  <si>
    <t>The Surgery, Claudia Place</t>
  </si>
  <si>
    <t>Demolition of existing building and erection of a part-single, part four-storey 3-bedroomed dwellinghouse including roof terrace, with one off-street parking space.</t>
  </si>
  <si>
    <t>2021/1399</t>
  </si>
  <si>
    <t>272-274 Battersea Park road</t>
  </si>
  <si>
    <t>Alterations including erection of dormer roof extension to the rear and creation of roof terrace at third floor level with 1.7m glazed safety screen surround in connection with formation of new 1 x 2-bedroom flat; and insertion of rooflights into the front roofslope.</t>
  </si>
  <si>
    <t>2021/4566</t>
  </si>
  <si>
    <t>314 Garratt Lane</t>
  </si>
  <si>
    <t>Alterations including erection of a roof extension to main rear roof, raising the main roof ridge height by 300mm, and extension above part of the two-storey back addition, in connection with conversion from 1 x 3-bed flat to 2 x 1-bed flats with associated refuse and cycle storage. (Amended drawings received.)</t>
  </si>
  <si>
    <t>2022/0732</t>
  </si>
  <si>
    <t>575 Battersea Park Road</t>
  </si>
  <si>
    <t>Alterations including erection of roof extensions to main rear roof and above two storey back addition, formation of first floor roof terrace with screen surround in connection with conversion of existing flat into 1 x 1-bedroom and 1 x studio flats.</t>
  </si>
  <si>
    <t>2019/3388</t>
  </si>
  <si>
    <t>77 Broomwood Road</t>
  </si>
  <si>
    <t>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t>
  </si>
  <si>
    <t>2022/5140</t>
  </si>
  <si>
    <t>8 Southcroft Road</t>
  </si>
  <si>
    <t>Alterations including erection of mansard roof extension to main rear roof and extension above part of the two-storey back addition, and formation of roof terrace above two-storey back addition with 1.7m high screen surround in connection with creation of 1 x 1 bedroom flat. Installation of glazed doors and external stairs at first floor rear elevation to rear garden.</t>
  </si>
  <si>
    <t>2019/5582</t>
  </si>
  <si>
    <t>Demolition of existing buildings and erection of single-storey building plus basement to form 1x2-bedroom flat</t>
  </si>
  <si>
    <t>2019/3065</t>
  </si>
  <si>
    <t>Ground Floor, 231 Merton Road</t>
  </si>
  <si>
    <t>Alterations in connection with change of use from office (Class A2) to residential (Class C3) to provide 1 x 2-bedroom flat.</t>
  </si>
  <si>
    <t>2022/0779</t>
  </si>
  <si>
    <t>Land rear of and, 165 Battersea High Street</t>
  </si>
  <si>
    <t>Change of use of ground floor from Class E (Commercial) to Class C3 (Dwellinghouse) 1-bedroom flat, together with associated external alterations including replacement frontage.</t>
  </si>
  <si>
    <t>2018/0816</t>
  </si>
  <si>
    <t>Unit 11-12 Ransomes Dock Business Centre, 35-37 Parkgate Road (Ransomes Dock Business Centre)</t>
  </si>
  <si>
    <t>Determination as to whether prior approval is required for change of use of office at second floor level (Use Class B1(a) to residential (Use Class 3) to provide 1 x 2 bedroom flat.</t>
  </si>
  <si>
    <t>2022/0128</t>
  </si>
  <si>
    <t>Upper Floors, 6a York Road</t>
  </si>
  <si>
    <t>Alterations including erection of roof extension to create additional floor of accommodation; formation of roof terrace above two-storey back addition with screen surround and conversion of the upper floor flat into 1 x 2-bedroom and 1 x 1-bedroom  flat.</t>
  </si>
  <si>
    <t>2021/1530</t>
  </si>
  <si>
    <t>104 Eswyn Road</t>
  </si>
  <si>
    <t>Alterations including erection of dormer roof extension to main rear roof and roof extension above two storey back addition in connection with conversion of dwelling house (Class C3) into house of multiple occupation (Class C4).</t>
  </si>
  <si>
    <t>2017/4326</t>
  </si>
  <si>
    <t>14 Valonia Gardens</t>
  </si>
  <si>
    <t>Demolition of existing detached dwellinghouse and the erection of a replacement two-storey (plus roof accomodation) 4-bedroom detached dwellinghouse.</t>
  </si>
  <si>
    <t>2020/5042</t>
  </si>
  <si>
    <t>19 Roedean Crescent</t>
  </si>
  <si>
    <t>Demolition of existing building and single storey outbuilding in rear garden and erection of a two-storey (plus basement and roof levels) 6-bedroom detached house with rear first floor terrace.</t>
  </si>
  <si>
    <t>2021/2720</t>
  </si>
  <si>
    <t>1A Dinsmore Road</t>
  </si>
  <si>
    <t>Alterations in connection with conversion of shop (Class E) to residential (Class C3) and amalgamation with first floor flat to provide 1 x 2-bedroom house. Alteration to ground floor frontage.</t>
  </si>
  <si>
    <t>2021/3419</t>
  </si>
  <si>
    <t>23 Henning Street</t>
  </si>
  <si>
    <t>Alterations including demolition of existing house, retention of existing front facade and erection of two storey (plus roof and basement)  3-bedroom house.</t>
  </si>
  <si>
    <t>2020/2849</t>
  </si>
  <si>
    <t>24 Granard Avenue</t>
  </si>
  <si>
    <t>Demolition of existing building and erection of a two-storey (plus roof levels) 5-bedroom house.</t>
  </si>
  <si>
    <t>2022/1173</t>
  </si>
  <si>
    <t>28 Muncaster Road</t>
  </si>
  <si>
    <t>Alterations including demolition of building with exception of front facade. Erection of two-storey dwelling plus enlarged basement (plus front lightwell) and accommodation at roof level, with dormer extension (including French doors and safety railings plu solar panels to roof). Erection of part single/part three storey rear extension</t>
  </si>
  <si>
    <t>2022/0056</t>
  </si>
  <si>
    <t>30 Bramcote Road</t>
  </si>
  <si>
    <t>Non-material amendment to planning permission dated 05/04/2019 ref
 2018/4926 (Demolition of existing building and erection of a two-storey 
(plus basement and roof levels) 5-bedroom detached house.) to allow 
the basement to be omitted</t>
  </si>
  <si>
    <t>2021/3791</t>
  </si>
  <si>
    <t>44 and 46, Alfriston Road</t>
  </si>
  <si>
    <t>Demolition of existing houses and erection of 2 x three-storey (plus basement) terraced houses and associated single-storey outbuildings, landscaping and boundary treatment.</t>
  </si>
  <si>
    <t>2020/3284</t>
  </si>
  <si>
    <t>44 Bolingbroke Grove</t>
  </si>
  <si>
    <t>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t>
  </si>
  <si>
    <t>2020/1358</t>
  </si>
  <si>
    <t>Erection of rear extension at first and second floor levels; Formation of a side terrace at second floor level in association with the conversion of the existing 1 x 3-bedroom and 1 x 2-bedroom units into 2 x 2-bedroom units and 1 x 1-bedroom unit.
*RE-CONSULTATION FOR REVISED DESCRIPTION*</t>
  </si>
  <si>
    <t>2022/1787</t>
  </si>
  <si>
    <t>59 Howards Lane</t>
  </si>
  <si>
    <t>Alterations including erection of side and rear dormers and single storey rear/side extension in connection with use of property as a single dwelling.</t>
  </si>
  <si>
    <t>2017/1159</t>
  </si>
  <si>
    <t>6 Leacroft Avenue</t>
  </si>
  <si>
    <t>Demolition of existing building and erection of a three storey (plus basement with rear lightwell) 5-bedroom detached house.</t>
  </si>
  <si>
    <t>2015/0277</t>
  </si>
  <si>
    <t>Kerry Cottage, 1A Cambalt Road</t>
  </si>
  <si>
    <t>Demolition of existing building and erection of detached 2-storey house with accommodation at basement level; erection of east brick boundary wall.</t>
  </si>
  <si>
    <t>2022/0721</t>
  </si>
  <si>
    <t>132 Earlsfield Road</t>
  </si>
  <si>
    <t>Alterations including erection of single-storey side/rear extension in connection with deconversion of two flats into a single dwelling house.</t>
  </si>
  <si>
    <t>2019/5000</t>
  </si>
  <si>
    <t>252-254 Upper Tooting Road</t>
  </si>
  <si>
    <t>Erection a four-storey rear extension (approximately 12m in height). Change of use from a 1 x House of Multiple Occupation (HMO - 6 rooms) in to 1x HMO (18 rooms), while existing flats (1x studio, 1 x 1-bedroom flat and 2 x 2-bedroom flats) are to be retained.</t>
  </si>
  <si>
    <t>2021/3621</t>
  </si>
  <si>
    <t>26 Dalebury Road</t>
  </si>
  <si>
    <t>Conversion of two flats into single dwelling house.</t>
  </si>
  <si>
    <t>U</t>
  </si>
  <si>
    <t>2020/4678</t>
  </si>
  <si>
    <t>75 Clapham Common North Side</t>
  </si>
  <si>
    <t>Conversion of the property from two flats into a 6-bedroom single dwellinghouse.</t>
  </si>
  <si>
    <t>2022/0157</t>
  </si>
  <si>
    <t>Cyril Mansions, 8 &amp; 8a Prince of Wales Drive</t>
  </si>
  <si>
    <t>Alterations to convert 1-bedrom flat and studio flat into a 2-bedroom flat.</t>
  </si>
  <si>
    <t>2021/4938</t>
  </si>
  <si>
    <t>11 Spencer Park</t>
  </si>
  <si>
    <t>Change of use of property from a basement flat and maisonette to a single dwelling house (Use Class C3).</t>
  </si>
  <si>
    <t>2022/3863</t>
  </si>
  <si>
    <t>302 Trinity Road</t>
  </si>
  <si>
    <t>Conversion of property into a 4-bedroom house.</t>
  </si>
  <si>
    <t>2015/0599</t>
  </si>
  <si>
    <t>31 &amp; 32 Centurion Building, 376 Queenstown Road (Chelsea Bridge Wharf)</t>
  </si>
  <si>
    <t>Internal alterations to convert apartments 31 and 32 into one self contained unit (Class Use C3).</t>
  </si>
  <si>
    <t>2021/0769</t>
  </si>
  <si>
    <t>35 Fullerton Road</t>
  </si>
  <si>
    <t>Alterations including erection of a mansard roof extension to main rear roof including raising the ridge by 160mm, and extension above part of the two storey back addition; Erection of a part single/part two-storey rear and side addition; Increase to height of flank wall; Installation of a new front entrance door including associated relocation of front bay window at ground floor, and ground floor side entrance door to be replaced by window; In association with conversion of 2 x flats back to a single dwelling.</t>
  </si>
  <si>
    <t>2021/2524</t>
  </si>
  <si>
    <t>58 Rowfant Road</t>
  </si>
  <si>
    <t>Change of use from two flats into a single family dwelling</t>
  </si>
  <si>
    <t>2020/4633</t>
  </si>
  <si>
    <t>75 Bennerley Road</t>
  </si>
  <si>
    <t>Change of use of basement and upper floor flat into a single dwelling</t>
  </si>
  <si>
    <t>2018/3634</t>
  </si>
  <si>
    <t>26 Drakefield Road</t>
  </si>
  <si>
    <t>Alterations including the erection of a single storey side and rear extension; conversion of building from 1 x 1 bedroom and 2 x 2 bedroom flats into a single dwellinghouse.</t>
  </si>
  <si>
    <t>2021/2779</t>
  </si>
  <si>
    <t>307 Trinity Road</t>
  </si>
  <si>
    <t>Alterations including erection of roof extension with side and rear dormers, erection of part single part two storey rear extension with first floor rear roof-terrace, excavation to enlarge basement, formation of vehicle crossover and formation of hardstanding in front garden and erection of single storey outbuilding in rear garden in connection with conversion of existing flats into single dwelling house.</t>
  </si>
  <si>
    <t>2021/4289</t>
  </si>
  <si>
    <t>50-52 Upper Tooting Road</t>
  </si>
  <si>
    <t>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t>
  </si>
  <si>
    <t>2019/3539</t>
  </si>
  <si>
    <t>95-97 Putney High Street</t>
  </si>
  <si>
    <t>Erection of single to three-storey rear and side extensions and formation of roof terraces at first and  third floor levels in connection with use of the upper floors as a 19 person HMO (Sui Generis) with refuse and cycle storage at the rear; restoration of the facade of No. 95.</t>
  </si>
  <si>
    <t>2016/6287</t>
  </si>
  <si>
    <t>25 Crockerton Road</t>
  </si>
  <si>
    <t>Alterations in connection with the conversion of the property from four flats (2 x 1-bedroom and 2 x 2-bedroom) to a single dwellinghouse (seven-bedroom). Formation of rear roof terrace at main roof level with 1.1m high balustrade.</t>
  </si>
  <si>
    <t>2021/2164</t>
  </si>
  <si>
    <t>55 Brodrick Road</t>
  </si>
  <si>
    <t>Alterations including erection of dormer roof extension to side roof, single storey rear and side extension, first floor rear extension and installation of replacement fenestration in connection with conversion of 5 flats into single dwellinghouse.</t>
  </si>
  <si>
    <t>1 x 3 unit @ g/f rear of commercial</t>
  </si>
  <si>
    <t>ISL UC</t>
  </si>
  <si>
    <t>2020/2995</t>
  </si>
  <si>
    <t>402-404 Merton Road</t>
  </si>
  <si>
    <t>402</t>
  </si>
  <si>
    <t>Demolition of existing buildings and erection of 2 x three-storey 5/6 x bedroom dwellings, with associated off street parking to the front and new boundary walls and gates.</t>
  </si>
  <si>
    <t>404</t>
  </si>
  <si>
    <t>2021/4626</t>
  </si>
  <si>
    <t>157 Fallsbrook Road</t>
  </si>
  <si>
    <t>affordable</t>
  </si>
  <si>
    <t>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t>
  </si>
  <si>
    <t>2022/0354</t>
  </si>
  <si>
    <t>Site of York Road, Winstanley Road (Part of Estate, York Gardens and Winstanley Estate)</t>
  </si>
  <si>
    <t>Block 5A</t>
  </si>
  <si>
    <t>Non Material Amendment under Section 96a of the Town and County Planning Act (1990) to planning permission dated 29th January 2021 planning reference 2019/0024 for the "a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t>
  </si>
  <si>
    <t>ISE</t>
  </si>
  <si>
    <t>Block 5B</t>
  </si>
  <si>
    <t>Block 5C</t>
  </si>
  <si>
    <t>2020/3867</t>
  </si>
  <si>
    <t>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t>
  </si>
  <si>
    <t>2018/5553</t>
  </si>
  <si>
    <t>Kersfield Estate, Lytton Grove</t>
  </si>
  <si>
    <t>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t>
  </si>
  <si>
    <t>2020/0636</t>
  </si>
  <si>
    <t>The Patmore Centre, Patmore Street</t>
  </si>
  <si>
    <t>Block A (London Shared Ownership)</t>
  </si>
  <si>
    <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t>
  </si>
  <si>
    <t>2020/0011</t>
  </si>
  <si>
    <t>Homebase, Swandon Way</t>
  </si>
  <si>
    <t>Block A (Market)</t>
  </si>
  <si>
    <t>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t>
  </si>
  <si>
    <t>3.6</t>
  </si>
  <si>
    <t>2019/4583</t>
  </si>
  <si>
    <t>B and Q Depot, Smugglers Way</t>
  </si>
  <si>
    <t>BLOCK A1</t>
  </si>
  <si>
    <t>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t>
  </si>
  <si>
    <t>3.7</t>
  </si>
  <si>
    <t>2020/0635</t>
  </si>
  <si>
    <t>Randall Close Day Centre and car park, 2 Randall Close (Surrey Lane Estate)</t>
  </si>
  <si>
    <t>BLOCK A1 - RANDALL CLOSE</t>
  </si>
  <si>
    <t>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t>
  </si>
  <si>
    <t>BLOCK A2</t>
  </si>
  <si>
    <t>BLOCK A2 - RANDALL CLOSE</t>
  </si>
  <si>
    <t>BLOCK A3</t>
  </si>
  <si>
    <t>BLOCK A4</t>
  </si>
  <si>
    <t>BLOCK B - HYDE LANE</t>
  </si>
  <si>
    <t>Block B (London Affordable Rented Housing)</t>
  </si>
  <si>
    <t>Block B (Market)</t>
  </si>
  <si>
    <t>BLOCK B1</t>
  </si>
  <si>
    <t>BLOCK B2</t>
  </si>
  <si>
    <t>BLOCK B3</t>
  </si>
  <si>
    <t>BLOCK B4</t>
  </si>
  <si>
    <t>BLOCK B5</t>
  </si>
  <si>
    <t>BLOCK B6</t>
  </si>
  <si>
    <t>BLOCK C - BATTERSEA BRIDGE ROAD</t>
  </si>
  <si>
    <t>Block C (London Affordable Rented Housing)</t>
  </si>
  <si>
    <t>Block C (Market)</t>
  </si>
  <si>
    <t>BLOCK C1</t>
  </si>
  <si>
    <t>BLOCK C2</t>
  </si>
  <si>
    <t>BLOCK C3</t>
  </si>
  <si>
    <t>Block D</t>
  </si>
  <si>
    <t>Block D (Affordable Housing)</t>
  </si>
  <si>
    <t>Block D (Intermediate)</t>
  </si>
  <si>
    <t>Block E</t>
  </si>
  <si>
    <t>Block E(Affordable Housing)</t>
  </si>
  <si>
    <t>Block F</t>
  </si>
  <si>
    <t>Block G</t>
  </si>
  <si>
    <t>2018/0272</t>
  </si>
  <si>
    <t>Pocklington Court, 74 Alton Road</t>
  </si>
  <si>
    <t>Building A</t>
  </si>
  <si>
    <t>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t>
  </si>
  <si>
    <t>Building B</t>
  </si>
  <si>
    <t>IU</t>
  </si>
  <si>
    <t>Building C</t>
  </si>
  <si>
    <t>2018/5833</t>
  </si>
  <si>
    <t>The Northcote Library, Chatham Hall and garages west of Chatham Hall, 155e Northcote Road</t>
  </si>
  <si>
    <t>Chatham Hall</t>
  </si>
  <si>
    <t>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t>
  </si>
  <si>
    <t>2014/5786</t>
  </si>
  <si>
    <t>City Tower</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</si>
  <si>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t>
  </si>
  <si>
    <t>2019/1258</t>
  </si>
  <si>
    <t>13 Northcote Road</t>
  </si>
  <si>
    <t>conversion</t>
  </si>
  <si>
    <t>Alterations including erection of mansard roof extension to main roof, rear extension at second floor level and formation of rear roof terraces in connection with conversion of existing flat into 1 x 1-bedroom and 1 x 3-bedroom flats.</t>
  </si>
  <si>
    <t>2018/0859</t>
  </si>
  <si>
    <t>87 Putney High Street</t>
  </si>
  <si>
    <t>conversion + extn</t>
  </si>
  <si>
    <t>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t>
  </si>
  <si>
    <t>2019/2251</t>
  </si>
  <si>
    <t>22 Carlton Drive</t>
  </si>
  <si>
    <t>Existing</t>
  </si>
  <si>
    <t>Alterations including erection of pitch roof to first floor front extension in connection with conversion of property 1 x1 bedroom flat, 6 x2 bedroom flats and 1 x3 bedroom flat. Erection of front boundary wall to 1.8m high</t>
  </si>
  <si>
    <t>AU</t>
  </si>
  <si>
    <t>extn to ex</t>
  </si>
  <si>
    <t>2018/3390</t>
  </si>
  <si>
    <t>29 Wimbledon Park Road</t>
  </si>
  <si>
    <t>First Floor</t>
  </si>
  <si>
    <t>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t>
  </si>
  <si>
    <t>2019/4697</t>
  </si>
  <si>
    <t>Alton One O'clock Centre, Fontley Way</t>
  </si>
  <si>
    <t>GROUND FLOOR</t>
  </si>
  <si>
    <t>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t>
  </si>
  <si>
    <t>2020/2797</t>
  </si>
  <si>
    <t>59 Sudbrooke Road</t>
  </si>
  <si>
    <t>HOUSE A</t>
  </si>
  <si>
    <t>Demolition of existing house and erection of two six-bedroom two-storey semi-detached single dwellinghouses (with basement and attic accommodation).</t>
  </si>
  <si>
    <t>HOUSE B</t>
  </si>
  <si>
    <t>2021/1682</t>
  </si>
  <si>
    <t>2-18 Yelverton Road</t>
  </si>
  <si>
    <t>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t>
  </si>
  <si>
    <t>2021/1677</t>
  </si>
  <si>
    <t>120 Battersea Bridge Road</t>
  </si>
  <si>
    <t>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t>
  </si>
  <si>
    <t>Lower Ground</t>
  </si>
  <si>
    <t>Apex Site - A3</t>
  </si>
  <si>
    <t>Apex Site - A4</t>
  </si>
  <si>
    <t>Apex Site - A6</t>
  </si>
  <si>
    <t>Apex Site - A7</t>
  </si>
  <si>
    <t>Entrance Site - E1</t>
  </si>
  <si>
    <t>Entrance Site - E2</t>
  </si>
  <si>
    <t>Entrance Site - E3</t>
  </si>
  <si>
    <t>Entrance Site - E4</t>
  </si>
  <si>
    <t>new build</t>
  </si>
  <si>
    <t>Phase 1 (Block A)</t>
  </si>
  <si>
    <t>Phase 1 (Block B)</t>
  </si>
  <si>
    <t>Phase 1 (Block C)</t>
  </si>
  <si>
    <t>Phase 1 (Houses)</t>
  </si>
  <si>
    <t>Phase 4 (RS-5)</t>
  </si>
  <si>
    <t>2017/1680</t>
  </si>
  <si>
    <t>Phase 5 (RS-6)</t>
  </si>
  <si>
    <t>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t>
  </si>
  <si>
    <t>Phase 5A - Block B2A</t>
  </si>
  <si>
    <t>Phase 5A - Block B2B</t>
  </si>
  <si>
    <t>Phase 5A - Block B2C</t>
  </si>
  <si>
    <t>Phase 5A - Block C1A</t>
  </si>
  <si>
    <t>Phase 5A - Block C1B</t>
  </si>
  <si>
    <t>Phase 5A - Block C1C</t>
  </si>
  <si>
    <t>Phase 5A - Block C2B</t>
  </si>
  <si>
    <t>Phase 5A - Block C2C</t>
  </si>
  <si>
    <t>Phase 5A - Block D1A</t>
  </si>
  <si>
    <t>Phase 5A - Block D1B</t>
  </si>
  <si>
    <t>Phase 5A - Block D2A</t>
  </si>
  <si>
    <t>Phase 5A - Block D2B</t>
  </si>
  <si>
    <t>Phase 5A - Block D2C</t>
  </si>
  <si>
    <t>Phase 5A - Block E1A</t>
  </si>
  <si>
    <t>Phase 5A - Block E1B</t>
  </si>
  <si>
    <t>Phase 5A - Block E1C</t>
  </si>
  <si>
    <t>Phase 5A - Block E2A</t>
  </si>
  <si>
    <t>Phase 5A - Block E2B</t>
  </si>
  <si>
    <t>Phase 5A - Block E2C</t>
  </si>
  <si>
    <t>Phase 6A - Block S</t>
  </si>
  <si>
    <t>2021/0447</t>
  </si>
  <si>
    <t>Phase 6B [Boiler House]</t>
  </si>
  <si>
    <t>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t>
  </si>
  <si>
    <t>Phase 6B [Dormitory Wing]</t>
  </si>
  <si>
    <t>Phase 6B [Engineering Block]</t>
  </si>
  <si>
    <t>Phase 6B [Kitchen Block]</t>
  </si>
  <si>
    <t>Phase 6B [Matrons House]</t>
  </si>
  <si>
    <t>Phase 6B [Nurses Club Room]</t>
  </si>
  <si>
    <t>Phase 6B [Orchid Wing]</t>
  </si>
  <si>
    <t>2019/2324</t>
  </si>
  <si>
    <t>Plot E - Block E1</t>
  </si>
  <si>
    <t>Application for approval of reserved matters (Access, Appearance, Landscaping, Layout and Scale) for 'Plot E'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</si>
  <si>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Plot E - Block E2</t>
  </si>
  <si>
    <t>Plot E - Block E3</t>
  </si>
  <si>
    <t>Plot E - Block E4</t>
  </si>
  <si>
    <t>2021/2892</t>
  </si>
  <si>
    <t>Plot F</t>
  </si>
  <si>
    <t>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An addendum to the Environmental Statement has been submitted under The Town and Country Planning (Environmental Impact Assessment) Regulations 2017 (as amended).").</t>
  </si>
  <si>
    <t>2019/2325</t>
  </si>
  <si>
    <t>Application for approval of reserved matters (Access, Appearance, Landscaping, Layout and Scale) for 'Plots F &amp; G'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</si>
  <si>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2022/4664</t>
  </si>
  <si>
    <t>Plot G</t>
  </si>
  <si>
    <t>Application under Section 96A of the Town and Country Planning Act for a 'non-material amendment' to Condition 1 (approved drawings/documents) for design changes to Plot G (including changes to the residential mix; creation of additional residential space previously identified for plant; revised front entrance and canopy and revised top-level plant area) and 'Belfour Place' landscaping of reserved matters approval dated 2nd June 2021 reference 2019/2325.</t>
  </si>
  <si>
    <t>Plots B and D2/D3</t>
  </si>
  <si>
    <t>nb</t>
  </si>
  <si>
    <t>private</t>
  </si>
  <si>
    <t>Proposed</t>
  </si>
  <si>
    <t>SECOND FLOOR</t>
  </si>
  <si>
    <t>Second Floor</t>
  </si>
  <si>
    <t>Upper Ground</t>
  </si>
  <si>
    <t>2020/0376</t>
  </si>
  <si>
    <t>Alterations including erection of mansard roof extensions to front,
side and rear roof slopes in connection with creation of 1 x 2-
bedroom flat with associated refuse storage.</t>
  </si>
  <si>
    <t>Level 1</t>
  </si>
  <si>
    <t>2020/3342</t>
  </si>
  <si>
    <t>Land rear of 163-165, 163-165 Mitcham Road</t>
  </si>
  <si>
    <t>Demolition of existing single-storey warehouse building (Class B8) and erection of  3-storey building to provide 3 x 1-bedroom flats.</t>
  </si>
  <si>
    <t>2020/1724</t>
  </si>
  <si>
    <t>86 Clapham Common West Side</t>
  </si>
  <si>
    <t>Variation of condition 3  (in accordance with approved drawings) pursuant to planning permission dated 27/02/2012 ref 2011/5574 (Excavation of floorspace at basement level, including formation of front lightwell and insertion of new windows/doors, in connection with provision of a onebedroom flat within basement area; erection of a three storey (ground, first and second floor level) rear extension to the side of the back addition to provide additional floorspace for the existing flats.) to allow a change in the design and size of the approved three storey side extension.</t>
  </si>
  <si>
    <t>2010/3703</t>
  </si>
  <si>
    <t>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t>
  </si>
  <si>
    <t>Extra Care</t>
  </si>
  <si>
    <t>For People with Disabilities</t>
  </si>
  <si>
    <t>2016/2027</t>
  </si>
  <si>
    <t>15-27 Falcon Road</t>
  </si>
  <si>
    <t>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t>
  </si>
  <si>
    <t>2019/5092</t>
  </si>
  <si>
    <t>Belvedere Court, 372-374 Upper Richmond Road</t>
  </si>
  <si>
    <t>Alterations including extension to main roof for the creation of 6 X 2 bedroom, 2 X 1 bedroom and 1 X 3 bedroom flats at 6th and 7th floor level.. Associated landscaping and refuse provision. Formation of additional 9 parking spaces.</t>
  </si>
  <si>
    <t>2019/2585</t>
  </si>
  <si>
    <t>Wildcroft Manor, Wildcroft Road</t>
  </si>
  <si>
    <t>Alterations including erection of front and rear dormer roof extensions to all blocks to provide to 6 x 2-bedroom and 3 x 3-bedroom flats; 18 cycle storage spaces .</t>
  </si>
  <si>
    <t>2021/1858</t>
  </si>
  <si>
    <t>172-174 Upper Richmond Road</t>
  </si>
  <si>
    <t>Alterations including erection of first floor rear extension; extension to form three additional floors of accommodation at second, third and fourth floor levels; formation of front roof terrace at fourth floor level; formation of balconies at rear first, second and third floor levels; alterations to ground floor frontage. Works in connection with provision of 8 flats (7 x 2-bedroom and 1 x 1-bedroom) on the upper floors of the extended building, with ground and basement floors retained in commercial use, with associated cycle parking and refuse storage facilities.</t>
  </si>
  <si>
    <t>2022/4571</t>
  </si>
  <si>
    <t>158-160 Balham High Road</t>
  </si>
  <si>
    <t>Alterations including erection of single storey extension and mansard roof extension above existing two storey building in connection with creation 7 self-contained flats all with private balconies/terraces at each level and associated cycle and refuse storage.</t>
  </si>
  <si>
    <t>2020/2483</t>
  </si>
  <si>
    <t>61-63 St Johns Road</t>
  </si>
  <si>
    <t>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t>
  </si>
  <si>
    <t>2022/1088</t>
  </si>
  <si>
    <t>67-85 Aslett Street</t>
  </si>
  <si>
    <t>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to the rear obscure glass balustrade from 1.1m to 1.7 m in height (same description as application ref: 2016/1393 and application ref: 2019/2479).</t>
  </si>
  <si>
    <t>2021/0928</t>
  </si>
  <si>
    <t>111-113 Wandsworth High Street</t>
  </si>
  <si>
    <t>Alterations including erection of two storey roof extension including front and rear mansard and excavation to create basement in connection with provision of retail at ground floor level with ancillary office and storage floorspace on the basement and first floor levels (Class E), and 4 x 2-bedroom, 1 x 1-bedroom and 1 x studio flats with front and rear roof terraces and associated refuse storage accessed from the rear</t>
  </si>
  <si>
    <t>2020/2542</t>
  </si>
  <si>
    <t>231 Putney Bridge Road</t>
  </si>
  <si>
    <t>Alterations including erection of front and rear mansard extensions to main roof and erection of extension at second and third floor level to side elevation in connection with conversion of 6 x 1-bedroom and 2 x 2-bedroom flats.</t>
  </si>
  <si>
    <t>2020/4088</t>
  </si>
  <si>
    <t>Change of use of the ground floor of the Lanson building from commercial floorspace to form 6 residential units (Class C3), comprising 2 x 1 beds, 3 x 2 bed and 1 x 3 bed units, along with associated internal and external alterations.</t>
  </si>
  <si>
    <t>2022/0920</t>
  </si>
  <si>
    <t>Chivelston, 78 Wimbledon Park Side</t>
  </si>
  <si>
    <t>Alterations including the erection of an additional floor of accommodation containing 6 flats (2 x 3-bedroom and 4 x 2-bedroom).</t>
  </si>
  <si>
    <t>2020/0685</t>
  </si>
  <si>
    <t>Units 2, 3, 4, 5, 6, &amp; 7 Leeward House, Square Rigger Row (Plantation Wharf)</t>
  </si>
  <si>
    <t>Determination as to whether prior approval is required for change of use from office (Class B1) to 6 x 1-bedroom flats (Class C3).</t>
  </si>
  <si>
    <t>10.15</t>
  </si>
  <si>
    <t>2020/0679</t>
  </si>
  <si>
    <t>Units 3 to 8 Windward House, Square Rigger Row</t>
  </si>
  <si>
    <t>Determination as to whether prior approval is required for change of use from office (Class B1a) to 3 x 2-bedroom flats and 3 x 1-bedroom flats (Class C3).</t>
  </si>
  <si>
    <t>2022/0455</t>
  </si>
  <si>
    <t>170-172 Mitcham Road</t>
  </si>
  <si>
    <t>Alterations including change of use of rear ground floor from commercial (Class E) to residential (Class C3) at both properties. Erection of part single, part two, part three-storey side/rear extension at both properties and formation of second floor rear roof terraces. Provision of 2x 1-bedroom flats at ground level and conversion of existing 2x flats on 1st and 2nd floor into 3x 2-bedroom and 1x 1-bedroom studio flats. Erection of a dormer extension to main rear roof slopes with French windows and safety balustrade at both properties to create 1x 1-bedroom flat.</t>
  </si>
  <si>
    <t>2022/1358</t>
  </si>
  <si>
    <t>31 Veronica Road</t>
  </si>
  <si>
    <t>Alterations including erection of two-storey side extension with habitable roofspace; Erection of single-storey rear extension; Excavation of basement with formation of front lightwell; Alterations to garage to create bike store; Addition of bin stores to front; Replacement roof tiles and windows; Addition of railings to front and side boundaries and associated landscaping in connection with the conversion of property from single dwelling into 7 self-contained flats (3 x 3 bedroom flats, 2 X 2 bedroom flats and 2 X 1 bedroom flats).</t>
  </si>
  <si>
    <t>2022/2791</t>
  </si>
  <si>
    <t>39-43 and 39-43a, 39-43 West Hill</t>
  </si>
  <si>
    <t>Alterations to include the excavation to form basement with rear lightwells in conjunction with change of use from retail (Class E) and provision of 1 x 1-bedroom, 4 x 2-bedroom flats (Class C3) at basement and ground floor levels; refuse and cycle stores fronting Lebanon Road.</t>
  </si>
  <si>
    <t>2020/0686</t>
  </si>
  <si>
    <t>East &amp; West 1,2,3,4, &amp; 8, Square Rigger Row (Plantation Wharf)</t>
  </si>
  <si>
    <t>Determination as to whether prior approval is required for change of use from office (Class B1a) to 5 x 3-bedroom flats (Class C3).</t>
  </si>
  <si>
    <t>2019/4915</t>
  </si>
  <si>
    <t>Ransomes Dock, 35-37 Parkgate Road (Ransomes Dock Business Centre)</t>
  </si>
  <si>
    <t>Demolition of the existing second floor extension to Buildings 1 &amp; 2. Alterations including erection of two-storey extension above Buildings 1 &amp; 2 at second and third floor levels; installation of replacement electricity substation; installation of new link bridge between Building 2 and Building 3; installation of new and replacement external access staircases, in connection with the provision of five new residential units (4 x 3-bedroom units and 1 x 4-bedroom unit) and use of basement for flexible B1/D1 uses, with associated new cycle parking at ground floor level.</t>
  </si>
  <si>
    <t>2020/4991</t>
  </si>
  <si>
    <t>The Forester, 114 Allfarthing Lane</t>
  </si>
  <si>
    <t>Alterations including erection of side extensions at second floor level and part single/part two storey side extensions at first floor level, formation of front and side lightwells and alterations to fenestration in connection with change of use from day nursery (Class D) to residential (Class C3) to provide 1 x 3-bedroom, 1 x 2-bedroom and 3 x 1-bedroom flats with associated refuse storage.</t>
  </si>
  <si>
    <t>2022/3829</t>
  </si>
  <si>
    <t>Unit B, Molasses House, Clove Hitch Quay (Plantation Wharf)</t>
  </si>
  <si>
    <t>Determination as to whether prior approval is required for change of use from office at ground floor level from (Class E) to residential (Class C3) to provide 5 x 1-bedroom flats.</t>
  </si>
  <si>
    <t>2022/1789</t>
  </si>
  <si>
    <t>133 Lavender Hill</t>
  </si>
  <si>
    <t>Erection of part single, part three-storey rear extension (top floor within roof) with first floor roof terrace, side dormer and external access stairs; replacement of shopfront with wall, windows and two entrance doors; Alterations and extensions in connection with change of use from restaurant (Class E) to 5 x 1-bedroom flats (Class C3).</t>
  </si>
  <si>
    <t>2020/4047</t>
  </si>
  <si>
    <t>140a and142a, Putney High Street</t>
  </si>
  <si>
    <t>Alterations including erection of roof extension to provide additional floor of accommodation, erection of part single/part three storey rear extensions in connection with creation of 2 x 2-bedroom and 4 x 1- bedroom flats.</t>
  </si>
  <si>
    <t>2021/3556</t>
  </si>
  <si>
    <t>17-19 St Anns Park Road</t>
  </si>
  <si>
    <t>Alterations including erection of replacement main roof, raising the ridge by 1.1m with dormers to all elevations; infilling extension to first floor; replacement fenestration throughout in connection with use as 1 x studio, 2 x 2-bed and 3 x 1-bed flats; enlarge refuse and cycle stores in front garden.</t>
  </si>
  <si>
    <t>2021/1938</t>
  </si>
  <si>
    <t>34 Putney Hill</t>
  </si>
  <si>
    <t>Alterations including erection of a two storey (including basement) rear extension; Erection of a single storey outbuilding to rear garden; Alterations to front entrance stair; Alterations to side boundary wall, installation of a metal side access gate and removal of roller shutter door, in connection with conversion to 2 x 3-bed, 3 x 2-bed and 1 x 1- bed flats, with associated refuse and cycle storage.</t>
  </si>
  <si>
    <t>2019/4409</t>
  </si>
  <si>
    <t>99-105 Moyser Road</t>
  </si>
  <si>
    <t>Alterations including erection of roof extension to provide additional floor of accommodation and creation of 3 x 1-bedroom and a studio flats.</t>
  </si>
  <si>
    <t>2019/1945</t>
  </si>
  <si>
    <t>Burdwood Court, 46 Putney Hill</t>
  </si>
  <si>
    <t>Erection of additional storey of at fourth floor level to provide 4 x 1-bedroom flats including two roof terraces;  installation of replacement fenestration to all elevations.</t>
  </si>
  <si>
    <t>2021/3860</t>
  </si>
  <si>
    <t>Unit C, Molasses House, Clove Hitch Quay (Plantation Wharf)</t>
  </si>
  <si>
    <t>Determination as to whether prior approval required for change of use from Commercial use (Class E) to residential (Class C3) to provide 4 x 1-bedroom flats.</t>
  </si>
  <si>
    <t>2021/2183</t>
  </si>
  <si>
    <t>1 Wadham Road</t>
  </si>
  <si>
    <t>Alterations including erection of roof extension to provide an additional
floor of accommodation and side dormer (with French doors and safety
railings) and formation of roof terrace above three-storey addition in
connection change of use from retail (class A1) to residential (Class
C3) 3 x1 bedroom flats</t>
  </si>
  <si>
    <t>2022/1557</t>
  </si>
  <si>
    <t>116 Disraeli Road</t>
  </si>
  <si>
    <t>Alterations including excavation to create basement with formation of front lightwell. Erection of ground and first floor rear extensions and a mansard roof extension to main rear roof (with French doors and balcony.) in connection with the conversion of the property into 4 self-contained residential units (2 x 2-bedroom and 2 x 3-bedroom units)</t>
  </si>
  <si>
    <t>2018/0576</t>
  </si>
  <si>
    <t>123 Roehampton Vale</t>
  </si>
  <si>
    <t>Erection of a side and rear roof extension; erection of a part-single, part-two-storey rear extension; conversion of property to 1 x 1-bedroom, 2 x 2-bedroom and 1 x 3-bedroom flats.</t>
  </si>
  <si>
    <t>2021/2262</t>
  </si>
  <si>
    <t>129-139 Beaumont Road</t>
  </si>
  <si>
    <t>Erection of an additional floor to the roof of the existing building, to accommodate 3no. flats (1x1Bed, 1x2Bed &amp; 1x3Bed).</t>
  </si>
  <si>
    <t>2022/4091</t>
  </si>
  <si>
    <t>142-144 Tooting Bec Road</t>
  </si>
  <si>
    <t>Alterations including erection of front and rear dormer roof extensions to the main roof, including raising the ridge by 500mm;  Erection of a first floor (plus roof) rear extension and installation of French doors and safety railing to first floor rear elevation; replacement of windows; alterations to shopfront and rear access including staircase enclosure, in connection with conversion to 3 x studios and 1 x 2 bedroom flats, with associated refuse and cycle storage; and part change of use of rear ground floor from commercial (Class E) to residential (Class C3).</t>
  </si>
  <si>
    <t>2022/4451</t>
  </si>
  <si>
    <t>172-174 Tooting High Street</t>
  </si>
  <si>
    <t>Alterations including erection of ground and first floor side/rear extension and part change of use from commercial (Class E) to residential (Class C3) to form 2 x 1 bedroom residential units; erection of an additional storey at third floor level to form 1 x 2 bedroom residential unit. Erection of single-storey side extension to the Class E Commercial floorspace at ground floor level and external alterations.</t>
  </si>
  <si>
    <t>2022/0892</t>
  </si>
  <si>
    <t>173 Earlsfield Road</t>
  </si>
  <si>
    <t>Alterations in connection with conversion of existing dwellinghouse into 2 x 3-bedroom, 1 x 2-bedroom and 1 x 1-bedroom flats with associated refuse and cycle storage.</t>
  </si>
  <si>
    <t>2020/3876</t>
  </si>
  <si>
    <t>178 Upper Tooting Road</t>
  </si>
  <si>
    <t>Alterations including erection of a three-storey rear extension and mansard roof extension to create an additional floor of accommodation to form three x 1-bedroom flats.</t>
  </si>
  <si>
    <t>2020/3209</t>
  </si>
  <si>
    <t>181-185 Wandsworth High Street</t>
  </si>
  <si>
    <t>Erection of roof extensions to provide an additional storey to front and rear sections of the building with a pitched roof to the front; reconfiguration of 3 existing flats; works in association with the provision of 3 x 1 bedroomed flats.</t>
  </si>
  <si>
    <t>2020/4021</t>
  </si>
  <si>
    <t>250 Upper Tooting Road</t>
  </si>
  <si>
    <t>Reconfiguration of first and second floors to form 4 units (1 x 2-bedroom and 3 x 1-bedroom) with the erection of ground, first and second floor rear and side extensions and installation of AC units.</t>
  </si>
  <si>
    <t>2022/3878</t>
  </si>
  <si>
    <t>190-194 Mitcham Road</t>
  </si>
  <si>
    <t>Demolition of existing building and erection of part 3 and part 4 storey building to provide 21 no. residential apartments (use class C3), and commercial/community space (use class E) together with private amenity space, blue badge parking space, access and landscaping.</t>
  </si>
  <si>
    <t>2020/4248</t>
  </si>
  <si>
    <t>206-208 &amp; 2A Stella Road, Mitcham Road</t>
  </si>
  <si>
    <t>Demolition of existing extensions and garage at rear of site (2A Stella Road); Erection of single-storey front extensions, part single, two and three-storey rear extensions and roof extension (to create four-storey building); Changes to design of front fenestration and addition of balconies; Erection of single-storey (with basement) building at the rear. Change of use of ground floor from Class E (retail and estate agents) to Class C3 (residential) in connection with creation of 10 additional residential units (14 in total); Provision of plant, solar panels, landscaping, boundary treatment, refuse and cycle storage, and new gated and covered access from Stella Road.</t>
  </si>
  <si>
    <t>2022/0600</t>
  </si>
  <si>
    <t>214 Upper Richmond Road</t>
  </si>
  <si>
    <t>Alterations including associated external alterations to the rear of the building to install new fenestration on the first to fourth floors, the provision cycle and waste storage facilities and installation of 30 PV panels on the roof in connection with change of use from hotel (Class C1) to residential (Class C3) to provide 9 x 1-bed and 6 x 2-bed flats.</t>
  </si>
  <si>
    <t>2020/1276</t>
  </si>
  <si>
    <t>Badric Court Estate, Yelverton Road</t>
  </si>
  <si>
    <t>Infill of undercroft space beneath the blocks to provide 6 self-contained flats (4 x 2-bedroom and 2 x 4-bedroom) with associated amenity space and the provision of cycle storages.</t>
  </si>
  <si>
    <t>2022/4594</t>
  </si>
  <si>
    <t>Land and Garages Between Phelps House and The Platt Christian Centre, Felsham Road (Platt South)</t>
  </si>
  <si>
    <t>Variation of condition 2 (in accordance approved drawings) of planning permission dated 25/04/2022 ref 2021/2879 (Demolition of existing garages and erection of a four storey building providing 9 x 1-bed and 2 x 2-bed flats, with roof terraces and balconies to all elevations and covered refuse and cycle storage.) to allow a reduction in the number of dwellings to 8, alterations to fenestration, alterations to roof design, omission of basement plant level, and various minor design amendments.</t>
  </si>
  <si>
    <t>2021/1324</t>
  </si>
  <si>
    <t>35 Garratt Terrace</t>
  </si>
  <si>
    <t>Erection of a mansard roof extension to rear roof slope and raising ridge 300mm. Erection of an extension above three-storey rear addition with French doors and safety railings. Erection of a single-storey rear/side extension at ground floor level. Alterations to include front fenestration and conversion of property into 4 self contained units ( 1 x 3-bedroom, 1 x 2-bedroom, 2 x 1-bedroom) with associated refuse and cycle storage</t>
  </si>
  <si>
    <t>2020/0457</t>
  </si>
  <si>
    <t>25-29 Tooting High Street</t>
  </si>
  <si>
    <t>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t>
  </si>
  <si>
    <t>2021/3661</t>
  </si>
  <si>
    <t>28 Thessaly Road</t>
  </si>
  <si>
    <t>The development of the site comprising the erection of a five storey building comprising 17 flats (3 x studios, 11 x 2-bedroom and 3 x 3-bedroom) with ancillary cycle and plant areas accommodated in a basement, and associated refuse storage and landscaping.</t>
  </si>
  <si>
    <t>2021/1445</t>
  </si>
  <si>
    <t>36-44 Aldrington Road</t>
  </si>
  <si>
    <t>Demolition of existing single storey garages, residents refuse and ancillary storage sheds and redevelopment of the site for affordable residential units within a part three, four and six storey building together with ancillary residents storage, car parking, bicycle storage, refuse storage, landscaping and communal amenity space.</t>
  </si>
  <si>
    <t>2022/0749</t>
  </si>
  <si>
    <t>37 Garratt Terrace</t>
  </si>
  <si>
    <t>Alterations including erection of a mansard roof extension to main rear roof (with French doors and safety railings) including raising ridge by 300mm and extension above the two storey back addition; Erection of single storey rear/side extension; Formation of second floor rear roof terrace with 1.7m screen surround;, in connection with creation of 1 x 3-bedroom, 1 x 2-bedroom and 1 x 1-bedroom and 1 x studio flats, with associated refuse storage to front garden and associate internal cycle storage.</t>
  </si>
  <si>
    <t>2019/2233</t>
  </si>
  <si>
    <t>43 Sisters Avenue</t>
  </si>
  <si>
    <t>Creation of a rear courtyard in connection with conversion from a single dwelling to 3 x 3-bed and 1 x 1-bed flats, with associated cycle and refuse storage to front garden</t>
  </si>
  <si>
    <t>2021/0546</t>
  </si>
  <si>
    <t>47-51 Lavender Hill</t>
  </si>
  <si>
    <t>Erection of a new storey of accommodation to main roof, extensions above back additions, formation of roof terraces above back additions with obscured glazed screen surround, extension and re-configuration of internal staircase, in connection with creation of 2 x 1 bedroom flats and 1 studio flat.</t>
  </si>
  <si>
    <t>2018/3068</t>
  </si>
  <si>
    <t>58 Wandsworth High Street</t>
  </si>
  <si>
    <t>Alterations including erection of roof extension to provide additional floor of accommodation in connection with formation of 1 x 1-bedroom, 1 x 2-bedroom and 1 x 3-bedroom flats.</t>
  </si>
  <si>
    <t>2021/2255</t>
  </si>
  <si>
    <t>64 Tooting High Street</t>
  </si>
  <si>
    <t>Alterations including erection of an extension to provide an additional floor of accommodation, including a front roof terrace, and French doors with safety railing to rear; Erection of first and second floor rear extensions; Formation of rear roof terraces with 1.7m high screen surround at first and second floors; Change of use of part of ground floor commercial unit (Class E) to residential (Class C3) in connection with conversion into 1 x studio, 1 x 1-bedroom and 2 x 2-bedroom flats, with associated cycle and refuse storage</t>
  </si>
  <si>
    <t>2018/6128</t>
  </si>
  <si>
    <t>Bright Cook House, 139 Upper Richmond Road</t>
  </si>
  <si>
    <t>Determination as to whether prior approval is required for change of use of office at first floor level from (Class B1a) to residential (Class C3) to provide 2 x 1-bedroom flats and 1 x 2-bedroom flat and cycle stands.</t>
  </si>
  <si>
    <t>2019/2498</t>
  </si>
  <si>
    <t>Templeton, 118 Priory Lane</t>
  </si>
  <si>
    <t>Alterations in connection with conversion of part ground and first floor of garage building to 3 x 1 bedroom  flats ancilliary to the main house.</t>
  </si>
  <si>
    <t>2020/0301</t>
  </si>
  <si>
    <t>Unit 1, Ivory House, Clove Hitch Quay (Plantation Wharf)</t>
  </si>
  <si>
    <t>Determination as to whether prior approval is required for change of use of office at ground floor level from (Class B1a) to residential (Class C3) to provide 1 x 2-bedroom flat and 2 x 1bedroom flats.</t>
  </si>
  <si>
    <t>2020/0490</t>
  </si>
  <si>
    <t>Unit D, Molasses House, Clove Hitch Quay (Plantation Wharf)</t>
  </si>
  <si>
    <t>Determination as to whether prior approval is required for change of use from Office (Class B1) to 2 x 1-bedroom flats 1 x 2-bedroom flat (Class C3).</t>
  </si>
  <si>
    <t>2020/0684</t>
  </si>
  <si>
    <t>Units 1, 9 &amp; 10 Port House, Square Rigger Row (Plantation Wharf)</t>
  </si>
  <si>
    <t>Determination as to whether prior approval is required for change of use from office (Class B1a) to 3 x 1-bedroom flats (Class C3).</t>
  </si>
  <si>
    <t>2021/0438</t>
  </si>
  <si>
    <t>107 Allfarthing Lane</t>
  </si>
  <si>
    <t>Determination as to whether prior approval is required for change of use from retail (Class A1) to 1 x 1-bedroom flat and 1 studio flat (Class C3).</t>
  </si>
  <si>
    <t>2018/4316</t>
  </si>
  <si>
    <t>11 Roehampton Lane</t>
  </si>
  <si>
    <t>Alterations including erection of hip-to-gable and rear dormer roof extensions (with french doors and safety railings), replacement single-storey rear/side extension in connection with conversion of property into 1 x 3 bedroom, 1 x 2-bedroom and 1 x 1-bedroom flats.</t>
  </si>
  <si>
    <t>2020/2870</t>
  </si>
  <si>
    <t>119 Boundaries Road</t>
  </si>
  <si>
    <t>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t>
  </si>
  <si>
    <t>2018/5309</t>
  </si>
  <si>
    <t>121 Roehampton Vale</t>
  </si>
  <si>
    <t>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t>
  </si>
  <si>
    <t>2020/3102</t>
  </si>
  <si>
    <t>130 Longley Road</t>
  </si>
  <si>
    <t>Alterations including excavation to create basement including formation of front and rear lightwells will grille over; erection of part single/part two storey rear extension in connection with conversion of property into 2 x 3-bedroom, 1 x 2-bedroom and 1 x studio flats.</t>
  </si>
  <si>
    <t>2020/2954</t>
  </si>
  <si>
    <t>133 Wandsworth High Street</t>
  </si>
  <si>
    <t>Change of use of ground floor to use class A2 and alterations including erection of roof extension to main rear roof, erection of first storey rear extension and excavation of rear lightwells in connection with the creation of 1 x 1 -bedroom and 1 x 2-bedroom flat</t>
  </si>
  <si>
    <t>2022/2246</t>
  </si>
  <si>
    <t>148 Church Lane</t>
  </si>
  <si>
    <t>Alterations including erection of side and rear roof extensions with ridge raise, extension above two-storey back addition and erection of single storey side/rear extension, in connection with conversion of property into 1 x 3- bedroom  and 2 x 2-bedroom flats with associated boundary treatment, landscaping, refuse and cycle storage within front garden.</t>
  </si>
  <si>
    <t>2022/0788</t>
  </si>
  <si>
    <t>15 Balham High Road</t>
  </si>
  <si>
    <t>Alterations including erection of two-storey side extension at first floor, second floor rear extension, rear roof extension, rear terraces at first and second floor and associated bin and bike storage in connection with conversion from C3 Dwelling into 2 x 2-bedroom flats and 1 x studio flat.</t>
  </si>
  <si>
    <t>2021/1285</t>
  </si>
  <si>
    <t>153 Upper Tooting Road</t>
  </si>
  <si>
    <t>Alterations including erection of roof extension to main rear roof and two-storey rear extension above ground floor extension in connection with conversion of upper floor flat into 2 x 2 bedroom and 1 x studio flats.</t>
  </si>
  <si>
    <t>2022/2092</t>
  </si>
  <si>
    <t>199-201 Wandsworth High Street</t>
  </si>
  <si>
    <t>Alterations including demolition of rear store to commercial units (Use Class E); erection of part single, part two-storey rear extension and change of use of rear ground floor to provide a commercial unit (Class E), 1 x 1-bed flat and 1 x 3-bed house with associated cycle and refuse storage.</t>
  </si>
  <si>
    <t>3.1.1</t>
  </si>
  <si>
    <t>2016/5183</t>
  </si>
  <si>
    <t>8 Ravensbury Terrace</t>
  </si>
  <si>
    <t>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t>
  </si>
  <si>
    <t>2021/5781</t>
  </si>
  <si>
    <t>8 Alderbrook Road</t>
  </si>
  <si>
    <t>Demolition of existing building and erection of three-storey (plus basement and roof levels) building comprising 2 x 1 bedroom flats, 2 x 2-bedroom flats and 2 x 3-bedroom flats with associated landscaping works, cycle parking and refuse storage.</t>
  </si>
  <si>
    <t>2019/5259</t>
  </si>
  <si>
    <t>2 Worcester Gardens</t>
  </si>
  <si>
    <t>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t>
  </si>
  <si>
    <t>2021/1667</t>
  </si>
  <si>
    <t>203 Replingham Road</t>
  </si>
  <si>
    <t>Determination as to whether prior approval is required for change of use from retail (Class A1) to 2 x 1-bedroom flats (Class C3) on the ground floor with associated external alterations to front and rear elevations.</t>
  </si>
  <si>
    <t>2019/4846</t>
  </si>
  <si>
    <t>21 Lavender Hill</t>
  </si>
  <si>
    <t>Determination as to whether prior approval is required for change of use from hot food takeaway (Class A5) to residential (Class C3) to provide 2 x 1-bedroom flats with associated external alteration side elevation.</t>
  </si>
  <si>
    <t>2021/0888</t>
  </si>
  <si>
    <t>Albany House, Portslade Road</t>
  </si>
  <si>
    <t>Outline consent for the demolition of Albany House and erection of a five-storey plus basement building containing business suites (Use Class E(g)) on ground to second floors and a three-bedroom residential unit on third and fourth floors with a private roof terrace and associated cycle parking and refuse storage facilities at ground floor, with all matters reserved except access and scale.</t>
  </si>
  <si>
    <t>PO</t>
  </si>
  <si>
    <t>2022/0854</t>
  </si>
  <si>
    <t>211 Garratt Lane</t>
  </si>
  <si>
    <t>Erection of a mansard roof extension to main rear roof slope and extension above part of two-storey rear addition with the formation of a roof terrace with glazed 1.7m screen surround in connection with the conversion of the upper floors into 2 x 1-bedroom flats and one studio flat.</t>
  </si>
  <si>
    <t>2022/3526</t>
  </si>
  <si>
    <t>40 Roedean Crescent</t>
  </si>
  <si>
    <t>Demolition of existing building and erection of a two-storey (plus basement and roof levels) 5-bedroom house with associated landscaping and single storey outbuilding and plant room in rear garden.</t>
  </si>
  <si>
    <t>2021/0659</t>
  </si>
  <si>
    <t>297-301 Balham High Road (1-9 Belgravia House, 301)</t>
  </si>
  <si>
    <t>Alterations including erection of front and rear roof extensions to main rear roof including raising the ridge, formation of roof terraces to the front and rear in connection with the creation of 2 x two-bedroom flats.</t>
  </si>
  <si>
    <t>2022/1190</t>
  </si>
  <si>
    <t>31 Bellevue Road</t>
  </si>
  <si>
    <t>Change of use of first floor from Artist Studio (Class E) to residential (Class C3). Erection of one additional storey of accommodation above first floor, formation of first and second floors lightwells and roof terraces with screening in connection with provision of 1 x 1 bedroom and 1 x 2-bedroom flats.</t>
  </si>
  <si>
    <t>2021/5175</t>
  </si>
  <si>
    <t>367 Garratt Lane</t>
  </si>
  <si>
    <t>Alterations including erection of mansard roof extension to main rear roof and extension above two-storey back addition including formation of roof terrace with screen surround; replacement fenestration to front elevation, railings to front forecourt with cycle and refuse store in connection with change of use from ground floor retail (Class E(b)) to residential (Class C3) in the form of 2 x 2 bedroom flats.</t>
  </si>
  <si>
    <t>2022/4578</t>
  </si>
  <si>
    <t>19 St Maragret's Crescent</t>
  </si>
  <si>
    <t>Demolition of existing building and erection of a two-storey 3-bedroom house.</t>
  </si>
  <si>
    <t>2018/2174</t>
  </si>
  <si>
    <t>42-43 Halston Close</t>
  </si>
  <si>
    <t>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t>
  </si>
  <si>
    <t>2022/2207</t>
  </si>
  <si>
    <t>360 Old York Road</t>
  </si>
  <si>
    <t>Part demolition and the erection of a part single-storey, part two-storey extension to provide 2 x 1-bedroom flats with associated private amenity space</t>
  </si>
  <si>
    <t>2022/1644</t>
  </si>
  <si>
    <t>51 Dryburgh Road</t>
  </si>
  <si>
    <t>Demolition of existing building and erection of a 2-storey (plus loft and basement) house including rear first floor level terrace, front second floor level balcony and front lightwell; with associated cycle and refuse storage.</t>
  </si>
  <si>
    <t>2022/4180</t>
  </si>
  <si>
    <t>Land at Rear of, 211 Burntwood Lane</t>
  </si>
  <si>
    <t>Demolition of existing building and erection of a single storey (plus basement) one bedroom house, with associated refuse and cycle storage.</t>
  </si>
  <si>
    <t>2018/5669</t>
  </si>
  <si>
    <t>Ferrier Street Industrial Estate and 322 Old York Road, 1 Ferrier Street</t>
  </si>
  <si>
    <t>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t>
  </si>
  <si>
    <t>2014/3837</t>
  </si>
  <si>
    <t>Former Domus Tiles site, 31-33 Parkgate Road/Elcho Street (27-33 Parkgate Road &amp; 2-42 Elcho Street)</t>
  </si>
  <si>
    <t>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t>
  </si>
  <si>
    <t>10.1.1</t>
  </si>
  <si>
    <t>2018/1311</t>
  </si>
  <si>
    <t>Glassmill 1, 1 Battersea Bridge Road</t>
  </si>
  <si>
    <t>Determination as to whether prior approval is required for change of use from offices on first, second, third, fourth and fifth floors (Class B1(a)) to residential (Class C3) to provide 13 x 1-bedroom, 14 x 2-bedroom and 1 x 3-bedroom flats with associated basement bin/cycle storage and 23 parking spaces.</t>
  </si>
  <si>
    <t>2021/0376</t>
  </si>
  <si>
    <t>480 Garratt Lane</t>
  </si>
  <si>
    <t>Alterations including excavation to enlarge basement including formation of front lightwell; erection of replacement single storey extension at rear and erection of single-storey side extension in connection with conversion of lower ground and ground floors into 1 x 2-bedroom and 1 x 1-bedroom flats.</t>
  </si>
  <si>
    <t>2021/1184</t>
  </si>
  <si>
    <t>54 Gilbey Road</t>
  </si>
  <si>
    <t>Alterations including erection of mansard roof extension to main rear roof (with french doors and safety railings) including raising ridge by 300mm and roof extension above two storey back addition, erection of single storey rear and side extension and formation of rear roof terrace with 1.7m glazed safety surround at second floor level in connection with creation of 1 x 3-bedroom, 1 x 2-bedroom and 2 x 1-bedroom flats</t>
  </si>
  <si>
    <t>2022/3346</t>
  </si>
  <si>
    <t>56-66 Gwynne Road (26-28)</t>
  </si>
  <si>
    <t>Alterations to mezzanine floor in connection with change of use from commercial use (Class E) to residential (Class C3) to create 2 x 1-bedroom flats with associated balconies.</t>
  </si>
  <si>
    <t>2019/3563</t>
  </si>
  <si>
    <t>58a Gosberton Road</t>
  </si>
  <si>
    <t>Determination as to whether prior approval is required for change of use from retail (Class A1) to 2 x studio flats (Class C3) with associated external alterations to front and side elevations.</t>
  </si>
  <si>
    <t>2022/3913</t>
  </si>
  <si>
    <t>Erection of hip to gable side roof extension and mansard roof extension to main rear roof including raising the ridge by 300mm; erection of extension above part of three-storey back addition and formation of roof terrace with 1.7m high screen surround; erection of single storey side/rear extension and rear extension of back addition at first and second floors; formation of first floor roof terrace with 1.7m high screen surround and conversion of property into 1 x 3-bedroom and 2 x 2-bedroom flats with associated cycle and refuse storage.</t>
  </si>
  <si>
    <t>2020/2249</t>
  </si>
  <si>
    <t>74 St Rule Street</t>
  </si>
  <si>
    <t>Change of use of ground floor from 2 x Class A1 and 1 x Class A3 units to C3 residential, and internal reconfiguration and fenestration alterations to ground and first floor to create a total of 2 no. additional dwellings.</t>
  </si>
  <si>
    <t>2019/2689</t>
  </si>
  <si>
    <t>76 a &amp; b, 76 Moyser Road</t>
  </si>
  <si>
    <t>Determination as to whether prior approval is required for change of use from business (Class B1) to 2 x 1-bedroom flat (Class C3).</t>
  </si>
  <si>
    <t>2022/4157</t>
  </si>
  <si>
    <t>788 Garratt Lane</t>
  </si>
  <si>
    <t>Erection of part single, part two-storey side/rear extension, erection of mansard roof extension to main rear roof (with French doors and safety railings) and extension above part of back addition in connection with conversion of the property into 1 x 2 bedroom, 1 x 1- bedroom and 1 x studio flats at 788 Garratt Lane with formation of rear roof terraces at first and second floor levels. Erection of first floor rear extension at 790 Garratt Lane.</t>
  </si>
  <si>
    <t>2022/1883</t>
  </si>
  <si>
    <t>Garages between 77 &amp; 85, Ravenslea Road</t>
  </si>
  <si>
    <t>Erection of a three storey block comprising 5 apartments (2 x 2-bedroom, 2 x 1 -bedroom and 1 x 3-bedroom)  associated amenity space including balconies and gardens with cycle store and relocation of entrance to existing allotments at rear.</t>
  </si>
  <si>
    <t>2022/3574</t>
  </si>
  <si>
    <t>80 Lavender Sweep</t>
  </si>
  <si>
    <t>Alterations including erection of mansard roof extension to main rear roof (with french doors and safety railings) including raising ridge; formation of roof terrace with 1.7m glazed safety surround; erection of single storey rear and side extension and excavation to enlarge basement and formation of rear lightwell in connection with conversion to 1 x 3-bedroom, 1 x 2-bedroom and 1 x 1-bedroom flats.</t>
  </si>
  <si>
    <t>2020/2172</t>
  </si>
  <si>
    <t>38 Rookstone Road</t>
  </si>
  <si>
    <t>Demolition of existing building and erection of three storey (plus basement and roof level accommodation) building with front a rear lightwells to provide 4 x 1-bedroom, 3 x 2-bedroom and 2 x 3-bedroom flats with associated refuse and cycle storage.</t>
  </si>
  <si>
    <t>2022/5151</t>
  </si>
  <si>
    <t>822 Garratt Lane</t>
  </si>
  <si>
    <t>Erection of a mansard extension to main rear roof with French doors and safety balustrade and extension above two-storey rear addition with formation of a roof terrace with safety balustrade. Erection of single-storey side/rear and rear ground floor extensions and installation of French doors and safety balustrade in connection with part change of use of commercial unit (Use Class E) and provision of 1 studio, 1 x 1-bedroom and 1 x 2-bedroom flats (Class C3).</t>
  </si>
  <si>
    <t>2018/4798</t>
  </si>
  <si>
    <t>94-96, 94-96 Mitcham Lane</t>
  </si>
  <si>
    <t>Demolition of existing building and erection of a four-storey building to provide 6 x 2-bedroom and 2 x 1-bedroom flats and two retails units (Class A1 Shops) at ground floor level.</t>
  </si>
  <si>
    <t>2022/3185</t>
  </si>
  <si>
    <t>rear of, 102-104 Upper Tooting Road</t>
  </si>
  <si>
    <t>Demolition of existing buildings and erection of 5 x two storey (plus basement) 3-bedroom dwelling houses accessed via Holmbury Court.</t>
  </si>
  <si>
    <t>2019/3492</t>
  </si>
  <si>
    <t>9-11 Delia Street</t>
  </si>
  <si>
    <t>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t>
  </si>
  <si>
    <t>2022/3107</t>
  </si>
  <si>
    <t>BISHOPS WHF, RANSOME'S DK, Parkgate Road</t>
  </si>
  <si>
    <t>Alterations including installation of barrier to river walk frontage in connection with change of use of the ground floor from office (Class E) to residential (Class C3) to provide 2 x 3-bedroom flats.</t>
  </si>
  <si>
    <t>2022/2608</t>
  </si>
  <si>
    <t>Rear of 667-669, 667-669 Garratt Lane</t>
  </si>
  <si>
    <t>Erection of a two-storey rear extension to provide 1 x 1-bedroom flat and 1 x studio flat.</t>
  </si>
  <si>
    <t>2018/3669</t>
  </si>
  <si>
    <t>37-39 St Johns Road</t>
  </si>
  <si>
    <t>Demolition of existing building and erection of a four-storey building to provide 1 x 1-bedroom, 3 x 2-bedroom and 2 x 3-bedroom flats (USe Class C3) and ground floor use as Class A1/A3 including associated works.</t>
  </si>
  <si>
    <t>2019/1757</t>
  </si>
  <si>
    <t>Terrapin Court, Terrapin Road</t>
  </si>
  <si>
    <t>Alterations including erection of roof extension and roof terraces to provide 2 x 2-bedroom flats within extended roof. Provision of associated refuse and cycle storage for existing and proposed dwellings.</t>
  </si>
  <si>
    <t>2022/3327</t>
  </si>
  <si>
    <t>Second Floor Regent House, 16-18 Lombard Road</t>
  </si>
  <si>
    <t>Determination as to whether prior approval is required for change of use from office  (Class E) to residential (Class C3) to provide 9 flats.</t>
  </si>
  <si>
    <t>2020/5062</t>
  </si>
  <si>
    <t>The Boat &amp; Dragon PH, 180 Lower Richmond Road (1-6 Sadlers Gate Mews, Commondale SW15 1HD 1-3 Sadlers House)</t>
  </si>
  <si>
    <t>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t>
  </si>
  <si>
    <t>2018/1606</t>
  </si>
  <si>
    <t>Unit 16 Ransomes Dock Business Centre, 35-37 Parkgate Road (Ransomes Dock Business Centre)</t>
  </si>
  <si>
    <t>Determination as to whether prior approval is required for change of use of office Class B1a) to residential (Class C3) to provide 2 x 1-bedroom flats.</t>
  </si>
  <si>
    <t>2022/5060</t>
  </si>
  <si>
    <t>Upper Floor Flat, 42 Lavender Hill</t>
  </si>
  <si>
    <t>Erection of mansard roof extension to front and rear roof in connection with conversion of the first and second floors into 3 x 1-bedroom flats with associated cycle and refuse storage.</t>
  </si>
  <si>
    <t>2021/0033</t>
  </si>
  <si>
    <t>Upper floors, 33-37 St Johns Hill (Flats 1-10)</t>
  </si>
  <si>
    <t>Alterations including conversion of rear buildings and provision of new rear extension to create 2 x 2 bedroom flats.</t>
  </si>
  <si>
    <t>2022/1963</t>
  </si>
  <si>
    <t>Upper Floors, 34 Wandsworth Common West Side</t>
  </si>
  <si>
    <t>Alterations including erection of mansard roof extension to main rear roof and extension above part of three-storey back addition; formation of roof terrace above remainder of back addition with 1.7m high screening. Works in connection with conversion of upper floor flat into 1 x 3-bedroom and 2 x 1-bedroom flats.</t>
  </si>
  <si>
    <t>2022/3419</t>
  </si>
  <si>
    <t>1 Clairview Road (Flats 1-5)</t>
  </si>
  <si>
    <t>Erection of a single storey (plus basement) 2 x bed dwelling, with associated refuse and cycle storage.</t>
  </si>
  <si>
    <t>2021/3499</t>
  </si>
  <si>
    <t>Sylva Court, 79 Putney Hill</t>
  </si>
  <si>
    <t>Alterations including erection of a two storey roof extension (plus lift and stair core) in connection with provision of 2 x 3-bedroom, 2 x 2-bedroom and 2 x 1-bedroom flats together with cycle and refuse storage.</t>
  </si>
  <si>
    <t>2020/0682</t>
  </si>
  <si>
    <t>1 Leeward House, Square Rigger Row (Plantation Wharf)</t>
  </si>
  <si>
    <t>Determination as to whether prior approval is required for change of use from Office (Class B1) to 1 x 1-bedroom flat (Class C3).</t>
  </si>
  <si>
    <t>2020/0462</t>
  </si>
  <si>
    <t>10 Cambalt Road</t>
  </si>
  <si>
    <t>Conversion of existing basement to form 1 x studio flat including formation of light well to rear</t>
  </si>
  <si>
    <t>2022/3961</t>
  </si>
  <si>
    <t>7 Beclands Road</t>
  </si>
  <si>
    <t>Alterations including erection of part two-storey and part single-storey side and rear extension in connection with the creation of a 1-bedroom dwelling. Installation of waste and cycle stores to front garden.</t>
  </si>
  <si>
    <t>2022/3403</t>
  </si>
  <si>
    <t>Land South of 5, Tennyson Street</t>
  </si>
  <si>
    <t>Erection of a three-storey dwelling house.</t>
  </si>
  <si>
    <t>2022/4228</t>
  </si>
  <si>
    <t>101 Fernlea Road</t>
  </si>
  <si>
    <t>Erection of a hip to gable side roof extension with dormer extenion to rear roof slope and extension above two-storey rear addition. Erection of replacement rear/side ground floor extension. Extensions and alterations in connection with the conversion 1x 1-bedroom and 1x2 bedroom flats to 1x 3-bedroom, 1 x 2-bedroom and 1x 1-bedroom flats. 
Conversion and extension of existing property from 2 flat to 3 flats.</t>
  </si>
  <si>
    <t>2022/0664</t>
  </si>
  <si>
    <t>1081 Garratt Lane</t>
  </si>
  <si>
    <t>Alterations to include, installation of a replacement window to front elevation and  change of use of rear part of ground floor from  (Class Sui Generis) into a 1 x 1 bedroom flat. (Class C3)</t>
  </si>
  <si>
    <t>2022/2665</t>
  </si>
  <si>
    <t>109 Northcote Road</t>
  </si>
  <si>
    <t>Alterations including roof extension and changes to the roof pitch. Erection of mansard/dormer roof extension to main rear roof. Installation of 1.7m high obscure glazing to first floor terrace on all sides and formation of new roof terrace above existing back addition with 1.7m obscure glazing along sides. Erection of part single/part two storey rear and side extensions.  Replacement of existing windows and alterations to rear and side fenestrations, in connection with conversion from single dwelling into 1 x 2-bedroom and 1 x 3-bedroom flats with associated refuse and cycle storage.</t>
  </si>
  <si>
    <t>2019/2033</t>
  </si>
  <si>
    <t>11 Barmouth Road</t>
  </si>
  <si>
    <t>Alterations including changes to front elevation fenestration and erection of single-storey rear/side extension in connection with change of use from office (Class B1) to residential (Class C3) to create 1 x 2-bedroom flat.</t>
  </si>
  <si>
    <t>2019/2116</t>
  </si>
  <si>
    <t>118 Upper Tooting Road</t>
  </si>
  <si>
    <t>Alterations in connection with change of use of part of ground floor from retail (Class A1) to residential (Class C3) to provide 1 x studio flat with associated cycle and refuse storage.</t>
  </si>
  <si>
    <t>2021/2263</t>
  </si>
  <si>
    <t>12 Oberstein Road</t>
  </si>
  <si>
    <t>Alterations including erection of front and rear mansard roof extension to main roof including front, rear and side dormers; formation of roof terrace at rear second floor level with 1.7m high screen surround; excavation to enlarge basement including formation of rear lightwell; in connection with the creation of 1 x 1- bedroom flat</t>
  </si>
  <si>
    <t>2021/0297</t>
  </si>
  <si>
    <t>122 Upper Richmond Road</t>
  </si>
  <si>
    <t>Alterations including erection of front and rear main roof extension, two-storey rear extension at second and third floor levels with formation of rear balconies in connection with conversion of existing flat into 1 x 2-bedroom and 1 x 1-bedroom flats.</t>
  </si>
  <si>
    <t>2021/1259</t>
  </si>
  <si>
    <t>128 B Northcote Road</t>
  </si>
  <si>
    <t>Alterations including erection of dormer roof extensions to side and rear of main roof and formation of rear roof terraces at first and third floor level, in connection with the conversion of first and second floor into 1 x1 bedroom and 1 x 2-bedroom flats.</t>
  </si>
  <si>
    <t>2022/3458</t>
  </si>
  <si>
    <t>134 Boundaries Road</t>
  </si>
  <si>
    <t>Erection of a mansard extension to main rear roof and extension above part of two-storey rear addition with roof terrace and 1.7m high obscured glazed balustrade to form for a 1-bedroom flat. Installation of associated cycle provision and refuse storage. Internal alterations to first floor flat with new bifold doors on rear elevation</t>
  </si>
  <si>
    <t>2018/1079</t>
  </si>
  <si>
    <t>Land east of 57, 57 Putney Bridge Road</t>
  </si>
  <si>
    <t>Erection of five storey building to provide 5 x studio flats with associated cycle and bin storage.</t>
  </si>
  <si>
    <t>2021/4115</t>
  </si>
  <si>
    <t>138 Battersea Park Road</t>
  </si>
  <si>
    <t>Alterations including erection of mansard roof extension to main rear roof in connection with the conversion of upper floor flat to 2x1 bedroom flats.</t>
  </si>
  <si>
    <t>2018/1975</t>
  </si>
  <si>
    <t>1 Effort Street</t>
  </si>
  <si>
    <t>Demolition of existing building and erection of a part two part three-storey building to provide 4 x 2-bedroom and 1 x 3-bedroom flats with associated landscaping, cycle and refuse storage.</t>
  </si>
  <si>
    <t>2020/0107</t>
  </si>
  <si>
    <t>14-16 Tooting High Street (Flats 1-9 &amp; 12-15)</t>
  </si>
  <si>
    <t>Alterations including erection of rear roof extension and formation of roof terrace with 1.8m high screen surround in connection with creation of studio flat on third floor.</t>
  </si>
  <si>
    <t>2022/4595</t>
  </si>
  <si>
    <t>144 Wandsworth High Street</t>
  </si>
  <si>
    <t>Change of use of the ground floor from retail (Class E) to a 1-bedroom flat  (Class C3) together with alterations to front and rear elevations.</t>
  </si>
  <si>
    <t>2019/1706</t>
  </si>
  <si>
    <t>148 Earlsfield Road</t>
  </si>
  <si>
    <t>Alterations including excavation to create basement in connection with creation of 1 x 1-bedroom flat.</t>
  </si>
  <si>
    <t>2020/3309</t>
  </si>
  <si>
    <t>149 Lavender Hill</t>
  </si>
  <si>
    <t>Erection of extension to form two additional floors of accommodation and formation of a roof terrace above 3 -storey back addition in connection with creation of an additional 1 x 1 bed flat.</t>
  </si>
  <si>
    <t>2022/2515</t>
  </si>
  <si>
    <t>19a St Anns Park Road</t>
  </si>
  <si>
    <t>Demolition of existing building and erection of a two-storey (plus basement) 3-bedroom detached house including associated landscaping, cycle and refuse storage.</t>
  </si>
  <si>
    <t>2022/3951</t>
  </si>
  <si>
    <t>14A Oakmead Road</t>
  </si>
  <si>
    <t>Alterations including erection of mansard roof extension to main rear roof (with French doors and safety railings) and extension above part of two-storey back addition; Formation of roof terrace above two-storey back addition with 1.7m high screen surround. Installation of metal stairs from first floor to ground floor in connection with creation of 1 x1 bedroom residential flat.</t>
  </si>
  <si>
    <t>2021/4974</t>
  </si>
  <si>
    <t>15 Fairlight Road</t>
  </si>
  <si>
    <t>Alterations including erection of mansard roof extension to main rear roof including raising ridge by 300mm, erection of roof extension and formation of roof terrace with 1.7m glazed safety surround above two-storey rear addition in connection with creation of 1 x 1-bedroom flat. Alterations to rear elevation of first floor flat with new juliet balcony.</t>
  </si>
  <si>
    <t>2016/0654</t>
  </si>
  <si>
    <t>9-15 Elcho Street</t>
  </si>
  <si>
    <t>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t>
  </si>
  <si>
    <t>2020/1286</t>
  </si>
  <si>
    <t>157 Lower Richmond Road</t>
  </si>
  <si>
    <t>Alterations in connection with conversion of existing mansard roof extension to main rear roof and roof extension above part of two storey back addition into 1 x 1-bedroom flat.</t>
  </si>
  <si>
    <t>2021/3519</t>
  </si>
  <si>
    <t>16 Lucien Road</t>
  </si>
  <si>
    <t>Alterations including erection of extension to main rear roof and extension above part of two-storey back addition; formation of roof terrace at second floor level with 1.7m high screen surround. Erection of single-storey rear and side extension in connection with the creation of an additional 1 x 1-bedroom/studio flat, with associated bin and bike storage at the front.</t>
  </si>
  <si>
    <t>2020/1999</t>
  </si>
  <si>
    <t>161 Battersea High Street</t>
  </si>
  <si>
    <t>Alterations including extension to main rear roof to create additional storey of accommodation to provide a 1 x 1-bedroom flat.</t>
  </si>
  <si>
    <t>2022/3830</t>
  </si>
  <si>
    <t>165 Battersea Rise</t>
  </si>
  <si>
    <t>Determination as to whether prior approval is required for change of use from office (Class E) at ground floor level from (Class B) to residential (Class C3) to provide a studio flat (Class C3).</t>
  </si>
  <si>
    <t>2019/2107</t>
  </si>
  <si>
    <t>The Marmalade Caterpillar Nursery School, 14a Boundaries Road</t>
  </si>
  <si>
    <t>Alterations including the demolition of the existing building and the erection of a three storey building and excavation to create basement in connection with change of use from nursery school (Class D1) to residential (Class C3) to create 2 x 1-bedroom and 2 x 2-bedroom flats with associated cycle and refuse storage and boundary treatment.</t>
  </si>
  <si>
    <t>2020/3193</t>
  </si>
  <si>
    <t>175 Tooting High Street</t>
  </si>
  <si>
    <t>Alterations including erection of a single storey rear/side extension and change of use of part of the shop (Class A1) into a studio flat (Class C3), with associated refuse and cycle storage to rear.</t>
  </si>
  <si>
    <t>2020/1233</t>
  </si>
  <si>
    <t>336-338 Balham High Road</t>
  </si>
  <si>
    <t>Demolition of existing buildings and erection of 4-storey building to provide commercial unit for flexible use (Classes A1, A2, A3 and D1) on ground floor four 2-bedroom flats (Class C3) above and associated waste and cycle storage.</t>
  </si>
  <si>
    <t>2022/2530</t>
  </si>
  <si>
    <t>178 Mitcham Road</t>
  </si>
  <si>
    <t>Alterations including erection of roof extensions to the main rear roof and above the back addition and erection of part single, part three-storey side and rear extension with first floor terrace in connection with partial change of use from restaurant (Class E) to residential (Class C3) to provide 2 x 1-bedroom and 2 x 2-bedroom flats with the retention of commercial space (Class E) at front ground floor, and associated refuse and cycle storage.</t>
  </si>
  <si>
    <t>2020/0599</t>
  </si>
  <si>
    <t>184 Northcote Road</t>
  </si>
  <si>
    <t>Determination as to whether prior approval is required for change of use of rear part of ground and first floors from retail (Class A1) to 1 x 2-bedroom flat (Class C3), with associated external alterations including installation of windows.</t>
  </si>
  <si>
    <t>2021/2811</t>
  </si>
  <si>
    <t>Land and Garages North of 1-21, Gay Street</t>
  </si>
  <si>
    <t>Demolition of garages and erection of a two storey building accommodating 2 x 1-bed and 2 x 2-bed flats, with associated refuse and cycle storage.</t>
  </si>
  <si>
    <t>2020/4574</t>
  </si>
  <si>
    <t>199A Wandsworth High Street</t>
  </si>
  <si>
    <t>Alterations including erection of front and rear mansard roof extension to provide  1 x 1-bedroom flat (Class C3) at second floor level.</t>
  </si>
  <si>
    <t>2022/0151</t>
  </si>
  <si>
    <t>213 Upper Richmond Road</t>
  </si>
  <si>
    <t>Alterations to separate the first and ground floor to create studio consisting of part of the ground floor and the full first floor.</t>
  </si>
  <si>
    <t>2021/4704</t>
  </si>
  <si>
    <t>Car Park Space East of 59, Arnal Crescent</t>
  </si>
  <si>
    <t>Redevelopment and erection of 2 x two-storey buildings to provide 2 x 2-bedroom and 2 x 1-bedroom flats with associated refuse and cycle storage.</t>
  </si>
  <si>
    <t>2021/4482</t>
  </si>
  <si>
    <t>217 Garratt Lane</t>
  </si>
  <si>
    <t>Determination as to whether prior approval is required for change of use from retail (Class E) to residential (Class C3) to provide 1 x 1- bedroom flat.</t>
  </si>
  <si>
    <t>2022/4696</t>
  </si>
  <si>
    <t>221 Mitcham Lane</t>
  </si>
  <si>
    <t>Alterations include the erection of a dormer roof extension to main rear roof and single-storey rear extension in connection with the conversion of the property into 1 x 3-bedroom and 1 x 4-bedroom flats with associated landscaping, cycle and refuse storage.</t>
  </si>
  <si>
    <t>2022/0729</t>
  </si>
  <si>
    <t>24 Ringford Road</t>
  </si>
  <si>
    <t>Alterations including erection of roof extension and single storey side extension to garage in connection with use as 1 x 1-bedroom dwelling house with front roof terrace and access from Sedleigh Road.</t>
  </si>
  <si>
    <t>2021/4318</t>
  </si>
  <si>
    <t>24 Yukon Road</t>
  </si>
  <si>
    <t>Alterations including erection of mansard roof extension to main rear roof and extension above part of two-storey back addition; formation of roof terrace above two-storey back addition with 1.7m high screen surround in connection with the conversion into 1 bedroom flat with associated cycle and refuse storage.</t>
  </si>
  <si>
    <t>2019/2583</t>
  </si>
  <si>
    <t>245a Wimbledon Park Road</t>
  </si>
  <si>
    <t>Determination as to whether prior approval is required for change of use of lower ground floor from Estate agents(Class A2) to 1 x 1-bedroom flat (Class C3).</t>
  </si>
  <si>
    <t>2021/4684</t>
  </si>
  <si>
    <t>25 Keswick Road</t>
  </si>
  <si>
    <t>Alterations including erection of a rear extension at lower ground floor level in connection with creation of 1 x 1-bed flat.</t>
  </si>
  <si>
    <t>2022/4341</t>
  </si>
  <si>
    <t>26 Badminton Road</t>
  </si>
  <si>
    <t>Alterations including erection of mansard roof extension to main rear roof (with French doors and safety railings) including raising ridge 300mm and formation of roof terrace at second floor level with 1.7m high screen surround in connection with the creation of 1 x 1-bedroom flat.</t>
  </si>
  <si>
    <t>2018/3140</t>
  </si>
  <si>
    <t>26 Brookwood Road</t>
  </si>
  <si>
    <t>Change of use from hairdresser (Class A1)  to Residential (Class C3) to provide 1 x1 bedroom flat. Alterations to include installation of windows to front elevation and erection of front boundary wall, railings and gate.</t>
  </si>
  <si>
    <t>2021/4552</t>
  </si>
  <si>
    <t>269 Putney Bridge Road</t>
  </si>
  <si>
    <t>Alterations including erection of front and rear mansard roof extension to provide an additional floor of accommodation, second floor level rear extension, and formation of rear balconies at first and second floor levels with 1.7m high privacy screens, together with the creation of 1 x 1-bedroom flat.</t>
  </si>
  <si>
    <t>2022/4799</t>
  </si>
  <si>
    <t>292 Cavendish Road</t>
  </si>
  <si>
    <t>Alterations including erection of single storey rear and side extension in connection with change of use and conversion of restaurant (Class E) to residential (Class C3) to provide 1 x 2-bedroom flat.</t>
  </si>
  <si>
    <t>2021/2207</t>
  </si>
  <si>
    <t>296 Earlsfield Road</t>
  </si>
  <si>
    <t>Determination as to whether prior approval is required for change of 
use from retail (Class A1) to 1 x 1-bedroom flat (Class C3).</t>
  </si>
  <si>
    <t>2018/2649</t>
  </si>
  <si>
    <t>2a Balham Grove</t>
  </si>
  <si>
    <t>Alterations including erection of extension at second floor level in association with creation of 1 x studio flat.</t>
  </si>
  <si>
    <t>2022/1385</t>
  </si>
  <si>
    <t>Alterations including erection of single storey rear extension in connection with creation of 2-bedroom flat to basement and ground floor rear of no 32 and change of use from commercial studio (Class E) to residential (Class C3) to provide access, bin and cycle storage at rear of no 31 Bellevue Road.</t>
  </si>
  <si>
    <t>2020/2048</t>
  </si>
  <si>
    <t>317 Battersea Park Road</t>
  </si>
  <si>
    <t>Alterations including erection of roof extension to create an additional floor of accomodation in connection with creation of 1 x 1-bed flat.</t>
  </si>
  <si>
    <t>2019/3870</t>
  </si>
  <si>
    <t>32 Latchmere Road</t>
  </si>
  <si>
    <t>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t>
  </si>
  <si>
    <t>2020/3029</t>
  </si>
  <si>
    <t>321 Merton Road</t>
  </si>
  <si>
    <t>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t>
  </si>
  <si>
    <t>2022/1763</t>
  </si>
  <si>
    <t>346 Upper Richmond Road</t>
  </si>
  <si>
    <t>Alterations including change of use from HMO (9 bedsits) (Sui Generis)  into single dwelling.(Class C3).</t>
  </si>
  <si>
    <t>2018/3089</t>
  </si>
  <si>
    <t>Garages east of, 147 Whitlock Drive</t>
  </si>
  <si>
    <t>Erection of 3 x  2-bedroom houses to a shell and core stage as part of a pilot known as the Resident Custom Housebuilding Scheme</t>
  </si>
  <si>
    <t>2019/1231</t>
  </si>
  <si>
    <t>235a - 237a, 235-237 Wimbledon Park road</t>
  </si>
  <si>
    <t>Erection of a three storey rear extension in connection with formation of 1 x 1 bedroomed flat and 2 x 2 bedroomed flats with external terraces, and associated cycle and refuse storage.</t>
  </si>
  <si>
    <t>2019/3061</t>
  </si>
  <si>
    <t>Determination as to whether prior approval is required for part change of use from retail (Class A1) to 1 x studio flat (Class C3).</t>
  </si>
  <si>
    <t>2018/0366</t>
  </si>
  <si>
    <t>4 Hildreth Street</t>
  </si>
  <si>
    <t>Conversion of upper floor flat into 1 x studio flat on first floor and 1 x 1-bedroom maisonette on 2nd and 3rd floors</t>
  </si>
  <si>
    <t>2022/2884</t>
  </si>
  <si>
    <t>40 Lavender Hill</t>
  </si>
  <si>
    <t>Alterations in connection with change of use of hot food takeaway (Class A5) to retail (Class E) and residential (Class C3) to provide 1 x 1-bedroom flat. Extension to basement, installation of glazed pavement lenses, forecourt wall and replacement shopfront.</t>
  </si>
  <si>
    <t>2020/4875</t>
  </si>
  <si>
    <t>40a Oakmead Road</t>
  </si>
  <si>
    <t>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t>
  </si>
  <si>
    <t>2022/0494</t>
  </si>
  <si>
    <t>421 Upper Richmond Road</t>
  </si>
  <si>
    <t>Use of property as a single dwelling (Class C3).</t>
  </si>
  <si>
    <t>2022/0480</t>
  </si>
  <si>
    <t>423 Upper Richmond Road</t>
  </si>
  <si>
    <t>Use as a single dwelling house (Class C3) including alteratuions to fenestration.</t>
  </si>
  <si>
    <t>2021/1873</t>
  </si>
  <si>
    <t>Alterations including erection of part single/part two storey rear extension at first and second floors in connection with creation of 1 x 1-bedroom and 1 x studio flats. Replacement of 2 x first floor side windows.</t>
  </si>
  <si>
    <t>2022/2098</t>
  </si>
  <si>
    <t>50-53 Denton Street</t>
  </si>
  <si>
    <t>Erection of mansard roof extension to main rear roof and extension above part of two-storey back addition and formation of roof terrace with 1.8m high screen surround in connection with creation of 1 x 2-bedroom flat. Alterations including raising the ridge by 400mm.</t>
  </si>
  <si>
    <t>2020/4072</t>
  </si>
  <si>
    <t>509 Merton Road</t>
  </si>
  <si>
    <t>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t>
  </si>
  <si>
    <t>2018/1104</t>
  </si>
  <si>
    <t>52 Northcote Road</t>
  </si>
  <si>
    <t>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t>
  </si>
  <si>
    <t>2021/3778</t>
  </si>
  <si>
    <t>54 West Hill</t>
  </si>
  <si>
    <t>Determination as to whether prior approval is required for change of use of rear part of the ground floor from retail (Class A1) to a studio flat (Class C3).</t>
  </si>
  <si>
    <t>2021/5276</t>
  </si>
  <si>
    <t>Alterations including erection of single storey rear extension in connection with conversion of ground floor rear into 1 x 1-bedroom flat.</t>
  </si>
  <si>
    <t>2021/4001</t>
  </si>
  <si>
    <t>54A Renmuir Street</t>
  </si>
  <si>
    <t>Alterations including erection of mansard roof extension to main rear roof slope with French doors and juliette balcony and extension above part of two-storey rear addidtion. Formation of a roof terrace with obscure glazed screen. In connection with the creation of an additional 1x1 bedroom unit.</t>
  </si>
  <si>
    <t>2020/4441</t>
  </si>
  <si>
    <t>54c Charlmont Road</t>
  </si>
  <si>
    <t>Alterations including erection of mansard roof extension to main rear roof (with 0.7m ridge raise, French doors and safety railings), alterations to front roof pitch and raising existing gable in connection with the creation of  1 x1 bedroom flat.</t>
  </si>
  <si>
    <t>2019/0899</t>
  </si>
  <si>
    <t>55 Gayville Road</t>
  </si>
  <si>
    <t>Alterations including erection of a mansard roof extension to main rear roof, installation of glazed doors (with safety railing) at first floor level and erection of a single storey rear/side extension in connection with conversion to 1 x 2-bed and 1 x 3-bed flats.</t>
  </si>
  <si>
    <t>2022/2622</t>
  </si>
  <si>
    <t>55 Trinity Road</t>
  </si>
  <si>
    <t>Determination as to whether prior approval is required for change of use from retail (Class E) to mixed use as a  1 x studio (Class C3) and shop (Class E) with associated external and internal alterations.</t>
  </si>
  <si>
    <t>2022/1741</t>
  </si>
  <si>
    <t>56 Lavender Hill</t>
  </si>
  <si>
    <t>Alterations including two-storey rear extension and change of use to part of the existing commercial unit (class E) to provide a two-bedroom dwelling (Class C3) with associated amenity space.</t>
  </si>
  <si>
    <t>2019/4316</t>
  </si>
  <si>
    <t>Alterations including dormer extension to main rear roof and erection of part-single, part-two storey rear/side extension in connection with conversion to 1 x 2-bed and 1 x studio flat.</t>
  </si>
  <si>
    <t>2018/5898</t>
  </si>
  <si>
    <t>6 Ravenslea Road</t>
  </si>
  <si>
    <t>Alterations in connection with conversion of existing flat into 1x 3-bedroom flat and 1x 2-bedroom flat.</t>
  </si>
  <si>
    <t>2019/1181</t>
  </si>
  <si>
    <t>60 Fairfield Street</t>
  </si>
  <si>
    <t>Alterations to ground floor front, rear and side elevation in connection with change of use from cafe (Class A3) to two bedroom flat (Class C3) .</t>
  </si>
  <si>
    <t>2020/0412</t>
  </si>
  <si>
    <t>62 Lavender Hill</t>
  </si>
  <si>
    <t>Alterations including part change of use of exisitng restaurant (Class A3) at ground and lower ground levels to create a one-bedroom flat (Class C3). Erection of dwarf wall and glass pavement lenses to front forecourt. Alteration to shop front entrance</t>
  </si>
  <si>
    <t>2021/3311</t>
  </si>
  <si>
    <t>66 West Hill</t>
  </si>
  <si>
    <t>Determination as to whether prior approval is required for change of
use of front part of shop from retail (Class A1) to residential (Class 
C3)</t>
  </si>
  <si>
    <t>2023/0148</t>
  </si>
  <si>
    <t>663-665 Garratt Lane</t>
  </si>
  <si>
    <t>Alterations including erection of mansard roof extension to main rear roof of both properties (with French doors and safety railings) and extension above two-storey back addition to 663; installation of external access stair from existing first floor level rear walkway up to third floor level entrance of proposed 1 x 2 bedroom flat with associated refuse and cycle storage.</t>
  </si>
  <si>
    <t>2018/5605</t>
  </si>
  <si>
    <t>66A North Side Wandsworth Common</t>
  </si>
  <si>
    <t>Alterations in connection with conversion of basement into 1-bedroom flat.</t>
  </si>
  <si>
    <t>j-</t>
  </si>
  <si>
    <t>2021/1497</t>
  </si>
  <si>
    <t>67 Putney Hill</t>
  </si>
  <si>
    <t>Conversion of existing ground floorspace to provide a 1 X 1 bedroom flat including the relocation of waste storage for whole building.</t>
  </si>
  <si>
    <t>2021/2447</t>
  </si>
  <si>
    <t>69 Webbs Road</t>
  </si>
  <si>
    <t>Alterations including erection of roof extension and formation of roof terrace with 1.7m glazed safety screen surround above two storey back addition and erection of single storey rear extension in connection with conversion to 1 x 3-bedroom and 1 x 2-bedroom flats.</t>
  </si>
  <si>
    <t>2020/2360</t>
  </si>
  <si>
    <t>Determination as to whether prior approval is required for change of use from Ground Floor Shop (Class A1) to 1 x 1-bedroom flat (Class C3) with associated external alterations to front elevation.</t>
  </si>
  <si>
    <t>2021/3394</t>
  </si>
  <si>
    <t>76A Pendle Road</t>
  </si>
  <si>
    <t>Alterations including changes to windows and doors in connection with conversion of existing workshop (Class SG) to 1 x 1 bedroom dwellinghouse (Class C3) with associated landscaping, cycle and refuse storage.</t>
  </si>
  <si>
    <t>2020/1024</t>
  </si>
  <si>
    <t>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t>
  </si>
  <si>
    <t>2019/3241</t>
  </si>
  <si>
    <t>87 Nightingale Lane</t>
  </si>
  <si>
    <t>Conversion of first and second floors to 2 x 1-bedroom flats.</t>
  </si>
  <si>
    <t>2020/4014</t>
  </si>
  <si>
    <t>87a Thurleigh Road</t>
  </si>
  <si>
    <t>Alterations to existing outbuilding in connection with its conversion to a 1 x bedroom self contained residential unit; new roof with rooflights lights, new timber fencing and gate to Wroughton Road with associated refuse and cycle storage.</t>
  </si>
  <si>
    <t>2021/1975</t>
  </si>
  <si>
    <t>888 Garratt Lane</t>
  </si>
  <si>
    <t>Alterations erection of mansard roof extension to main rear roof and above existing two storey back addition, erection of part single, part two-storey side/rear extension and installation of first floor rear French doors and safety railings in connection with conversion of the property into 1 x 2 bedroom, 1 x 1-bedroom and 1 x studio flats.</t>
  </si>
  <si>
    <t>2020/2038</t>
  </si>
  <si>
    <t>89 Ramsden Road</t>
  </si>
  <si>
    <t>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t>
  </si>
  <si>
    <t>2021/2393</t>
  </si>
  <si>
    <t>8a Replingham Road</t>
  </si>
  <si>
    <t>Determination as to whether prior approval is required for change of use from office (Class B1) to 1 x 3 -bedroom house (Class C3).</t>
  </si>
  <si>
    <t>2018/5949</t>
  </si>
  <si>
    <t>900 Garratt Lane</t>
  </si>
  <si>
    <t>Determination as to whether prior approval is required for change of use from office (Class B1) to residential (Class C3).</t>
  </si>
  <si>
    <t>2019/2504</t>
  </si>
  <si>
    <t>91 St Johns Road</t>
  </si>
  <si>
    <t>Alterations including erection of a two storey extension (top floor mansard roof); new shopfront; in connection with the change of use of part of the ground floor and the whole of the first floor from retail (Class A1) to create a 1 x 1-bedroom flat (Class C3).</t>
  </si>
  <si>
    <t>2019/4024</t>
  </si>
  <si>
    <t>92 East Hill</t>
  </si>
  <si>
    <t>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t>
  </si>
  <si>
    <t>2018/1370</t>
  </si>
  <si>
    <t>Land adjoining 23, Boundaries Road</t>
  </si>
  <si>
    <t>Erection of a three-storey plus basement detached building to provide 2 x 1-bedroom dwellings with associated landscaping, outdoor amenity space, roof garden, cycle parking and refuse storage. (Amended drawings)</t>
  </si>
  <si>
    <t>2019/2315</t>
  </si>
  <si>
    <t>94 Balham High Road</t>
  </si>
  <si>
    <t>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t>
  </si>
  <si>
    <t>2019/1924</t>
  </si>
  <si>
    <t>97 East Hill</t>
  </si>
  <si>
    <t>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t>
  </si>
  <si>
    <t>2021/5718</t>
  </si>
  <si>
    <t>98 Tooting High Street</t>
  </si>
  <si>
    <t>Alterations to include the erection of a part single, part two-storey rear extension to provide a 1 x2-bedroom flat.</t>
  </si>
  <si>
    <t>2021/3174</t>
  </si>
  <si>
    <t>99 Lucien Road</t>
  </si>
  <si>
    <t>Alterations including erection of mansard roof extension to main rear roof (with French doors and safety railings) and extension above part of two-storey back addition; formation of roof terrace above two-storey back addition with 1.7m high screen surround to create 1x 1-bedroom flat</t>
  </si>
  <si>
    <t>2020/0503</t>
  </si>
  <si>
    <t>99 St Johns Hill</t>
  </si>
  <si>
    <t>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t>
  </si>
  <si>
    <t>2020/3110</t>
  </si>
  <si>
    <t>A &amp; B, 38 Comyn Road</t>
  </si>
  <si>
    <t>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t>
  </si>
  <si>
    <t>2021/3198</t>
  </si>
  <si>
    <t>34-36 Thurleigh Road</t>
  </si>
  <si>
    <t>Demolition of one semi-detached and one detached dwellings and erection of three -storey (plus basement) 4-bedroom semi-detached dwellings.</t>
  </si>
  <si>
    <t>2021/4064</t>
  </si>
  <si>
    <t>Land rear of 958 Garratt Lane, 28 Garratt Terrace</t>
  </si>
  <si>
    <t>Erection of a two-storey house fronting Garratt Terrace with singlestorey rear projection, basement, habitable roof space, first floor balcony and associated refuse and cycle storage to comprise 1x3- bedroom and 1x1-bedroom flats.</t>
  </si>
  <si>
    <t>2022/2370</t>
  </si>
  <si>
    <t>1 Furzedown Drive</t>
  </si>
  <si>
    <t>Demolition of the existing single-storey garage and construction of a single-storey dwellinghouse.</t>
  </si>
  <si>
    <t>2022/2788</t>
  </si>
  <si>
    <t>Alexander Studios, Unit 4 Haydon Way (The Courtyard)</t>
  </si>
  <si>
    <t>Change of use from a photography studio (Class E) into a 3-bed flat (Class C3).</t>
  </si>
  <si>
    <t>2020/3361</t>
  </si>
  <si>
    <t>and Flat B 790, 788 Garratt Lane</t>
  </si>
  <si>
    <t>Erection of a part single and part two-storey side/rear extension, erection of a dormer roof extension to main rear slope (with French doors and safety railings) and extension above part of rear addition to facilitate the conversion of the property into 4 x 1-bedroom self contained flats at 788 Garratt Lane. Construction of a rear extension at the first floor at 790 Garratt Lane.
*RE-CONSULTATION FOR AMENDED DESCRIPTION*</t>
  </si>
  <si>
    <t>2022/1322</t>
  </si>
  <si>
    <t>131 Penwith Road</t>
  </si>
  <si>
    <t>Demolition of the existing building and the erection of a replacement two-storey (plus roof) building, to create 3 self contained flats (2 x 1-bedroom and 1 x 2-bedroom) with formation of rear terraces at first and second floor levels with glass balustrade.</t>
  </si>
  <si>
    <t>2022/0643</t>
  </si>
  <si>
    <t>Basement and Ground Floor, 176 Battersea Park Road</t>
  </si>
  <si>
    <t>Alterations including erection of single-storey rear extension and excavations to enlarge existing basement to facilitate the formation of 1 x 2-bedroom flat with cycle and refuse storage. Part change of use of retail unit (Class E)  to residenrtial (Class C3).</t>
  </si>
  <si>
    <t>2022/3530</t>
  </si>
  <si>
    <t>Basement and Ground floor, 77 Lower Richmond Road</t>
  </si>
  <si>
    <t>Alterations including excavation to enlarge basement, formation of front lightwell, erection of single-storey rear extension, re-siting of rear external staircase in connection with change of use of ground floor and basement from retail (Class E) to residential (class C3) and office (Class E) to provide 1 x 1-bedroom flat with associated bin and cycle storage at rear.</t>
  </si>
  <si>
    <t>2021/5111</t>
  </si>
  <si>
    <t>Basement and Ground Floors, 200 Battersea Park Road</t>
  </si>
  <si>
    <t>Alterations including installation of rear window and door in connection with change of use from retail (Class E) to 1 x 1-bedroom flat (Class C3).</t>
  </si>
  <si>
    <t>2013/3516</t>
  </si>
  <si>
    <t>70A Ravensbury Road</t>
  </si>
  <si>
    <t>Demolition of existing workshop. Erection of two-storey, 1-bedroom house with first floor level terrace to rear.</t>
  </si>
  <si>
    <t>2018/3590</t>
  </si>
  <si>
    <t>Broadway Centre, 10 Gatton Road (Broadwater Lofts)</t>
  </si>
  <si>
    <t>Alterations including formation of a front lightwell with railing surround in connection with conversion of part basement into 1 x studio flat.</t>
  </si>
  <si>
    <t>2017/6507</t>
  </si>
  <si>
    <t>Land between 1 and 3, 1a Wimbledon Park Road</t>
  </si>
  <si>
    <t>Erection of a two-storey (basement and ground floor), 4-bedroom house including sunken courtyard, off-street parking, associated landscaping and alterations to boundary treatment included raised front boundary wall and trellis.</t>
  </si>
  <si>
    <t>2020/2945</t>
  </si>
  <si>
    <t>First and Second Floor, 162 Battersea Park Road</t>
  </si>
  <si>
    <t>Alterations including erection of mansard roof extension to main rear roof and erection of infill to first floor extension in connection with the conversion of 1 x 4 bedroom flat into 2 x 1 bedroom flats.</t>
  </si>
  <si>
    <t>2019/3459</t>
  </si>
  <si>
    <t>Flat First Floor, 36a Putney High Street</t>
  </si>
  <si>
    <t>Alterations in connection with conversion of flat into 2 x 1-bedroom flats. (description incorrect as per email confirmation)</t>
  </si>
  <si>
    <t>2022/1986</t>
  </si>
  <si>
    <t>Flat Ground Floor, 188 Trinity Road</t>
  </si>
  <si>
    <t>Alterations including erection of a two storey rear extension in connection with the conversion of basement into 1 x1 bedroom flat. Formation of a front light-well and stair access and front boundary. Installation of external stairs to garden at rear from ground level. Landscaping to rear garden including formation of rear lower level and pergola.</t>
  </si>
  <si>
    <t>2018/0885</t>
  </si>
  <si>
    <t>Demolition of existing garage fronting Cavendish Road and erection of a single storey (plus basement and roof) 3-bedroom detached house, formation of lightwells and refuse storage.</t>
  </si>
  <si>
    <t>2022/2900</t>
  </si>
  <si>
    <t>Ground Floor, 10 Trinity Crescent</t>
  </si>
  <si>
    <t>Determination as to whether prior approval is required for change of use from Nursery (Class E) to residential (Class C3) to provide 1 x 2-bedroom flat.</t>
  </si>
  <si>
    <t>2017/5079</t>
  </si>
  <si>
    <t>Ground floor, 280 Earlsfield Road</t>
  </si>
  <si>
    <t>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t>
  </si>
  <si>
    <t>2021/3248</t>
  </si>
  <si>
    <t>Ground Floor, 63 Broomwood Road</t>
  </si>
  <si>
    <t>Alterations including erection of replacement single-storey rear/side extensions, in connection with a change of use of the rear part of the ground floor from retail and  ancillary storage use (Class E) to a 1-bedroom residential flat (Class C3).</t>
  </si>
  <si>
    <t>2022/4729</t>
  </si>
  <si>
    <t>Land and Building to the South of, 164C Mitcham Road (The Old Bakery)</t>
  </si>
  <si>
    <t>Alterations including erection of single, part two-storey extensions with extended roof over in connection with conversion of buildings to 1 x 2-bedroom dwellinghouse (Class C3).</t>
  </si>
  <si>
    <t>2022/2164</t>
  </si>
  <si>
    <t>Determination as to whether prior approval is required for change of use  from office (Class E) to residential (Class C3) to provide 1 x 1-bedroom house.</t>
  </si>
  <si>
    <t>2018/1835</t>
  </si>
  <si>
    <t>2 Balham Grove</t>
  </si>
  <si>
    <t>Erection of three-storey (plus basement and habitable roofspace] 4-bedroom house with rear terraces and associated cycle and refuse storage.</t>
  </si>
  <si>
    <t>2018/4165</t>
  </si>
  <si>
    <t>One Westbury Parade, Balham Hill</t>
  </si>
  <si>
    <t>Determination as to whether prior approval is required for change of use from retail (Class A1) to single dwelling house (Class C3).</t>
  </si>
  <si>
    <t>2018/3232</t>
  </si>
  <si>
    <t>Land rear of 144, Wandsworth High Street</t>
  </si>
  <si>
    <t>Erection of a two-storey (plus basement) 3-bedroom house with associated refuse and cycle storage.</t>
  </si>
  <si>
    <t>2022/3642</t>
  </si>
  <si>
    <t>Professional Centre School House, Franciscan Road</t>
  </si>
  <si>
    <t>Change of use from office (Class E) to residential (Class C3) in connection with provision of 1 x 3 bedroom dwelling with associated refuse store (concurrent listed building consent ref. 2022/3602).</t>
  </si>
  <si>
    <t>2018/4505</t>
  </si>
  <si>
    <t>Garages West of 2a, 2a Isis Street</t>
  </si>
  <si>
    <t>Erection of single storey plus basement 1-bedroom house with front lightwell and associated refuse storage.</t>
  </si>
  <si>
    <t>2018/4919</t>
  </si>
  <si>
    <t>12 St Margarets Crescent</t>
  </si>
  <si>
    <t>Demolition of the existing house and and erection of replacement three-storey (plus basement) 7-bedroom house  with associated landscaping and boundary treatment, bin storage and provision for parking for two cars.</t>
  </si>
  <si>
    <t>2018/5069</t>
  </si>
  <si>
    <t>292 Upper Richmond Road</t>
  </si>
  <si>
    <t>Demolition of rear toilet block and erection of a single-storey (plus basement) 1-bedroom house.</t>
  </si>
  <si>
    <t>2019/1825</t>
  </si>
  <si>
    <t>Rayne House, Sudbrooke Road</t>
  </si>
  <si>
    <t>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t>
  </si>
  <si>
    <t>2018/5195</t>
  </si>
  <si>
    <t>Land rear of 79, 79 Falcon Road</t>
  </si>
  <si>
    <t>Erection of two-storey 3 bedroom house (accessed from Falcon Grove) with associated boundary treatment and vehicle access.</t>
  </si>
  <si>
    <t>2020/3753</t>
  </si>
  <si>
    <t>rear of, 51-53 Northcote Road</t>
  </si>
  <si>
    <t>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t>
  </si>
  <si>
    <t>2020/4074</t>
  </si>
  <si>
    <t>St. Mary-Le-Park Court, 52 Parkgate Road</t>
  </si>
  <si>
    <t>Alterations including enlargement of 7th floor and erection of two-storey roof extension (to create 10-storey building) in connection with creation of 2 x 3-bedroom and 2 x 2-bedroom flats with terraces and associated car parking and cycle storage facilities. Replacement windows and panels and changes to ground floor doors and boundary.</t>
  </si>
  <si>
    <t>2018/4051</t>
  </si>
  <si>
    <t>Tailors Court, 2 North Drive</t>
  </si>
  <si>
    <t>Conversion of assisted bathroom and ancillary rooms into a self-contained one-bedroom flat.</t>
  </si>
  <si>
    <t>2022/4122</t>
  </si>
  <si>
    <t>Taylors Yard, Unit 1 Alderbrook Road</t>
  </si>
  <si>
    <t>Determination as to whether prior approval is required for change of use of office on ground and first floor (Class E) to residential (Class C3) to provide 1 x 3-bedroom dwelling.</t>
  </si>
  <si>
    <t>2018/0813</t>
  </si>
  <si>
    <t>Unit 19 Ransomes Dock Business Centre, 35-37 Parkgate Road (Ransomes Dock Business Centre)</t>
  </si>
  <si>
    <t>Determination as to whether prior approval is required for change of use of office at first floor level (Use Class B1(a)) to residential (Use Class C3) to provide 1 x studio flat.</t>
  </si>
  <si>
    <t>2020/0683</t>
  </si>
  <si>
    <t>Unit 2 Windward House, Square Rigger Row (Plantation Wharf)</t>
  </si>
  <si>
    <t>Determination as to whether prior approval is required for change of use from Office (Class B1a) to 1 x 2-bedroom flat (Class C3).</t>
  </si>
  <si>
    <t>2018/0812</t>
  </si>
  <si>
    <t>Unit 21-24, 35-37 Parkgate Road (Ransomes Dock Business Centre)</t>
  </si>
  <si>
    <t>Determination as to whether prior approval is required for change of use of office at second floor level (Use Class B1(a)) to residential (Use Class C3) to provide 1 x 1 bedroom flat.</t>
  </si>
  <si>
    <t>2018/5212</t>
  </si>
  <si>
    <t>South Lodge, Putney Park Lane</t>
  </si>
  <si>
    <t>Erection of replacement two-storey 3-bedroom dwelling with associated boundary treatment.</t>
  </si>
  <si>
    <t>2018/6143</t>
  </si>
  <si>
    <t>Unit 3 Taylors Yard, 67 Alderbrook Road</t>
  </si>
  <si>
    <t>Determination as to whether prior approval is required for change of use from office (Class B1) to 1 x 1-bedroom self contained unit (Class C3).</t>
  </si>
  <si>
    <t>2022/3696</t>
  </si>
  <si>
    <t>Unit A, Molasses House, Clove Hitch Quay (Plantation Wharf)</t>
  </si>
  <si>
    <t>Determination as to whether prior approval is required for change of use of office at ground floor level from (Class E) to residential (Class C3) to provide 1 x 1-bedroom flat.</t>
  </si>
  <si>
    <t>2020/2247</t>
  </si>
  <si>
    <t>1 Duchess Court Live Work Unit, 2 Dinsmore Road</t>
  </si>
  <si>
    <t>Alterations including erection of first floor extension and creation of roof terrace with 1.8m screen surround and pitched roof section to front in association with the change of use from live-work unit (C3/B1) to solely residential (C3).</t>
  </si>
  <si>
    <t>2021/2155</t>
  </si>
  <si>
    <t>10 Granidson Road</t>
  </si>
  <si>
    <t>Demolition of existing dwellinghouse except for front facade and erection of three-storey (plus basement) dwellinghouse and replacement front wall and railings.</t>
  </si>
  <si>
    <t>2018/5025</t>
  </si>
  <si>
    <t>111 Elspeth Road</t>
  </si>
  <si>
    <t>Change of use from dwelling house (Class C3) to 10 person House in Multiple Occupation (Sui Generis).</t>
  </si>
  <si>
    <t>2018/5540</t>
  </si>
  <si>
    <t>Land adjacent, 101 Moring Road</t>
  </si>
  <si>
    <t>Erection of single storey (plus basement and lightwells) 1-bedroom house with associated refuse and cycle storage.</t>
  </si>
  <si>
    <t>2020/1910</t>
  </si>
  <si>
    <t>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t>
  </si>
  <si>
    <t>2019/1908</t>
  </si>
  <si>
    <t>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t>
  </si>
  <si>
    <t>2019/0922</t>
  </si>
  <si>
    <t>Land rear of, 26 Roehampton High Street</t>
  </si>
  <si>
    <t>Erection of part single/part two-storey 1-bedroom house with associated boundary treatment, cycle and refuse storage.</t>
  </si>
  <si>
    <t>2019/2196</t>
  </si>
  <si>
    <t>Land adj. 206, 206 Franciscan Road (204)</t>
  </si>
  <si>
    <t>Erection of two-storey dwellinghouse with roof level accommodation.</t>
  </si>
  <si>
    <t>2019/2929</t>
  </si>
  <si>
    <t>Land Adjacent, 33 Vandyke Close</t>
  </si>
  <si>
    <t>Erection of two storey 2-bedroom house with first floor level rear terrace, associated cycle and bin storage.</t>
  </si>
  <si>
    <t>2019/3077</t>
  </si>
  <si>
    <t>3 Roedean Crescent</t>
  </si>
  <si>
    <t>Demolition of existing property and erection of two storey (plus roof and basement) 7-bedroom house with associated parking and boundary treatment.</t>
  </si>
  <si>
    <t>2021/3214</t>
  </si>
  <si>
    <t>218 Tooting High Street</t>
  </si>
  <si>
    <t>Erection of two storey rear building with link to main front building and first floor terraces, provision of cycle and bin storage. Change of use of rear ground floor of front building from residential (C3) to commercial (A1) in connection with provision of 1 x 3 bedroom unit.</t>
  </si>
  <si>
    <t>2019/4559</t>
  </si>
  <si>
    <t>5 Queensmere Road</t>
  </si>
  <si>
    <t>Erection of 2-storey 5-bedroom detached house.</t>
  </si>
  <si>
    <t>2019/4916</t>
  </si>
  <si>
    <t>Land front of, 1-3 Candahar Road</t>
  </si>
  <si>
    <t>Erection of three-storey three bedroom house with associated bin and cycle storage.</t>
  </si>
  <si>
    <t>2019/5429</t>
  </si>
  <si>
    <t>Land adjoining 37, Gracedale Road</t>
  </si>
  <si>
    <t>Erection of a single-storey 2-bedroom dwelling house with basement.</t>
  </si>
  <si>
    <t>2023/0349</t>
  </si>
  <si>
    <t>32 Avarn Road</t>
  </si>
  <si>
    <t>Alterations including erection of mansard roof extension to main rear roof (with French doors and safety railings) and extension above part of two-storey back addition; Formation of roof terrace above two-storey back addition with 1.7m 
high screen surround in connection with the change of use from first floor flat (Class C3) into a four bedroom HMO (Class C4).</t>
  </si>
  <si>
    <t>2021/3391</t>
  </si>
  <si>
    <t>32 Gaskarth Road</t>
  </si>
  <si>
    <t>Use of the property as House of Multiple Occupation (HMO) for five people.</t>
  </si>
  <si>
    <t>2020/4264</t>
  </si>
  <si>
    <t>373 Upper Richmond Road</t>
  </si>
  <si>
    <t>Alterations including erection of dormer extension to main rear roof, Erection of single storey outbuilding for storage and office use. Relocation of external staircase.</t>
  </si>
  <si>
    <t>2022/1603</t>
  </si>
  <si>
    <t>39 Southolm Street</t>
  </si>
  <si>
    <t>Alterations including erection of a three-storey side/rear extension, roof terrace at third floor level and dormer extension to main rear roof in connection with the change of use from single dwellinghouse (Class C3) into a six bedroom HMO (Sui Generis).</t>
  </si>
  <si>
    <t>2019/5524</t>
  </si>
  <si>
    <t>20 Routh Road</t>
  </si>
  <si>
    <t>Demolition of existing property; erection of replacement two-storey house with accommodation at roof level.</t>
  </si>
  <si>
    <t>2020/1076</t>
  </si>
  <si>
    <t>Land rear of 240, 240 Battersea Bridge Road</t>
  </si>
  <si>
    <t>Demolition of single storey garage and erection of a two storey (with basement) 1 x 1 bed house. Re-consultation- updated drawings and reports received.</t>
  </si>
  <si>
    <t>2021/4253</t>
  </si>
  <si>
    <t>41 Felsham Road</t>
  </si>
  <si>
    <t>Alterations including erection of mansard roof extension to main rear roof (with French doors and safety railings); erection of a three storey (plus basement) rear extension and excavation to enlarge existing basement including formation of a rear lightwell with glazed surround; installation of replacement ground floor front elevation; installation of 2 x air source heat pumps and solar panels to rear roof; in connection with change of use to 1 x 6-bed dwellinghouse (Class C3)</t>
  </si>
  <si>
    <t>2021/2182</t>
  </si>
  <si>
    <t>493 Garratt Lane</t>
  </si>
  <si>
    <t>Alterations including change of use from residential (Class C3) to 4- bedroom HMO (Class C4)</t>
  </si>
  <si>
    <t>2020/1262</t>
  </si>
  <si>
    <t>Demolition of existing garage and erection of two-storey (plus basement) 1-bedroom dwellinghouse.</t>
  </si>
  <si>
    <t>2020/2002</t>
  </si>
  <si>
    <t>Land Adjacent, 77 Festing Road (Embankment - embankment Studios)</t>
  </si>
  <si>
    <t>Demolition of existing office building and erection of a 2/3-bedroom house (Class C3).</t>
  </si>
  <si>
    <t>2020/3111</t>
  </si>
  <si>
    <t>Garages at, 169-183 Elsenham Street</t>
  </si>
  <si>
    <t>Demolition of existing garages and erection of a two-storey (plus accommodation at roof level) 5-bedroom house.</t>
  </si>
  <si>
    <t>2022/3059</t>
  </si>
  <si>
    <t>Cemetery Lodge, 240 Lower Richmond Road</t>
  </si>
  <si>
    <t>Change of use of the ground floor from residential (Class C3) to cafe (Class E) with residential on first floor. Alterations to include the erection of a ground floor extension and removal of boundary walls.</t>
  </si>
  <si>
    <t>2018/5668</t>
  </si>
  <si>
    <t>Flat 7 Fountain House, 138 West Hill</t>
  </si>
  <si>
    <t>Alterations in connection with conversion of studio flat into 1-bedroom flat.</t>
  </si>
  <si>
    <t>2022/1440</t>
  </si>
  <si>
    <t>Post Office, 355 Upper Richmond Road</t>
  </si>
  <si>
    <t>Alterations including erection of rear dormer, single storey rear extensions and formation of rear first floor level roof terrace with screen surround in connection with use of rear ground floor and upper floors as 1 x 3-bedroom flat with rear access.</t>
  </si>
  <si>
    <t>2022/3891</t>
  </si>
  <si>
    <t>1 and 2 Malbrook Court, 9 Malbrook Road</t>
  </si>
  <si>
    <t>Alterations including erection of a dormer extension to main rear roof, erection of part single, part two-storey side/rear extension and excavation to enlarge basement in connection with the use of properties as a single family dwelling; alterations to front boundary including installation of gates and formation of hardstanding in front garden.</t>
  </si>
  <si>
    <t>2022/3125</t>
  </si>
  <si>
    <t>122 Dowdeswell Close</t>
  </si>
  <si>
    <t>Continue use as a single dwelling house.</t>
  </si>
  <si>
    <t>2022/2352</t>
  </si>
  <si>
    <t>13 Gwendolen Avenue</t>
  </si>
  <si>
    <t>Alterations including demolition and replacement of single and two-storey rear additions; excavation to enlarge basement and install front and rear lightwells and construction of a swimming pool;  erection of extension to main roof with rear and side dormers; erection of front boundary wall with railings and gates, external repairs and refurbishment works in connection with use as a single dwelling house.</t>
  </si>
  <si>
    <t>2022/1396</t>
  </si>
  <si>
    <t>14 Alternburg Gardens</t>
  </si>
  <si>
    <t>Alterations including erection of mansard roof extension (with French doors and safety railings); Erection of single-storey rear/side extension; Front side boundary fence; Excavation to create basment including formation of front and rear lightwells in connection with conversion of 2 flats into single dwelling house.</t>
  </si>
  <si>
    <t>2021/0951</t>
  </si>
  <si>
    <t>23 Elspeth Road</t>
  </si>
  <si>
    <t>Alterations including erection of single-storey rear/side extension and rear roof extension in connection with of change of use from 5-bedroom House of Multiple Occupation (Class C4) to 7-bedroom House of Multiple Occupation (Sui Generis).</t>
  </si>
  <si>
    <t>2020/3575</t>
  </si>
  <si>
    <t>Springfield, 332 Upper Richmond Road</t>
  </si>
  <si>
    <t>Erection of a single-storey (plus basement) 3-bedroom detached dwellinghouse on land to the side of the existing dwelling at 332 Upper Richmond Road.</t>
  </si>
  <si>
    <t>2021/5257</t>
  </si>
  <si>
    <t>Land to the rear of 43, Southfields Road</t>
  </si>
  <si>
    <t>Redevelopment including erection of a terrace of 5 x two-storey houses (4 x 3-bedroom and 1 x 2 bedroom) with 3 no. off-street parkingspaces, cycle and refuse storage.</t>
  </si>
  <si>
    <t>2020/5071</t>
  </si>
  <si>
    <t>The Studio, 81 Elmfield Road</t>
  </si>
  <si>
    <t>Demolition of existing single storey office building (Class E) and erection of two-storey (plus basement) 1-bedroom 1 x person house (Class C3).</t>
  </si>
  <si>
    <t>2021/0457</t>
  </si>
  <si>
    <t>Oyster Wharf Inlet, Oyster Wharf, 18 Lombard Road</t>
  </si>
  <si>
    <t>Construction of a floating residential vessel in the dock known as Oyster Wharf inlet.</t>
  </si>
  <si>
    <t>2021/0663</t>
  </si>
  <si>
    <t>16 Briar Walk</t>
  </si>
  <si>
    <t>Demolition of existing garage and erection of a 2-bedroom two-storey house with accommodation at basement level including off street parking, cycle and refuse storage.</t>
  </si>
  <si>
    <t>2020/3741</t>
  </si>
  <si>
    <t>253 Franciscan Road</t>
  </si>
  <si>
    <t>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t>
  </si>
  <si>
    <t>2022/3600</t>
  </si>
  <si>
    <t>30 Juer Street</t>
  </si>
  <si>
    <t>Alterations including installation of solar panels to flat roof of existing roof extension; Extension to roof of three-storey back addition with formation of a roof terrace with raised access stair enclosure and 1.7m high screen surround extending above main roof; Removal of first floor rear access door and stair and installation of replacement window; Erection of a single storey rear /side extension; Excavation to enlarge existing basement, including formation of front lightwell with grille over. Alterations and extensions in connection with conversion of two flats to a single dwellinghouse.</t>
  </si>
  <si>
    <t>2022/5011</t>
  </si>
  <si>
    <t>31 Rush Hill Road</t>
  </si>
  <si>
    <t>Alterations including erection of single-storey rear/side extension in connection with conversion of two flats back into single family dwelling house.</t>
  </si>
  <si>
    <t>2022/2643</t>
  </si>
  <si>
    <t>32 Glycena Road</t>
  </si>
  <si>
    <t>Alterations in connection with change of use from single family dwellinghouse to 7 person House of Multiple Occupation (Sui Generis).</t>
  </si>
  <si>
    <t>2021/2260</t>
  </si>
  <si>
    <t>Demolition of existing double garages and erection of a two storey plus basement two-bedroom dwelling house (Class C3).</t>
  </si>
  <si>
    <t>2021/3294</t>
  </si>
  <si>
    <t>34 Rogers Road</t>
  </si>
  <si>
    <t>Change of use from House of Multiple Occupation (Class C4) for up to 6 occupants to House of Multiple Occupation (Sui generis) for up to 10 occupants and provision of cycle and refuse storage within the front garden.</t>
  </si>
  <si>
    <t>2019/4906</t>
  </si>
  <si>
    <t>36 Graveney Road</t>
  </si>
  <si>
    <t>Alterations in connection with change of use from House in Multiple Occupation (Class C4) to a large House in Multiple Occupation (Sui Generis) for 7 persons.</t>
  </si>
  <si>
    <t>2022/5295</t>
  </si>
  <si>
    <t>39 Dornton Road</t>
  </si>
  <si>
    <t>Conversion of two flats into one single dwellinghouse, to include alterations to install new glazed door on ground floor and addition of five roof lights on the front and side roof slopes.</t>
  </si>
  <si>
    <t>2020/4390</t>
  </si>
  <si>
    <t>39 Selkirk Road</t>
  </si>
  <si>
    <t>Erection of single storey side/rear extension and installation of single front entrance door in connection with conversion of property from 2 x 2 bedroom flats to single dwelling.</t>
  </si>
  <si>
    <t>2022/3165</t>
  </si>
  <si>
    <t>43 Pulborough Road</t>
  </si>
  <si>
    <t>Alterations in connection with de-conversion of two flats into single dwelling house.</t>
  </si>
  <si>
    <t>2020/0258</t>
  </si>
  <si>
    <t>48 Disraeli Road</t>
  </si>
  <si>
    <t>Alterations including erection of a mansard roof extension above part of rear two-storey addition, single-storey rear extension and installation of front and rear rooflights to main roof; associated with the conversion to one dwelling from two flats.</t>
  </si>
  <si>
    <t>2021/0952</t>
  </si>
  <si>
    <t>56 Elspeth Road</t>
  </si>
  <si>
    <t>2019/0517</t>
  </si>
  <si>
    <t>57 Gilbey Road</t>
  </si>
  <si>
    <t>Alterations in connection with conversion of two flats into a single dwellinghouse.</t>
  </si>
  <si>
    <t>2022/2387</t>
  </si>
  <si>
    <t>7 Herndon Road</t>
  </si>
  <si>
    <t>Alterations including erection of mansard roof extension to main rear roof (with glazed door and safety railing) and single storey rear/side extension in connection with use as a single dwellinghouse.</t>
  </si>
  <si>
    <t>2021/1236</t>
  </si>
  <si>
    <t>Garages in, Heathwall Street</t>
  </si>
  <si>
    <t>Demolition of existing garages erection of one-storey (plus basement) 2-bedroom house</t>
  </si>
  <si>
    <t>2018/3147</t>
  </si>
  <si>
    <t>81a Albert Bridge Road</t>
  </si>
  <si>
    <t>Alterations including the erection of mansard roof extension to main rear roof (with french doors and safety railings); alterations to the second floor balcony to the front elevation. Amalgamation of first, second and third floor maisonettes into 1 x 3-bedroom maisonette.</t>
  </si>
  <si>
    <t>2021/5292</t>
  </si>
  <si>
    <t>The Lodge, 120 Bolingbroke Grove</t>
  </si>
  <si>
    <t>Demolition of existing dwellinghouse and erection of two storey (plus basement and roof level accommodation) 4-bedroom dwellinghouse.</t>
  </si>
  <si>
    <t>2021/2885</t>
  </si>
  <si>
    <t>Apartments 78 &amp; 79, 1 Riverlight Quay (Riverlight)</t>
  </si>
  <si>
    <t>The amalgamation of two adjacent two-bed units to create one four-bed unit and extension of the unit to incorporate 4 sqm of the communal hallway.</t>
  </si>
  <si>
    <t>2022/2673</t>
  </si>
  <si>
    <t>Flat B &amp; C, 39 Bolingbroke Grove</t>
  </si>
  <si>
    <t>Alterations to include the erection of part single/ part two storey rear extension and first floor rear extension in connection with conversion of Flats B and C into a 4-bedroom flat.</t>
  </si>
  <si>
    <t>2018/4850</t>
  </si>
  <si>
    <t>Flats 26 &amp; 27 Waterside Point, 2 Anhalt Road</t>
  </si>
  <si>
    <t>Conversion of existing 1 x 2 bed and 1 x 3 bed second floor self-contained flats into one x 6 bedroom second floor self-contained flat.</t>
  </si>
  <si>
    <t>2022/1132</t>
  </si>
  <si>
    <t>Formerly Flats A&amp;B, 131 St James Drive</t>
  </si>
  <si>
    <t>Conversion of property into single-family dwellinghouse and alterations including erection of mansard roof extension to provide an additional floor of accommodation; erection of three-storey rear extension; extension above back addition and frormation of roof terrace.</t>
  </si>
  <si>
    <t>2022/2521</t>
  </si>
  <si>
    <t>Ground and First Floor Flats, 56 Luttrell Avenue</t>
  </si>
  <si>
    <t>Erection of a replacement single-storey rear/side extension in connection with use of ground and first floor flats as a single dwelling.</t>
  </si>
  <si>
    <t>2021/2079</t>
  </si>
  <si>
    <t>St Augustine Vicarage, 99 Broadwater Road</t>
  </si>
  <si>
    <t>Alterations in connection with change of use from residential dwelling (Class C3) to house of multiple occupation (Sui Generis).</t>
  </si>
  <si>
    <t>2021/5787</t>
  </si>
  <si>
    <t>46 Roedean Crescent</t>
  </si>
  <si>
    <t>Demolition of existing house, erection of a two-storey (plus basement) 6-bedroom detached house with a car lift to the front driveway adjacent to the house.</t>
  </si>
  <si>
    <t>2022/3691</t>
  </si>
  <si>
    <t>2 Patten Road</t>
  </si>
  <si>
    <t>Alterations including erection of a dormer roof extension (with french doors and safety railing) to the main rear roof; Erection of a single storey rear extension; Excavation to enlarge existing basement, including formation of 2 front lightwells with grille over, and 1 rear lightwell with access stair to rear garden; Removal of existing timber fence and erection of a brick wall and metal railing with metal access gates to front boundary; Erection of cycle and refuse storage to front garden, in connection with conversion to a single dwellinghouse.</t>
  </si>
  <si>
    <t>2022/0777</t>
  </si>
  <si>
    <t>21 Chetwode Road</t>
  </si>
  <si>
    <t>Demolition of existing dwelling house and erection of replacement two storey (plus roof and basement) building to create 2 x 3-bedroom, 4 x 2-bedroom, 2 x 1-bedroom flats with associated cycle and refuse storage.</t>
  </si>
  <si>
    <t>2021/4211</t>
  </si>
  <si>
    <t>63 Roehampton Lane</t>
  </si>
  <si>
    <t>Demolition of existing dwelling and erection of a two-storey (plus accommodation at roof level) 5-bedroom house.</t>
  </si>
  <si>
    <t>2021/4728</t>
  </si>
  <si>
    <t>Garages rear of 144, West Hill (Garages west of 48 &amp; 50 Lytton Grove)</t>
  </si>
  <si>
    <t>Demolition of existing garages and erection of single-storey (plus basement and roof level accommodation) 3-bedroom house. (Amendments to planning permission dated 24/08/20 ref. 2020/1240 to include a basement with lightwell and additional bedroom).</t>
  </si>
  <si>
    <t>2019/5520</t>
  </si>
  <si>
    <t>64-64c Battersea Rise</t>
  </si>
  <si>
    <t>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t>
  </si>
  <si>
    <t>2022/3040</t>
  </si>
  <si>
    <t>70 Culverden Road</t>
  </si>
  <si>
    <t>Conversion of building from three flats to single dwellinghouse.</t>
  </si>
  <si>
    <t>2020/5019</t>
  </si>
  <si>
    <t>Mews House, 2A Chelverton Road</t>
  </si>
  <si>
    <t>Demolition of existing workshop and erection of a 3-bedroom single dwelling house.</t>
  </si>
  <si>
    <t>2021/5566</t>
  </si>
  <si>
    <t>Bristol Gardens, 4 Portsmouth Road</t>
  </si>
  <si>
    <t>Alterations including demolition of existing garage and erection of a single storey rear extension; various changes to the facades and fenestration; insertion of rooflights and erection of refuse store against eastern boundary, in connection with deconversion to use as a single dwelling.</t>
  </si>
  <si>
    <t>2021/5516</t>
  </si>
  <si>
    <t>Garages adjoining Salter House, Ullathorne Road</t>
  </si>
  <si>
    <t>Demolition of existing garages and erection of 4 x three storey houses.</t>
  </si>
  <si>
    <t>2022/3049</t>
  </si>
  <si>
    <t>76 Norroy Road</t>
  </si>
  <si>
    <t>Alterations including erection of single-storey rear/side extension and extension above two-storey back addition in connection with use as a single dwelling.</t>
  </si>
  <si>
    <t>2022/1177</t>
  </si>
  <si>
    <t>27 Wakehurst Road</t>
  </si>
  <si>
    <t>Part demolition of existing dwelling and erection of replacement two-storey (plus roof and basement) 4-bedroom dwelling house.</t>
  </si>
  <si>
    <t>2022/1330</t>
  </si>
  <si>
    <t>164 St Johns Hill</t>
  </si>
  <si>
    <t>Alterations including erection of a three storey side extension and excavation to create basement including formation of front and rear lightwells in connection with the change of use from office (Class E) to 3 x 2 bedroom and 5 x 1 bedroom flats.(Class C3) with associated refuse and cycle storage.
To form eight flats. Three duplex apartments (1x 2-bed and 2 x 1-bed) are accommodated within the ground floor and the extended basement. Two further flats are accommodated upon each of the first and second floors (2 x 2-bed and 2 x 1-bed), with a further flat (a 1-bed unit) on the top floor. The proposal includes a basement extension (with lightwells) and a two-storey side extension (replacing an existing external staircase). A number of windows are changed on the rear elevation, chimneys are removed from the roof and conservation roof lights are added to the rear and side roof slopes.</t>
  </si>
  <si>
    <t>2021/5404</t>
  </si>
  <si>
    <t>The Garden Cottage, Heath Rise</t>
  </si>
  <si>
    <t>Demolition of existing house and garages and erection of a two-storey 5-bedroom detached house.</t>
  </si>
  <si>
    <t>2021/4902</t>
  </si>
  <si>
    <t>Rear of 950-952, Garratt Lane</t>
  </si>
  <si>
    <t>Demolition of existing single storey garage and Erection of two-storey detached building (plus basement and roof levels) to provide 2 x 3 bedroom and 2 x 1 bed flats with first floor rear 'built in terraces' and secure bicycle and refuse storage at front.</t>
  </si>
  <si>
    <t>2020/0680</t>
  </si>
  <si>
    <t>Units 2-8 &amp; 11-14 Port House, Square Rigger Row (Plantation Wharf)</t>
  </si>
  <si>
    <t>Determination as to whether prior approval is required for change of use of office at ground to first floor from (Class B1) to residential (Class C3) to provide 7 x 1-bedroom flats and 4 x 2-bedroom flats.</t>
  </si>
  <si>
    <t>2022/2245</t>
  </si>
  <si>
    <t>60 Hazlewell Road</t>
  </si>
  <si>
    <t>Conversion from 5x1-bed flats to a single-dwelling house with reinstatement of front entrance door and fanlight.</t>
  </si>
  <si>
    <t>2022/5109</t>
  </si>
  <si>
    <t>First &amp; Second Floors, 33 Clarendon Drive</t>
  </si>
  <si>
    <t>Alterations including erection of dormer to front roofslope and single storey rear and side extension in connection with change of use from house of multiple occupation (Class C4) to dwellinghouse (Class C3).</t>
  </si>
  <si>
    <t>2021/5704</t>
  </si>
  <si>
    <t>34 Roehampton Gate</t>
  </si>
  <si>
    <t>Demolition of existing dwelling and erection of a two-storey house with additional accommodation within the roofspace and at basement level including front and rear lightwells.</t>
  </si>
  <si>
    <t>2022/4549</t>
  </si>
  <si>
    <t>31 Clarendon Drive</t>
  </si>
  <si>
    <t>Deconversion of seven bedsits into a single dwelling house.</t>
  </si>
  <si>
    <t>2018/4477</t>
  </si>
  <si>
    <t>1-3 Byrne Road</t>
  </si>
  <si>
    <t>1 Byrne Road</t>
  </si>
  <si>
    <t>Alterations including the erection of single-storey lower ground floor rear extension; and front and rear lightwells; and reconfiguration of front entrances; in connection with conversion of the lower ground floor into 2 x 2-bedroom flats.</t>
  </si>
  <si>
    <t>2019/2924</t>
  </si>
  <si>
    <t>193-197 Upper Tooting Road</t>
  </si>
  <si>
    <t>193</t>
  </si>
  <si>
    <t>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t>
  </si>
  <si>
    <t>195</t>
  </si>
  <si>
    <t>197</t>
  </si>
  <si>
    <t>2021/4549</t>
  </si>
  <si>
    <t>Atlantic House, 51-57 Upper Richmond Road</t>
  </si>
  <si>
    <t>2-storey 2-bed</t>
  </si>
  <si>
    <t>Demolition of existing two storey warehouse and erection of 1 x 3-bedroom two storey (plus basement), 3 x 4-bedroom three-storey (plus basement) and 2 x 2 bedroom two-storey (plus basement) houses.</t>
  </si>
  <si>
    <t>2-storey 3-bed</t>
  </si>
  <si>
    <t>3 Byrne Road</t>
  </si>
  <si>
    <t>3-storey 4-bed</t>
  </si>
  <si>
    <t>2022/3398</t>
  </si>
  <si>
    <t>6 Clarendon Drive</t>
  </si>
  <si>
    <t>7 x houses</t>
  </si>
  <si>
    <t>Redevelopment and erection of seven two-storey (plus basement and roof level) houses  (1 x 5-bed and 6 x4 bed) with associated landscaping including removal of two trees and proposed replacement trees;  two on-street parking spaces, on site cycle parking and refuse storage.</t>
  </si>
  <si>
    <t>2015/7662</t>
  </si>
  <si>
    <t>Unit 3 &amp; 20 Ransomes Dock Business Centre, 35-37 Parkgate Road (Ransomes Dock Business Centre)</t>
  </si>
  <si>
    <t>Apartment 3</t>
  </si>
  <si>
    <t>Determination as to whether prior approval is required for change of use from office (Class B1a) to two residential units (Class C3).</t>
  </si>
  <si>
    <t>Entrance Site - E6</t>
  </si>
  <si>
    <t>Entrance Site - E7</t>
  </si>
  <si>
    <t>Entrance Site - E8</t>
  </si>
  <si>
    <t>Entrance Site - Existing</t>
  </si>
  <si>
    <t>2019/2995</t>
  </si>
  <si>
    <t>N1</t>
  </si>
  <si>
    <t>Application for approval of reserved matters (Access, Layout, Appearance, Scale and Landscaping) for the 'Phase 2' of the Northern Site Development Zone pursuant to part outline and part detailed planning permission 2014/2810, dated 11/02/15 for: "(a)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</si>
  <si>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2019/4187</t>
  </si>
  <si>
    <t>N10</t>
  </si>
  <si>
    <t>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</si>
  <si>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2019/0024</t>
  </si>
  <si>
    <t>Block 1A</t>
  </si>
  <si>
    <t>The application is for 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t>
  </si>
  <si>
    <t>Block 1C</t>
  </si>
  <si>
    <t>Block 6</t>
  </si>
  <si>
    <t>2015/6813</t>
  </si>
  <si>
    <t>41-59 Battersea Park Road (Booker and BMW Sites)</t>
  </si>
  <si>
    <t>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t>
  </si>
  <si>
    <t>2.1.13</t>
  </si>
  <si>
    <t>2020/0877</t>
  </si>
  <si>
    <t>6-10 Mitcham Road</t>
  </si>
  <si>
    <t>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t>
  </si>
  <si>
    <t>2019/2516</t>
  </si>
  <si>
    <t>Development Site of Alton Estate, Danebury Avenue (Alton Estate)</t>
  </si>
  <si>
    <t>Block K</t>
  </si>
  <si>
    <t>The application is for a part outline and a part detailed planning permission for the following proposed development.
(a) Phased demolition of existing buildings and structures (except Alton Activity Centre community building);
(b)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
An Environmental Statement has been submitted with the application under the Town and Country Planning (Environmental Impact Assessment) Regulations 2017.</t>
  </si>
  <si>
    <t>8.1.1</t>
  </si>
  <si>
    <t>Block M</t>
  </si>
  <si>
    <t>Block N</t>
  </si>
  <si>
    <t>Block O</t>
  </si>
  <si>
    <t>Block Q</t>
  </si>
  <si>
    <t>Blocks 2-4 and 7-14</t>
  </si>
  <si>
    <t>Blocks A and Q</t>
  </si>
  <si>
    <t>Blocks A-S</t>
  </si>
  <si>
    <t>Blocks D-J</t>
  </si>
  <si>
    <t>2012/5286</t>
  </si>
  <si>
    <t>Ram Brewery, Capital Studios &amp; Duvall Works, Ram Street/Armoury Way/Wandsworth High Street (The Ram Quarter)</t>
  </si>
  <si>
    <t>Building 04D</t>
  </si>
  <si>
    <t>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t>
  </si>
  <si>
    <t>3.1.2</t>
  </si>
  <si>
    <t>Building 04E</t>
  </si>
  <si>
    <t>Building 04F</t>
  </si>
  <si>
    <t>Building 05</t>
  </si>
  <si>
    <t>Building 06</t>
  </si>
  <si>
    <t>2016/6029</t>
  </si>
  <si>
    <t>Building 09</t>
  </si>
  <si>
    <t>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
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t>
  </si>
  <si>
    <t>2022/0249</t>
  </si>
  <si>
    <t>Former Prices Candles Factory, 110 York Road</t>
  </si>
  <si>
    <t>building 4 - affordable</t>
  </si>
  <si>
    <t>Variation to Conditions 2 (Approved drawings), Condition 3 (Land use restriction), Condition 5 (Opening hours), Condition 6 (Amplified speech/sound), Condition 10 (Flood Risk Assessment), Condition 23 (BREEAM Assessment), Condition 28 (Number of residential units), Condition 29 (Land Uses), Condition 30 (Car and cycle parking), Condition 31 (Phasing Plans) pursuant to planning permission dated 05/12/2019 ref 2017/0745 as amended [Erection of a 25 storey building comprising residential accommodation (with balconies) and ground floor commercial floorspace. Demolition of car showroom on Bridges Court and erection of a five storey building to provide ground floor commercial and office floorspace on first to fourth floors. Excavation to create basements comprising car and cycle parking spaces, plant, refuse/recycling stores and other ancillary spaces serving the development. Alterations and erection of two additional storeys (and 2nd/3rd floor links) and roof terrace to retained York Road buildings with commercial and office use. Provision of a terrace of six single storey flexible commercial/service/Drinking establishment units. Provision of amenity space, public realm, landscaping, play space, car parking, and paving to Bridges Court] to allow: Changes to internal residential unit mix to allow for an increase from 136 units up to 177 units, alterations to the layout of the top three floors to increase roof terrace size, reduction in size of the approved basement, reduction in approved number of car parking spaces, increase in the number of cycle parking spaces, alterations to commercial offering and the inclusion of Air Source Heat Pumps system.</t>
  </si>
  <si>
    <t>10.2</t>
  </si>
  <si>
    <t>building 4 - market</t>
  </si>
  <si>
    <t>2020/3019</t>
  </si>
  <si>
    <t>and 88E Eardley Road, 113 Blegborough Road</t>
  </si>
  <si>
    <t>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t>
  </si>
  <si>
    <t>2018/3525</t>
  </si>
  <si>
    <t>216-218 Upper Tooting Road</t>
  </si>
  <si>
    <t>Extensions and re-modelling of building adding two storeys to main building and 3/4 storeys at rear to form a 5 storey building consisting of seven flats (five additional flats) with formation of a roof terrace on top (5th) floor.</t>
  </si>
  <si>
    <t>2018/1377</t>
  </si>
  <si>
    <t>Alterations including erection of part single/part two storey rear/side extension,  in connection with use of front part of ground floor as a shop and the remainder as, 1 x 2-bedroom and 2 x 1-bedroom flats with rear first floor terrace.</t>
  </si>
  <si>
    <t>2018/2123</t>
  </si>
  <si>
    <t>28 Totterdown Street</t>
  </si>
  <si>
    <t>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t>
  </si>
  <si>
    <t>2019/1697</t>
  </si>
  <si>
    <t>57-63 Tooting High Street</t>
  </si>
  <si>
    <t>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t>
  </si>
  <si>
    <t>2019/1556</t>
  </si>
  <si>
    <t>824 Garratt Lane</t>
  </si>
  <si>
    <t>Conversion</t>
  </si>
  <si>
    <t>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t>
  </si>
  <si>
    <t>2018/3776</t>
  </si>
  <si>
    <t>York Road Business Centre, 55-59 Lombard Road</t>
  </si>
  <si>
    <t>Core 1</t>
  </si>
  <si>
    <t>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t>
  </si>
  <si>
    <t>10.9</t>
  </si>
  <si>
    <t>Core 2</t>
  </si>
  <si>
    <t>Core 3</t>
  </si>
  <si>
    <t>2022/2881</t>
  </si>
  <si>
    <t>66 Alton Road</t>
  </si>
  <si>
    <t>Cottages (New Build)</t>
  </si>
  <si>
    <t>Refurbishment and reconfiguration of existing building with extensions to the sides and rear (with associated lightwells) to provide 6 no. flats (2 x 1 bed, 1 x 2 bed, 3 x 3 bed) and the provision of a 2 no. two-storey cottages (2 x 2 bed) to the rear of the site with associated landscaping</t>
  </si>
  <si>
    <t>2020/1555</t>
  </si>
  <si>
    <t>CoU</t>
  </si>
  <si>
    <t>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t>
  </si>
  <si>
    <t>2019/4849</t>
  </si>
  <si>
    <t>890 Garratt Lane</t>
  </si>
  <si>
    <t>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t>
  </si>
  <si>
    <t>CoU from SG</t>
  </si>
  <si>
    <t>2018/2166</t>
  </si>
  <si>
    <t>1a Merivale Road</t>
  </si>
  <si>
    <t>Cou/extn</t>
  </si>
  <si>
    <t>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t>
  </si>
  <si>
    <t>CoU+</t>
  </si>
  <si>
    <t>2021/3601</t>
  </si>
  <si>
    <t>Riverside Business Centre and Former Bingo Hall, Bendon Valley</t>
  </si>
  <si>
    <t>Courtyard Building B</t>
  </si>
  <si>
    <t>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t>
  </si>
  <si>
    <t>Courtyard Building C</t>
  </si>
  <si>
    <t>Courtyard Building D</t>
  </si>
  <si>
    <t>Courtyard Building E</t>
  </si>
  <si>
    <t>Courtyard Building F</t>
  </si>
  <si>
    <t>2019/5337</t>
  </si>
  <si>
    <t>Electricity substation, Tilford Gardens</t>
  </si>
  <si>
    <t>Dwelling 1 (2-storey)</t>
  </si>
  <si>
    <t>Alterations including relocation of electricity substation in connection with erection of 1 x two storey 3-bedroom and 1 x three-storey 3-bedroom houses with first floor level terrace, associated parking and refuse/cycle storage.</t>
  </si>
  <si>
    <t>Dwelling 2 (3-storey)</t>
  </si>
  <si>
    <t>2018/5698</t>
  </si>
  <si>
    <t>N12</t>
  </si>
  <si>
    <t>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
Marketand ancillary buildings and structures, and residential building on Nine Elms Lane (apart from the existing multi storey car park); (b) Construction
ofmixed-use redevelopment comprising: a new Fruit and Vegetable Market and Flower Market and ancillary uses, including temporary and
permanentfaçade;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</si>
  <si>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N2a</t>
  </si>
  <si>
    <t>N2b</t>
  </si>
  <si>
    <t>N3</t>
  </si>
  <si>
    <t>N4</t>
  </si>
  <si>
    <t>N5</t>
  </si>
  <si>
    <t>2021/0660</t>
  </si>
  <si>
    <t>N6</t>
  </si>
  <si>
    <t>Non-Material Amendment (S96A) to amend the details of Reserved Matters approval (ref. 2019/2995 - dated 22 November 2019) for Phase 2 and amended under ref. 2020/1541 (approved 27 May 2020) for Application for approval of reserved matters (Access, Layout, Appearance, Scale and Landscaping) for the 'Phase 2' of the Northern Site Development Zone pursuant to part outline and part detailed planning permission 2014/2810, dated 11/02/15 for: "(a)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</si>
  <si>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2021/5316</t>
  </si>
  <si>
    <t>N8</t>
  </si>
  <si>
    <t>Non Material Amendment under Section 96A of the TCPA in respect of Building N8 pursuant to planning permission 2014/2810 (as amended by planning permission 2019/4186), dated 11th February 2015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was submitted with the application under The Town and Country Planning (Environmental Impact Assessment) Regulations 2011)." Summary of Amendments: Reconfiguration of retail units; Improved access arrangement; minor changes to elevations to reflect amended internal layouts;  changing the top floor quadplex into two duplex units, as follows: One duplex unit at Levels 49 and 50 an one duplex unit at Levels 51 and 52</t>
  </si>
  <si>
    <t>2020/0530</t>
  </si>
  <si>
    <t>Coleman Court, Kimber Road</t>
  </si>
  <si>
    <t>Extension</t>
  </si>
  <si>
    <t>Erection of a fourth floor level  roof extension to provide 20 x 1-bedroomed flats; demolition of an existing single-storey courtyard dwelling and the erection of a replacement 3-storey block of 3 x 2 bedroomed flats.  Provision of associated bicycle and bin stores.</t>
  </si>
  <si>
    <t>extension</t>
  </si>
  <si>
    <t>2018/5245</t>
  </si>
  <si>
    <t>Flats 7-10 and land rear of, 126 Bedford Hill (Elmfield Road)</t>
  </si>
  <si>
    <t>extension to ex</t>
  </si>
  <si>
    <t>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t>
  </si>
  <si>
    <t>extension to existing</t>
  </si>
  <si>
    <t>2018/0131</t>
  </si>
  <si>
    <t>30 Oakhill Road</t>
  </si>
  <si>
    <t>Enlargement of existing rear lightwell in connection with conversion of basement into1 x 2-bedroom flat</t>
  </si>
  <si>
    <t>2022/2668</t>
  </si>
  <si>
    <t>25 Coverton Road</t>
  </si>
  <si>
    <t>Extn/Conv</t>
  </si>
  <si>
    <t>Alterations including erection of mansard roof extension to the main rear roof (with French doors and safety railings) including raising ridge by 300mm and erection of roof extension above two storey back addition, erection of single-story rear/side extension, lowering of front first floor windows and replacement to front, rear and side windows, formation of rear roof terrace with 1.7m glazed screen surround over two storey back addition in connection with conversion of two flats to four flats; 1 x 3-bedroom, 1 x 2-bedroom, 1 x 1-bedroom and 1 x 1 bedroom/studio. Provision of refuse and cycle storage.</t>
  </si>
  <si>
    <t>2014/3470</t>
  </si>
  <si>
    <t>Unit 25-28 Ransomes Dock, 35-37 Parkgate Road (Ransomes Dock Business Centre)</t>
  </si>
  <si>
    <t>Flat 12</t>
  </si>
  <si>
    <t>Change of use of 232 sqm of floorspace at third floor level from Office (Class B1a) to Residential use (Class C3) to provide two flats.</t>
  </si>
  <si>
    <t>Flats (Conversion/Extention)</t>
  </si>
  <si>
    <t>2019/4666</t>
  </si>
  <si>
    <t>206 Mitcham Road</t>
  </si>
  <si>
    <t>Flats x 8</t>
  </si>
  <si>
    <t>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t>
  </si>
  <si>
    <t>2020/5015</t>
  </si>
  <si>
    <t>7a Putney Bridge Road</t>
  </si>
  <si>
    <t>Front Building</t>
  </si>
  <si>
    <t>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t>
  </si>
  <si>
    <t>House</t>
  </si>
  <si>
    <t>2021/5328</t>
  </si>
  <si>
    <t>Garages at, 143 Byrne Road</t>
  </si>
  <si>
    <t>House 1</t>
  </si>
  <si>
    <t>[REVISED] Demolition of existing single-storey garage and the erection of a 1 x 3-bedroom two-storey house and 2 x 2-bedroom single-storey properties to rear.</t>
  </si>
  <si>
    <t>2022/1764</t>
  </si>
  <si>
    <t>Land adjacent to, 28 Kingsclere Close</t>
  </si>
  <si>
    <t>House 1, 3-storey</t>
  </si>
  <si>
    <t>Erection of 3 x houses.</t>
  </si>
  <si>
    <t>PIPD</t>
  </si>
  <si>
    <t>House 2</t>
  </si>
  <si>
    <t>House 2, 2-storey</t>
  </si>
  <si>
    <t>House 3</t>
  </si>
  <si>
    <t>House 3, 2-storey</t>
  </si>
  <si>
    <t>2017/0535</t>
  </si>
  <si>
    <t>Land west of 86-96, Garratt Lane</t>
  </si>
  <si>
    <t>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t>
  </si>
  <si>
    <t>ISD</t>
  </si>
  <si>
    <t>2022/1694</t>
  </si>
  <si>
    <t>223 Balham High Road</t>
  </si>
  <si>
    <t>LDN Affordable Rent</t>
  </si>
  <si>
    <t>Demolition of existing ground floor commercial unit and erection of a part 3/4/5 storey building with basement to provide commercial (Class E) on the basement and front ground floor and 42 residential units (Class C3) to the rear ground floor and above with private and communal amenity spaces. Provision of cycle storage, refuse storage and landscaping.</t>
  </si>
  <si>
    <t>2020/1615</t>
  </si>
  <si>
    <t>329-339 &amp; 45-53 Putney Bridge Road &amp; Putney High Street, Putney Bridge Road (The Blades)</t>
  </si>
  <si>
    <t>Levellers Court (ISO)</t>
  </si>
  <si>
    <t>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t>
  </si>
  <si>
    <t>6.1.3</t>
  </si>
  <si>
    <t>Levellers Court (private)</t>
  </si>
  <si>
    <t>Levellers Mews</t>
  </si>
  <si>
    <t>Mews House</t>
  </si>
  <si>
    <t>2021/4010</t>
  </si>
  <si>
    <t>N9</t>
  </si>
  <si>
    <t>Non-material amendment to planning permission dated 22/03/2019 ref 2018/5698 (Application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 to allow amendment to the retail's units; minor amendments to internal amenities; removal of gym from podium level; podium roof landscaping; addition of retail unit fronting Parry Street and minor updates to the podium elevations and amend a quadplex into two duplex units' at N9.</t>
  </si>
  <si>
    <t>New build</t>
  </si>
  <si>
    <t>Northcote Library Site</t>
  </si>
  <si>
    <t>Northern Site - N7</t>
  </si>
  <si>
    <t>Outline Affordable Housing Units (65 Units)</t>
  </si>
  <si>
    <t>Phase 1 (Block D)</t>
  </si>
  <si>
    <t>Phase 2 (Block A)</t>
  </si>
  <si>
    <t>Phase 2 (Block B)</t>
  </si>
  <si>
    <t>Phase 2 (Block C)</t>
  </si>
  <si>
    <t>Phase 2 (Block D)</t>
  </si>
  <si>
    <t>Phase 2 (Block E)</t>
  </si>
  <si>
    <t>Phase 3</t>
  </si>
  <si>
    <t>Phase 3 IR</t>
  </si>
  <si>
    <t>Phase 3 M</t>
  </si>
  <si>
    <t>Phase 6 (RS-2)</t>
  </si>
  <si>
    <t>2016/1119</t>
  </si>
  <si>
    <t>Phase 7 (RS-WF)</t>
  </si>
  <si>
    <t>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t>
  </si>
  <si>
    <t>2021/3086</t>
  </si>
  <si>
    <t>Sleaford Street Industrial Estate &amp; Dairy Crest Distribution Depot, Sleaford Street (Battersea Power Station Phase 4A)</t>
  </si>
  <si>
    <t>Phase 4A (A1.4 and A1.5)</t>
  </si>
  <si>
    <t>Application under Section 96a of the Town and Country Planning Act 1990 for non-material amendments (variation to Condition 11 (approved drawings) to vary the mix of housing types to provide 10% M4(3) wheelchair user dwellings) to planning permission 2016/3778, dated 21/11/2016 for "Application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t>
  </si>
  <si>
    <t>2.1.14</t>
  </si>
  <si>
    <t>Phase 4A (A1.1, A1.2 and A1.3)</t>
  </si>
  <si>
    <t>2021/4678</t>
  </si>
  <si>
    <t>Phase 6C</t>
  </si>
  <si>
    <t>Reserved matters relating to landscaping, scale and appearance in respect of the part demolition, conversion, restoration and repair of part of the Main Building (Grade II listed) to provide 80 residential units with landscaping and associated works (forming part of Phase 6C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details and surface and foul water drainage pursuant to conditions 7, 10 and 30.</t>
  </si>
  <si>
    <t>Phase 4A (A2 and A3)</t>
  </si>
  <si>
    <t>2016/5644</t>
  </si>
  <si>
    <t>Part of Plantation Wharf, York Place, Gartons Way (Plantation Wharf)</t>
  </si>
  <si>
    <t>Port House</t>
  </si>
  <si>
    <t>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t>
  </si>
  <si>
    <t>Rear Building</t>
  </si>
  <si>
    <t>Riverside Building G</t>
  </si>
  <si>
    <t>Riverside Building H</t>
  </si>
  <si>
    <t>Riverside Building I</t>
  </si>
  <si>
    <t>Spice Court</t>
  </si>
  <si>
    <t>2021/0988</t>
  </si>
  <si>
    <t>Land rear of, 76-77 Stanley Grove (Land adjacent to 76a Stanley Grove)</t>
  </si>
  <si>
    <t>The Orpheus House</t>
  </si>
  <si>
    <t>Erection of two-storey plus roof and basement three bedroom house adjoining no. 76 Stanley Grove and erection of two-storey four bedroom house to the rear of the terrace and associated cycle and refuse storage.</t>
  </si>
  <si>
    <t>The Terraced House</t>
  </si>
  <si>
    <t>Thessaly Road Site - T2</t>
  </si>
  <si>
    <t>Thessaly Road Site - T3A</t>
  </si>
  <si>
    <t>Thessaly Road Site - T3B</t>
  </si>
  <si>
    <t>Thessaly Road Site - T4</t>
  </si>
  <si>
    <t>Trade Tower</t>
  </si>
  <si>
    <t>04 Subject to Legal Agreement</t>
  </si>
  <si>
    <t>2020/4512</t>
  </si>
  <si>
    <t>Demolition of existing buildings and erection of a part-1, part-3, part-4 storey building to accommodate 17 residential units (3x 1-bedroom, 13x 2-bedroom and 1x 3-bedroom units); together with a flood water attenuation tank at basement level, landscaping, bicycle and refuse storage, and works to the river wall</t>
  </si>
  <si>
    <t>SLA</t>
  </si>
  <si>
    <t>2022/4356</t>
  </si>
  <si>
    <t>The Kalos Centre, 48 Endlesham Road</t>
  </si>
  <si>
    <t>Demolition of the existing building and erection of a part-single, part-three storey building to provide a community centre at ground floor level (Class F), and 8 x studio and 1 x 1-bed flats above (Class C3), with associated landscaping, refuse and cycle storage.</t>
  </si>
  <si>
    <t>2021/3145</t>
  </si>
  <si>
    <t>15a Selkirk Road</t>
  </si>
  <si>
    <t>BLOCK 1 (two storeys)</t>
  </si>
  <si>
    <t>Demolition of existing buildings in association with an MOT garage. Erection of two-storey and four-storey buildings to create 16 flats with associated landscaping, refuse and cycle storage.</t>
  </si>
  <si>
    <t>BLOCK 2 (four storeys)</t>
  </si>
  <si>
    <t>2021/5839</t>
  </si>
  <si>
    <t>103-111 Mitcham Road</t>
  </si>
  <si>
    <t>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t>
  </si>
  <si>
    <t>06 Identified Site</t>
  </si>
  <si>
    <t>36-46 St John's Road and 17 Severus Road</t>
  </si>
  <si>
    <t>Redevelopment</t>
  </si>
  <si>
    <t>NONE</t>
  </si>
  <si>
    <t>CJ7</t>
  </si>
  <si>
    <t>55-61 Putney High Road (Former M&amp;S site), SW15 1SP</t>
  </si>
  <si>
    <t>PUT6</t>
  </si>
  <si>
    <t>Crewkerne Court Garages, Battersea Church Road (Somerset Estate)</t>
  </si>
  <si>
    <t>RIV11</t>
  </si>
  <si>
    <t>Land on the corner of Grant Road and, Falcon Road</t>
  </si>
  <si>
    <t>CJ3</t>
  </si>
  <si>
    <t>104 Friars Avenue, Roehampton Vale Campus Kingston University, SW15 3DW</t>
  </si>
  <si>
    <t>259-311 Battersea Park Road, SW 11 (Doddington Estate part)</t>
  </si>
  <si>
    <t>OUT2</t>
  </si>
  <si>
    <t>282 Mitcham Lane, SW16</t>
  </si>
  <si>
    <t>36 Lombard Road</t>
  </si>
  <si>
    <t>RIV6</t>
  </si>
  <si>
    <t>50  56 Tooting High Street, Tooting, SW17</t>
  </si>
  <si>
    <t>TO3</t>
  </si>
  <si>
    <t>56-70, 56-66 Putney High Street (Wereldhave Site)</t>
  </si>
  <si>
    <t>PUT1</t>
  </si>
  <si>
    <t>65-71 Wandsworth High Street incl. Spread Eagle Public House; Wandsworth High Street and 5 Garratt Lane, SW18</t>
  </si>
  <si>
    <t>WT18</t>
  </si>
  <si>
    <t>70 - 90 Putney Bridge Road and 1-2 Adelaide Road, SW18</t>
  </si>
  <si>
    <t>WT21</t>
  </si>
  <si>
    <t>80 Gwynne Road, 19 Lombard Road</t>
  </si>
  <si>
    <t>RIV8</t>
  </si>
  <si>
    <t>8-10 Chelverton Road, Putney Bus Garage, SW15 1RH</t>
  </si>
  <si>
    <t>Asda, Lidl and Boots Sites, Falcon Lane</t>
  </si>
  <si>
    <t>CJ1</t>
  </si>
  <si>
    <t>Ashburton Community Centre, Westleigh Avenue (Ashburton South Estate)</t>
  </si>
  <si>
    <t>Balham Health Centre, 120 Bedford Hill</t>
  </si>
  <si>
    <t>OUT1</t>
  </si>
  <si>
    <t>Battersea Park Road (between Stewarts Road and Thessally road)</t>
  </si>
  <si>
    <t>NE13</t>
  </si>
  <si>
    <t>Bridgelane Medical Group Practice, 20 Bridge Ln, Battersea, London SW11 3AD</t>
  </si>
  <si>
    <t>OUT5</t>
  </si>
  <si>
    <t>Brooks Court, 1-10 Cringle Street</t>
  </si>
  <si>
    <t>NE5</t>
  </si>
  <si>
    <t>Cable and Wireless Ballymore Site 6, 2a Battersea Park Road</t>
  </si>
  <si>
    <t>NE1</t>
  </si>
  <si>
    <t>Cemex Battersea Plant, Cringle Street (Kirtling Wharf)</t>
  </si>
  <si>
    <t>NE9</t>
  </si>
  <si>
    <t>Chelsea Cars and KwikFit, Armoury Way</t>
  </si>
  <si>
    <t>WT1</t>
  </si>
  <si>
    <t>Clapham Junction Station Approach, SW12</t>
  </si>
  <si>
    <t>CJ2</t>
  </si>
  <si>
    <t>Cloisters Business Centre, Battersea Park Road</t>
  </si>
  <si>
    <t>Battersea Ring Main</t>
  </si>
  <si>
    <t>NE14</t>
  </si>
  <si>
    <t>Cringle Dock, Nine Elms, SW8</t>
  </si>
  <si>
    <t>NE11</t>
  </si>
  <si>
    <t>Dovercourt site, York Road, SW11</t>
  </si>
  <si>
    <t>RIV2</t>
  </si>
  <si>
    <t>Feathers Wharf, The Causeway</t>
  </si>
  <si>
    <t>WT9</t>
  </si>
  <si>
    <t>Frogmore Depot, Dormay Street</t>
  </si>
  <si>
    <t>WT6</t>
  </si>
  <si>
    <t>Gartons Industrial Estate, Gartons Way</t>
  </si>
  <si>
    <t>RIV4</t>
  </si>
  <si>
    <t>Hunts Trucks and adjoining gasholder, Armoury Way</t>
  </si>
  <si>
    <t>WT4</t>
  </si>
  <si>
    <t>Jubilee House and cinema, 230-232 Putney Bridge Road</t>
  </si>
  <si>
    <t>PUT2</t>
  </si>
  <si>
    <t>Keltbray Site Wentworth House and adjacent land at, Dormay Street</t>
  </si>
  <si>
    <t>WT5</t>
  </si>
  <si>
    <t>Land adjacent to 102 Roehampton Vale, SW15 3RX</t>
  </si>
  <si>
    <t>Land at Clapham Junction station, SW11</t>
  </si>
  <si>
    <t>CJ4</t>
  </si>
  <si>
    <t>Land at the Causeway, The Causeway</t>
  </si>
  <si>
    <t>WT10</t>
  </si>
  <si>
    <t>Land South of Fawe Park Road, London, SW15 2EG</t>
  </si>
  <si>
    <t>Market Area, Tooting High Street</t>
  </si>
  <si>
    <t>TO1</t>
  </si>
  <si>
    <t>McDonald's, Swandon Way (1 Marl Road)</t>
  </si>
  <si>
    <t>WT14</t>
  </si>
  <si>
    <t>Mercedes Benz and Bemco, Bridgend Road</t>
  </si>
  <si>
    <t>WT15</t>
  </si>
  <si>
    <t>Metropolitan Police Warehouse Garage, Ponton Road</t>
  </si>
  <si>
    <t>NE4</t>
  </si>
  <si>
    <t>Middle Wharf, Nine Elms, SW8</t>
  </si>
  <si>
    <t>NE10</t>
  </si>
  <si>
    <t>Mount Clare, Minstead Gardens, Roehampton, SW15</t>
  </si>
  <si>
    <t>RO2</t>
  </si>
  <si>
    <t>Panorama Antennas, Dormay Street</t>
  </si>
  <si>
    <t>WT7</t>
  </si>
  <si>
    <t>Patmore Estate, Stewart's Road, Thessaly Road, SW8 4LB</t>
  </si>
  <si>
    <t>Pier Wharf, SW18</t>
  </si>
  <si>
    <t>WT22</t>
  </si>
  <si>
    <t>Putney Telephone Exchange, Montserrat Road</t>
  </si>
  <si>
    <t>PUT4</t>
  </si>
  <si>
    <t>Queen Mary's Hospital car park, SW15</t>
  </si>
  <si>
    <t>RO3</t>
  </si>
  <si>
    <t>Railway arches , Grant Road, SW11 2NU</t>
  </si>
  <si>
    <t>Railway arches adjacent to Battersea Dogs and Cats Home, 6 Battersea Park Road, SW8 4AA</t>
  </si>
  <si>
    <t>Railway arches, 14 Winthorpe Road, SW15 2LW</t>
  </si>
  <si>
    <t>Railway land, Falcon Lane, SW11 2LG</t>
  </si>
  <si>
    <t>Sainsbury's Car Park, Bedford Hill</t>
  </si>
  <si>
    <t>BA1</t>
  </si>
  <si>
    <t>Sainsbury's, 2-6 Werter Road</t>
  </si>
  <si>
    <t>PUT5</t>
  </si>
  <si>
    <t>Securicor Site, 80 Kirtling Street</t>
  </si>
  <si>
    <t>NE3</t>
  </si>
  <si>
    <t>Southfields Library  and adjoining carpark to the west, 300 Wimbledon Park Road, SW19 6NL</t>
  </si>
  <si>
    <t>Southside Shopping Centre, Wandsworth High Street, SW18</t>
  </si>
  <si>
    <t>WT20</t>
  </si>
  <si>
    <t>St George's Hospital, Blackshaw SW17</t>
  </si>
  <si>
    <t>TO2</t>
  </si>
  <si>
    <t>Travelodge Hotel, 200 York Road</t>
  </si>
  <si>
    <t>RIV10</t>
  </si>
  <si>
    <t>Travis Perkins, 37 Lombard Road</t>
  </si>
  <si>
    <t>RIV7</t>
  </si>
  <si>
    <t>Wandsworth Bridge Roundabout</t>
  </si>
  <si>
    <t>WT16</t>
  </si>
  <si>
    <t>Wandsworth Bus Garage, Jews Row</t>
  </si>
  <si>
    <t>WT17</t>
  </si>
  <si>
    <t>Wandsworth Town Hall, Wandsworth High Street, SW18</t>
  </si>
  <si>
    <t>WT19</t>
  </si>
  <si>
    <t>Wimbledon Park Estate, Wimbledon Park Road, SW19 6PF</t>
  </si>
  <si>
    <t>07 SHLAA Potential Site</t>
  </si>
  <si>
    <t>Borough-wide</t>
  </si>
  <si>
    <t>08 SHLAA Small Sites</t>
  </si>
  <si>
    <t>UK</t>
  </si>
  <si>
    <t>Existing Hostel Rooms</t>
  </si>
  <si>
    <t>Proposed Hostel Rooms</t>
  </si>
  <si>
    <t>Net Hostel Rooms</t>
  </si>
  <si>
    <t>Net Hostel Rooms ratio applied</t>
  </si>
  <si>
    <t>Existing Home Rooms</t>
  </si>
  <si>
    <t>Proposed Home Rooms</t>
  </si>
  <si>
    <t>Net Home Rooms</t>
  </si>
  <si>
    <t>Net Home Rooms ratio applied</t>
  </si>
  <si>
    <t>Existing Staff Rooms</t>
  </si>
  <si>
    <t>Proposed Staff Rooms</t>
  </si>
  <si>
    <t>Net Staff Rooms</t>
  </si>
  <si>
    <t>Net Staff Rooms ratio applied</t>
  </si>
  <si>
    <t>Existing Student Rooms</t>
  </si>
  <si>
    <t>Proposed Student Rooms</t>
  </si>
  <si>
    <t>Net Student Rooms</t>
  </si>
  <si>
    <t>Net Student Rooms ratio applied</t>
  </si>
  <si>
    <t>Existing House in Multiple Occupation Rooms</t>
  </si>
  <si>
    <t>Proposed House in Multiple Occupation Rooms</t>
  </si>
  <si>
    <t>Net House in Multiple Occupation Rooms</t>
  </si>
  <si>
    <t>Net House in Multiple Occupation Rooms ratio applied</t>
  </si>
  <si>
    <t>Net Non-Self-Contained Rooms ratio applied</t>
  </si>
  <si>
    <t>Non-Self-Contained Rooms Construction Date</t>
  </si>
  <si>
    <t>Non-Self-Contained Rooms Completion Date</t>
  </si>
  <si>
    <t>Special Needs</t>
  </si>
  <si>
    <t>Special Needs Type</t>
  </si>
  <si>
    <t>2020/2460</t>
  </si>
  <si>
    <t>Cedars Hall, 141 Welham Road</t>
  </si>
  <si>
    <t>Alterations including erection of three-storey student accommodation block to Cedars Hall (Class C2); associated landscaping and refuse and bike storage.</t>
  </si>
  <si>
    <t>Other</t>
  </si>
  <si>
    <t>2019/2496</t>
  </si>
  <si>
    <t>Details of Reserved Matters relating to appearance, landscaping and scale, in respect of Phase 4B only (the care home), further to condition 1 attached to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no. 2014/6585, dated 04/06/2015, application ref. 2016/4760 dated 24/04/2018 and application 2019/2495 dated 28/02/2020 [Phase 4B of the Masterplan relates to the care home- Plot H].</t>
  </si>
  <si>
    <t>EW</t>
  </si>
  <si>
    <t>2021/1400</t>
  </si>
  <si>
    <t>Garratt Mills, Trewint Street</t>
  </si>
  <si>
    <t>Non material amendment to planning application dated 12/08/2020 ref 2020/1552 (Variation of conditions 2 and 43 (in accordance with approved drawings) pursuant to planning permission dated 03/03/2020 ref 2019/1083 (Demolition of existing buildings and the erection of two blocks between 8 and 6 storeys (including double height ground floor with mezzanine) linked by a single storey building with mezzanine level, comprising co-living rooms with internal and external amenity space (Sui Generis), cafe and restaurant use (Class A3), new pedestrian bridge, riverwalk, landscaping, plant, refuse and bicycle stores and associated works.) to allow changes to the site red line boundary; the provision of 18 additional co-living rooms at mezzanine and sixth floor level; changes to the layout of the ground floor including reduction in café size to 345sqm; increase in internal amenity to 1,648sqm; increasing the width of  the roof accommodation in Block  A; changes to the ground floor and mezzanine level elevations; enlargement of the podium building with terrace above; relocation of the proposed bicycle store to shipping containers along the southern boundary; provision of an additional accessible car parking space.) to include 5 additional shared living rooms and associated elevational changes.</t>
  </si>
  <si>
    <t>2022/2710</t>
  </si>
  <si>
    <t>Hostel for the Daughters of Mary Immaculate, 44 Augustus Road</t>
  </si>
  <si>
    <t>Alterations including installation of window to western elevation at lower ground floor level, provision of 2 additional hostel bedrooms and additional cycle storage.</t>
  </si>
  <si>
    <t>2021/4864</t>
  </si>
  <si>
    <t>Alterations including erection of second floor level extension with pitched roof over, to the northern wing to provide 11 additional bedrooms of hostel accommodation; alterations to the facades of the lower floors and replacement fenestration.</t>
  </si>
  <si>
    <t>2021/4143</t>
  </si>
  <si>
    <t>Continued use as a hostel with creation of 11 additional bedspaces.</t>
  </si>
  <si>
    <t>2021/5013</t>
  </si>
  <si>
    <t>3 Culvert Road</t>
  </si>
  <si>
    <t>Erection of buildings upto 18-storeys high plus basement comprising upto 213 shared-living units with associated internal and external amenity spaces (including outdoor terraces, gym, café, bar, lounge, workspace and kitchens), cycle storage, landscaping, servicing and associated works.</t>
  </si>
  <si>
    <t>WH</t>
  </si>
  <si>
    <t>2021/5545</t>
  </si>
  <si>
    <t>Palmerston Court, 1-3 Havelock Terrace</t>
  </si>
  <si>
    <t>Non-Material Amendment under S96a of the Town and Country Planning Act (1990) to planning permission dated 08/03/2021 ref 2020/2837 (Demolition of all existing buildings and construction of 4 buildings ranging from double basement and ground plus up to 12 storeys to ground plus up to 20 storeys, comprising student accommodation and associated amenity areas (Sui-generis); office and enterprise business accommodation (Use Class B1); retail/cafe unit (Use Class A1); drinking establishment (Use Class A4) and other ancillary uses; public realm improvements; hard and soft landscaping works; plant equipment; servicing facilities including cycle parking and other associated works. An Environmental Statement has been submitted with the application under the Town and Country Planning (Environmental Impact Assessment) Regulations 2017 (as amended). Amendments to allow refinements to the building basses and entrances; fenestration and facade articulation and amendments to roof level to alter the parapet heights of Blocks B and D; the approved floor plan playouts; the student amenity provision and the student unit numbers.</t>
  </si>
  <si>
    <t>2020/4513</t>
  </si>
  <si>
    <t>11-25 and 41-47, Chatfield Road</t>
  </si>
  <si>
    <t>Variation of conditions 2 (in accordance with approved drawings) and 44 (shared-living and hotel room numbers) pursuant to planning permission dated 30/11/2020 ref 2019/5484 (Demolition of the existing buildings and erection of a podium building with two blocks above (up to 7- and 8-storeys) fronting Chatfield Road and Mendip Road comprising shared-living rooms (Sui Generis) and hotel (Class C1) with associated internal and external amenity space, office space (Class B1a), cafe/restaurant space (Class A3), flexible workspace and community space (Class B1/D1), landscaping, plant and associated works.) to allow 50 hotel rooms to become shared-living rooms, internal re-configuration including 7 additional shared-living rooms created following changes to internal amenity spaces (239 shared-living rooms and 31 hotel rooms now proposed) . Alterations to design and layout of windows and doors to ground floor of east and west elevations and first and seventh floors of north elevation.</t>
  </si>
  <si>
    <t>10.6</t>
  </si>
  <si>
    <t>2020/2560</t>
  </si>
  <si>
    <t>Hazel Court, Haydon Way</t>
  </si>
  <si>
    <t>Demolition of existing building and the erection of a part 2 and 6 storey building comprising 159 co-living rooms (Sui Generis) including internal amenity space (with flexible events and community floor space), external amenities spaces (with external roof terraces at second, fourth and fifth floor levels), landscaping, plant, refuse and bicycle stores, and associated works.</t>
  </si>
  <si>
    <t>2020/0444</t>
  </si>
  <si>
    <t>29 Honeywell Road</t>
  </si>
  <si>
    <t>Alterations to include erection of a single-storey rear/side extension to increase HMO from 7 to 8 rooms.</t>
  </si>
  <si>
    <t>2021/2594</t>
  </si>
  <si>
    <t>Altura Tower, Bridges Court Road</t>
  </si>
  <si>
    <t>Change of use from hotel and associated facilities (Class C1) on part of basement to mezzanine floors and on the first to fifth floors and thirteenth floor to 96 bedroom care home (Class C2) and associated facilities.</t>
  </si>
  <si>
    <t>2020/2825</t>
  </si>
  <si>
    <t>93 Garratt Terrace</t>
  </si>
  <si>
    <t>Alterations including roof extension above three storey back addition; Erection of single-storey rear/side extension, installation of rooflights to front roof slope, in connection with conversion of existing property from 7 x bed HMO (Sui generis) to 9 x bed HMO (Sui generis).</t>
  </si>
  <si>
    <t>2018/1058</t>
  </si>
  <si>
    <t>Trinity Court Nursing Home, 165-167 Trinity Road</t>
  </si>
  <si>
    <t>Erection of single storey (plus habitable roofspace) detached 8-bedroom residential building ancillary (Class C2) to Trinity Court Nursing Home.</t>
  </si>
  <si>
    <t>OT</t>
  </si>
  <si>
    <t>2020/5033</t>
  </si>
  <si>
    <t>5 Spalding Road</t>
  </si>
  <si>
    <t>Alterations including erection of part two, part three storey extension over existing four-storey student accommodation building at Furzedown Hall (Class C2) and enclosure of fire escape stairs and lifts to each level. Erection of part three, part four storey student accommodation building to eastern side of Furzedown Hall (Class C2); associated landscaping, boundaries treatment, refuse and bike storages.</t>
  </si>
  <si>
    <t>Conventional Supply Housing Trajectory Assumptions</t>
  </si>
  <si>
    <t>New Build Development</t>
  </si>
  <si>
    <t>Criteria</t>
  </si>
  <si>
    <t>New build sites completed by 31 March 2023</t>
  </si>
  <si>
    <t>Completions between 1 April 2022 and 31 March 2023 are counted in the reporting year.</t>
  </si>
  <si>
    <t>New build sites of less than twenty new residential units under construction at 31 March 2023</t>
  </si>
  <si>
    <t>Phasing based on responses to the annual survey of applicants and agents.</t>
  </si>
  <si>
    <t>Sites known to be under construction between 1 April 2022 and 30 September 2022 are phased in the first year of the five-year supply, 2023/24.</t>
  </si>
  <si>
    <t>Sites not known to be under construction in the first six months of 2022/23 are phased over the first two years of the five-year supply, 2023/24 and 2024/25.</t>
  </si>
  <si>
    <t>New build sites of twenty or more new residential units under construction at 31 March 2023</t>
  </si>
  <si>
    <t>Phasing based on responses to the annual survey of applicants and agents or Starts and Completions annual survey.</t>
  </si>
  <si>
    <t>Where it has not been possible to contact the applicant or agent and no alternative source of phasing is available, sites are phased in the five-year supply, over the four years between 2024/25 and 2027/28.</t>
  </si>
  <si>
    <t xml:space="preserve">New build sites with unimplemented planning permission (full, outline or subject to legal agreement) at 31 March 2023 for less than six new residential units </t>
  </si>
  <si>
    <t>Phased in the five-year supply, over the four years between 2024/25 and 2027/28.</t>
  </si>
  <si>
    <t>New build sites with unimplemented planning permission (full, outline or subject to legal agreement) at 31 March 2023 for six or more new residential units</t>
  </si>
  <si>
    <t>Where it has not been possible to contact the applicant or agent and no alternative source of phasing is available, outline permissions for ten or more new residential units or permissions approved subject to legal agreements being made are phased outside the five-year supply, in the three years between 2028/29 and 2030/31.</t>
  </si>
  <si>
    <t>Where it has not been possible to contact the applicant or agent and no alternative source of phasing is available, other permissions are phased within the five-year supply, in the three years between 2026/27 and 2028/29.</t>
  </si>
  <si>
    <t>Conversion, Change of Use, Extension or Mixed Development</t>
  </si>
  <si>
    <t>Conversion, change of use, extension or mixed development sites completed by 31 March 2023</t>
  </si>
  <si>
    <t>Conversion, change of use, extension or mixed development sites under construction at 31 March 2023</t>
  </si>
  <si>
    <t xml:space="preserve">Phasing based on responses to the annual survey of applicants and agents. </t>
  </si>
  <si>
    <t>Sites known to be under construction between 1 April 2022 and 30 September 2022 are phased in the first year of the five-year supply 2023/24.</t>
  </si>
  <si>
    <t>Conversion, change of use, extension or mixed development sites with unimplemented planning permission (full, outline or subject to legal agreement) for less than six new residential units at 31 March 2023</t>
  </si>
  <si>
    <t>Sites are phased in the first four years of the five-year supply, between 2023/24 and 2026/27.</t>
  </si>
  <si>
    <t>Conversion, change of use, extension or mixed development sites with unimplemented planning permission (full, outline or subject to legal agreement) for six or more new residential units at 31 March 2023</t>
  </si>
  <si>
    <t>Where it has not been possible to contact the applicant or agent and no alternative source of phasing is available and sites are outline permissions or subject to legal agreement and are for ten or more units, these are phased outside the five-year supply, in the four years between 2028/29 and 2031/32.</t>
  </si>
  <si>
    <t>Where it has not been possible to contact the applicant or agent and no alternative source of phasing is available, other permissions are phased within the five-year supply, in the four years between 2023/24 and 2026/27.</t>
  </si>
  <si>
    <t>Identified sites outside of VNEB</t>
  </si>
  <si>
    <t>Phasing and capacity figures are based on the broad assumptions used in the Wandsworth Housing and Economic Land Availability Assessment (HELAA) 2022 and in the London Strategic Housing Land Availability Assessment (SHLAA) 2017. Figures used are estimates and do not necessarily reflect or pre-determine the acceptable housing capacity of a site. The appropriate level of development for any given site would be determined through planning application discussions with the Council and reflect the planning policies in place at the time. Phasing is adjusted to remove sites from the five-year housing land supply unless alternative evidence is available.</t>
  </si>
  <si>
    <t>Identified sites in VNEB</t>
  </si>
  <si>
    <r>
      <t xml:space="preserve">Based on a VNEB trajectory using delivery information provided by developers, or, where this was not available, the </t>
    </r>
    <r>
      <rPr>
        <i/>
        <sz val="9"/>
        <rFont val="Arial"/>
        <family val="2"/>
      </rPr>
      <t>2016 Update to Phasing of Development and Infrastructure Funding Requirements in the Nine Elms Vauxhall Area</t>
    </r>
    <r>
      <rPr>
        <sz val="9"/>
        <rFont val="Arial"/>
        <family val="2"/>
      </rPr>
      <t>, undertaken by BNP Paribas Real Estate. Site capacity is based on extant planning permissions, or other assumptions about the site.</t>
    </r>
  </si>
  <si>
    <t>SHLAA Sites</t>
  </si>
  <si>
    <t>SHLAA potential sites</t>
  </si>
  <si>
    <t>These are SHLAA 2017 high probability sites. However, due to the probability approach to assessing potential sites, information on individual potential sites is confidential. The release of detailed information on these sites could lead to misunderstanding as to its status and to its misapplication. Therefore the total for all potential sites is shown in the trajectory. Phasing is matched to the SHLAA 2017, with adjustments to remove sites from the five-year housing land supply unless alternative evidence is available.</t>
  </si>
  <si>
    <t>SHLAA small sites trend</t>
  </si>
  <si>
    <t>The 2017 SHLAA includes a trend- and model-based approach for sites less than 0.25ha. The trend rate rather than the model-based approach has been used as this is consistent with previous years' reporting, and data is available to report on this at a ward level.  Between 2022/23 and 2028/29 the small sites trend is applied lessing the capacity on small sites which already have planning permission and are therefore included elsewhere.</t>
  </si>
  <si>
    <t>Sites requiring correction</t>
  </si>
  <si>
    <t>Completions incorrectly recorded in previous years' reports are identified.</t>
  </si>
  <si>
    <t>Non-Self-Contained Supply Trajectory Assumptions</t>
  </si>
  <si>
    <t>Phasing Assumptions</t>
  </si>
  <si>
    <t>Sites completed by 31 March 2023</t>
  </si>
  <si>
    <t>Sites of less than fifty new rooms under construction at 31 March 2023</t>
  </si>
  <si>
    <t>Sites not known to be under construction in the first six months of 2022/23 are phased between 2023/24 and 2024/25.</t>
  </si>
  <si>
    <t>Sites of fifty or more new rooms under construction at 31 March 2023</t>
  </si>
  <si>
    <t>Phasing based on responses to the annual survey of applicants and agents, or Starts and Completions annual survey.</t>
  </si>
  <si>
    <t>Where it has not been possible to contact the applicant or agent and no alternative source of phasing is available sites are phased within the five-year supply, between the four years of 2024/25 and 2027/28.</t>
  </si>
  <si>
    <t>Sites with unimplemented planning permission (full, outline or subject to legal agreement) at 31 March 2023 for less than fifty new rooms</t>
  </si>
  <si>
    <t>Phased within the five-year supply, between the four years of 2024/25 and 2027/28.</t>
  </si>
  <si>
    <t>Sites with unimplemented planning permission (full, outline or subject to legal agreement) at 31 March 2023 for fifty or more new rooms</t>
  </si>
  <si>
    <t>Where it has not been possible to contact the applicant or agent and no alternative source of phasing is available and sites are outline permissions or subject to legal agreement, these are phased outside the five-year supply, between the four years of 2028/29 and 2031/32.</t>
  </si>
  <si>
    <t>Where it has not been possible to contact the applicant or agent and no alternative source of phasing is available, other permissions are phased mostly within the five-year supply, between the three years of 2026/27 and 2028/29.</t>
  </si>
  <si>
    <t>Abbreviations</t>
  </si>
  <si>
    <t>AF</t>
  </si>
  <si>
    <t>Full application</t>
  </si>
  <si>
    <t>AO</t>
  </si>
  <si>
    <t>Outline application</t>
  </si>
  <si>
    <t>Details/reserve matters</t>
  </si>
  <si>
    <t>LDC</t>
  </si>
  <si>
    <t>Lawful development certificate</t>
  </si>
  <si>
    <t>Lawful development certificate existing</t>
  </si>
  <si>
    <t>Lawful development certificate proposed</t>
  </si>
  <si>
    <t>No status - identified potential</t>
  </si>
  <si>
    <t>NPA</t>
  </si>
  <si>
    <t>Notification of prior approval</t>
  </si>
  <si>
    <t>Prior approval given</t>
  </si>
  <si>
    <t>Prior approval not required</t>
  </si>
  <si>
    <t>PAR</t>
  </si>
  <si>
    <t>Prior approval refused</t>
  </si>
  <si>
    <t>Full planning permission</t>
  </si>
  <si>
    <t>Full permission with legal agreement signed</t>
  </si>
  <si>
    <t>PIPA</t>
  </si>
  <si>
    <t>Permission in Principle Application</t>
  </si>
  <si>
    <t>Permission in Principle</t>
  </si>
  <si>
    <t>Outline planning permission</t>
  </si>
  <si>
    <t>Outline planning permission with legal agreement signed</t>
  </si>
  <si>
    <t>Refused permission</t>
  </si>
  <si>
    <t>Minor material amendment</t>
  </si>
  <si>
    <t>Non-material amendment</t>
  </si>
  <si>
    <t>Variation to legal agreement</t>
  </si>
  <si>
    <t>Permission subject to legal agreement</t>
  </si>
  <si>
    <t>TDA</t>
  </si>
  <si>
    <t>Technical details application</t>
  </si>
  <si>
    <t>TDC</t>
  </si>
  <si>
    <t>Technical details consent</t>
  </si>
  <si>
    <t>APD</t>
  </si>
  <si>
    <t>Appeal dismissed</t>
  </si>
  <si>
    <t>Appeal granted</t>
  </si>
  <si>
    <t>APP</t>
  </si>
  <si>
    <t>Appeal submitted</t>
  </si>
  <si>
    <t>APW</t>
  </si>
  <si>
    <t>Appeal withdrawn</t>
  </si>
  <si>
    <t>No appeal</t>
  </si>
  <si>
    <t>Brownfield</t>
  </si>
  <si>
    <t>GF</t>
  </si>
  <si>
    <t>Greenfield</t>
  </si>
  <si>
    <t>Garden land</t>
  </si>
  <si>
    <t>Change of use</t>
  </si>
  <si>
    <t>Extension to existing</t>
  </si>
  <si>
    <t>Combination</t>
  </si>
  <si>
    <t>Residential conversion / change of use (10+ units)</t>
  </si>
  <si>
    <t>Not applicable (minor residential)</t>
  </si>
  <si>
    <t>New build (10+ units)</t>
  </si>
  <si>
    <t>Office conversion / change of use (10+ units)</t>
  </si>
  <si>
    <t>Other non-residential conversion / change of use (10+ units)</t>
  </si>
  <si>
    <t>House&gt;flats</t>
  </si>
  <si>
    <t>Flats&gt;house</t>
  </si>
  <si>
    <t>Subdivision of flats reducing number of units</t>
  </si>
  <si>
    <t>Subdivision of flats creating more units</t>
  </si>
  <si>
    <t>Conversion of ancillary residential (coach houses etc.)</t>
  </si>
  <si>
    <t>Change of use from A1 (shop)</t>
  </si>
  <si>
    <t>Change of use from B1/A2</t>
  </si>
  <si>
    <t>Change of use from other non-residential (workshops etc.)</t>
  </si>
  <si>
    <t>Loss of residential to non-residential</t>
  </si>
  <si>
    <t>Change of use to live/work</t>
  </si>
  <si>
    <t>Subdivision of houses reducing number of houses</t>
  </si>
  <si>
    <t>Subdivision of houses creating more houses</t>
  </si>
  <si>
    <t>New build 1-9 units</t>
  </si>
  <si>
    <t>Not applicable (large res)</t>
  </si>
  <si>
    <t>A/I</t>
  </si>
  <si>
    <t>Affordable or Intermediate</t>
  </si>
  <si>
    <t>Affordable - Affordable Rent</t>
  </si>
  <si>
    <t>Affordable - Council</t>
  </si>
  <si>
    <t>Affordable - London Affordable Rent</t>
  </si>
  <si>
    <t>Affordable - Social Rent</t>
  </si>
  <si>
    <t>Affordable - Unknown</t>
  </si>
  <si>
    <t>Intermediate - Rent</t>
  </si>
  <si>
    <t>Intermediate - Rent - Discount Market Rent</t>
  </si>
  <si>
    <t>IRL</t>
  </si>
  <si>
    <t>Intermediate - Rent - London Living Rent</t>
  </si>
  <si>
    <t>Intermediate - Sale - Discount Market Sale</t>
  </si>
  <si>
    <t>Intermediate - Sale - Shared Equity</t>
  </si>
  <si>
    <t>ISH</t>
  </si>
  <si>
    <t>Intermediate - Sale - Starter Homes</t>
  </si>
  <si>
    <t>Intermediate - Sale - Shared Ownership</t>
  </si>
  <si>
    <t>Intermediate - Unknown</t>
  </si>
  <si>
    <t>Open Market - Rent</t>
  </si>
  <si>
    <t>OK</t>
  </si>
  <si>
    <t>Other - Key Worker</t>
  </si>
  <si>
    <t>Row Labels</t>
  </si>
  <si>
    <t>Sum of Phase Net Units</t>
  </si>
  <si>
    <t>Grand Total</t>
  </si>
  <si>
    <t>Sum of Net Non-Self-Contained Rooms ratio applied</t>
  </si>
  <si>
    <t>Column Labels</t>
  </si>
  <si>
    <t>(Multiple Items)</t>
  </si>
  <si>
    <t>Sum of Phase Proposed Units</t>
  </si>
  <si>
    <t>Total Sum of Phase Proposed Units</t>
  </si>
  <si>
    <t>Total Sum of Phase Net Units</t>
  </si>
  <si>
    <t>(blank)</t>
  </si>
  <si>
    <t>(blank) Total</t>
  </si>
  <si>
    <t>Y Total</t>
  </si>
  <si>
    <t>03 Planning Total</t>
  </si>
  <si>
    <t>02 Under Construction Total</t>
  </si>
  <si>
    <t>01 Completion Total</t>
  </si>
  <si>
    <t>Sum of Net Studio Units</t>
  </si>
  <si>
    <t>Sum of Net 1 Bed Units</t>
  </si>
  <si>
    <t>Sum of Net 2 Bed Units</t>
  </si>
  <si>
    <t>Sum of Net 3 Bed Units</t>
  </si>
  <si>
    <t>Sum of Net 4 Bed Units</t>
  </si>
  <si>
    <t>Sum of Net 5+ Bed Units</t>
  </si>
  <si>
    <t>Sum of Net Not Known Bed Units</t>
  </si>
  <si>
    <t>Last updated 08/12/2023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</si>
</sst>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dd/mm/yyyy;@"/>
    <numFmt numFmtId="165" formatCode="0.000"/>
    <numFmt numFmtId="166" formatCode="#,##0.000"/>
  </numFmts>
  <fonts count="37" x14ac:knownFonts="1">
    <font>
      <sz val="10"/>
      <color theme="1"/>
      <name val="Arial"/>
      <family val="2"/>
    </font>
    <font>
      <sz val="10"/>
      <color theme="1"/>
      <name val="Arial"/>
      <family val="2"/>
    </font>
    <font>
      <sz val="10"/>
      <name val="Arial"/>
      <family val="2"/>
    </font>
    <font>
      <sz val="8"/>
      <name val="Arial"/>
      <family val="2"/>
    </font>
    <font>
      <sz val="9"/>
      <name val="Arial"/>
      <family val="2"/>
    </font>
    <font>
      <b/>
      <sz val="9"/>
      <name val="Arial"/>
      <family val="2"/>
    </font>
    <font>
      <b/>
      <sz val="8"/>
      <name val="Arial"/>
      <family val="2"/>
    </font>
    <font>
      <sz val="9"/>
      <color indexed="10"/>
      <name val="Arial"/>
      <family val="2"/>
    </font>
    <font>
      <sz val="10"/>
      <color indexed="8"/>
      <name val="Arial"/>
      <family val="2"/>
    </font>
    <font>
      <sz val="8"/>
      <color indexed="8"/>
      <name val="Arial"/>
      <family val="2"/>
    </font>
    <font>
      <sz val="8"/>
      <color indexed="10"/>
      <name val="Arial"/>
      <family val="2"/>
    </font>
    <font>
      <b/>
      <sz val="8"/>
      <color indexed="17"/>
      <name val="Arial"/>
      <family val="2"/>
    </font>
    <font>
      <b/>
      <sz val="10"/>
      <name val="Arial"/>
      <family val="2"/>
    </font>
    <font>
      <b/>
      <u/>
      <sz val="8"/>
      <name val="Arial"/>
      <family val="2"/>
    </font>
    <font>
      <i/>
      <sz val="9"/>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theme="1"/>
      <name val="Arial"/>
      <family val="2"/>
    </font>
    <font>
      <b/>
      <sz val="10"/>
      <color rgb="FF3F3F3F"/>
      <name val="Arial"/>
      <family val="2"/>
    </font>
    <font>
      <sz val="10"/>
      <color rgb="FFFF0000"/>
      <name val="Arial"/>
      <family val="2"/>
    </font>
    <font>
      <b/>
      <sz val="14"/>
      <name val="Arial"/>
      <family val="2"/>
    </font>
    <font>
      <sz val="14"/>
      <color theme="1"/>
      <name val="Arial"/>
      <family val="2"/>
    </font>
    <font>
      <sz val="9"/>
      <color theme="1"/>
      <name val="Arial"/>
      <family val="2"/>
    </font>
    <font>
      <b/>
      <sz val="12"/>
      <name val="Arial"/>
      <family val="2"/>
    </font>
    <font>
      <b/>
      <sz val="12"/>
      <name val="Arial"/>
      <family val="2"/>
      <scheme val="major"/>
    </font>
    <font>
      <sz val="9"/>
      <color rgb="FF000000"/>
      <name val="Arial"/>
      <family val="2"/>
    </font>
    <font>
      <b/>
      <sz val="7"/>
      <name val="Arial"/>
      <family val="2"/>
    </font>
    <font>
      <sz val="9"/>
      <name val="Arial"/>
      <family val="2"/>
      <scheme val="minor"/>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rgb="FFFFFF00"/>
        <bgColor indexed="64"/>
      </patternFill>
    </fill>
  </fills>
  <borders count="62">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top/>
      <bottom style="thin">
        <color theme="1"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0" tint="-0.499984740745262"/>
      </top>
      <bottom/>
      <diagonal/>
    </border>
    <border>
      <left/>
      <right style="thin">
        <color theme="1" tint="0.499984740745262"/>
      </right>
      <top/>
      <bottom style="thin">
        <color theme="0" tint="-0.499984740745262"/>
      </bottom>
      <diagonal/>
    </border>
    <border>
      <left/>
      <right style="thin">
        <color theme="1" tint="0.499984740745262"/>
      </right>
      <top/>
      <bottom/>
      <diagonal/>
    </border>
    <border>
      <left style="thin">
        <color theme="0" tint="-0.499984740745262"/>
      </left>
      <right style="thin">
        <color theme="1" tint="0.499984740745262"/>
      </right>
      <top style="thin">
        <color theme="0"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0" tint="-0.499984740745262"/>
      </right>
      <top/>
      <bottom style="thin">
        <color theme="0" tint="-0.499984740745262"/>
      </bottom>
      <diagonal/>
    </border>
    <border>
      <left style="thin">
        <color theme="0" tint="-0.499984740745262"/>
      </left>
      <right/>
      <top style="thin">
        <color theme="1" tint="0.499984740745262"/>
      </top>
      <bottom/>
      <diagonal/>
    </border>
    <border>
      <left style="thin">
        <color theme="1" tint="0.499984740745262"/>
      </left>
      <right style="thin">
        <color theme="0" tint="-0.499984740745262"/>
      </right>
      <top style="thin">
        <color theme="1" tint="0.499984740745262"/>
      </top>
      <bottom/>
      <diagonal/>
    </border>
    <border>
      <left style="thin">
        <color theme="0" tint="-0.499984740745262"/>
      </left>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right style="thin">
        <color theme="0" tint="-0.499984740745262"/>
      </right>
      <top style="thin">
        <color theme="1" tint="0.499984740745262"/>
      </top>
      <bottom/>
      <diagonal/>
    </border>
    <border>
      <left style="thin">
        <color theme="0" tint="-0.499984740745262"/>
      </left>
      <right style="thin">
        <color theme="1" tint="0.499984740745262"/>
      </right>
      <top style="thin">
        <color theme="1" tint="0.499984740745262"/>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style="thin">
        <color theme="1" tint="0.499984740745262"/>
      </left>
      <right/>
      <top/>
      <bottom style="thin">
        <color theme="0" tint="-0.499984740745262"/>
      </bottom>
      <diagonal/>
    </border>
    <border>
      <left style="thin">
        <color theme="1" tint="0.499984740745262"/>
      </left>
      <right/>
      <top style="thin">
        <color theme="0" tint="-0.499984740745262"/>
      </top>
      <bottom/>
      <diagonal/>
    </border>
    <border>
      <left/>
      <right style="thin">
        <color rgb="FF000000"/>
      </right>
      <top style="thin">
        <color theme="0" tint="-0.499984740745262"/>
      </top>
      <bottom style="thin">
        <color theme="0" tint="-0.499984740745262"/>
      </bottom>
      <diagonal/>
    </border>
    <border>
      <left/>
      <right style="thin">
        <color rgb="FF000000"/>
      </right>
      <top style="thin">
        <color theme="0" tint="-0.499984740745262"/>
      </top>
      <bottom/>
      <diagonal/>
    </border>
    <border>
      <left/>
      <right style="thin">
        <color rgb="FF000000"/>
      </right>
      <top/>
      <bottom style="thin">
        <color theme="0" tint="-0.499984740745262"/>
      </bottom>
      <diagonal/>
    </border>
    <border>
      <left/>
      <right style="thin">
        <color rgb="FF000000"/>
      </right>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1" tint="0.499984740745262"/>
      </left>
      <right/>
      <top style="thin">
        <color theme="1" tint="0.499984740745262"/>
      </top>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n">
        <color rgb="FF000000"/>
      </right>
      <top style="thin">
        <color theme="0" tint="-0.499984740745262"/>
      </top>
      <bottom style="thin">
        <color theme="1" tint="0.499984740745262"/>
      </bottom>
      <diagonal/>
    </border>
    <border>
      <left style="thin">
        <color theme="0" tint="-0.499984740745262"/>
      </left>
      <right style="thin">
        <color theme="1" tint="0.499984740745262"/>
      </right>
      <top style="thin">
        <color theme="0" tint="-0.499984740745262"/>
      </top>
      <bottom style="thin">
        <color theme="0" tint="-0.499984740745262"/>
      </bottom>
      <diagonal/>
    </border>
    <border>
      <left style="thin">
        <color rgb="FFD0D7E5"/>
      </left>
      <right style="thin">
        <color rgb="FFD0D7E5"/>
      </right>
      <top style="thin">
        <color rgb="FFD0D7E5"/>
      </top>
      <bottom style="thin">
        <color rgb="FFD0D7E5"/>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tint="-0.499984740745262"/>
      </left>
      <right/>
      <top/>
      <bottom style="thin">
        <color theme="1" tint="0.499984740745262"/>
      </bottom>
      <diagonal/>
    </border>
    <border>
      <left/>
      <right style="thin">
        <color theme="0" tint="-0.499984740745262"/>
      </right>
      <top/>
      <bottom style="thin">
        <color theme="1" tint="0.499984740745262"/>
      </bottom>
      <diagonal/>
    </border>
  </borders>
  <cellStyleXfs count="45">
    <xf numFmtId="0" fontId="0" fillId="3"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7" fillId="6" borderId="0" applyNumberFormat="0" applyBorder="0" applyAlignment="0" applyProtection="0"/>
    <xf numFmtId="0" fontId="18" fillId="9" borderId="2" applyNumberFormat="0" applyAlignment="0" applyProtection="0"/>
    <xf numFmtId="0" fontId="19" fillId="10" borderId="5" applyNumberFormat="0" applyAlignment="0" applyProtection="0"/>
    <xf numFmtId="44" fontId="2"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32" fillId="0" borderId="0" applyNumberFormat="0" applyFill="0" applyBorder="0" applyAlignment="0" applyProtection="0"/>
    <xf numFmtId="0" fontId="12" fillId="0" borderId="0" applyNumberFormat="0" applyFill="0" applyAlignment="0" applyProtection="0"/>
    <xf numFmtId="0" fontId="22" fillId="0" borderId="1" applyNumberFormat="0" applyFill="0" applyAlignment="0" applyProtection="0"/>
    <xf numFmtId="0" fontId="22" fillId="0" borderId="0" applyNumberFormat="0" applyFill="0" applyBorder="0" applyAlignment="0" applyProtection="0"/>
    <xf numFmtId="0" fontId="23" fillId="8" borderId="2" applyNumberFormat="0" applyAlignment="0" applyProtection="0"/>
    <xf numFmtId="0" fontId="24" fillId="0" borderId="4" applyNumberFormat="0" applyFill="0" applyAlignment="0" applyProtection="0"/>
    <xf numFmtId="0" fontId="25" fillId="7" borderId="0" applyNumberFormat="0" applyBorder="0" applyAlignment="0" applyProtection="0"/>
    <xf numFmtId="0" fontId="26" fillId="11" borderId="6" applyNumberFormat="0" applyFont="0" applyAlignment="0" applyProtection="0"/>
    <xf numFmtId="0" fontId="27" fillId="9" borderId="3" applyNumberFormat="0" applyAlignment="0" applyProtection="0"/>
    <xf numFmtId="9" fontId="2" fillId="0" borderId="0" applyFont="0" applyFill="0" applyBorder="0" applyAlignment="0" applyProtection="0"/>
    <xf numFmtId="0" fontId="33" fillId="0" borderId="0" applyNumberFormat="0" applyFill="0" applyBorder="0" applyAlignment="0" applyProtection="0"/>
    <xf numFmtId="0" fontId="15" fillId="0" borderId="7" applyNumberFormat="0" applyFill="0" applyAlignment="0" applyProtection="0"/>
    <xf numFmtId="0" fontId="28" fillId="0" borderId="0" applyNumberFormat="0" applyFill="0" applyBorder="0" applyAlignment="0" applyProtection="0"/>
    <xf numFmtId="43" fontId="2" fillId="0" borderId="0" applyFont="0" applyFill="0" applyBorder="0" applyAlignment="0" applyProtection="0"/>
  </cellStyleXfs>
  <cellXfs count="395">
    <xf numFmtId="0" fontId="0" fillId="3" borderId="0" xfId="0"/>
    <xf numFmtId="0" fontId="8" fillId="2" borderId="0" xfId="0" applyFont="1" applyFill="1"/>
    <xf numFmtId="0" fontId="0" fillId="2" borderId="0" xfId="0" applyFill="1"/>
    <xf numFmtId="0" fontId="4" fillId="2" borderId="0" xfId="0" applyFont="1" applyFill="1"/>
    <xf numFmtId="0" fontId="5" fillId="2" borderId="0" xfId="0" applyFont="1" applyFill="1" applyAlignment="1">
      <alignment wrapText="1"/>
    </xf>
    <xf numFmtId="3" fontId="5" fillId="2" borderId="0" xfId="0" applyNumberFormat="1" applyFont="1" applyFill="1" applyAlignment="1">
      <alignment horizontal="center"/>
    </xf>
    <xf numFmtId="3" fontId="4" fillId="2" borderId="0" xfId="0" applyNumberFormat="1" applyFont="1" applyFill="1" applyAlignment="1">
      <alignment horizontal="center"/>
    </xf>
    <xf numFmtId="0" fontId="5" fillId="2" borderId="0" xfId="0" applyFont="1" applyFill="1"/>
    <xf numFmtId="9" fontId="4" fillId="2" borderId="0" xfId="0" applyNumberFormat="1" applyFont="1" applyFill="1" applyAlignment="1">
      <alignment horizontal="center"/>
    </xf>
    <xf numFmtId="0" fontId="4" fillId="2" borderId="0" xfId="0" applyFont="1" applyFill="1" applyAlignment="1">
      <alignment horizontal="center" vertical="center"/>
    </xf>
    <xf numFmtId="0" fontId="0" fillId="2" borderId="0" xfId="0" applyFill="1" applyAlignment="1">
      <alignment horizontal="center" vertical="center"/>
    </xf>
    <xf numFmtId="0" fontId="7" fillId="2" borderId="0" xfId="0" applyFont="1" applyFill="1"/>
    <xf numFmtId="3" fontId="11" fillId="2" borderId="0" xfId="0" applyNumberFormat="1" applyFont="1" applyFill="1" applyAlignment="1">
      <alignment horizontal="center"/>
    </xf>
    <xf numFmtId="0" fontId="5" fillId="2" borderId="0" xfId="0" applyFont="1" applyFill="1" applyAlignment="1">
      <alignment horizontal="left"/>
    </xf>
    <xf numFmtId="9" fontId="6" fillId="4" borderId="8" xfId="40" applyFont="1" applyFill="1" applyBorder="1" applyAlignment="1">
      <alignment horizontal="right"/>
    </xf>
    <xf numFmtId="3" fontId="9" fillId="2" borderId="8" xfId="0" applyNumberFormat="1" applyFont="1" applyFill="1" applyBorder="1" applyAlignment="1">
      <alignment horizontal="right" vertical="center"/>
    </xf>
    <xf numFmtId="3" fontId="3" fillId="0" borderId="8" xfId="0" applyNumberFormat="1" applyFont="1" applyFill="1" applyBorder="1" applyAlignment="1">
      <alignment horizontal="right"/>
    </xf>
    <xf numFmtId="9" fontId="3" fillId="0" borderId="8" xfId="0" applyNumberFormat="1" applyFont="1" applyFill="1" applyBorder="1" applyAlignment="1">
      <alignment horizontal="right"/>
    </xf>
    <xf numFmtId="3" fontId="6" fillId="0" borderId="8" xfId="0" applyNumberFormat="1" applyFont="1" applyFill="1" applyBorder="1" applyAlignment="1">
      <alignment horizontal="right"/>
    </xf>
    <xf numFmtId="9" fontId="6" fillId="0" borderId="8" xfId="0" applyNumberFormat="1" applyFont="1" applyFill="1" applyBorder="1" applyAlignment="1">
      <alignment horizontal="right"/>
    </xf>
    <xf numFmtId="9" fontId="6" fillId="4" borderId="8" xfId="0" applyNumberFormat="1" applyFont="1" applyFill="1" applyBorder="1" applyAlignment="1">
      <alignment horizontal="right"/>
    </xf>
    <xf numFmtId="3" fontId="6" fillId="4" borderId="8" xfId="44" applyNumberFormat="1" applyFont="1" applyFill="1" applyBorder="1" applyAlignment="1">
      <alignment horizontal="right"/>
    </xf>
    <xf numFmtId="3" fontId="3" fillId="4" borderId="8" xfId="0" applyNumberFormat="1" applyFont="1" applyFill="1" applyBorder="1" applyAlignment="1">
      <alignment horizontal="right"/>
    </xf>
    <xf numFmtId="0" fontId="3" fillId="3" borderId="0" xfId="0" applyFont="1" applyAlignment="1">
      <alignment horizontal="left" vertical="center" wrapText="1"/>
    </xf>
    <xf numFmtId="0" fontId="3" fillId="3" borderId="0" xfId="0" applyFont="1" applyAlignment="1">
      <alignment horizontal="center" vertical="center" wrapText="1"/>
    </xf>
    <xf numFmtId="4" fontId="3" fillId="3" borderId="0" xfId="0" applyNumberFormat="1" applyFont="1" applyAlignment="1">
      <alignment horizontal="right" vertical="center" wrapText="1"/>
    </xf>
    <xf numFmtId="0" fontId="4" fillId="3" borderId="0" xfId="0" applyFont="1"/>
    <xf numFmtId="0" fontId="5" fillId="3" borderId="0" xfId="0" applyFont="1" applyAlignment="1">
      <alignment horizontal="left" vertical="center"/>
    </xf>
    <xf numFmtId="0" fontId="3" fillId="3" borderId="8" xfId="0" applyFont="1" applyBorder="1" applyAlignment="1">
      <alignment horizontal="left" vertical="center" wrapText="1"/>
    </xf>
    <xf numFmtId="3" fontId="3" fillId="3" borderId="8" xfId="0" applyNumberFormat="1" applyFont="1" applyBorder="1" applyAlignment="1">
      <alignment horizontal="right"/>
    </xf>
    <xf numFmtId="3" fontId="3" fillId="3" borderId="8" xfId="0" applyNumberFormat="1" applyFont="1" applyBorder="1" applyAlignment="1">
      <alignment horizontal="right" vertical="center" wrapText="1"/>
    </xf>
    <xf numFmtId="9" fontId="3" fillId="3" borderId="8" xfId="40" applyFont="1" applyFill="1" applyBorder="1" applyAlignment="1">
      <alignment horizontal="right" vertical="center" wrapText="1"/>
    </xf>
    <xf numFmtId="3" fontId="6" fillId="4" borderId="8" xfId="0" applyNumberFormat="1" applyFont="1" applyFill="1" applyBorder="1" applyAlignment="1">
      <alignment horizontal="right"/>
    </xf>
    <xf numFmtId="3" fontId="6" fillId="4" borderId="8" xfId="0" applyNumberFormat="1" applyFont="1" applyFill="1" applyBorder="1" applyAlignment="1">
      <alignment horizontal="right" vertical="center" wrapText="1"/>
    </xf>
    <xf numFmtId="9" fontId="6" fillId="4" borderId="8" xfId="40" applyFont="1" applyFill="1" applyBorder="1" applyAlignment="1">
      <alignment horizontal="right" vertical="center" wrapText="1"/>
    </xf>
    <xf numFmtId="0" fontId="6" fillId="3" borderId="0" xfId="0" applyFont="1" applyAlignment="1">
      <alignment wrapText="1"/>
    </xf>
    <xf numFmtId="3" fontId="6" fillId="3" borderId="0" xfId="0" applyNumberFormat="1" applyFont="1" applyAlignment="1">
      <alignment horizontal="right"/>
    </xf>
    <xf numFmtId="9" fontId="6" fillId="3" borderId="0" xfId="40" applyFont="1" applyFill="1" applyBorder="1" applyAlignment="1">
      <alignment horizontal="right"/>
    </xf>
    <xf numFmtId="0" fontId="0" fillId="3" borderId="0" xfId="0" applyAlignment="1">
      <alignment horizontal="left"/>
    </xf>
    <xf numFmtId="0" fontId="0" fillId="3" borderId="0" xfId="0" pivotButton="1"/>
    <xf numFmtId="0" fontId="3" fillId="3" borderId="9" xfId="0" applyFont="1" applyBorder="1" applyAlignment="1">
      <alignment horizontal="center" vertical="center" wrapText="1"/>
    </xf>
    <xf numFmtId="0" fontId="3" fillId="3" borderId="0" xfId="0" applyFont="1" applyAlignment="1">
      <alignment vertical="center" wrapText="1"/>
    </xf>
    <xf numFmtId="0" fontId="5" fillId="36" borderId="19" xfId="0" applyFont="1" applyFill="1" applyBorder="1"/>
    <xf numFmtId="0" fontId="5" fillId="3" borderId="14" xfId="0" applyFont="1" applyBorder="1"/>
    <xf numFmtId="0" fontId="3" fillId="36" borderId="8" xfId="0" applyFont="1" applyFill="1" applyBorder="1" applyAlignment="1">
      <alignment horizontal="center" vertical="center"/>
    </xf>
    <xf numFmtId="0" fontId="3" fillId="36" borderId="8" xfId="0" applyFont="1" applyFill="1" applyBorder="1" applyAlignment="1">
      <alignment horizontal="center"/>
    </xf>
    <xf numFmtId="0" fontId="30" fillId="3" borderId="0" xfId="0" applyFont="1"/>
    <xf numFmtId="0" fontId="6" fillId="36" borderId="8" xfId="0" applyFont="1" applyFill="1" applyBorder="1" applyAlignment="1">
      <alignment horizontal="center"/>
    </xf>
    <xf numFmtId="0" fontId="6" fillId="4" borderId="8" xfId="0" applyFont="1" applyFill="1" applyBorder="1"/>
    <xf numFmtId="0" fontId="3" fillId="2" borderId="11" xfId="0" applyFont="1" applyFill="1" applyBorder="1"/>
    <xf numFmtId="0" fontId="3" fillId="2" borderId="9" xfId="0" applyFont="1" applyFill="1" applyBorder="1"/>
    <xf numFmtId="0" fontId="5" fillId="3" borderId="0" xfId="0" applyFont="1" applyAlignment="1">
      <alignment horizontal="left"/>
    </xf>
    <xf numFmtId="0" fontId="0" fillId="2" borderId="0" xfId="0" applyFill="1" applyAlignment="1">
      <alignment vertical="center"/>
    </xf>
    <xf numFmtId="0" fontId="12" fillId="2" borderId="0" xfId="0" applyFont="1" applyFill="1" applyAlignment="1">
      <alignment wrapText="1"/>
    </xf>
    <xf numFmtId="0" fontId="3" fillId="3" borderId="19" xfId="0" applyFont="1" applyBorder="1"/>
    <xf numFmtId="3" fontId="6" fillId="3" borderId="19" xfId="0" applyNumberFormat="1" applyFont="1" applyBorder="1" applyAlignment="1">
      <alignment horizontal="right"/>
    </xf>
    <xf numFmtId="0" fontId="10" fillId="2" borderId="0" xfId="0" applyFont="1" applyFill="1"/>
    <xf numFmtId="0" fontId="0" fillId="2" borderId="19" xfId="0" applyFill="1" applyBorder="1"/>
    <xf numFmtId="0" fontId="6" fillId="2" borderId="0" xfId="0" applyFont="1" applyFill="1"/>
    <xf numFmtId="0" fontId="13" fillId="2" borderId="0" xfId="0" applyFont="1" applyFill="1" applyAlignment="1">
      <alignment horizontal="left" indent="1"/>
    </xf>
    <xf numFmtId="0" fontId="6" fillId="2" borderId="0" xfId="0" applyFont="1" applyFill="1" applyAlignment="1">
      <alignment horizontal="left"/>
    </xf>
    <xf numFmtId="0" fontId="4" fillId="36" borderId="9" xfId="0" applyFont="1" applyFill="1" applyBorder="1"/>
    <xf numFmtId="0" fontId="4" fillId="36" borderId="11" xfId="0" applyFont="1" applyFill="1" applyBorder="1"/>
    <xf numFmtId="14" fontId="4" fillId="36" borderId="10" xfId="0" applyNumberFormat="1" applyFont="1" applyFill="1" applyBorder="1" applyAlignment="1">
      <alignment horizontal="right"/>
    </xf>
    <xf numFmtId="0" fontId="5" fillId="36" borderId="12" xfId="0" applyFont="1" applyFill="1" applyBorder="1"/>
    <xf numFmtId="0" fontId="5" fillId="36" borderId="13" xfId="0" applyFont="1" applyFill="1" applyBorder="1"/>
    <xf numFmtId="0" fontId="3" fillId="3" borderId="8" xfId="0" applyFont="1" applyBorder="1" applyAlignment="1">
      <alignment horizontal="center" vertical="center" wrapText="1"/>
    </xf>
    <xf numFmtId="0" fontId="3" fillId="3" borderId="8" xfId="0" applyFont="1" applyBorder="1" applyAlignment="1">
      <alignment horizontal="left"/>
    </xf>
    <xf numFmtId="0" fontId="6" fillId="36" borderId="8" xfId="0" applyFont="1" applyFill="1" applyBorder="1" applyAlignment="1">
      <alignment horizontal="left" vertical="center"/>
    </xf>
    <xf numFmtId="0" fontId="3" fillId="2" borderId="8" xfId="0" applyFont="1" applyFill="1" applyBorder="1"/>
    <xf numFmtId="0" fontId="6" fillId="0" borderId="8" xfId="0" applyFont="1" applyFill="1" applyBorder="1"/>
    <xf numFmtId="0" fontId="6" fillId="2" borderId="8" xfId="0" applyFont="1" applyFill="1" applyBorder="1"/>
    <xf numFmtId="0" fontId="6" fillId="3" borderId="0" xfId="0" applyFont="1" applyAlignment="1">
      <alignment horizontal="left"/>
    </xf>
    <xf numFmtId="3" fontId="6" fillId="3" borderId="0" xfId="0" applyNumberFormat="1" applyFont="1" applyAlignment="1">
      <alignment horizontal="right" vertical="center" wrapText="1"/>
    </xf>
    <xf numFmtId="9" fontId="6" fillId="3" borderId="0" xfId="40" applyFont="1" applyFill="1" applyBorder="1" applyAlignment="1">
      <alignment horizontal="right" vertical="center" wrapText="1"/>
    </xf>
    <xf numFmtId="0" fontId="3" fillId="2" borderId="0" xfId="0" applyFont="1" applyFill="1"/>
    <xf numFmtId="0" fontId="29" fillId="3" borderId="0" xfId="0" applyFont="1"/>
    <xf numFmtId="0" fontId="4" fillId="2" borderId="8" xfId="0" applyFont="1" applyFill="1" applyBorder="1" applyAlignment="1">
      <alignment vertical="top"/>
    </xf>
    <xf numFmtId="0" fontId="31" fillId="2" borderId="8" xfId="0" applyFont="1" applyFill="1" applyBorder="1" applyAlignment="1">
      <alignment vertical="top"/>
    </xf>
    <xf numFmtId="0" fontId="31" fillId="2" borderId="0" xfId="0" applyFont="1" applyFill="1" applyAlignment="1">
      <alignment vertical="center"/>
    </xf>
    <xf numFmtId="0" fontId="4" fillId="2" borderId="8" xfId="0" applyFont="1" applyFill="1" applyBorder="1"/>
    <xf numFmtId="0" fontId="4" fillId="2" borderId="18" xfId="0" applyFont="1" applyFill="1" applyBorder="1"/>
    <xf numFmtId="0" fontId="5" fillId="4" borderId="19" xfId="0" applyFont="1" applyFill="1" applyBorder="1" applyAlignment="1">
      <alignment horizontal="right" vertical="center"/>
    </xf>
    <xf numFmtId="0" fontId="5" fillId="4" borderId="14" xfId="0" applyFont="1" applyFill="1" applyBorder="1" applyAlignment="1">
      <alignment horizontal="right" vertical="center"/>
    </xf>
    <xf numFmtId="0" fontId="5" fillId="4" borderId="0" xfId="0" applyFont="1" applyFill="1" applyAlignment="1">
      <alignment horizontal="right" vertical="center"/>
    </xf>
    <xf numFmtId="3" fontId="5" fillId="4" borderId="15" xfId="0" applyNumberFormat="1" applyFont="1" applyFill="1" applyBorder="1" applyAlignment="1">
      <alignment horizontal="right" vertical="center"/>
    </xf>
    <xf numFmtId="3" fontId="5" fillId="4" borderId="20" xfId="0" applyNumberFormat="1" applyFont="1" applyFill="1" applyBorder="1" applyAlignment="1">
      <alignment horizontal="right" vertical="center"/>
    </xf>
    <xf numFmtId="0" fontId="4" fillId="4" borderId="13" xfId="0" applyFont="1" applyFill="1" applyBorder="1" applyAlignment="1">
      <alignment vertical="center" wrapText="1"/>
    </xf>
    <xf numFmtId="3" fontId="4" fillId="3" borderId="19" xfId="0" applyNumberFormat="1" applyFont="1" applyBorder="1" applyAlignment="1">
      <alignment horizontal="right" vertical="center"/>
    </xf>
    <xf numFmtId="0" fontId="4" fillId="4" borderId="21" xfId="0" applyFont="1" applyFill="1" applyBorder="1" applyAlignment="1">
      <alignment vertical="center" wrapText="1"/>
    </xf>
    <xf numFmtId="3" fontId="4" fillId="3" borderId="14" xfId="0" applyNumberFormat="1" applyFont="1" applyBorder="1" applyAlignment="1">
      <alignment horizontal="right" vertical="center"/>
    </xf>
    <xf numFmtId="3" fontId="4" fillId="3" borderId="0" xfId="0" applyNumberFormat="1" applyFont="1" applyAlignment="1">
      <alignment horizontal="right" vertical="center"/>
    </xf>
    <xf numFmtId="0" fontId="4" fillId="4" borderId="16" xfId="0" applyFont="1" applyFill="1" applyBorder="1" applyAlignment="1">
      <alignment vertical="center" wrapText="1"/>
    </xf>
    <xf numFmtId="3" fontId="4" fillId="3" borderId="15" xfId="0" applyNumberFormat="1" applyFont="1" applyBorder="1" applyAlignment="1">
      <alignment horizontal="right" vertical="center"/>
    </xf>
    <xf numFmtId="3" fontId="4" fillId="3" borderId="12" xfId="0" applyNumberFormat="1" applyFont="1" applyBorder="1" applyAlignment="1">
      <alignment horizontal="right" vertical="center"/>
    </xf>
    <xf numFmtId="3" fontId="4" fillId="3" borderId="20" xfId="0" applyNumberFormat="1" applyFont="1" applyBorder="1" applyAlignment="1">
      <alignment horizontal="right" vertical="center"/>
    </xf>
    <xf numFmtId="0" fontId="4" fillId="3" borderId="0" xfId="0" applyFont="1" applyAlignment="1">
      <alignment horizontal="right"/>
    </xf>
    <xf numFmtId="0" fontId="3" fillId="0" borderId="8" xfId="0" applyFont="1" applyFill="1" applyBorder="1"/>
    <xf numFmtId="3" fontId="3" fillId="2" borderId="8" xfId="0" applyNumberFormat="1" applyFont="1" applyFill="1" applyBorder="1" applyAlignment="1">
      <alignment horizontal="right"/>
    </xf>
    <xf numFmtId="0" fontId="0" fillId="3" borderId="19" xfId="0" applyBorder="1"/>
    <xf numFmtId="0" fontId="0" fillId="3" borderId="20" xfId="0" applyBorder="1"/>
    <xf numFmtId="0" fontId="32" fillId="3" borderId="0" xfId="31" applyFill="1" applyBorder="1" applyAlignment="1">
      <alignment horizontal="left"/>
    </xf>
    <xf numFmtId="0" fontId="32" fillId="3" borderId="0" xfId="31" applyFill="1" applyBorder="1" applyAlignment="1">
      <alignment horizontal="center" vertical="center" wrapText="1"/>
    </xf>
    <xf numFmtId="0" fontId="32" fillId="2" borderId="0" xfId="31" applyFill="1" applyBorder="1" applyAlignment="1">
      <alignment horizontal="left"/>
    </xf>
    <xf numFmtId="0" fontId="32" fillId="2" borderId="0" xfId="31" applyFill="1" applyBorder="1"/>
    <xf numFmtId="0" fontId="12" fillId="2" borderId="0" xfId="32" applyFill="1"/>
    <xf numFmtId="0" fontId="12" fillId="2" borderId="0" xfId="32" applyFill="1" applyAlignment="1">
      <alignment horizontal="left"/>
    </xf>
    <xf numFmtId="0" fontId="32" fillId="2" borderId="0" xfId="31" applyFill="1" applyAlignment="1">
      <alignment horizontal="left"/>
    </xf>
    <xf numFmtId="0" fontId="12" fillId="2" borderId="0" xfId="32" applyFill="1" applyAlignment="1"/>
    <xf numFmtId="0" fontId="32" fillId="3" borderId="0" xfId="31" applyFill="1"/>
    <xf numFmtId="0" fontId="3" fillId="4" borderId="8" xfId="0" applyFont="1" applyFill="1" applyBorder="1"/>
    <xf numFmtId="3" fontId="3" fillId="4" borderId="8" xfId="0" applyNumberFormat="1" applyFont="1" applyFill="1" applyBorder="1" applyAlignment="1">
      <alignment horizontal="right" vertical="center"/>
    </xf>
    <xf numFmtId="0" fontId="12" fillId="0" borderId="0" xfId="32" applyFill="1"/>
    <xf numFmtId="0" fontId="0" fillId="2" borderId="0" xfId="0" applyFill="1" applyAlignment="1">
      <alignment vertical="center" wrapText="1"/>
    </xf>
    <xf numFmtId="0" fontId="31" fillId="2" borderId="0" xfId="0" applyFont="1" applyFill="1" applyAlignment="1">
      <alignment vertical="center" wrapText="1"/>
    </xf>
    <xf numFmtId="0" fontId="4" fillId="2" borderId="0" xfId="0" applyFont="1" applyFill="1" applyAlignment="1">
      <alignment horizontal="left" vertical="top" wrapText="1"/>
    </xf>
    <xf numFmtId="0" fontId="31" fillId="2" borderId="0" xfId="0" applyFont="1" applyFill="1" applyAlignment="1">
      <alignment wrapText="1"/>
    </xf>
    <xf numFmtId="0" fontId="5" fillId="36" borderId="8" xfId="0" applyFont="1" applyFill="1" applyBorder="1" applyAlignment="1">
      <alignment vertical="top" wrapText="1"/>
    </xf>
    <xf numFmtId="0" fontId="0" fillId="2" borderId="0" xfId="0" applyFill="1" applyAlignment="1">
      <alignment wrapText="1"/>
    </xf>
    <xf numFmtId="0" fontId="0" fillId="2" borderId="8" xfId="0" applyFill="1" applyBorder="1" applyAlignment="1">
      <alignment horizontal="center" vertical="center" wrapText="1"/>
    </xf>
    <xf numFmtId="0" fontId="4" fillId="0" borderId="8" xfId="0" applyFont="1" applyFill="1" applyBorder="1" applyAlignment="1">
      <alignment vertical="center" wrapText="1"/>
    </xf>
    <xf numFmtId="0" fontId="0" fillId="2" borderId="18" xfId="0" applyFill="1" applyBorder="1" applyAlignment="1">
      <alignment horizontal="center" vertical="center" wrapText="1"/>
    </xf>
    <xf numFmtId="0" fontId="0" fillId="3" borderId="19" xfId="0" applyBorder="1" applyAlignment="1">
      <alignment horizontal="center" vertical="center" wrapText="1"/>
    </xf>
    <xf numFmtId="0" fontId="4" fillId="3" borderId="19" xfId="0" applyFont="1" applyBorder="1" applyAlignment="1">
      <alignment vertical="center" wrapText="1"/>
    </xf>
    <xf numFmtId="0" fontId="0" fillId="3" borderId="20" xfId="0" applyBorder="1" applyAlignment="1">
      <alignment horizontal="center" vertical="center" wrapText="1"/>
    </xf>
    <xf numFmtId="0" fontId="4" fillId="3" borderId="20" xfId="0" applyFont="1" applyBorder="1" applyAlignment="1">
      <alignment vertical="center" wrapText="1"/>
    </xf>
    <xf numFmtId="0" fontId="4" fillId="2" borderId="8" xfId="0" applyFont="1" applyFill="1" applyBorder="1" applyAlignment="1">
      <alignment vertical="center" wrapText="1"/>
    </xf>
    <xf numFmtId="0" fontId="4" fillId="2" borderId="8" xfId="0" applyFont="1" applyFill="1" applyBorder="1" applyAlignment="1">
      <alignment horizontal="left" vertical="center" wrapText="1"/>
    </xf>
    <xf numFmtId="0" fontId="0" fillId="2" borderId="19" xfId="0" applyFill="1" applyBorder="1" applyAlignment="1">
      <alignment horizontal="center" vertical="center" wrapText="1"/>
    </xf>
    <xf numFmtId="0" fontId="4" fillId="2" borderId="19" xfId="0" applyFont="1" applyFill="1" applyBorder="1" applyAlignment="1">
      <alignment vertical="center" wrapText="1"/>
    </xf>
    <xf numFmtId="0" fontId="0" fillId="2" borderId="20" xfId="0" applyFill="1" applyBorder="1" applyAlignment="1">
      <alignment horizontal="center" vertical="center" wrapText="1"/>
    </xf>
    <xf numFmtId="0" fontId="4" fillId="2" borderId="20" xfId="0" applyFont="1" applyFill="1" applyBorder="1" applyAlignment="1">
      <alignment vertical="center" wrapText="1"/>
    </xf>
    <xf numFmtId="0" fontId="0" fillId="2" borderId="0" xfId="0" applyFill="1" applyAlignment="1">
      <alignment horizontal="center" vertical="center" wrapText="1"/>
    </xf>
    <xf numFmtId="0" fontId="4" fillId="2" borderId="0" xfId="0" applyFont="1" applyFill="1" applyAlignment="1">
      <alignment vertical="center" wrapText="1"/>
    </xf>
    <xf numFmtId="9" fontId="3" fillId="0" borderId="8" xfId="40" applyFont="1" applyFill="1" applyBorder="1" applyAlignment="1">
      <alignment horizontal="right"/>
    </xf>
    <xf numFmtId="3" fontId="3" fillId="3" borderId="0" xfId="0" applyNumberFormat="1" applyFont="1" applyAlignment="1">
      <alignment horizontal="right"/>
    </xf>
    <xf numFmtId="9" fontId="3" fillId="4" borderId="8" xfId="0" applyNumberFormat="1" applyFont="1" applyFill="1" applyBorder="1" applyAlignment="1">
      <alignment horizontal="right"/>
    </xf>
    <xf numFmtId="9" fontId="3" fillId="2" borderId="8" xfId="0" applyNumberFormat="1" applyFont="1" applyFill="1" applyBorder="1" applyAlignment="1">
      <alignment horizontal="right"/>
    </xf>
    <xf numFmtId="0" fontId="3" fillId="2" borderId="0" xfId="0" applyFont="1" applyFill="1" applyAlignment="1">
      <alignment wrapText="1"/>
    </xf>
    <xf numFmtId="3" fontId="3" fillId="2" borderId="0" xfId="0" applyNumberFormat="1" applyFont="1" applyFill="1" applyAlignment="1">
      <alignment horizontal="center"/>
    </xf>
    <xf numFmtId="3" fontId="3" fillId="2" borderId="8" xfId="0" applyNumberFormat="1" applyFont="1" applyFill="1" applyBorder="1" applyAlignment="1">
      <alignment horizontal="right" vertical="center"/>
    </xf>
    <xf numFmtId="3" fontId="3" fillId="2" borderId="8" xfId="44" applyNumberFormat="1" applyFont="1" applyFill="1" applyBorder="1" applyAlignment="1">
      <alignment horizontal="right"/>
    </xf>
    <xf numFmtId="3" fontId="3" fillId="0" borderId="0" xfId="0" applyNumberFormat="1" applyFont="1" applyFill="1" applyAlignment="1">
      <alignment horizontal="center"/>
    </xf>
    <xf numFmtId="3" fontId="5" fillId="36" borderId="11" xfId="0" applyNumberFormat="1" applyFont="1" applyFill="1" applyBorder="1" applyAlignment="1">
      <alignment vertical="center"/>
    </xf>
    <xf numFmtId="0" fontId="6" fillId="3" borderId="0" xfId="0" applyFont="1" applyAlignment="1">
      <alignment horizontal="center"/>
    </xf>
    <xf numFmtId="0" fontId="3" fillId="0" borderId="9" xfId="0" applyFont="1" applyFill="1" applyBorder="1"/>
    <xf numFmtId="0" fontId="3" fillId="0" borderId="9" xfId="0" applyFont="1" applyFill="1" applyBorder="1" applyAlignment="1">
      <alignment horizontal="center" vertical="center" wrapText="1"/>
    </xf>
    <xf numFmtId="0" fontId="4" fillId="2" borderId="23" xfId="0" applyFont="1" applyFill="1" applyBorder="1"/>
    <xf numFmtId="0" fontId="6" fillId="3" borderId="25" xfId="0" applyFont="1" applyBorder="1" applyAlignment="1">
      <alignment horizontal="center"/>
    </xf>
    <xf numFmtId="3" fontId="3" fillId="3" borderId="25" xfId="0" applyNumberFormat="1" applyFont="1" applyBorder="1" applyAlignment="1">
      <alignment horizontal="right"/>
    </xf>
    <xf numFmtId="0" fontId="6" fillId="36" borderId="0" xfId="0" applyFont="1" applyFill="1" applyAlignment="1">
      <alignment horizontal="center"/>
    </xf>
    <xf numFmtId="3" fontId="3" fillId="0" borderId="27" xfId="0" applyNumberFormat="1" applyFont="1" applyFill="1" applyBorder="1" applyAlignment="1">
      <alignment horizontal="right"/>
    </xf>
    <xf numFmtId="3" fontId="3" fillId="0" borderId="26" xfId="0" applyNumberFormat="1" applyFont="1" applyFill="1" applyBorder="1" applyAlignment="1">
      <alignment horizontal="right"/>
    </xf>
    <xf numFmtId="3" fontId="3" fillId="0" borderId="28" xfId="0" applyNumberFormat="1" applyFont="1" applyFill="1" applyBorder="1" applyAlignment="1">
      <alignment horizontal="right"/>
    </xf>
    <xf numFmtId="3" fontId="4" fillId="2" borderId="29" xfId="0" applyNumberFormat="1" applyFont="1" applyFill="1" applyBorder="1" applyAlignment="1">
      <alignment horizontal="center"/>
    </xf>
    <xf numFmtId="3" fontId="6" fillId="4" borderId="30" xfId="0" applyNumberFormat="1" applyFont="1" applyFill="1" applyBorder="1" applyAlignment="1">
      <alignment horizontal="right"/>
    </xf>
    <xf numFmtId="3" fontId="6" fillId="3" borderId="25" xfId="0" applyNumberFormat="1" applyFont="1" applyBorder="1" applyAlignment="1">
      <alignment horizontal="right"/>
    </xf>
    <xf numFmtId="3" fontId="5" fillId="36" borderId="24" xfId="0" applyNumberFormat="1" applyFont="1" applyFill="1" applyBorder="1" applyAlignment="1">
      <alignment vertical="center"/>
    </xf>
    <xf numFmtId="0" fontId="5" fillId="4" borderId="31" xfId="0" applyFont="1" applyFill="1" applyBorder="1" applyAlignment="1">
      <alignment horizontal="right" vertical="center"/>
    </xf>
    <xf numFmtId="3" fontId="5" fillId="4" borderId="32" xfId="0" applyNumberFormat="1" applyFont="1" applyFill="1" applyBorder="1" applyAlignment="1">
      <alignment horizontal="right" vertical="center"/>
    </xf>
    <xf numFmtId="3" fontId="4" fillId="3" borderId="31" xfId="0" applyNumberFormat="1" applyFont="1" applyBorder="1" applyAlignment="1">
      <alignment horizontal="right" vertical="center"/>
    </xf>
    <xf numFmtId="3" fontId="4" fillId="3" borderId="33" xfId="0" applyNumberFormat="1" applyFont="1" applyBorder="1" applyAlignment="1">
      <alignment horizontal="right" vertical="center"/>
    </xf>
    <xf numFmtId="3" fontId="4" fillId="3" borderId="32" xfId="0" applyNumberFormat="1" applyFont="1" applyBorder="1" applyAlignment="1">
      <alignment horizontal="right" vertical="center"/>
    </xf>
    <xf numFmtId="3" fontId="4" fillId="0" borderId="0" xfId="0" applyNumberFormat="1" applyFont="1" applyFill="1" applyAlignment="1">
      <alignment horizontal="right" vertical="center"/>
    </xf>
    <xf numFmtId="0" fontId="4" fillId="4" borderId="34" xfId="0" applyFont="1" applyFill="1" applyBorder="1" applyAlignment="1">
      <alignment vertical="center" wrapText="1"/>
    </xf>
    <xf numFmtId="3" fontId="4" fillId="3" borderId="35" xfId="0" applyNumberFormat="1" applyFont="1" applyBorder="1" applyAlignment="1">
      <alignment horizontal="right" vertical="center"/>
    </xf>
    <xf numFmtId="3" fontId="4" fillId="3" borderId="23" xfId="0" applyNumberFormat="1" applyFont="1" applyBorder="1" applyAlignment="1">
      <alignment horizontal="right" vertical="center"/>
    </xf>
    <xf numFmtId="3" fontId="4" fillId="3" borderId="36" xfId="0" applyNumberFormat="1" applyFont="1" applyBorder="1" applyAlignment="1">
      <alignment horizontal="right" vertical="center"/>
    </xf>
    <xf numFmtId="0" fontId="6" fillId="36" borderId="8" xfId="0" applyFont="1" applyFill="1" applyBorder="1" applyAlignment="1">
      <alignment horizontal="center" vertical="center" wrapText="1"/>
    </xf>
    <xf numFmtId="3" fontId="3" fillId="3" borderId="8" xfId="40" applyNumberFormat="1" applyFont="1" applyFill="1" applyBorder="1" applyAlignment="1">
      <alignment horizontal="right" vertical="center" wrapText="1"/>
    </xf>
    <xf numFmtId="3" fontId="6" fillId="4" borderId="8" xfId="40" applyNumberFormat="1" applyFont="1" applyFill="1" applyBorder="1" applyAlignment="1">
      <alignment horizontal="right" vertical="center" wrapText="1"/>
    </xf>
    <xf numFmtId="3" fontId="5" fillId="36" borderId="45" xfId="0" applyNumberFormat="1" applyFont="1" applyFill="1" applyBorder="1" applyAlignment="1">
      <alignment vertical="center"/>
    </xf>
    <xf numFmtId="3" fontId="4" fillId="3" borderId="47" xfId="0" applyNumberFormat="1" applyFont="1" applyBorder="1" applyAlignment="1">
      <alignment horizontal="right" vertical="center"/>
    </xf>
    <xf numFmtId="3" fontId="4" fillId="3" borderId="25" xfId="0" applyNumberFormat="1" applyFont="1" applyBorder="1" applyAlignment="1">
      <alignment horizontal="right" vertical="center"/>
    </xf>
    <xf numFmtId="3" fontId="4" fillId="3" borderId="46" xfId="0" applyNumberFormat="1" applyFont="1" applyBorder="1" applyAlignment="1">
      <alignment horizontal="right" vertical="center"/>
    </xf>
    <xf numFmtId="3" fontId="5" fillId="36" borderId="48" xfId="0" applyNumberFormat="1" applyFont="1" applyFill="1" applyBorder="1" applyAlignment="1">
      <alignment vertical="center"/>
    </xf>
    <xf numFmtId="0" fontId="0" fillId="4" borderId="50" xfId="0" applyFill="1" applyBorder="1"/>
    <xf numFmtId="0" fontId="0" fillId="3" borderId="51" xfId="0" applyBorder="1"/>
    <xf numFmtId="3" fontId="4" fillId="3" borderId="51" xfId="0" applyNumberFormat="1" applyFont="1" applyBorder="1" applyAlignment="1">
      <alignment horizontal="right" vertical="center"/>
    </xf>
    <xf numFmtId="3" fontId="4" fillId="3" borderId="50" xfId="0" applyNumberFormat="1" applyFont="1" applyBorder="1" applyAlignment="1">
      <alignment horizontal="right" vertical="center"/>
    </xf>
    <xf numFmtId="3" fontId="4" fillId="3" borderId="49" xfId="0" applyNumberFormat="1" applyFont="1" applyBorder="1" applyAlignment="1">
      <alignment horizontal="right" vertical="center"/>
    </xf>
    <xf numFmtId="0" fontId="0" fillId="3" borderId="50" xfId="0" applyBorder="1"/>
    <xf numFmtId="0" fontId="4" fillId="0" borderId="8" xfId="0" applyFont="1" applyFill="1" applyBorder="1" applyAlignment="1">
      <alignment horizontal="left" vertical="center" wrapText="1"/>
    </xf>
    <xf numFmtId="0" fontId="0" fillId="0" borderId="8" xfId="0" applyFill="1" applyBorder="1" applyAlignment="1">
      <alignment horizontal="center" vertical="center" wrapText="1"/>
    </xf>
    <xf numFmtId="1" fontId="34" fillId="0" borderId="0" xfId="0" applyNumberFormat="1" applyFont="1" applyFill="1" applyAlignment="1">
      <alignment horizontal="center" vertical="center"/>
    </xf>
    <xf numFmtId="1" fontId="0" fillId="3" borderId="0" xfId="0" applyNumberFormat="1"/>
    <xf numFmtId="0" fontId="6" fillId="3" borderId="0" xfId="0" applyFont="1" applyAlignment="1">
      <alignment vertical="center" wrapText="1"/>
    </xf>
    <xf numFmtId="0" fontId="6" fillId="3" borderId="0" xfId="0" applyFont="1" applyAlignment="1">
      <alignment horizontal="center" vertical="center" wrapText="1"/>
    </xf>
    <xf numFmtId="3" fontId="5" fillId="4" borderId="25" xfId="0" applyNumberFormat="1" applyFont="1" applyFill="1" applyBorder="1" applyAlignment="1">
      <alignment horizontal="right" vertical="center"/>
    </xf>
    <xf numFmtId="3" fontId="4" fillId="3" borderId="53" xfId="0" applyNumberFormat="1" applyFont="1" applyBorder="1" applyAlignment="1">
      <alignment horizontal="right" vertical="center"/>
    </xf>
    <xf numFmtId="3" fontId="5" fillId="4" borderId="0" xfId="0" applyNumberFormat="1" applyFont="1" applyFill="1" applyAlignment="1">
      <alignment horizontal="right" vertical="center"/>
    </xf>
    <xf numFmtId="3" fontId="4" fillId="3" borderId="29" xfId="0" applyNumberFormat="1" applyFont="1" applyBorder="1" applyAlignment="1">
      <alignment horizontal="right" vertical="center"/>
    </xf>
    <xf numFmtId="0" fontId="5" fillId="4" borderId="54" xfId="0" applyFont="1" applyFill="1" applyBorder="1" applyAlignment="1">
      <alignment horizontal="right" vertical="center"/>
    </xf>
    <xf numFmtId="0" fontId="5" fillId="4" borderId="55" xfId="0" applyFont="1" applyFill="1" applyBorder="1" applyAlignment="1">
      <alignment horizontal="right" vertical="center"/>
    </xf>
    <xf numFmtId="0" fontId="5" fillId="4" borderId="56" xfId="0" applyFont="1" applyFill="1" applyBorder="1" applyAlignment="1">
      <alignment horizontal="right" vertical="center"/>
    </xf>
    <xf numFmtId="3" fontId="3" fillId="3" borderId="18" xfId="0" applyNumberFormat="1" applyFont="1" applyBorder="1" applyAlignment="1">
      <alignment horizontal="right" wrapText="1"/>
    </xf>
    <xf numFmtId="3" fontId="3" fillId="3" borderId="15" xfId="0" applyNumberFormat="1" applyFont="1" applyBorder="1" applyAlignment="1">
      <alignment wrapText="1"/>
    </xf>
    <xf numFmtId="9" fontId="3" fillId="3" borderId="52" xfId="0" applyNumberFormat="1" applyFont="1" applyBorder="1" applyAlignment="1">
      <alignment wrapText="1"/>
    </xf>
    <xf numFmtId="3" fontId="3" fillId="3" borderId="0" xfId="0" applyNumberFormat="1" applyFont="1" applyAlignment="1">
      <alignment wrapText="1"/>
    </xf>
    <xf numFmtId="3" fontId="3" fillId="3" borderId="0" xfId="0" applyNumberFormat="1" applyFont="1" applyAlignment="1">
      <alignment horizontal="right" wrapText="1"/>
    </xf>
    <xf numFmtId="9" fontId="3" fillId="3" borderId="0" xfId="0" applyNumberFormat="1" applyFont="1" applyAlignment="1">
      <alignment horizontal="right" wrapText="1"/>
    </xf>
    <xf numFmtId="0" fontId="3" fillId="3" borderId="9" xfId="0" applyFont="1" applyBorder="1"/>
    <xf numFmtId="0" fontId="3" fillId="3" borderId="11" xfId="0" applyFont="1" applyBorder="1"/>
    <xf numFmtId="3" fontId="3" fillId="3" borderId="26" xfId="0" applyNumberFormat="1" applyFont="1" applyBorder="1" applyAlignment="1">
      <alignment horizontal="right"/>
    </xf>
    <xf numFmtId="3" fontId="3" fillId="3" borderId="0" xfId="0" applyNumberFormat="1" applyFont="1" applyAlignment="1">
      <alignment horizontal="left"/>
    </xf>
    <xf numFmtId="0" fontId="6" fillId="36" borderId="10" xfId="0" applyFont="1" applyFill="1" applyBorder="1" applyAlignment="1">
      <alignment horizontal="center"/>
    </xf>
    <xf numFmtId="0" fontId="3" fillId="3" borderId="0" xfId="0" applyFont="1" applyAlignment="1">
      <alignment vertical="center"/>
    </xf>
    <xf numFmtId="0" fontId="4" fillId="2" borderId="25" xfId="0" applyFont="1" applyFill="1" applyBorder="1" applyAlignment="1">
      <alignment horizontal="center" vertical="center"/>
    </xf>
    <xf numFmtId="0" fontId="3" fillId="36" borderId="57" xfId="0" applyFont="1" applyFill="1" applyBorder="1" applyAlignment="1">
      <alignment horizontal="center" vertical="center"/>
    </xf>
    <xf numFmtId="3" fontId="3" fillId="0" borderId="10" xfId="0" applyNumberFormat="1" applyFont="1" applyFill="1" applyBorder="1" applyAlignment="1">
      <alignment horizontal="right"/>
    </xf>
    <xf numFmtId="3" fontId="6" fillId="4" borderId="10" xfId="0" applyNumberFormat="1" applyFont="1" applyFill="1" applyBorder="1" applyAlignment="1">
      <alignment horizontal="right"/>
    </xf>
    <xf numFmtId="0" fontId="5" fillId="0" borderId="0" xfId="0" applyFont="1" applyFill="1" applyAlignment="1">
      <alignment horizontal="left" vertical="top" wrapText="1"/>
    </xf>
    <xf numFmtId="14" fontId="5" fillId="0" borderId="0" xfId="0" applyNumberFormat="1" applyFont="1" applyFill="1" applyAlignment="1">
      <alignment horizontal="left" vertical="top" wrapText="1"/>
    </xf>
    <xf numFmtId="3" fontId="5" fillId="0" borderId="0" xfId="0" applyNumberFormat="1" applyFont="1" applyFill="1" applyAlignment="1">
      <alignment horizontal="left" vertical="top" wrapText="1"/>
    </xf>
    <xf numFmtId="0" fontId="34" fillId="0" borderId="0" xfId="0" applyFont="1" applyFill="1" applyAlignment="1">
      <alignment horizontal="center" vertical="center"/>
    </xf>
    <xf numFmtId="0" fontId="34" fillId="0" borderId="0" xfId="0" applyFont="1" applyFill="1" applyAlignment="1">
      <alignment vertical="center"/>
    </xf>
    <xf numFmtId="0" fontId="34" fillId="0" borderId="0" xfId="0" applyFont="1" applyFill="1" applyAlignment="1">
      <alignment horizontal="right" vertical="center"/>
    </xf>
    <xf numFmtId="14" fontId="34" fillId="0" borderId="0" xfId="0" applyNumberFormat="1" applyFont="1" applyFill="1" applyAlignment="1">
      <alignment horizontal="center" vertical="center"/>
    </xf>
    <xf numFmtId="14" fontId="34" fillId="0" borderId="0" xfId="0" applyNumberFormat="1" applyFont="1" applyFill="1" applyAlignment="1">
      <alignment horizontal="right" vertical="center"/>
    </xf>
    <xf numFmtId="0" fontId="31" fillId="0" borderId="0" xfId="0" applyFont="1" applyFill="1" applyAlignment="1">
      <alignment horizontal="center"/>
    </xf>
    <xf numFmtId="1" fontId="31" fillId="0" borderId="0" xfId="0" applyNumberFormat="1" applyFont="1" applyFill="1" applyAlignment="1">
      <alignment horizontal="center"/>
    </xf>
    <xf numFmtId="0" fontId="31" fillId="0" borderId="0" xfId="0" applyFont="1" applyFill="1"/>
    <xf numFmtId="14" fontId="31" fillId="0" borderId="0" xfId="0" applyNumberFormat="1" applyFont="1" applyFill="1" applyAlignment="1">
      <alignment horizontal="center"/>
    </xf>
    <xf numFmtId="14" fontId="31" fillId="0" borderId="0" xfId="0" applyNumberFormat="1" applyFont="1" applyFill="1"/>
    <xf numFmtId="0" fontId="4" fillId="0" borderId="0" xfId="0" applyFont="1" applyFill="1" applyAlignment="1">
      <alignment horizontal="center"/>
    </xf>
    <xf numFmtId="0" fontId="4" fillId="0" borderId="0" xfId="0" applyFont="1" applyFill="1"/>
    <xf numFmtId="14" fontId="4" fillId="0" borderId="0" xfId="0" applyNumberFormat="1" applyFont="1" applyFill="1" applyAlignment="1">
      <alignment horizontal="center"/>
    </xf>
    <xf numFmtId="0" fontId="4" fillId="0" borderId="0" xfId="0" applyFont="1" applyFill="1" applyAlignment="1">
      <alignment horizontal="right"/>
    </xf>
    <xf numFmtId="3" fontId="4" fillId="0" borderId="0" xfId="0" applyNumberFormat="1" applyFont="1" applyFill="1"/>
    <xf numFmtId="164" fontId="5" fillId="0" borderId="0" xfId="0" applyNumberFormat="1" applyFont="1" applyFill="1" applyAlignment="1">
      <alignment horizontal="left" vertical="top" wrapText="1"/>
    </xf>
    <xf numFmtId="166" fontId="5" fillId="0" borderId="0" xfId="0" applyNumberFormat="1" applyFont="1" applyFill="1" applyAlignment="1">
      <alignment horizontal="left" vertical="top" wrapText="1"/>
    </xf>
    <xf numFmtId="0" fontId="4" fillId="0" borderId="0" xfId="0" applyFont="1" applyFill="1" applyAlignment="1">
      <alignment horizontal="right" vertical="center"/>
    </xf>
    <xf numFmtId="0" fontId="4" fillId="0" borderId="0" xfId="0" applyFont="1" applyFill="1" applyAlignment="1">
      <alignment vertical="center"/>
    </xf>
    <xf numFmtId="14" fontId="4" fillId="0" borderId="0" xfId="0" applyNumberFormat="1" applyFont="1" applyFill="1" applyAlignment="1">
      <alignment horizontal="right" vertical="center"/>
    </xf>
    <xf numFmtId="0" fontId="4" fillId="0" borderId="0" xfId="0" applyFont="1" applyFill="1" applyAlignment="1">
      <alignment horizontal="center" vertical="center"/>
    </xf>
    <xf numFmtId="14" fontId="4" fillId="0" borderId="0" xfId="0" applyNumberFormat="1" applyFont="1" applyFill="1" applyAlignment="1">
      <alignment horizontal="center" vertical="center"/>
    </xf>
    <xf numFmtId="2" fontId="4" fillId="0" borderId="0" xfId="0" applyNumberFormat="1" applyFont="1" applyFill="1" applyAlignment="1">
      <alignment horizontal="right" vertical="center"/>
    </xf>
    <xf numFmtId="1" fontId="4" fillId="0" borderId="0" xfId="0" applyNumberFormat="1" applyFont="1" applyFill="1" applyAlignment="1">
      <alignment horizontal="left"/>
    </xf>
    <xf numFmtId="1" fontId="4" fillId="0" borderId="0" xfId="0" applyNumberFormat="1" applyFont="1" applyFill="1" applyAlignment="1">
      <alignment horizontal="center"/>
    </xf>
    <xf numFmtId="3" fontId="4" fillId="0" borderId="0" xfId="0" applyNumberFormat="1" applyFont="1" applyFill="1" applyAlignment="1">
      <alignment horizontal="center"/>
    </xf>
    <xf numFmtId="0" fontId="4" fillId="0" borderId="0" xfId="0" applyFont="1" applyFill="1" applyAlignment="1">
      <alignment horizontal="left" vertical="center"/>
    </xf>
    <xf numFmtId="1" fontId="4" fillId="0" borderId="0" xfId="0" applyNumberFormat="1" applyFont="1" applyFill="1"/>
    <xf numFmtId="0" fontId="4" fillId="0" borderId="0" xfId="0" applyFont="1" applyFill="1" applyAlignment="1">
      <alignment horizontal="left"/>
    </xf>
    <xf numFmtId="1" fontId="4" fillId="0" borderId="0" xfId="0" applyNumberFormat="1" applyFont="1" applyFill="1" applyAlignment="1">
      <alignment horizontal="center" vertical="center"/>
    </xf>
    <xf numFmtId="165" fontId="4" fillId="0" borderId="0" xfId="0" applyNumberFormat="1" applyFont="1" applyFill="1" applyAlignment="1">
      <alignment horizontal="center"/>
    </xf>
    <xf numFmtId="49" fontId="4" fillId="0" borderId="0" xfId="0" applyNumberFormat="1" applyFont="1" applyFill="1" applyAlignment="1">
      <alignment horizontal="center"/>
    </xf>
    <xf numFmtId="164" fontId="4" fillId="0" borderId="0" xfId="0" applyNumberFormat="1" applyFont="1" applyFill="1" applyAlignment="1">
      <alignment horizontal="center"/>
    </xf>
    <xf numFmtId="3" fontId="4" fillId="0" borderId="0" xfId="0" applyNumberFormat="1" applyFont="1" applyFill="1" applyAlignment="1">
      <alignment horizontal="right"/>
    </xf>
    <xf numFmtId="166" fontId="4" fillId="0" borderId="0" xfId="0" applyNumberFormat="1" applyFont="1" applyFill="1" applyAlignment="1">
      <alignment horizontal="right"/>
    </xf>
    <xf numFmtId="0" fontId="4" fillId="37" borderId="0" xfId="0" applyFont="1" applyFill="1"/>
    <xf numFmtId="0" fontId="36" fillId="0" borderId="0" xfId="0" applyFont="1" applyFill="1" applyAlignment="1">
      <alignment horizontal="center"/>
    </xf>
    <xf numFmtId="49" fontId="5" fillId="0" borderId="0" xfId="0" applyNumberFormat="1" applyFont="1" applyFill="1" applyAlignment="1">
      <alignment horizontal="left" vertical="top" wrapText="1"/>
    </xf>
    <xf numFmtId="0" fontId="6" fillId="36" borderId="15" xfId="0" applyFont="1" applyFill="1" applyBorder="1" applyAlignment="1">
      <alignment horizontal="center" vertical="center" wrapText="1"/>
    </xf>
    <xf numFmtId="3" fontId="6" fillId="36" borderId="59" xfId="0" applyNumberFormat="1" applyFont="1" applyFill="1" applyBorder="1" applyAlignment="1">
      <alignment horizontal="center" vertical="center" wrapText="1"/>
    </xf>
    <xf numFmtId="0" fontId="34" fillId="0" borderId="0" xfId="0" applyFont="1" applyFill="1" applyAlignment="1">
      <alignment horizontal="right" vertical="center" wrapText="1"/>
    </xf>
    <xf numFmtId="0" fontId="4" fillId="0" borderId="58" xfId="0" applyFont="1" applyFill="1" applyBorder="1" applyAlignment="1">
      <alignment horizontal="right" vertical="center"/>
    </xf>
    <xf numFmtId="0" fontId="34" fillId="0" borderId="0" xfId="0" applyFont="1" applyFill="1" applyAlignment="1">
      <alignment vertical="center" wrapText="1"/>
    </xf>
    <xf numFmtId="0" fontId="4" fillId="0" borderId="58" xfId="0" applyFont="1" applyFill="1" applyBorder="1" applyAlignment="1">
      <alignment vertical="center"/>
    </xf>
    <xf numFmtId="14" fontId="34" fillId="0" borderId="0" xfId="0" applyNumberFormat="1" applyFont="1" applyFill="1" applyAlignment="1">
      <alignment horizontal="right" vertical="center" wrapText="1"/>
    </xf>
    <xf numFmtId="14" fontId="4" fillId="0" borderId="58" xfId="0" applyNumberFormat="1" applyFont="1" applyFill="1" applyBorder="1" applyAlignment="1">
      <alignment horizontal="right" vertical="center"/>
    </xf>
    <xf numFmtId="0" fontId="34" fillId="0" borderId="0" xfId="0" applyFont="1" applyFill="1" applyAlignment="1">
      <alignment horizontal="center" vertical="center" wrapText="1"/>
    </xf>
    <xf numFmtId="0" fontId="4" fillId="0" borderId="58" xfId="0" applyFont="1" applyFill="1" applyBorder="1" applyAlignment="1">
      <alignment horizontal="center" vertical="center"/>
    </xf>
    <xf numFmtId="14" fontId="34" fillId="0" borderId="0" xfId="0" applyNumberFormat="1" applyFont="1" applyFill="1" applyAlignment="1">
      <alignment horizontal="center" vertical="center" wrapText="1"/>
    </xf>
    <xf numFmtId="14" fontId="4" fillId="0" borderId="58" xfId="0" applyNumberFormat="1" applyFont="1" applyFill="1" applyBorder="1" applyAlignment="1">
      <alignment horizontal="center" vertical="center"/>
    </xf>
    <xf numFmtId="2" fontId="34" fillId="0" borderId="0" xfId="0" applyNumberFormat="1" applyFont="1" applyFill="1" applyAlignment="1">
      <alignment horizontal="right" vertical="center" wrapText="1"/>
    </xf>
    <xf numFmtId="2" fontId="4" fillId="0" borderId="58" xfId="0" applyNumberFormat="1" applyFont="1" applyFill="1" applyBorder="1" applyAlignment="1">
      <alignment horizontal="right" vertical="center"/>
    </xf>
    <xf numFmtId="0" fontId="6" fillId="36" borderId="8" xfId="0" applyFont="1" applyFill="1" applyBorder="1"/>
    <xf numFmtId="0" fontId="3" fillId="2" borderId="8" xfId="0" applyFont="1" applyFill="1" applyBorder="1" applyAlignment="1">
      <alignmen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3" fontId="3" fillId="0" borderId="8" xfId="0" applyNumberFormat="1" applyFont="1" applyFill="1" applyBorder="1" applyAlignment="1">
      <alignment horizontal="right"/>
    </xf>
    <xf numFmtId="0" fontId="3" fillId="0" borderId="8" xfId="0" applyFont="1" applyFill="1" applyBorder="1" applyAlignment="1">
      <alignment horizontal="left"/>
    </xf>
    <xf numFmtId="3" fontId="6" fillId="4" borderId="8" xfId="44" applyNumberFormat="1" applyFont="1" applyFill="1" applyBorder="1" applyAlignment="1">
      <alignment horizontal="left"/>
    </xf>
    <xf numFmtId="0" fontId="3" fillId="0" borderId="8" xfId="0" applyFont="1" applyFill="1" applyBorder="1"/>
    <xf numFmtId="0" fontId="6" fillId="36" borderId="8" xfId="0" applyFont="1" applyFill="1" applyBorder="1" applyAlignment="1">
      <alignment horizontal="center"/>
    </xf>
    <xf numFmtId="0" fontId="6" fillId="36" borderId="9" xfId="0" applyFont="1" applyFill="1" applyBorder="1" applyAlignment="1">
      <alignment horizontal="center"/>
    </xf>
    <xf numFmtId="0" fontId="6" fillId="36" borderId="10" xfId="0" applyFont="1" applyFill="1" applyBorder="1" applyAlignment="1">
      <alignment horizontal="center"/>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4" borderId="8" xfId="0" applyFont="1" applyFill="1" applyBorder="1"/>
    <xf numFmtId="0" fontId="6" fillId="36" borderId="8" xfId="0" applyFont="1" applyFill="1" applyBorder="1" applyAlignment="1">
      <alignment horizontal="center" vertical="center" wrapText="1"/>
    </xf>
    <xf numFmtId="0" fontId="6" fillId="36" borderId="12" xfId="0" applyFont="1" applyFill="1" applyBorder="1" applyAlignment="1">
      <alignment horizontal="center" vertical="center"/>
    </xf>
    <xf numFmtId="0" fontId="6" fillId="36" borderId="13" xfId="0" applyFont="1" applyFill="1" applyBorder="1" applyAlignment="1">
      <alignment horizontal="center" vertical="center"/>
    </xf>
    <xf numFmtId="0" fontId="6" fillId="36" borderId="14" xfId="0" applyFont="1" applyFill="1" applyBorder="1" applyAlignment="1">
      <alignment horizontal="center" vertical="center"/>
    </xf>
    <xf numFmtId="0" fontId="6" fillId="36" borderId="21" xfId="0" applyFont="1" applyFill="1" applyBorder="1" applyAlignment="1">
      <alignment horizontal="center" vertical="center"/>
    </xf>
    <xf numFmtId="0" fontId="6" fillId="36" borderId="8" xfId="0" applyFont="1" applyFill="1" applyBorder="1" applyAlignment="1">
      <alignment horizontal="center" vertical="center"/>
    </xf>
    <xf numFmtId="0" fontId="3" fillId="2" borderId="8" xfId="0" applyFont="1" applyFill="1" applyBorder="1" applyAlignment="1">
      <alignment horizontal="left"/>
    </xf>
    <xf numFmtId="0" fontId="6" fillId="36" borderId="8" xfId="0" applyFont="1" applyFill="1" applyBorder="1" applyAlignment="1">
      <alignment horizontal="left" vertical="center" wrapText="1"/>
    </xf>
    <xf numFmtId="0" fontId="6" fillId="4" borderId="8" xfId="0" applyFont="1" applyFill="1" applyBorder="1" applyAlignment="1">
      <alignment wrapText="1"/>
    </xf>
    <xf numFmtId="0" fontId="6" fillId="4" borderId="8"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6" fillId="36" borderId="22" xfId="0" applyFont="1" applyFill="1" applyBorder="1" applyAlignment="1">
      <alignment horizontal="center" vertical="center" wrapText="1"/>
    </xf>
    <xf numFmtId="0" fontId="6" fillId="36" borderId="12" xfId="0" applyFont="1" applyFill="1" applyBorder="1" applyAlignment="1">
      <alignment horizontal="center" vertical="center" wrapText="1"/>
    </xf>
    <xf numFmtId="0" fontId="6" fillId="36" borderId="19" xfId="0" applyFont="1" applyFill="1" applyBorder="1" applyAlignment="1">
      <alignment horizontal="center" vertical="center" wrapText="1"/>
    </xf>
    <xf numFmtId="0" fontId="6" fillId="36" borderId="13" xfId="0" applyFont="1" applyFill="1" applyBorder="1" applyAlignment="1">
      <alignment horizontal="center" vertical="center" wrapText="1"/>
    </xf>
    <xf numFmtId="0" fontId="6" fillId="36" borderId="15" xfId="0" applyFont="1" applyFill="1" applyBorder="1" applyAlignment="1">
      <alignment horizontal="center" vertical="center" wrapText="1"/>
    </xf>
    <xf numFmtId="0" fontId="6" fillId="36" borderId="20" xfId="0" applyFont="1" applyFill="1" applyBorder="1" applyAlignment="1">
      <alignment horizontal="center" vertical="center" wrapText="1"/>
    </xf>
    <xf numFmtId="0" fontId="6" fillId="36" borderId="16" xfId="0" applyFont="1" applyFill="1" applyBorder="1" applyAlignment="1">
      <alignment horizontal="center" vertical="center" wrapText="1"/>
    </xf>
    <xf numFmtId="0" fontId="35" fillId="36" borderId="38" xfId="0" applyFont="1" applyFill="1" applyBorder="1" applyAlignment="1">
      <alignment horizontal="center" vertical="center" wrapText="1"/>
    </xf>
    <xf numFmtId="0" fontId="35" fillId="36" borderId="15" xfId="0" applyFont="1" applyFill="1" applyBorder="1" applyAlignment="1">
      <alignment horizontal="center" vertical="center" wrapText="1"/>
    </xf>
    <xf numFmtId="0" fontId="35" fillId="36" borderId="39" xfId="0" applyFont="1" applyFill="1" applyBorder="1" applyAlignment="1">
      <alignment horizontal="center" vertical="center" wrapText="1"/>
    </xf>
    <xf numFmtId="0" fontId="35" fillId="36" borderId="37" xfId="0" applyFont="1" applyFill="1" applyBorder="1" applyAlignment="1">
      <alignment horizontal="center" vertical="center" wrapText="1"/>
    </xf>
    <xf numFmtId="0" fontId="6" fillId="36" borderId="40" xfId="0" applyFont="1" applyFill="1" applyBorder="1" applyAlignment="1">
      <alignment horizontal="center" vertical="center" wrapText="1"/>
    </xf>
    <xf numFmtId="0" fontId="6" fillId="36" borderId="41" xfId="0" applyFont="1" applyFill="1" applyBorder="1" applyAlignment="1">
      <alignment horizontal="center" vertical="center" wrapText="1"/>
    </xf>
    <xf numFmtId="0" fontId="6" fillId="36" borderId="38" xfId="0" applyFont="1" applyFill="1" applyBorder="1" applyAlignment="1">
      <alignment horizontal="center" vertical="center" wrapText="1"/>
    </xf>
    <xf numFmtId="0" fontId="6" fillId="36" borderId="42" xfId="0" applyFont="1" applyFill="1" applyBorder="1" applyAlignment="1">
      <alignment horizontal="center" vertical="center" wrapText="1"/>
    </xf>
    <xf numFmtId="0" fontId="35" fillId="36" borderId="43" xfId="0" applyFont="1" applyFill="1" applyBorder="1" applyAlignment="1">
      <alignment horizontal="center" vertical="center" wrapText="1"/>
    </xf>
    <xf numFmtId="0" fontId="35" fillId="36" borderId="44" xfId="0" applyFont="1" applyFill="1" applyBorder="1" applyAlignment="1">
      <alignment horizontal="center" vertical="center" wrapText="1"/>
    </xf>
    <xf numFmtId="0" fontId="35" fillId="36" borderId="42" xfId="0" applyFont="1" applyFill="1" applyBorder="1" applyAlignment="1">
      <alignment horizontal="center" vertical="center" wrapText="1"/>
    </xf>
    <xf numFmtId="0" fontId="35" fillId="36" borderId="16" xfId="0" applyFont="1" applyFill="1" applyBorder="1" applyAlignment="1">
      <alignment horizontal="center" vertical="center" wrapText="1"/>
    </xf>
    <xf numFmtId="0" fontId="33" fillId="3" borderId="0" xfId="41" applyFill="1" applyBorder="1" applyAlignment="1">
      <alignment horizontal="center" vertical="center" wrapText="1"/>
    </xf>
    <xf numFmtId="0" fontId="3" fillId="4" borderId="8" xfId="0" applyFont="1" applyFill="1" applyBorder="1"/>
    <xf numFmtId="0" fontId="3" fillId="2" borderId="8" xfId="0" applyFont="1" applyFill="1" applyBorder="1"/>
    <xf numFmtId="0" fontId="6" fillId="36" borderId="14"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4" fillId="3" borderId="9" xfId="0" applyFont="1" applyBorder="1"/>
    <xf numFmtId="0" fontId="4" fillId="3" borderId="11" xfId="0" applyFont="1" applyBorder="1"/>
    <xf numFmtId="0" fontId="4" fillId="3" borderId="10" xfId="0" applyFont="1" applyBorder="1"/>
    <xf numFmtId="0" fontId="6" fillId="36" borderId="9" xfId="0" applyFont="1" applyFill="1" applyBorder="1" applyAlignment="1">
      <alignment horizontal="center" vertical="center" wrapText="1"/>
    </xf>
    <xf numFmtId="0" fontId="6" fillId="36" borderId="11" xfId="0" applyFont="1" applyFill="1" applyBorder="1" applyAlignment="1">
      <alignment horizontal="center" vertical="center" wrapText="1"/>
    </xf>
    <xf numFmtId="0" fontId="6" fillId="36" borderId="10" xfId="0" applyFont="1" applyFill="1" applyBorder="1" applyAlignment="1">
      <alignment horizontal="center" vertical="center" wrapText="1"/>
    </xf>
    <xf numFmtId="0" fontId="3" fillId="3" borderId="9" xfId="0" applyFont="1" applyBorder="1" applyAlignment="1">
      <alignment horizontal="left" wrapText="1"/>
    </xf>
    <xf numFmtId="0" fontId="3" fillId="3" borderId="11" xfId="0" applyFont="1" applyBorder="1" applyAlignment="1">
      <alignment horizontal="left" wrapText="1"/>
    </xf>
    <xf numFmtId="0" fontId="3" fillId="3" borderId="10" xfId="0" applyFont="1" applyBorder="1" applyAlignment="1">
      <alignment horizontal="left" wrapText="1"/>
    </xf>
    <xf numFmtId="0" fontId="3" fillId="4" borderId="9" xfId="0" applyFont="1" applyFill="1" applyBorder="1" applyAlignment="1">
      <alignment horizontal="left" wrapText="1"/>
    </xf>
    <xf numFmtId="0" fontId="3" fillId="4" borderId="11" xfId="0" applyFont="1" applyFill="1" applyBorder="1" applyAlignment="1">
      <alignment horizontal="left" wrapText="1"/>
    </xf>
    <xf numFmtId="0" fontId="3" fillId="4" borderId="10" xfId="0" applyFont="1" applyFill="1" applyBorder="1" applyAlignment="1">
      <alignment horizontal="left" wrapText="1"/>
    </xf>
    <xf numFmtId="0" fontId="3" fillId="0" borderId="9" xfId="0" applyFont="1" applyFill="1" applyBorder="1" applyAlignment="1">
      <alignment wrapText="1"/>
    </xf>
    <xf numFmtId="0" fontId="3" fillId="0" borderId="11" xfId="0" applyFont="1" applyFill="1" applyBorder="1" applyAlignment="1">
      <alignment wrapText="1"/>
    </xf>
    <xf numFmtId="0" fontId="3" fillId="0" borderId="10" xfId="0" applyFont="1" applyFill="1" applyBorder="1" applyAlignment="1">
      <alignment wrapText="1"/>
    </xf>
    <xf numFmtId="0" fontId="6" fillId="4" borderId="9" xfId="0" applyFont="1" applyFill="1" applyBorder="1" applyAlignment="1">
      <alignment wrapText="1"/>
    </xf>
    <xf numFmtId="0" fontId="6" fillId="4" borderId="11" xfId="0" applyFont="1" applyFill="1" applyBorder="1" applyAlignment="1">
      <alignment wrapText="1"/>
    </xf>
    <xf numFmtId="0" fontId="6" fillId="4" borderId="10" xfId="0" applyFont="1" applyFill="1" applyBorder="1" applyAlignment="1">
      <alignment wrapText="1"/>
    </xf>
    <xf numFmtId="0" fontId="6" fillId="36" borderId="9" xfId="0" applyFont="1" applyFill="1" applyBorder="1" applyAlignment="1">
      <alignment horizontal="left"/>
    </xf>
    <xf numFmtId="0" fontId="6" fillId="36" borderId="10" xfId="0" applyFont="1" applyFill="1" applyBorder="1" applyAlignment="1">
      <alignment horizontal="left"/>
    </xf>
    <xf numFmtId="0" fontId="3" fillId="0" borderId="8" xfId="0" applyFont="1" applyFill="1" applyBorder="1" applyAlignment="1">
      <alignment horizontal="left" vertical="center"/>
    </xf>
    <xf numFmtId="0" fontId="6" fillId="4" borderId="8" xfId="0" applyFont="1" applyFill="1" applyBorder="1" applyAlignment="1">
      <alignment horizontal="left" vertical="center"/>
    </xf>
    <xf numFmtId="3" fontId="6" fillId="36" borderId="8" xfId="0" applyNumberFormat="1" applyFont="1" applyFill="1" applyBorder="1" applyAlignment="1">
      <alignment horizontal="center"/>
    </xf>
    <xf numFmtId="0" fontId="3" fillId="0" borderId="9" xfId="0" applyFont="1" applyFill="1" applyBorder="1"/>
    <xf numFmtId="0" fontId="3" fillId="0" borderId="10" xfId="0" applyFont="1" applyFill="1" applyBorder="1"/>
    <xf numFmtId="0" fontId="6" fillId="36" borderId="8" xfId="0" applyFont="1" applyFill="1" applyBorder="1" applyAlignment="1">
      <alignment vertical="center" wrapText="1"/>
    </xf>
    <xf numFmtId="0" fontId="3" fillId="2" borderId="9" xfId="0" applyFont="1" applyFill="1" applyBorder="1"/>
    <xf numFmtId="0" fontId="3" fillId="2" borderId="11" xfId="0" applyFont="1" applyFill="1" applyBorder="1"/>
    <xf numFmtId="0" fontId="3" fillId="2" borderId="24" xfId="0" applyFont="1" applyFill="1" applyBorder="1"/>
    <xf numFmtId="0" fontId="6" fillId="36" borderId="26" xfId="0" applyFont="1" applyFill="1" applyBorder="1" applyAlignment="1">
      <alignment horizontal="left"/>
    </xf>
    <xf numFmtId="0" fontId="3" fillId="0" borderId="26" xfId="0" applyFont="1" applyFill="1" applyBorder="1" applyAlignment="1">
      <alignment horizontal="left"/>
    </xf>
    <xf numFmtId="0" fontId="6" fillId="4" borderId="26" xfId="0" applyFont="1" applyFill="1" applyBorder="1" applyAlignment="1">
      <alignment horizontal="left"/>
    </xf>
    <xf numFmtId="0" fontId="6" fillId="36" borderId="11" xfId="0" applyFont="1" applyFill="1" applyBorder="1" applyAlignment="1">
      <alignment horizontal="left"/>
    </xf>
    <xf numFmtId="0" fontId="6" fillId="36" borderId="24" xfId="0" applyFont="1" applyFill="1" applyBorder="1" applyAlignment="1">
      <alignment horizontal="left"/>
    </xf>
    <xf numFmtId="0" fontId="3" fillId="2" borderId="10" xfId="0" applyFont="1" applyFill="1" applyBorder="1"/>
    <xf numFmtId="3" fontId="6" fillId="4" borderId="8" xfId="0" applyNumberFormat="1" applyFont="1" applyFill="1" applyBorder="1" applyAlignment="1">
      <alignment horizontal="left"/>
    </xf>
    <xf numFmtId="3" fontId="6" fillId="4" borderId="9" xfId="0" applyNumberFormat="1" applyFont="1" applyFill="1" applyBorder="1" applyAlignment="1">
      <alignment horizontal="left"/>
    </xf>
    <xf numFmtId="3" fontId="6" fillId="4" borderId="11" xfId="0" applyNumberFormat="1" applyFont="1" applyFill="1" applyBorder="1" applyAlignment="1">
      <alignment horizontal="left"/>
    </xf>
    <xf numFmtId="3" fontId="6" fillId="4" borderId="24" xfId="0" applyNumberFormat="1" applyFont="1" applyFill="1" applyBorder="1" applyAlignment="1">
      <alignment horizontal="left"/>
    </xf>
    <xf numFmtId="0" fontId="3" fillId="3" borderId="8" xfId="0" applyFont="1" applyBorder="1"/>
    <xf numFmtId="0" fontId="3" fillId="36" borderId="8" xfId="0" applyFont="1" applyFill="1" applyBorder="1"/>
    <xf numFmtId="0" fontId="3" fillId="36" borderId="8" xfId="0" applyFont="1" applyFill="1" applyBorder="1" applyAlignment="1">
      <alignment horizontal="center"/>
    </xf>
    <xf numFmtId="3" fontId="6" fillId="4" borderId="8" xfId="0" applyNumberFormat="1" applyFont="1" applyFill="1" applyBorder="1" applyAlignment="1">
      <alignment horizontal="right"/>
    </xf>
    <xf numFmtId="0" fontId="3" fillId="3" borderId="9" xfId="0" applyFont="1" applyBorder="1" applyAlignment="1">
      <alignment horizontal="left"/>
    </xf>
    <xf numFmtId="0" fontId="3" fillId="3" borderId="10" xfId="0" applyFont="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44" fontId="6" fillId="36" borderId="8" xfId="28" applyFont="1" applyFill="1" applyBorder="1" applyAlignment="1">
      <alignment horizontal="center"/>
    </xf>
    <xf numFmtId="0" fontId="6" fillId="3" borderId="0" xfId="0" applyFont="1" applyAlignment="1">
      <alignment horizontal="center" vertical="center" wrapText="1"/>
    </xf>
    <xf numFmtId="0" fontId="6" fillId="36" borderId="60" xfId="0" applyFont="1" applyFill="1" applyBorder="1" applyAlignment="1">
      <alignment horizontal="center" vertical="center" wrapText="1"/>
    </xf>
    <xf numFmtId="0" fontId="6" fillId="36" borderId="61" xfId="0" applyFont="1" applyFill="1" applyBorder="1" applyAlignment="1">
      <alignment horizontal="center" vertical="center" wrapText="1"/>
    </xf>
    <xf numFmtId="0" fontId="5" fillId="36" borderId="14" xfId="0" applyFont="1" applyFill="1" applyBorder="1" applyAlignment="1">
      <alignment horizontal="left" vertical="center"/>
    </xf>
    <xf numFmtId="0" fontId="5" fillId="36" borderId="21" xfId="0" applyFont="1" applyFill="1" applyBorder="1" applyAlignment="1">
      <alignment horizontal="left" vertical="center"/>
    </xf>
    <xf numFmtId="0" fontId="5" fillId="36" borderId="17" xfId="0" applyFont="1" applyFill="1" applyBorder="1" applyAlignment="1">
      <alignment horizontal="center" vertical="center" wrapText="1"/>
    </xf>
    <xf numFmtId="0" fontId="5" fillId="36" borderId="22" xfId="0" applyFont="1" applyFill="1" applyBorder="1" applyAlignment="1">
      <alignment horizontal="center" vertical="center" wrapText="1"/>
    </xf>
    <xf numFmtId="0" fontId="5" fillId="36" borderId="18" xfId="0" applyFont="1" applyFill="1" applyBorder="1" applyAlignment="1">
      <alignment horizontal="center" vertical="center" wrapText="1"/>
    </xf>
    <xf numFmtId="0" fontId="5" fillId="36" borderId="9" xfId="0" applyFont="1" applyFill="1" applyBorder="1" applyAlignment="1">
      <alignment horizontal="left" vertical="center"/>
    </xf>
    <xf numFmtId="0" fontId="5" fillId="36" borderId="10" xfId="0" applyFont="1" applyFill="1" applyBorder="1" applyAlignment="1">
      <alignment horizontal="left" vertical="center"/>
    </xf>
    <xf numFmtId="0" fontId="5" fillId="36" borderId="9" xfId="0" applyFont="1" applyFill="1" applyBorder="1" applyAlignment="1">
      <alignment vertical="top" wrapText="1"/>
    </xf>
    <xf numFmtId="0" fontId="5" fillId="36" borderId="10" xfId="0" applyFont="1" applyFill="1" applyBorder="1" applyAlignment="1">
      <alignment vertical="top" wrapText="1"/>
    </xf>
    <xf numFmtId="0" fontId="15" fillId="2" borderId="0" xfId="0" applyFont="1" applyFill="1" applyAlignment="1">
      <alignment vertical="center" wrapText="1"/>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2" fillId="3" borderId="0" xfId="32" applyNumberFormat="1" applyFill="1" applyAlignment="1">
      <alignment horizontal="left" vertical="center" wrapText="1"/>
    </xf>
    <xf numFmtId="0" fontId="4" fillId="2" borderId="17" xfId="0" applyFont="1" applyFill="1" applyBorder="1" applyAlignment="1">
      <alignment vertical="center" wrapText="1"/>
    </xf>
    <xf numFmtId="0" fontId="4" fillId="2" borderId="22" xfId="0" applyFont="1" applyFill="1" applyBorder="1" applyAlignment="1">
      <alignment vertical="center" wrapText="1"/>
    </xf>
    <xf numFmtId="0" fontId="4" fillId="2" borderId="18" xfId="0" applyFont="1" applyFill="1" applyBorder="1" applyAlignment="1">
      <alignment vertical="center" wrapText="1"/>
    </xf>
    <xf numFmtId="0" fontId="12" fillId="2" borderId="0" xfId="32" applyNumberFormat="1" applyFill="1" applyAlignment="1">
      <alignment horizontal="left" vertical="center" wrapText="1"/>
    </xf>
    <xf numFmtId="0" fontId="15" fillId="2" borderId="0" xfId="0" applyFont="1" applyFill="1" applyAlignment="1">
      <alignment horizontal="left" vertical="center" wrapText="1"/>
    </xf>
    <xf numFmtId="0" fontId="32" fillId="0" borderId="0" xfId="31" applyFill="1" applyBorder="1" applyAlignment="1">
      <alignment horizontal="left" wrapText="1"/>
    </xf>
    <xf numFmtId="0" fontId="12" fillId="2" borderId="0" xfId="32" applyNumberFormat="1" applyFill="1" applyAlignment="1">
      <alignment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5" fillId="36" borderId="9" xfId="0" applyFont="1" applyFill="1" applyBorder="1"/>
    <xf numFmtId="0" fontId="5" fillId="36" borderId="10" xfId="0" applyFont="1" applyFill="1" applyBorder="1"/>
    <xf numFmtId="0" fontId="32" fillId="3" borderId="0" xfId="31" applyFill="1" applyBorder="1" applyAlignmen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4" builtinId="3"/>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ustomBuiltin="1"/>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2">
    <dxf>
      <numFmt numFmtId="1" formatCode="0"/>
    </dxf>
    <dxf>
      <numFmt numFmtId="1"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BEBEBE"/>
      <color rgb="FF9966FF"/>
      <color rgb="FF66FFFF"/>
      <color rgb="FFFF9900"/>
      <color rgb="FF99CC00"/>
      <color rgb="FFFFFFCC"/>
      <color rgb="FF990033"/>
      <color rgb="FF6699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Breakdown of development pipeline (net dwellings)</a:t>
            </a:r>
          </a:p>
        </c:rich>
      </c:tx>
      <c:layout>
        <c:manualLayout>
          <c:xMode val="edge"/>
          <c:yMode val="edge"/>
          <c:x val="0.21170876367726763"/>
          <c:y val="4.1044590096628985E-3"/>
        </c:manualLayout>
      </c:layout>
      <c:overlay val="0"/>
    </c:title>
    <c:autoTitleDeleted val="0"/>
    <c:plotArea>
      <c:layout>
        <c:manualLayout>
          <c:layoutTarget val="inner"/>
          <c:xMode val="edge"/>
          <c:yMode val="edge"/>
          <c:x val="2.3867654356417294E-2"/>
          <c:y val="0.12198068991376078"/>
          <c:w val="0.82887633922808834"/>
          <c:h val="0.80159955005624295"/>
        </c:manualLayout>
      </c:layout>
      <c:barChart>
        <c:barDir val="col"/>
        <c:grouping val="clustered"/>
        <c:varyColors val="0"/>
        <c:ser>
          <c:idx val="0"/>
          <c:order val="0"/>
          <c:invertIfNegative val="0"/>
          <c:dPt>
            <c:idx val="0"/>
            <c:invertIfNegative val="0"/>
            <c:bubble3D val="0"/>
            <c:extLst>
              <c:ext xmlns:c16="http://schemas.microsoft.com/office/drawing/2014/chart" uri="{C3380CC4-5D6E-409C-BE32-E72D297353CC}">
                <c16:uniqueId val="{00000000-DCDE-4A53-BB5F-2C95ECFE0B4E}"/>
              </c:ext>
            </c:extLst>
          </c:dPt>
          <c:dPt>
            <c:idx val="1"/>
            <c:invertIfNegative val="0"/>
            <c:bubble3D val="0"/>
            <c:extLst>
              <c:ext xmlns:c16="http://schemas.microsoft.com/office/drawing/2014/chart" uri="{C3380CC4-5D6E-409C-BE32-E72D297353CC}">
                <c16:uniqueId val="{00000001-DCDE-4A53-BB5F-2C95ECFE0B4E}"/>
              </c:ext>
            </c:extLst>
          </c:dPt>
          <c:dPt>
            <c:idx val="2"/>
            <c:invertIfNegative val="0"/>
            <c:bubble3D val="0"/>
            <c:extLst>
              <c:ext xmlns:c16="http://schemas.microsoft.com/office/drawing/2014/chart" uri="{C3380CC4-5D6E-409C-BE32-E72D297353CC}">
                <c16:uniqueId val="{00000002-DCDE-4A53-BB5F-2C95ECFE0B4E}"/>
              </c:ext>
            </c:extLst>
          </c:dPt>
          <c:dPt>
            <c:idx val="3"/>
            <c:invertIfNegative val="0"/>
            <c:bubble3D val="0"/>
            <c:extLst>
              <c:ext xmlns:c16="http://schemas.microsoft.com/office/drawing/2014/chart" uri="{C3380CC4-5D6E-409C-BE32-E72D297353CC}">
                <c16:uniqueId val="{00000003-DCDE-4A53-BB5F-2C95ECFE0B4E}"/>
              </c:ext>
            </c:extLst>
          </c:dPt>
          <c:cat>
            <c:strRef>
              <c:f>'Summary Tables'!$A$38:$C$41</c:f>
              <c:strCache>
                <c:ptCount val="4"/>
                <c:pt idx="0">
                  <c:v>Under Construction</c:v>
                </c:pt>
                <c:pt idx="1">
                  <c:v>Planning Permissions</c:v>
                </c:pt>
                <c:pt idx="2">
                  <c:v>Applications Subject to Legal Agreement</c:v>
                </c:pt>
                <c:pt idx="3">
                  <c:v>Identified Sites</c:v>
                </c:pt>
              </c:strCache>
            </c:strRef>
          </c:cat>
          <c:val>
            <c:numRef>
              <c:f>'Summary Tables'!$I$38:$I$41</c:f>
              <c:numCache>
                <c:formatCode>#,##0</c:formatCode>
                <c:ptCount val="4"/>
                <c:pt idx="0">
                  <c:v>6426</c:v>
                </c:pt>
                <c:pt idx="1">
                  <c:v>8845</c:v>
                </c:pt>
                <c:pt idx="2">
                  <c:v>66</c:v>
                </c:pt>
                <c:pt idx="3">
                  <c:v>5334</c:v>
                </c:pt>
              </c:numCache>
            </c:numRef>
          </c:val>
          <c:extLst>
            <c:ext xmlns:c16="http://schemas.microsoft.com/office/drawing/2014/chart" uri="{C3380CC4-5D6E-409C-BE32-E72D297353CC}">
              <c16:uniqueId val="{00000004-DCDE-4A53-BB5F-2C95ECFE0B4E}"/>
            </c:ext>
          </c:extLst>
        </c:ser>
        <c:dLbls>
          <c:showLegendKey val="0"/>
          <c:showVal val="0"/>
          <c:showCatName val="0"/>
          <c:showSerName val="0"/>
          <c:showPercent val="0"/>
          <c:showBubbleSize val="0"/>
        </c:dLbls>
        <c:gapWidth val="40"/>
        <c:axId val="140401280"/>
        <c:axId val="140399744"/>
      </c:barChart>
      <c:valAx>
        <c:axId val="140399744"/>
        <c:scaling>
          <c:orientation val="minMax"/>
        </c:scaling>
        <c:delete val="0"/>
        <c:axPos val="l"/>
        <c:majorGridlines/>
        <c:numFmt formatCode="#,##0" sourceLinked="1"/>
        <c:majorTickMark val="out"/>
        <c:minorTickMark val="none"/>
        <c:tickLblPos val="nextTo"/>
        <c:crossAx val="140401280"/>
        <c:crosses val="autoZero"/>
        <c:crossBetween val="between"/>
      </c:valAx>
      <c:catAx>
        <c:axId val="140401280"/>
        <c:scaling>
          <c:orientation val="minMax"/>
        </c:scaling>
        <c:delete val="0"/>
        <c:axPos val="b"/>
        <c:numFmt formatCode="General" sourceLinked="0"/>
        <c:majorTickMark val="out"/>
        <c:minorTickMark val="none"/>
        <c:tickLblPos val="nextTo"/>
        <c:crossAx val="140399744"/>
        <c:crossesAt val="0"/>
        <c:auto val="0"/>
        <c:lblAlgn val="ctr"/>
        <c:lblOffset val="100"/>
        <c:noMultiLvlLbl val="0"/>
      </c:catAx>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3362720710506"/>
          <c:y val="6.9767441860465115E-2"/>
          <c:w val="0.86111344703083503"/>
          <c:h val="0.78604651162790695"/>
        </c:manualLayout>
      </c:layout>
      <c:barChart>
        <c:barDir val="col"/>
        <c:grouping val="stacked"/>
        <c:varyColors val="0"/>
        <c:ser>
          <c:idx val="0"/>
          <c:order val="0"/>
          <c:tx>
            <c:strRef>
              <c:f>'Summary Tables'!$A$97</c:f>
              <c:strCache>
                <c:ptCount val="1"/>
                <c:pt idx="0">
                  <c:v>New Build</c:v>
                </c:pt>
              </c:strCache>
            </c:strRef>
          </c:tx>
          <c:invertIfNegative val="0"/>
          <c:cat>
            <c:strRef>
              <c:f>'Summary Tables'!$C$96:$E$96</c:f>
              <c:strCache>
                <c:ptCount val="3"/>
                <c:pt idx="0">
                  <c:v>Permissions</c:v>
                </c:pt>
                <c:pt idx="1">
                  <c:v>Starts</c:v>
                </c:pt>
                <c:pt idx="2">
                  <c:v>Completions</c:v>
                </c:pt>
              </c:strCache>
            </c:strRef>
          </c:cat>
          <c:val>
            <c:numRef>
              <c:f>'Summary Tables'!$C$97:$E$97</c:f>
              <c:numCache>
                <c:formatCode>#,##0</c:formatCode>
                <c:ptCount val="3"/>
                <c:pt idx="0">
                  <c:v>2343</c:v>
                </c:pt>
                <c:pt idx="1">
                  <c:v>1653</c:v>
                </c:pt>
                <c:pt idx="2">
                  <c:v>1761</c:v>
                </c:pt>
              </c:numCache>
            </c:numRef>
          </c:val>
          <c:extLst>
            <c:ext xmlns:c16="http://schemas.microsoft.com/office/drawing/2014/chart" uri="{C3380CC4-5D6E-409C-BE32-E72D297353CC}">
              <c16:uniqueId val="{00000000-AA58-44DE-BF79-54EFAC11D956}"/>
            </c:ext>
          </c:extLst>
        </c:ser>
        <c:ser>
          <c:idx val="1"/>
          <c:order val="1"/>
          <c:tx>
            <c:strRef>
              <c:f>'Summary Tables'!$A$98</c:f>
              <c:strCache>
                <c:ptCount val="1"/>
                <c:pt idx="0">
                  <c:v>Conversions</c:v>
                </c:pt>
              </c:strCache>
            </c:strRef>
          </c:tx>
          <c:invertIfNegative val="0"/>
          <c:cat>
            <c:strRef>
              <c:f>'Summary Tables'!$C$96:$E$96</c:f>
              <c:strCache>
                <c:ptCount val="3"/>
                <c:pt idx="0">
                  <c:v>Permissions</c:v>
                </c:pt>
                <c:pt idx="1">
                  <c:v>Starts</c:v>
                </c:pt>
                <c:pt idx="2">
                  <c:v>Completions</c:v>
                </c:pt>
              </c:strCache>
            </c:strRef>
          </c:cat>
          <c:val>
            <c:numRef>
              <c:f>'Summary Tables'!$C$98:$E$98</c:f>
              <c:numCache>
                <c:formatCode>#,##0</c:formatCode>
                <c:ptCount val="3"/>
                <c:pt idx="0">
                  <c:v>227</c:v>
                </c:pt>
                <c:pt idx="1">
                  <c:v>273</c:v>
                </c:pt>
                <c:pt idx="2">
                  <c:v>238</c:v>
                </c:pt>
              </c:numCache>
            </c:numRef>
          </c:val>
          <c:extLst>
            <c:ext xmlns:c16="http://schemas.microsoft.com/office/drawing/2014/chart" uri="{C3380CC4-5D6E-409C-BE32-E72D297353CC}">
              <c16:uniqueId val="{00000001-AA58-44DE-BF79-54EFAC11D956}"/>
            </c:ext>
          </c:extLst>
        </c:ser>
        <c:dLbls>
          <c:showLegendKey val="0"/>
          <c:showVal val="0"/>
          <c:showCatName val="0"/>
          <c:showSerName val="0"/>
          <c:showPercent val="0"/>
          <c:showBubbleSize val="0"/>
        </c:dLbls>
        <c:gapWidth val="56"/>
        <c:overlap val="100"/>
        <c:axId val="141655040"/>
        <c:axId val="141656832"/>
      </c:barChart>
      <c:catAx>
        <c:axId val="141655040"/>
        <c:scaling>
          <c:orientation val="minMax"/>
        </c:scaling>
        <c:delete val="0"/>
        <c:axPos val="b"/>
        <c:numFmt formatCode="General" sourceLinked="1"/>
        <c:majorTickMark val="out"/>
        <c:minorTickMark val="none"/>
        <c:tickLblPos val="nextTo"/>
        <c:txPr>
          <a:bodyPr rot="0" vert="horz"/>
          <a:lstStyle/>
          <a:p>
            <a:pPr>
              <a:defRPr/>
            </a:pPr>
            <a:endParaRPr lang="en-US"/>
          </a:p>
        </c:txPr>
        <c:crossAx val="141656832"/>
        <c:crosses val="autoZero"/>
        <c:auto val="1"/>
        <c:lblAlgn val="ctr"/>
        <c:lblOffset val="100"/>
        <c:tickLblSkip val="1"/>
        <c:tickMarkSkip val="1"/>
        <c:noMultiLvlLbl val="0"/>
      </c:catAx>
      <c:valAx>
        <c:axId val="141656832"/>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41655040"/>
        <c:crosses val="autoZero"/>
        <c:crossBetween val="between"/>
      </c:valAx>
    </c:plotArea>
    <c:legend>
      <c:legendPos val="r"/>
      <c:layout>
        <c:manualLayout>
          <c:xMode val="edge"/>
          <c:yMode val="edge"/>
          <c:x val="0.73357206607720016"/>
          <c:y val="0.13943108213348474"/>
          <c:w val="0.2048997772828508"/>
          <c:h val="0.17154811715481172"/>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4840027565073"/>
          <c:y val="5.1903201880139423E-2"/>
          <c:w val="0.84618486063704224"/>
          <c:h val="0.76470717436738744"/>
        </c:manualLayout>
      </c:layout>
      <c:barChart>
        <c:barDir val="col"/>
        <c:grouping val="stacked"/>
        <c:varyColors val="0"/>
        <c:ser>
          <c:idx val="0"/>
          <c:order val="0"/>
          <c:tx>
            <c:strRef>
              <c:f>'Summary Tables'!$B$204:$C$204</c:f>
              <c:strCache>
                <c:ptCount val="1"/>
                <c:pt idx="0">
                  <c:v>Open Market</c:v>
                </c:pt>
              </c:strCache>
            </c:strRef>
          </c:tx>
          <c:invertIfNegative val="0"/>
          <c:cat>
            <c:strRef>
              <c:f>'Summary Tables'!$A$206:$A$222</c:f>
              <c:strCache>
                <c:ptCount val="17"/>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strCache>
            </c:strRef>
          </c:cat>
          <c:val>
            <c:numRef>
              <c:f>'Summary Tables'!$B$206:$B$222</c:f>
              <c:numCache>
                <c:formatCode>#,##0</c:formatCode>
                <c:ptCount val="17"/>
                <c:pt idx="0">
                  <c:v>1300</c:v>
                </c:pt>
                <c:pt idx="1">
                  <c:v>974</c:v>
                </c:pt>
                <c:pt idx="2">
                  <c:v>482</c:v>
                </c:pt>
                <c:pt idx="3">
                  <c:v>358</c:v>
                </c:pt>
                <c:pt idx="4">
                  <c:v>1127</c:v>
                </c:pt>
                <c:pt idx="5">
                  <c:v>1728</c:v>
                </c:pt>
                <c:pt idx="6">
                  <c:v>1075</c:v>
                </c:pt>
                <c:pt idx="7">
                  <c:v>2053</c:v>
                </c:pt>
                <c:pt idx="8">
                  <c:v>914</c:v>
                </c:pt>
                <c:pt idx="9">
                  <c:v>1686</c:v>
                </c:pt>
                <c:pt idx="10">
                  <c:v>2776</c:v>
                </c:pt>
                <c:pt idx="11">
                  <c:v>1669</c:v>
                </c:pt>
                <c:pt idx="12">
                  <c:v>1276</c:v>
                </c:pt>
                <c:pt idx="13">
                  <c:v>2884</c:v>
                </c:pt>
                <c:pt idx="14">
                  <c:v>1152</c:v>
                </c:pt>
                <c:pt idx="15">
                  <c:v>842</c:v>
                </c:pt>
                <c:pt idx="16">
                  <c:v>1547</c:v>
                </c:pt>
              </c:numCache>
            </c:numRef>
          </c:val>
          <c:extLst>
            <c:ext xmlns:c16="http://schemas.microsoft.com/office/drawing/2014/chart" uri="{C3380CC4-5D6E-409C-BE32-E72D297353CC}">
              <c16:uniqueId val="{00000000-F492-46E1-B835-A12F26DDF8C1}"/>
            </c:ext>
          </c:extLst>
        </c:ser>
        <c:ser>
          <c:idx val="1"/>
          <c:order val="1"/>
          <c:tx>
            <c:strRef>
              <c:f>'Summary Tables'!$H$204</c:f>
              <c:strCache>
                <c:ptCount val="1"/>
                <c:pt idx="0">
                  <c:v>Total Affordable</c:v>
                </c:pt>
              </c:strCache>
            </c:strRef>
          </c:tx>
          <c:invertIfNegative val="0"/>
          <c:cat>
            <c:strRef>
              <c:f>'Summary Tables'!$A$206:$A$222</c:f>
              <c:strCache>
                <c:ptCount val="17"/>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strCache>
            </c:strRef>
          </c:cat>
          <c:val>
            <c:numRef>
              <c:f>'Summary Tables'!$H$206:$H$222</c:f>
              <c:numCache>
                <c:formatCode>#,##0</c:formatCode>
                <c:ptCount val="17"/>
                <c:pt idx="0">
                  <c:v>624</c:v>
                </c:pt>
                <c:pt idx="1">
                  <c:v>662</c:v>
                </c:pt>
                <c:pt idx="2">
                  <c:v>119</c:v>
                </c:pt>
                <c:pt idx="3">
                  <c:v>104</c:v>
                </c:pt>
                <c:pt idx="4">
                  <c:v>402</c:v>
                </c:pt>
                <c:pt idx="5">
                  <c:v>432</c:v>
                </c:pt>
                <c:pt idx="6">
                  <c:v>122</c:v>
                </c:pt>
                <c:pt idx="7">
                  <c:v>339</c:v>
                </c:pt>
                <c:pt idx="8">
                  <c:v>220</c:v>
                </c:pt>
                <c:pt idx="9">
                  <c:v>237</c:v>
                </c:pt>
                <c:pt idx="10">
                  <c:v>465</c:v>
                </c:pt>
                <c:pt idx="11">
                  <c:v>431</c:v>
                </c:pt>
                <c:pt idx="12">
                  <c:v>582</c:v>
                </c:pt>
                <c:pt idx="13">
                  <c:v>1004</c:v>
                </c:pt>
                <c:pt idx="14">
                  <c:v>89</c:v>
                </c:pt>
                <c:pt idx="15">
                  <c:v>490</c:v>
                </c:pt>
                <c:pt idx="16">
                  <c:v>380</c:v>
                </c:pt>
              </c:numCache>
            </c:numRef>
          </c:val>
          <c:extLst>
            <c:ext xmlns:c16="http://schemas.microsoft.com/office/drawing/2014/chart" uri="{C3380CC4-5D6E-409C-BE32-E72D297353CC}">
              <c16:uniqueId val="{00000001-F492-46E1-B835-A12F26DDF8C1}"/>
            </c:ext>
          </c:extLst>
        </c:ser>
        <c:dLbls>
          <c:showLegendKey val="0"/>
          <c:showVal val="0"/>
          <c:showCatName val="0"/>
          <c:showSerName val="0"/>
          <c:showPercent val="0"/>
          <c:showBubbleSize val="0"/>
        </c:dLbls>
        <c:gapWidth val="40"/>
        <c:overlap val="100"/>
        <c:axId val="160195712"/>
        <c:axId val="160197248"/>
      </c:barChart>
      <c:catAx>
        <c:axId val="160195712"/>
        <c:scaling>
          <c:orientation val="minMax"/>
        </c:scaling>
        <c:delete val="0"/>
        <c:axPos val="b"/>
        <c:numFmt formatCode="General" sourceLinked="1"/>
        <c:majorTickMark val="out"/>
        <c:minorTickMark val="none"/>
        <c:tickLblPos val="nextTo"/>
        <c:txPr>
          <a:bodyPr rot="3000000" vert="horz"/>
          <a:lstStyle/>
          <a:p>
            <a:pPr>
              <a:defRPr/>
            </a:pPr>
            <a:endParaRPr lang="en-US"/>
          </a:p>
        </c:txPr>
        <c:crossAx val="160197248"/>
        <c:crosses val="autoZero"/>
        <c:auto val="1"/>
        <c:lblAlgn val="ctr"/>
        <c:lblOffset val="100"/>
        <c:tickLblSkip val="1"/>
        <c:tickMarkSkip val="1"/>
        <c:noMultiLvlLbl val="0"/>
      </c:catAx>
      <c:valAx>
        <c:axId val="160197248"/>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195712"/>
        <c:crosses val="autoZero"/>
        <c:crossBetween val="between"/>
      </c:valAx>
    </c:plotArea>
    <c:legend>
      <c:legendPos val="r"/>
      <c:layout>
        <c:manualLayout>
          <c:xMode val="edge"/>
          <c:yMode val="edge"/>
          <c:x val="0.10295748850063978"/>
          <c:y val="6.4846894138232719E-2"/>
          <c:w val="0.24597060922057706"/>
          <c:h val="0.1418685121107266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14345009199429E-2"/>
          <c:y val="4.3553869790666409E-2"/>
          <c:w val="0.91696096127518945"/>
          <c:h val="0.78192429893631721"/>
        </c:manualLayout>
      </c:layout>
      <c:barChart>
        <c:barDir val="col"/>
        <c:grouping val="stacked"/>
        <c:varyColors val="0"/>
        <c:ser>
          <c:idx val="0"/>
          <c:order val="0"/>
          <c:tx>
            <c:strRef>
              <c:f>'Summary Tables'!$B$180:$C$180</c:f>
              <c:strCache>
                <c:ptCount val="1"/>
                <c:pt idx="0">
                  <c:v>New Build</c:v>
                </c:pt>
              </c:strCache>
            </c:strRef>
          </c:tx>
          <c:invertIfNegative val="0"/>
          <c:dPt>
            <c:idx val="8"/>
            <c:invertIfNegative val="0"/>
            <c:bubble3D val="0"/>
            <c:extLst>
              <c:ext xmlns:c16="http://schemas.microsoft.com/office/drawing/2014/chart" uri="{C3380CC4-5D6E-409C-BE32-E72D297353CC}">
                <c16:uniqueId val="{00000000-C577-487E-A539-63264F86A722}"/>
              </c:ext>
            </c:extLst>
          </c:dPt>
          <c:cat>
            <c:strRef>
              <c:f>'Summary Tables'!$A$182:$A$198</c:f>
              <c:strCache>
                <c:ptCount val="17"/>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strCache>
            </c:strRef>
          </c:cat>
          <c:val>
            <c:numRef>
              <c:f>'Summary Tables'!$C$182:$C$198</c:f>
              <c:numCache>
                <c:formatCode>#,##0</c:formatCode>
                <c:ptCount val="17"/>
                <c:pt idx="0">
                  <c:v>1080</c:v>
                </c:pt>
                <c:pt idx="1">
                  <c:v>840</c:v>
                </c:pt>
                <c:pt idx="2">
                  <c:v>1385</c:v>
                </c:pt>
                <c:pt idx="3">
                  <c:v>1413</c:v>
                </c:pt>
                <c:pt idx="4">
                  <c:v>340</c:v>
                </c:pt>
                <c:pt idx="5">
                  <c:v>851</c:v>
                </c:pt>
                <c:pt idx="6">
                  <c:v>721</c:v>
                </c:pt>
                <c:pt idx="7">
                  <c:v>1079</c:v>
                </c:pt>
                <c:pt idx="8">
                  <c:v>812</c:v>
                </c:pt>
                <c:pt idx="9">
                  <c:v>2639</c:v>
                </c:pt>
                <c:pt idx="10">
                  <c:v>1968</c:v>
                </c:pt>
                <c:pt idx="11">
                  <c:v>1912</c:v>
                </c:pt>
                <c:pt idx="12">
                  <c:v>1623</c:v>
                </c:pt>
                <c:pt idx="13">
                  <c:v>1071</c:v>
                </c:pt>
                <c:pt idx="14">
                  <c:v>1214</c:v>
                </c:pt>
                <c:pt idx="15">
                  <c:v>1509</c:v>
                </c:pt>
                <c:pt idx="16">
                  <c:v>1761</c:v>
                </c:pt>
              </c:numCache>
            </c:numRef>
          </c:val>
          <c:extLst>
            <c:ext xmlns:c16="http://schemas.microsoft.com/office/drawing/2014/chart" uri="{C3380CC4-5D6E-409C-BE32-E72D297353CC}">
              <c16:uniqueId val="{00000001-C577-487E-A539-63264F86A722}"/>
            </c:ext>
          </c:extLst>
        </c:ser>
        <c:ser>
          <c:idx val="1"/>
          <c:order val="1"/>
          <c:tx>
            <c:strRef>
              <c:f>'Summary Tables'!$D$180:$E$180</c:f>
              <c:strCache>
                <c:ptCount val="1"/>
                <c:pt idx="0">
                  <c:v>Conversions</c:v>
                </c:pt>
              </c:strCache>
            </c:strRef>
          </c:tx>
          <c:invertIfNegative val="0"/>
          <c:cat>
            <c:strRef>
              <c:f>'Summary Tables'!$A$182:$A$198</c:f>
              <c:strCache>
                <c:ptCount val="17"/>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strCache>
            </c:strRef>
          </c:cat>
          <c:val>
            <c:numRef>
              <c:f>'Summary Tables'!$E$182:$E$198</c:f>
              <c:numCache>
                <c:formatCode>#,##0</c:formatCode>
                <c:ptCount val="17"/>
                <c:pt idx="0">
                  <c:v>198</c:v>
                </c:pt>
                <c:pt idx="1">
                  <c:v>191</c:v>
                </c:pt>
                <c:pt idx="2">
                  <c:v>175</c:v>
                </c:pt>
                <c:pt idx="3">
                  <c:v>126</c:v>
                </c:pt>
                <c:pt idx="4">
                  <c:v>141</c:v>
                </c:pt>
                <c:pt idx="5">
                  <c:v>128</c:v>
                </c:pt>
                <c:pt idx="6">
                  <c:v>121</c:v>
                </c:pt>
                <c:pt idx="7">
                  <c:v>118</c:v>
                </c:pt>
                <c:pt idx="8">
                  <c:v>124</c:v>
                </c:pt>
                <c:pt idx="9">
                  <c:v>137</c:v>
                </c:pt>
                <c:pt idx="10">
                  <c:v>377</c:v>
                </c:pt>
                <c:pt idx="11">
                  <c:v>124</c:v>
                </c:pt>
                <c:pt idx="12">
                  <c:v>228</c:v>
                </c:pt>
                <c:pt idx="13">
                  <c:v>259</c:v>
                </c:pt>
                <c:pt idx="14">
                  <c:v>185</c:v>
                </c:pt>
                <c:pt idx="15">
                  <c:v>450</c:v>
                </c:pt>
                <c:pt idx="16">
                  <c:v>238</c:v>
                </c:pt>
              </c:numCache>
            </c:numRef>
          </c:val>
          <c:extLst>
            <c:ext xmlns:c16="http://schemas.microsoft.com/office/drawing/2014/chart" uri="{C3380CC4-5D6E-409C-BE32-E72D297353CC}">
              <c16:uniqueId val="{00000002-C577-487E-A539-63264F86A722}"/>
            </c:ext>
          </c:extLst>
        </c:ser>
        <c:dLbls>
          <c:showLegendKey val="0"/>
          <c:showVal val="0"/>
          <c:showCatName val="0"/>
          <c:showSerName val="0"/>
          <c:showPercent val="0"/>
          <c:showBubbleSize val="0"/>
        </c:dLbls>
        <c:gapWidth val="40"/>
        <c:overlap val="100"/>
        <c:axId val="160238592"/>
        <c:axId val="160240384"/>
      </c:barChart>
      <c:catAx>
        <c:axId val="160238592"/>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40384"/>
        <c:crosses val="autoZero"/>
        <c:auto val="1"/>
        <c:lblAlgn val="ctr"/>
        <c:lblOffset val="100"/>
        <c:tickLblSkip val="1"/>
        <c:noMultiLvlLbl val="0"/>
      </c:catAx>
      <c:valAx>
        <c:axId val="160240384"/>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238592"/>
        <c:crosses val="autoZero"/>
        <c:crossBetween val="between"/>
      </c:valAx>
    </c:plotArea>
    <c:legend>
      <c:legendPos val="r"/>
      <c:layout>
        <c:manualLayout>
          <c:xMode val="edge"/>
          <c:yMode val="edge"/>
          <c:x val="7.641198696316806E-2"/>
          <c:y val="9.6359085549088966E-2"/>
          <c:w val="0.15644486746848948"/>
          <c:h val="0.11474852599946746"/>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Total net completions by tenure 2006/07 to 2022/23</a:t>
            </a:r>
          </a:p>
        </c:rich>
      </c:tx>
      <c:layout>
        <c:manualLayout>
          <c:xMode val="edge"/>
          <c:yMode val="edge"/>
          <c:x val="2.5613632466795922E-3"/>
          <c:y val="0.12239741771409007"/>
        </c:manualLayout>
      </c:layout>
      <c:overlay val="0"/>
    </c:title>
    <c:autoTitleDeleted val="0"/>
    <c:plotArea>
      <c:layout>
        <c:manualLayout>
          <c:layoutTarget val="inner"/>
          <c:xMode val="edge"/>
          <c:yMode val="edge"/>
          <c:x val="6.9681500486596465E-2"/>
          <c:y val="0.21365157480314961"/>
          <c:w val="0.56325370845498257"/>
          <c:h val="0.69624416739574224"/>
        </c:manualLayout>
      </c:layout>
      <c:pieChart>
        <c:varyColors val="1"/>
        <c:ser>
          <c:idx val="0"/>
          <c:order val="0"/>
          <c:dPt>
            <c:idx val="0"/>
            <c:bubble3D val="0"/>
            <c:extLst>
              <c:ext xmlns:c16="http://schemas.microsoft.com/office/drawing/2014/chart" uri="{C3380CC4-5D6E-409C-BE32-E72D297353CC}">
                <c16:uniqueId val="{00000000-E5D0-419B-A63C-9E095E3EEC4D}"/>
              </c:ext>
            </c:extLst>
          </c:dPt>
          <c:dPt>
            <c:idx val="1"/>
            <c:bubble3D val="0"/>
            <c:extLst>
              <c:ext xmlns:c16="http://schemas.microsoft.com/office/drawing/2014/chart" uri="{C3380CC4-5D6E-409C-BE32-E72D297353CC}">
                <c16:uniqueId val="{00000001-E5D0-419B-A63C-9E095E3EEC4D}"/>
              </c:ext>
            </c:extLst>
          </c:dPt>
          <c:dPt>
            <c:idx val="2"/>
            <c:bubble3D val="0"/>
            <c:extLst>
              <c:ext xmlns:c16="http://schemas.microsoft.com/office/drawing/2014/chart" uri="{C3380CC4-5D6E-409C-BE32-E72D297353CC}">
                <c16:uniqueId val="{00000002-E5D0-419B-A63C-9E095E3EEC4D}"/>
              </c:ext>
            </c:extLst>
          </c:dPt>
          <c:dLbls>
            <c:numFmt formatCode="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Tables'!$B$114,'Summary Tables'!$D$114,'Summary Tables'!$F$114)</c:f>
              <c:strCache>
                <c:ptCount val="3"/>
                <c:pt idx="0">
                  <c:v> Open Market</c:v>
                </c:pt>
                <c:pt idx="1">
                  <c:v>  Intermediate </c:v>
                </c:pt>
                <c:pt idx="2">
                  <c:v>  Social/Affordable Rent </c:v>
                </c:pt>
              </c:strCache>
            </c:strRef>
          </c:cat>
          <c:val>
            <c:numRef>
              <c:f>('Summary Tables'!$B$133,'Summary Tables'!$D$133,'Summary Tables'!$F$133)</c:f>
              <c:numCache>
                <c:formatCode>#,##0</c:formatCode>
                <c:ptCount val="3"/>
                <c:pt idx="0">
                  <c:v>20001</c:v>
                </c:pt>
                <c:pt idx="1">
                  <c:v>3973</c:v>
                </c:pt>
                <c:pt idx="2">
                  <c:v>1564</c:v>
                </c:pt>
              </c:numCache>
            </c:numRef>
          </c:val>
          <c:extLst>
            <c:ext xmlns:c16="http://schemas.microsoft.com/office/drawing/2014/chart" uri="{C3380CC4-5D6E-409C-BE32-E72D297353CC}">
              <c16:uniqueId val="{00000003-E5D0-419B-A63C-9E095E3EEC4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13478151914428"/>
          <c:y val="0.49175037902870838"/>
          <c:w val="0.34503092892282938"/>
          <c:h val="0.14752808072903933"/>
        </c:manualLayout>
      </c:layout>
      <c:overlay val="0"/>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331011068010791E-2"/>
          <c:y val="5.1724137931034482E-2"/>
          <c:w val="0.90647561621411332"/>
          <c:h val="0.78620689655172415"/>
        </c:manualLayout>
      </c:layout>
      <c:barChart>
        <c:barDir val="col"/>
        <c:grouping val="stacked"/>
        <c:varyColors val="0"/>
        <c:ser>
          <c:idx val="0"/>
          <c:order val="0"/>
          <c:tx>
            <c:strRef>
              <c:f>'Summary Tables'!$B$228:$C$228</c:f>
              <c:strCache>
                <c:ptCount val="1"/>
                <c:pt idx="0">
                  <c:v> New Build</c:v>
                </c:pt>
              </c:strCache>
            </c:strRef>
          </c:tx>
          <c:invertIfNegative val="0"/>
          <c:cat>
            <c:strRef>
              <c:f>'Summary Tables'!$A$230:$A$246</c:f>
              <c:strCache>
                <c:ptCount val="17"/>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strCache>
            </c:strRef>
          </c:cat>
          <c:val>
            <c:numRef>
              <c:f>'Summary Tables'!$C$230:$C$246</c:f>
              <c:numCache>
                <c:formatCode>#,##0</c:formatCode>
                <c:ptCount val="17"/>
                <c:pt idx="0">
                  <c:v>2423</c:v>
                </c:pt>
                <c:pt idx="1">
                  <c:v>1798</c:v>
                </c:pt>
                <c:pt idx="2">
                  <c:v>1486</c:v>
                </c:pt>
                <c:pt idx="3">
                  <c:v>1131</c:v>
                </c:pt>
                <c:pt idx="4">
                  <c:v>2756</c:v>
                </c:pt>
                <c:pt idx="5">
                  <c:v>10302</c:v>
                </c:pt>
                <c:pt idx="6">
                  <c:v>4632</c:v>
                </c:pt>
                <c:pt idx="7">
                  <c:v>1590</c:v>
                </c:pt>
                <c:pt idx="8">
                  <c:v>4512</c:v>
                </c:pt>
                <c:pt idx="9">
                  <c:v>3107</c:v>
                </c:pt>
                <c:pt idx="10">
                  <c:v>2785</c:v>
                </c:pt>
                <c:pt idx="11">
                  <c:v>5457</c:v>
                </c:pt>
                <c:pt idx="12">
                  <c:v>5625</c:v>
                </c:pt>
                <c:pt idx="13">
                  <c:v>2888</c:v>
                </c:pt>
                <c:pt idx="14">
                  <c:v>4334</c:v>
                </c:pt>
                <c:pt idx="15">
                  <c:v>4515</c:v>
                </c:pt>
                <c:pt idx="16">
                  <c:v>2343</c:v>
                </c:pt>
              </c:numCache>
            </c:numRef>
          </c:val>
          <c:extLst>
            <c:ext xmlns:c16="http://schemas.microsoft.com/office/drawing/2014/chart" uri="{C3380CC4-5D6E-409C-BE32-E72D297353CC}">
              <c16:uniqueId val="{00000000-12CE-4C48-9CDD-7BECE07775DD}"/>
            </c:ext>
          </c:extLst>
        </c:ser>
        <c:ser>
          <c:idx val="1"/>
          <c:order val="1"/>
          <c:tx>
            <c:strRef>
              <c:f>'Summary Tables'!$D$228:$E$228</c:f>
              <c:strCache>
                <c:ptCount val="1"/>
                <c:pt idx="0">
                  <c:v> Conversions</c:v>
                </c:pt>
              </c:strCache>
            </c:strRef>
          </c:tx>
          <c:invertIfNegative val="0"/>
          <c:cat>
            <c:strRef>
              <c:f>'Summary Tables'!$A$230:$A$246</c:f>
              <c:strCache>
                <c:ptCount val="17"/>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strCache>
            </c:strRef>
          </c:cat>
          <c:val>
            <c:numRef>
              <c:f>'Summary Tables'!$E$230:$E$246</c:f>
              <c:numCache>
                <c:formatCode>#,##0</c:formatCode>
                <c:ptCount val="17"/>
                <c:pt idx="0">
                  <c:v>229</c:v>
                </c:pt>
                <c:pt idx="1">
                  <c:v>239</c:v>
                </c:pt>
                <c:pt idx="2">
                  <c:v>219</c:v>
                </c:pt>
                <c:pt idx="3">
                  <c:v>139</c:v>
                </c:pt>
                <c:pt idx="4">
                  <c:v>178</c:v>
                </c:pt>
                <c:pt idx="5">
                  <c:v>196</c:v>
                </c:pt>
                <c:pt idx="6">
                  <c:v>143</c:v>
                </c:pt>
                <c:pt idx="7">
                  <c:v>416</c:v>
                </c:pt>
                <c:pt idx="8">
                  <c:v>460</c:v>
                </c:pt>
                <c:pt idx="9">
                  <c:v>232</c:v>
                </c:pt>
                <c:pt idx="10">
                  <c:v>343</c:v>
                </c:pt>
                <c:pt idx="11">
                  <c:v>626</c:v>
                </c:pt>
                <c:pt idx="12">
                  <c:v>366</c:v>
                </c:pt>
                <c:pt idx="13">
                  <c:v>242</c:v>
                </c:pt>
                <c:pt idx="14">
                  <c:v>575</c:v>
                </c:pt>
                <c:pt idx="15">
                  <c:v>607</c:v>
                </c:pt>
                <c:pt idx="16">
                  <c:v>227</c:v>
                </c:pt>
              </c:numCache>
            </c:numRef>
          </c:val>
          <c:extLst>
            <c:ext xmlns:c16="http://schemas.microsoft.com/office/drawing/2014/chart" uri="{C3380CC4-5D6E-409C-BE32-E72D297353CC}">
              <c16:uniqueId val="{00000001-12CE-4C48-9CDD-7BECE07775DD}"/>
            </c:ext>
          </c:extLst>
        </c:ser>
        <c:dLbls>
          <c:showLegendKey val="0"/>
          <c:showVal val="0"/>
          <c:showCatName val="0"/>
          <c:showSerName val="0"/>
          <c:showPercent val="0"/>
          <c:showBubbleSize val="0"/>
        </c:dLbls>
        <c:gapWidth val="50"/>
        <c:overlap val="100"/>
        <c:axId val="160290688"/>
        <c:axId val="160292224"/>
      </c:barChart>
      <c:catAx>
        <c:axId val="160290688"/>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92224"/>
        <c:crosses val="autoZero"/>
        <c:auto val="1"/>
        <c:lblAlgn val="ctr"/>
        <c:lblOffset val="100"/>
        <c:noMultiLvlLbl val="0"/>
      </c:catAx>
      <c:valAx>
        <c:axId val="160292224"/>
        <c:scaling>
          <c:orientation val="minMax"/>
          <c:max val="11000"/>
          <c:min val="0"/>
        </c:scaling>
        <c:delete val="0"/>
        <c:axPos val="l"/>
        <c:majorGridlines/>
        <c:numFmt formatCode="#,##0" sourceLinked="1"/>
        <c:majorTickMark val="out"/>
        <c:minorTickMark val="none"/>
        <c:tickLblPos val="nextTo"/>
        <c:txPr>
          <a:bodyPr rot="0" vert="horz"/>
          <a:lstStyle/>
          <a:p>
            <a:pPr>
              <a:defRPr/>
            </a:pPr>
            <a:endParaRPr lang="en-US"/>
          </a:p>
        </c:txPr>
        <c:crossAx val="160290688"/>
        <c:crosses val="autoZero"/>
        <c:crossBetween val="between"/>
      </c:valAx>
    </c:plotArea>
    <c:legend>
      <c:legendPos val="r"/>
      <c:layout>
        <c:manualLayout>
          <c:xMode val="edge"/>
          <c:yMode val="edge"/>
          <c:x val="8.7931034482758616E-2"/>
          <c:y val="6.2068965517241378E-2"/>
          <c:w val="0.15532247262195673"/>
          <c:h val="0.1389937042183452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Tables'!$B$76</c:f>
              <c:strCache>
                <c:ptCount val="1"/>
                <c:pt idx="0">
                  <c:v> Permissions</c:v>
                </c:pt>
              </c:strCache>
            </c:strRef>
          </c:tx>
          <c:invertIfNegative val="0"/>
          <c:cat>
            <c:strRef>
              <c:f>'Summary Tables'!$A$77:$A$93</c:f>
              <c:strCache>
                <c:ptCount val="17"/>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strCache>
            </c:strRef>
          </c:cat>
          <c:val>
            <c:numRef>
              <c:f>'Summary Tables'!$B$77:$B$93</c:f>
              <c:numCache>
                <c:formatCode>#,##0</c:formatCode>
                <c:ptCount val="17"/>
                <c:pt idx="0">
                  <c:v>2652</c:v>
                </c:pt>
                <c:pt idx="1">
                  <c:v>2037</c:v>
                </c:pt>
                <c:pt idx="2">
                  <c:v>1705</c:v>
                </c:pt>
                <c:pt idx="3">
                  <c:v>1270</c:v>
                </c:pt>
                <c:pt idx="4">
                  <c:v>2934</c:v>
                </c:pt>
                <c:pt idx="5">
                  <c:v>10498</c:v>
                </c:pt>
                <c:pt idx="6">
                  <c:v>4775</c:v>
                </c:pt>
                <c:pt idx="7">
                  <c:v>2006</c:v>
                </c:pt>
                <c:pt idx="8">
                  <c:v>4972</c:v>
                </c:pt>
                <c:pt idx="9">
                  <c:v>3339</c:v>
                </c:pt>
                <c:pt idx="10">
                  <c:v>3128</c:v>
                </c:pt>
                <c:pt idx="11">
                  <c:v>6083</c:v>
                </c:pt>
                <c:pt idx="12">
                  <c:v>5991</c:v>
                </c:pt>
                <c:pt idx="13">
                  <c:v>3130</c:v>
                </c:pt>
                <c:pt idx="14">
                  <c:v>4909</c:v>
                </c:pt>
                <c:pt idx="15">
                  <c:v>5122</c:v>
                </c:pt>
                <c:pt idx="16">
                  <c:v>2570</c:v>
                </c:pt>
              </c:numCache>
            </c:numRef>
          </c:val>
          <c:extLst>
            <c:ext xmlns:c16="http://schemas.microsoft.com/office/drawing/2014/chart" uri="{C3380CC4-5D6E-409C-BE32-E72D297353CC}">
              <c16:uniqueId val="{00000000-CB61-4C4D-91C4-D64C6C0229CA}"/>
            </c:ext>
          </c:extLst>
        </c:ser>
        <c:ser>
          <c:idx val="1"/>
          <c:order val="1"/>
          <c:tx>
            <c:strRef>
              <c:f>'Summary Tables'!$C$76</c:f>
              <c:strCache>
                <c:ptCount val="1"/>
                <c:pt idx="0">
                  <c:v> Starts</c:v>
                </c:pt>
              </c:strCache>
            </c:strRef>
          </c:tx>
          <c:invertIfNegative val="0"/>
          <c:cat>
            <c:strRef>
              <c:f>'Summary Tables'!$A$77:$A$93</c:f>
              <c:strCache>
                <c:ptCount val="17"/>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strCache>
            </c:strRef>
          </c:cat>
          <c:val>
            <c:numRef>
              <c:f>'Summary Tables'!$C$77:$C$93</c:f>
              <c:numCache>
                <c:formatCode>#,##0</c:formatCode>
                <c:ptCount val="17"/>
                <c:pt idx="0">
                  <c:v>1924</c:v>
                </c:pt>
                <c:pt idx="1">
                  <c:v>1636</c:v>
                </c:pt>
                <c:pt idx="2">
                  <c:v>601</c:v>
                </c:pt>
                <c:pt idx="3">
                  <c:v>462</c:v>
                </c:pt>
                <c:pt idx="4">
                  <c:v>1529</c:v>
                </c:pt>
                <c:pt idx="5">
                  <c:v>2160</c:v>
                </c:pt>
                <c:pt idx="6">
                  <c:v>1197</c:v>
                </c:pt>
                <c:pt idx="7">
                  <c:v>2392</c:v>
                </c:pt>
                <c:pt idx="8">
                  <c:v>1134</c:v>
                </c:pt>
                <c:pt idx="9">
                  <c:v>1923</c:v>
                </c:pt>
                <c:pt idx="10">
                  <c:v>3241</c:v>
                </c:pt>
                <c:pt idx="11">
                  <c:v>2100</c:v>
                </c:pt>
                <c:pt idx="12">
                  <c:v>1858</c:v>
                </c:pt>
                <c:pt idx="13">
                  <c:v>3888</c:v>
                </c:pt>
                <c:pt idx="14">
                  <c:v>1241</c:v>
                </c:pt>
                <c:pt idx="15">
                  <c:v>1332</c:v>
                </c:pt>
                <c:pt idx="16">
                  <c:v>1926</c:v>
                </c:pt>
              </c:numCache>
            </c:numRef>
          </c:val>
          <c:extLst>
            <c:ext xmlns:c16="http://schemas.microsoft.com/office/drawing/2014/chart" uri="{C3380CC4-5D6E-409C-BE32-E72D297353CC}">
              <c16:uniqueId val="{00000001-CB61-4C4D-91C4-D64C6C0229CA}"/>
            </c:ext>
          </c:extLst>
        </c:ser>
        <c:ser>
          <c:idx val="2"/>
          <c:order val="2"/>
          <c:tx>
            <c:strRef>
              <c:f>'Summary Tables'!$D$76</c:f>
              <c:strCache>
                <c:ptCount val="1"/>
                <c:pt idx="0">
                  <c:v> Completions</c:v>
                </c:pt>
              </c:strCache>
            </c:strRef>
          </c:tx>
          <c:invertIfNegative val="0"/>
          <c:cat>
            <c:strRef>
              <c:f>'Summary Tables'!$A$77:$A$93</c:f>
              <c:strCache>
                <c:ptCount val="17"/>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strCache>
            </c:strRef>
          </c:cat>
          <c:val>
            <c:numRef>
              <c:f>'Summary Tables'!$D$77:$D$93</c:f>
              <c:numCache>
                <c:formatCode>#,##0</c:formatCode>
                <c:ptCount val="17"/>
                <c:pt idx="0">
                  <c:v>1278</c:v>
                </c:pt>
                <c:pt idx="1">
                  <c:v>1031</c:v>
                </c:pt>
                <c:pt idx="2">
                  <c:v>1560</c:v>
                </c:pt>
                <c:pt idx="3">
                  <c:v>1539</c:v>
                </c:pt>
                <c:pt idx="4">
                  <c:v>481</c:v>
                </c:pt>
                <c:pt idx="5">
                  <c:v>979</c:v>
                </c:pt>
                <c:pt idx="6">
                  <c:v>774</c:v>
                </c:pt>
                <c:pt idx="7">
                  <c:v>1197</c:v>
                </c:pt>
                <c:pt idx="8">
                  <c:v>936</c:v>
                </c:pt>
                <c:pt idx="9">
                  <c:v>2776</c:v>
                </c:pt>
                <c:pt idx="10">
                  <c:v>2345</c:v>
                </c:pt>
                <c:pt idx="11">
                  <c:v>2036</c:v>
                </c:pt>
                <c:pt idx="12">
                  <c:v>1851</c:v>
                </c:pt>
                <c:pt idx="13">
                  <c:v>1330</c:v>
                </c:pt>
                <c:pt idx="14">
                  <c:v>1399</c:v>
                </c:pt>
                <c:pt idx="15">
                  <c:v>1959</c:v>
                </c:pt>
                <c:pt idx="16">
                  <c:v>1999</c:v>
                </c:pt>
              </c:numCache>
            </c:numRef>
          </c:val>
          <c:extLst>
            <c:ext xmlns:c16="http://schemas.microsoft.com/office/drawing/2014/chart" uri="{C3380CC4-5D6E-409C-BE32-E72D297353CC}">
              <c16:uniqueId val="{00000002-CB61-4C4D-91C4-D64C6C0229CA}"/>
            </c:ext>
          </c:extLst>
        </c:ser>
        <c:dLbls>
          <c:showLegendKey val="0"/>
          <c:showVal val="0"/>
          <c:showCatName val="0"/>
          <c:showSerName val="0"/>
          <c:showPercent val="0"/>
          <c:showBubbleSize val="0"/>
        </c:dLbls>
        <c:gapWidth val="150"/>
        <c:axId val="160396032"/>
        <c:axId val="160397568"/>
      </c:barChart>
      <c:catAx>
        <c:axId val="160396032"/>
        <c:scaling>
          <c:orientation val="minMax"/>
        </c:scaling>
        <c:delete val="0"/>
        <c:axPos val="b"/>
        <c:numFmt formatCode="General" sourceLinked="0"/>
        <c:majorTickMark val="out"/>
        <c:minorTickMark val="none"/>
        <c:tickLblPos val="nextTo"/>
        <c:txPr>
          <a:bodyPr rot="1800000"/>
          <a:lstStyle/>
          <a:p>
            <a:pPr>
              <a:defRPr/>
            </a:pPr>
            <a:endParaRPr lang="en-US"/>
          </a:p>
        </c:txPr>
        <c:crossAx val="160397568"/>
        <c:crosses val="autoZero"/>
        <c:auto val="1"/>
        <c:lblAlgn val="ctr"/>
        <c:lblOffset val="100"/>
        <c:noMultiLvlLbl val="0"/>
      </c:catAx>
      <c:valAx>
        <c:axId val="160397568"/>
        <c:scaling>
          <c:orientation val="minMax"/>
        </c:scaling>
        <c:delete val="0"/>
        <c:axPos val="l"/>
        <c:majorGridlines/>
        <c:numFmt formatCode="#,##0" sourceLinked="1"/>
        <c:majorTickMark val="out"/>
        <c:minorTickMark val="none"/>
        <c:tickLblPos val="nextTo"/>
        <c:crossAx val="160396032"/>
        <c:crosses val="autoZero"/>
        <c:crossBetween val="between"/>
      </c:valAx>
      <c:spPr>
        <a:ln>
          <a:noFill/>
        </a:ln>
      </c:spPr>
    </c:plotArea>
    <c:legend>
      <c:legendPos val="r"/>
      <c:layout>
        <c:manualLayout>
          <c:xMode val="edge"/>
          <c:yMode val="edge"/>
          <c:x val="0.83898274960518793"/>
          <c:y val="0.10975564793713601"/>
          <c:w val="9.8510514652821679E-2"/>
          <c:h val="0.1946962695236866"/>
        </c:manualLayout>
      </c:layout>
      <c:overlay val="1"/>
      <c:spPr>
        <a:solidFill>
          <a:schemeClr val="bg1"/>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2017/18 conversions – net completions</a:t>
            </a:r>
          </a:p>
        </c:rich>
      </c:tx>
      <c:overlay val="0"/>
    </c:title>
    <c:autoTitleDeleted val="0"/>
    <c:plotArea>
      <c:layout/>
      <c:pieChart>
        <c:varyColors val="1"/>
        <c:ser>
          <c:idx val="1"/>
          <c:order val="1"/>
          <c:tx>
            <c:strRef>
              <c:f>'Summary Tables'!$D$340</c:f>
              <c:strCache>
                <c:ptCount val="1"/>
                <c:pt idx="0">
                  <c:v>2018/19</c:v>
                </c:pt>
              </c:strCache>
            </c:strRef>
          </c:tx>
          <c:dLbls>
            <c:delete val="1"/>
          </c:dLbls>
          <c:cat>
            <c:strRef>
              <c:f>'Summary Tables'!$A$341:$B$346</c:f>
              <c:strCache>
                <c:ptCount val="6"/>
                <c:pt idx="0">
                  <c:v>House &gt; Flats</c:v>
                </c:pt>
                <c:pt idx="1">
                  <c:v>Flats &gt; House</c:v>
                </c:pt>
                <c:pt idx="2">
                  <c:v>Flats &gt; Flats</c:v>
                </c:pt>
                <c:pt idx="3">
                  <c:v>Houses &gt; Houses</c:v>
                </c:pt>
                <c:pt idx="4">
                  <c:v>Change of Use</c:v>
                </c:pt>
                <c:pt idx="5">
                  <c:v>Vertical Extension</c:v>
                </c:pt>
              </c:strCache>
            </c:strRef>
          </c:cat>
          <c:val>
            <c:numRef>
              <c:f>'Summary Tables'!$D$341:$D$346</c:f>
              <c:numCache>
                <c:formatCode>#,##0</c:formatCode>
                <c:ptCount val="6"/>
                <c:pt idx="0">
                  <c:v>78</c:v>
                </c:pt>
                <c:pt idx="1">
                  <c:v>11</c:v>
                </c:pt>
                <c:pt idx="2">
                  <c:v>96</c:v>
                </c:pt>
                <c:pt idx="3">
                  <c:v>0</c:v>
                </c:pt>
                <c:pt idx="4">
                  <c:v>134</c:v>
                </c:pt>
                <c:pt idx="5">
                  <c:v>23</c:v>
                </c:pt>
              </c:numCache>
            </c:numRef>
          </c:val>
          <c:extLst>
            <c:ext xmlns:c16="http://schemas.microsoft.com/office/drawing/2014/chart" uri="{C3380CC4-5D6E-409C-BE32-E72D297353CC}">
              <c16:uniqueId val="{00000000-E340-47B6-AFCE-CC94A516A8EF}"/>
            </c:ext>
          </c:extLst>
        </c:ser>
        <c:ser>
          <c:idx val="0"/>
          <c:order val="0"/>
          <c:tx>
            <c:strRef>
              <c:f>'Summary Tables'!$D$340</c:f>
              <c:strCache>
                <c:ptCount val="1"/>
                <c:pt idx="0">
                  <c:v>2018/19</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Tables'!$A$341:$B$346</c:f>
              <c:strCache>
                <c:ptCount val="6"/>
                <c:pt idx="0">
                  <c:v>House &gt; Flats</c:v>
                </c:pt>
                <c:pt idx="1">
                  <c:v>Flats &gt; House</c:v>
                </c:pt>
                <c:pt idx="2">
                  <c:v>Flats &gt; Flats</c:v>
                </c:pt>
                <c:pt idx="3">
                  <c:v>Houses &gt; Houses</c:v>
                </c:pt>
                <c:pt idx="4">
                  <c:v>Change of Use</c:v>
                </c:pt>
                <c:pt idx="5">
                  <c:v>Vertical Extension</c:v>
                </c:pt>
              </c:strCache>
            </c:strRef>
          </c:cat>
          <c:val>
            <c:numRef>
              <c:f>'Summary Tables'!$D$341:$D$346</c:f>
              <c:numCache>
                <c:formatCode>#,##0</c:formatCode>
                <c:ptCount val="6"/>
                <c:pt idx="0">
                  <c:v>78</c:v>
                </c:pt>
                <c:pt idx="1">
                  <c:v>11</c:v>
                </c:pt>
                <c:pt idx="2">
                  <c:v>96</c:v>
                </c:pt>
                <c:pt idx="3">
                  <c:v>0</c:v>
                </c:pt>
                <c:pt idx="4">
                  <c:v>134</c:v>
                </c:pt>
                <c:pt idx="5">
                  <c:v>23</c:v>
                </c:pt>
              </c:numCache>
            </c:numRef>
          </c:val>
          <c:extLst>
            <c:ext xmlns:c16="http://schemas.microsoft.com/office/drawing/2014/chart" uri="{C3380CC4-5D6E-409C-BE32-E72D297353CC}">
              <c16:uniqueId val="{00000001-E340-47B6-AFCE-CC94A516A8EF}"/>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0.11018518518518519"/>
          <c:y val="0.68303495805355618"/>
          <c:w val="0.77731481481481479"/>
          <c:h val="0.21208637263900296"/>
        </c:manualLayout>
      </c:layout>
      <c:overlay val="0"/>
      <c:spPr>
        <a:solidFill>
          <a:sysClr val="window" lastClr="FFFFFF"/>
        </a:solidFill>
      </c:spPr>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Completed conversions</a:t>
            </a:r>
            <a:r>
              <a:rPr lang="en-GB" sz="900" baseline="0"/>
              <a:t> </a:t>
            </a:r>
            <a:r>
              <a:rPr lang="en-GB" sz="900"/>
              <a:t>(gross</a:t>
            </a:r>
            <a:r>
              <a:rPr lang="en-GB" sz="900" baseline="0"/>
              <a:t> units)</a:t>
            </a:r>
            <a:endParaRPr lang="en-GB" sz="900"/>
          </a:p>
        </c:rich>
      </c:tx>
      <c:overlay val="0"/>
    </c:title>
    <c:autoTitleDeleted val="0"/>
    <c:plotArea>
      <c:layout/>
      <c:pieChart>
        <c:varyColors val="1"/>
        <c:ser>
          <c:idx val="1"/>
          <c:order val="1"/>
          <c:tx>
            <c:strRef>
              <c:f>'Summary Tables'!$H$340</c:f>
              <c:strCache>
                <c:ptCount val="1"/>
                <c:pt idx="0">
                  <c:v>2022/23</c:v>
                </c:pt>
              </c:strCache>
            </c:strRef>
          </c:tx>
          <c:dLbls>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Tables'!$A$341:$B$346</c:f>
              <c:strCache>
                <c:ptCount val="6"/>
                <c:pt idx="0">
                  <c:v>House &gt; Flats</c:v>
                </c:pt>
                <c:pt idx="1">
                  <c:v>Flats &gt; House</c:v>
                </c:pt>
                <c:pt idx="2">
                  <c:v>Flats &gt; Flats</c:v>
                </c:pt>
                <c:pt idx="3">
                  <c:v>Houses &gt; Houses</c:v>
                </c:pt>
                <c:pt idx="4">
                  <c:v>Change of Use</c:v>
                </c:pt>
                <c:pt idx="5">
                  <c:v>Vertical Extension</c:v>
                </c:pt>
              </c:strCache>
            </c:strRef>
          </c:cat>
          <c:val>
            <c:numRef>
              <c:f>'Summary Tables'!$H$341:$H$346</c:f>
              <c:numCache>
                <c:formatCode>#,##0</c:formatCode>
                <c:ptCount val="6"/>
                <c:pt idx="0">
                  <c:v>36</c:v>
                </c:pt>
                <c:pt idx="1">
                  <c:v>17</c:v>
                </c:pt>
                <c:pt idx="2">
                  <c:v>49</c:v>
                </c:pt>
                <c:pt idx="3">
                  <c:v>19</c:v>
                </c:pt>
                <c:pt idx="4">
                  <c:v>41</c:v>
                </c:pt>
                <c:pt idx="5">
                  <c:v>84</c:v>
                </c:pt>
              </c:numCache>
            </c:numRef>
          </c:val>
          <c:extLst>
            <c:ext xmlns:c16="http://schemas.microsoft.com/office/drawing/2014/chart" uri="{C3380CC4-5D6E-409C-BE32-E72D297353CC}">
              <c16:uniqueId val="{00000000-25D9-4A10-84C6-75189B976FFB}"/>
            </c:ext>
          </c:extLst>
        </c:ser>
        <c:ser>
          <c:idx val="0"/>
          <c:order val="0"/>
          <c:tx>
            <c:strRef>
              <c:f>'Summary Tables'!$H$340</c:f>
              <c:strCache>
                <c:ptCount val="1"/>
                <c:pt idx="0">
                  <c:v>2022/23</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Tables'!$A$341:$B$346</c:f>
              <c:strCache>
                <c:ptCount val="6"/>
                <c:pt idx="0">
                  <c:v>House &gt; Flats</c:v>
                </c:pt>
                <c:pt idx="1">
                  <c:v>Flats &gt; House</c:v>
                </c:pt>
                <c:pt idx="2">
                  <c:v>Flats &gt; Flats</c:v>
                </c:pt>
                <c:pt idx="3">
                  <c:v>Houses &gt; Houses</c:v>
                </c:pt>
                <c:pt idx="4">
                  <c:v>Change of Use</c:v>
                </c:pt>
                <c:pt idx="5">
                  <c:v>Vertical Extension</c:v>
                </c:pt>
              </c:strCache>
            </c:strRef>
          </c:cat>
          <c:val>
            <c:numRef>
              <c:f>'Summary Tables'!$H$341:$H$346</c:f>
              <c:numCache>
                <c:formatCode>#,##0</c:formatCode>
                <c:ptCount val="6"/>
                <c:pt idx="0">
                  <c:v>36</c:v>
                </c:pt>
                <c:pt idx="1">
                  <c:v>17</c:v>
                </c:pt>
                <c:pt idx="2">
                  <c:v>49</c:v>
                </c:pt>
                <c:pt idx="3">
                  <c:v>19</c:v>
                </c:pt>
                <c:pt idx="4">
                  <c:v>41</c:v>
                </c:pt>
                <c:pt idx="5">
                  <c:v>84</c:v>
                </c:pt>
              </c:numCache>
            </c:numRef>
          </c:val>
          <c:extLst>
            <c:ext xmlns:c16="http://schemas.microsoft.com/office/drawing/2014/chart" uri="{C3380CC4-5D6E-409C-BE32-E72D297353CC}">
              <c16:uniqueId val="{00000001-25D9-4A10-84C6-75189B976FFB}"/>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Conversions with planning permission (gross units)</a:t>
            </a:r>
          </a:p>
        </c:rich>
      </c:tx>
      <c:overlay val="0"/>
    </c:title>
    <c:autoTitleDeleted val="0"/>
    <c:plotArea>
      <c:layout/>
      <c:pieChart>
        <c:varyColors val="1"/>
        <c:ser>
          <c:idx val="0"/>
          <c:order val="0"/>
          <c:tx>
            <c:strRef>
              <c:f>'Summary Tables'!$H$350</c:f>
              <c:strCache>
                <c:ptCount val="1"/>
                <c:pt idx="0">
                  <c:v>2022/23</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Tables'!$A$351:$B$356</c:f>
              <c:strCache>
                <c:ptCount val="6"/>
                <c:pt idx="0">
                  <c:v>House &gt; Flats</c:v>
                </c:pt>
                <c:pt idx="1">
                  <c:v>Flats &gt; House</c:v>
                </c:pt>
                <c:pt idx="2">
                  <c:v>Flats &gt; Flats</c:v>
                </c:pt>
                <c:pt idx="3">
                  <c:v>Houses &gt; Houses</c:v>
                </c:pt>
                <c:pt idx="4">
                  <c:v>Change of Use</c:v>
                </c:pt>
                <c:pt idx="5">
                  <c:v>Vertical Extension</c:v>
                </c:pt>
              </c:strCache>
            </c:strRef>
          </c:cat>
          <c:val>
            <c:numRef>
              <c:f>'Summary Tables'!$H$351:$H$356</c:f>
              <c:numCache>
                <c:formatCode>#,##0</c:formatCode>
                <c:ptCount val="6"/>
                <c:pt idx="0">
                  <c:v>118</c:v>
                </c:pt>
                <c:pt idx="1">
                  <c:v>36</c:v>
                </c:pt>
                <c:pt idx="2">
                  <c:v>133</c:v>
                </c:pt>
                <c:pt idx="3">
                  <c:v>2</c:v>
                </c:pt>
                <c:pt idx="4">
                  <c:v>620</c:v>
                </c:pt>
                <c:pt idx="5">
                  <c:v>285</c:v>
                </c:pt>
              </c:numCache>
            </c:numRef>
          </c:val>
          <c:extLst>
            <c:ext xmlns:c16="http://schemas.microsoft.com/office/drawing/2014/chart" uri="{C3380CC4-5D6E-409C-BE32-E72D297353CC}">
              <c16:uniqueId val="{00000000-302E-4BB2-94E9-9B0E6D1878CA}"/>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Tables'!$B$114:$C$114</c:f>
              <c:strCache>
                <c:ptCount val="1"/>
                <c:pt idx="0">
                  <c:v> Open Market</c:v>
                </c:pt>
              </c:strCache>
            </c:strRef>
          </c:tx>
          <c:invertIfNegative val="0"/>
          <c:cat>
            <c:strRef>
              <c:f>'Summary Tables'!$A$116:$A$132</c:f>
              <c:strCache>
                <c:ptCount val="17"/>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strCache>
            </c:strRef>
          </c:cat>
          <c:val>
            <c:numRef>
              <c:f>'Summary Tables'!$B$116:$B$132</c:f>
              <c:numCache>
                <c:formatCode>#,##0</c:formatCode>
                <c:ptCount val="17"/>
                <c:pt idx="0">
                  <c:v>1039</c:v>
                </c:pt>
                <c:pt idx="1">
                  <c:v>728</c:v>
                </c:pt>
                <c:pt idx="2">
                  <c:v>1079</c:v>
                </c:pt>
                <c:pt idx="3">
                  <c:v>1061</c:v>
                </c:pt>
                <c:pt idx="4">
                  <c:v>371</c:v>
                </c:pt>
                <c:pt idx="5">
                  <c:v>713</c:v>
                </c:pt>
                <c:pt idx="6">
                  <c:v>633</c:v>
                </c:pt>
                <c:pt idx="7">
                  <c:v>969</c:v>
                </c:pt>
                <c:pt idx="8">
                  <c:v>805</c:v>
                </c:pt>
                <c:pt idx="9">
                  <c:v>2212</c:v>
                </c:pt>
                <c:pt idx="10">
                  <c:v>1968</c:v>
                </c:pt>
                <c:pt idx="11">
                  <c:v>1834</c:v>
                </c:pt>
                <c:pt idx="12">
                  <c:v>1545</c:v>
                </c:pt>
                <c:pt idx="13">
                  <c:v>947</c:v>
                </c:pt>
                <c:pt idx="14">
                  <c:v>1071</c:v>
                </c:pt>
                <c:pt idx="15">
                  <c:v>1616</c:v>
                </c:pt>
                <c:pt idx="16">
                  <c:v>1410</c:v>
                </c:pt>
              </c:numCache>
            </c:numRef>
          </c:val>
          <c:extLst>
            <c:ext xmlns:c16="http://schemas.microsoft.com/office/drawing/2014/chart" uri="{C3380CC4-5D6E-409C-BE32-E72D297353CC}">
              <c16:uniqueId val="{00000000-B3E4-4282-9112-A8EAC7AE9806}"/>
            </c:ext>
          </c:extLst>
        </c:ser>
        <c:ser>
          <c:idx val="1"/>
          <c:order val="1"/>
          <c:tx>
            <c:strRef>
              <c:f>'Summary Tables'!$D$114:$E$114</c:f>
              <c:strCache>
                <c:ptCount val="1"/>
                <c:pt idx="0">
                  <c:v>  Intermediate </c:v>
                </c:pt>
              </c:strCache>
            </c:strRef>
          </c:tx>
          <c:invertIfNegative val="0"/>
          <c:cat>
            <c:strRef>
              <c:f>'Summary Tables'!$A$116:$A$132</c:f>
              <c:strCache>
                <c:ptCount val="17"/>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strCache>
            </c:strRef>
          </c:cat>
          <c:val>
            <c:numRef>
              <c:f>'Summary Tables'!$D$116:$D$132</c:f>
              <c:numCache>
                <c:formatCode>#,##0</c:formatCode>
                <c:ptCount val="17"/>
                <c:pt idx="0">
                  <c:v>206</c:v>
                </c:pt>
                <c:pt idx="1">
                  <c:v>281</c:v>
                </c:pt>
                <c:pt idx="2">
                  <c:v>393</c:v>
                </c:pt>
                <c:pt idx="3">
                  <c:v>453</c:v>
                </c:pt>
                <c:pt idx="4">
                  <c:v>103</c:v>
                </c:pt>
                <c:pt idx="5">
                  <c:v>198</c:v>
                </c:pt>
                <c:pt idx="6">
                  <c:v>118</c:v>
                </c:pt>
                <c:pt idx="7">
                  <c:v>175</c:v>
                </c:pt>
                <c:pt idx="8">
                  <c:v>109</c:v>
                </c:pt>
                <c:pt idx="9">
                  <c:v>325</c:v>
                </c:pt>
                <c:pt idx="10" formatCode="General">
                  <c:v>298</c:v>
                </c:pt>
                <c:pt idx="11">
                  <c:v>142</c:v>
                </c:pt>
                <c:pt idx="12">
                  <c:v>173</c:v>
                </c:pt>
                <c:pt idx="13">
                  <c:v>196</c:v>
                </c:pt>
                <c:pt idx="14">
                  <c:v>220</c:v>
                </c:pt>
                <c:pt idx="15">
                  <c:v>224</c:v>
                </c:pt>
                <c:pt idx="16">
                  <c:v>359</c:v>
                </c:pt>
              </c:numCache>
            </c:numRef>
          </c:val>
          <c:extLst>
            <c:ext xmlns:c16="http://schemas.microsoft.com/office/drawing/2014/chart" uri="{C3380CC4-5D6E-409C-BE32-E72D297353CC}">
              <c16:uniqueId val="{00000001-B3E4-4282-9112-A8EAC7AE9806}"/>
            </c:ext>
          </c:extLst>
        </c:ser>
        <c:ser>
          <c:idx val="2"/>
          <c:order val="2"/>
          <c:tx>
            <c:strRef>
              <c:f>'Summary Tables'!$F$114:$G$114</c:f>
              <c:strCache>
                <c:ptCount val="1"/>
                <c:pt idx="0">
                  <c:v>  Social/Affordable Rent </c:v>
                </c:pt>
              </c:strCache>
            </c:strRef>
          </c:tx>
          <c:invertIfNegative val="0"/>
          <c:cat>
            <c:strRef>
              <c:f>'Summary Tables'!$A$116:$A$132</c:f>
              <c:strCache>
                <c:ptCount val="17"/>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strCache>
            </c:strRef>
          </c:cat>
          <c:val>
            <c:numRef>
              <c:f>'Summary Tables'!$F$116:$F$132</c:f>
              <c:numCache>
                <c:formatCode>#,##0</c:formatCode>
                <c:ptCount val="17"/>
                <c:pt idx="0">
                  <c:v>33</c:v>
                </c:pt>
                <c:pt idx="1">
                  <c:v>22</c:v>
                </c:pt>
                <c:pt idx="2">
                  <c:v>88</c:v>
                </c:pt>
                <c:pt idx="3">
                  <c:v>25</c:v>
                </c:pt>
                <c:pt idx="4">
                  <c:v>7</c:v>
                </c:pt>
                <c:pt idx="5">
                  <c:v>68</c:v>
                </c:pt>
                <c:pt idx="6">
                  <c:v>91</c:v>
                </c:pt>
                <c:pt idx="7">
                  <c:v>53</c:v>
                </c:pt>
                <c:pt idx="8">
                  <c:v>22</c:v>
                </c:pt>
                <c:pt idx="9">
                  <c:v>239</c:v>
                </c:pt>
                <c:pt idx="10" formatCode="General">
                  <c:v>79</c:v>
                </c:pt>
                <c:pt idx="11">
                  <c:v>60</c:v>
                </c:pt>
                <c:pt idx="12">
                  <c:v>133</c:v>
                </c:pt>
                <c:pt idx="13">
                  <c:v>187</c:v>
                </c:pt>
                <c:pt idx="14">
                  <c:v>108</c:v>
                </c:pt>
                <c:pt idx="15">
                  <c:v>119</c:v>
                </c:pt>
                <c:pt idx="16">
                  <c:v>230</c:v>
                </c:pt>
              </c:numCache>
            </c:numRef>
          </c:val>
          <c:extLst>
            <c:ext xmlns:c16="http://schemas.microsoft.com/office/drawing/2014/chart" uri="{C3380CC4-5D6E-409C-BE32-E72D297353CC}">
              <c16:uniqueId val="{00000002-B3E4-4282-9112-A8EAC7AE9806}"/>
            </c:ext>
          </c:extLst>
        </c:ser>
        <c:dLbls>
          <c:showLegendKey val="0"/>
          <c:showVal val="0"/>
          <c:showCatName val="0"/>
          <c:showSerName val="0"/>
          <c:showPercent val="0"/>
          <c:showBubbleSize val="0"/>
        </c:dLbls>
        <c:gapWidth val="150"/>
        <c:axId val="142842880"/>
        <c:axId val="142848768"/>
      </c:barChart>
      <c:catAx>
        <c:axId val="142842880"/>
        <c:scaling>
          <c:orientation val="minMax"/>
        </c:scaling>
        <c:delete val="0"/>
        <c:axPos val="b"/>
        <c:numFmt formatCode="General" sourceLinked="0"/>
        <c:majorTickMark val="out"/>
        <c:minorTickMark val="none"/>
        <c:tickLblPos val="nextTo"/>
        <c:crossAx val="142848768"/>
        <c:crosses val="autoZero"/>
        <c:auto val="1"/>
        <c:lblAlgn val="ctr"/>
        <c:lblOffset val="100"/>
        <c:noMultiLvlLbl val="0"/>
      </c:catAx>
      <c:valAx>
        <c:axId val="142848768"/>
        <c:scaling>
          <c:orientation val="minMax"/>
        </c:scaling>
        <c:delete val="0"/>
        <c:axPos val="l"/>
        <c:majorGridlines/>
        <c:numFmt formatCode="#,##0" sourceLinked="1"/>
        <c:majorTickMark val="out"/>
        <c:minorTickMark val="none"/>
        <c:tickLblPos val="nextTo"/>
        <c:crossAx val="142842880"/>
        <c:crosses val="autoZero"/>
        <c:crossBetween val="between"/>
      </c:valAx>
    </c:plotArea>
    <c:legend>
      <c:legendPos val="l"/>
      <c:layout>
        <c:manualLayout>
          <c:xMode val="edge"/>
          <c:yMode val="edge"/>
          <c:x val="8.1957186544342503E-2"/>
          <c:y val="0.10372739865850102"/>
          <c:w val="0.11891720745482928"/>
          <c:h val="0.20909282466452256"/>
        </c:manualLayout>
      </c:layout>
      <c:overlay val="1"/>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Completions by ward in 2022/23</a:t>
            </a:r>
          </a:p>
        </c:rich>
      </c:tx>
      <c:overlay val="0"/>
    </c:title>
    <c:autoTitleDeleted val="0"/>
    <c:plotArea>
      <c:layout/>
      <c:barChart>
        <c:barDir val="bar"/>
        <c:grouping val="clustered"/>
        <c:varyColors val="0"/>
        <c:ser>
          <c:idx val="0"/>
          <c:order val="0"/>
          <c:tx>
            <c:strRef>
              <c:f>'Summary Tables'!$G$278</c:f>
              <c:strCache>
                <c:ptCount val="1"/>
                <c:pt idx="0">
                  <c:v>Completions</c:v>
                </c:pt>
              </c:strCache>
            </c:strRef>
          </c:tx>
          <c:invertIfNegative val="0"/>
          <c:cat>
            <c:strRef>
              <c:f>'Summary Tables'!$A$280:$C$301</c:f>
              <c:strCache>
                <c:ptCount val="22"/>
                <c:pt idx="0">
                  <c:v>Balham</c:v>
                </c:pt>
                <c:pt idx="1">
                  <c:v>Battersea Park</c:v>
                </c:pt>
                <c:pt idx="2">
                  <c:v>East Putney</c:v>
                </c:pt>
                <c:pt idx="3">
                  <c:v>Falconbrook</c:v>
                </c:pt>
                <c:pt idx="4">
                  <c:v>Furzedown</c:v>
                </c:pt>
                <c:pt idx="5">
                  <c:v>Lavender</c:v>
                </c:pt>
                <c:pt idx="6">
                  <c:v>Nine Elms</c:v>
                </c:pt>
                <c:pt idx="7">
                  <c:v>Northcote</c:v>
                </c:pt>
                <c:pt idx="8">
                  <c:v>Roehampton</c:v>
                </c:pt>
                <c:pt idx="9">
                  <c:v>Shaftesbury &amp; Queenstown</c:v>
                </c:pt>
                <c:pt idx="10">
                  <c:v>South Balham</c:v>
                </c:pt>
                <c:pt idx="11">
                  <c:v>Southfields</c:v>
                </c:pt>
                <c:pt idx="12">
                  <c:v>St Mary's</c:v>
                </c:pt>
                <c:pt idx="13">
                  <c:v>Thamesfield</c:v>
                </c:pt>
                <c:pt idx="14">
                  <c:v>Tooting Bec</c:v>
                </c:pt>
                <c:pt idx="15">
                  <c:v>Tooting Broadway</c:v>
                </c:pt>
                <c:pt idx="16">
                  <c:v>Trinity</c:v>
                </c:pt>
                <c:pt idx="17">
                  <c:v>Wandle</c:v>
                </c:pt>
                <c:pt idx="18">
                  <c:v>Wandsworth Common</c:v>
                </c:pt>
                <c:pt idx="19">
                  <c:v>Wandsworth Town</c:v>
                </c:pt>
                <c:pt idx="20">
                  <c:v>West Hill</c:v>
                </c:pt>
                <c:pt idx="21">
                  <c:v>West Putney</c:v>
                </c:pt>
              </c:strCache>
            </c:strRef>
          </c:cat>
          <c:val>
            <c:numRef>
              <c:f>'Summary Tables'!$G$280:$G$301</c:f>
              <c:numCache>
                <c:formatCode>#,##0</c:formatCode>
                <c:ptCount val="22"/>
                <c:pt idx="0">
                  <c:v>27</c:v>
                </c:pt>
                <c:pt idx="1">
                  <c:v>1</c:v>
                </c:pt>
                <c:pt idx="2">
                  <c:v>16</c:v>
                </c:pt>
                <c:pt idx="3">
                  <c:v>0</c:v>
                </c:pt>
                <c:pt idx="4">
                  <c:v>28</c:v>
                </c:pt>
                <c:pt idx="5">
                  <c:v>51</c:v>
                </c:pt>
                <c:pt idx="6">
                  <c:v>1228</c:v>
                </c:pt>
                <c:pt idx="7">
                  <c:v>2</c:v>
                </c:pt>
                <c:pt idx="8">
                  <c:v>-1</c:v>
                </c:pt>
                <c:pt idx="9">
                  <c:v>35</c:v>
                </c:pt>
                <c:pt idx="10">
                  <c:v>25</c:v>
                </c:pt>
                <c:pt idx="11">
                  <c:v>1</c:v>
                </c:pt>
                <c:pt idx="12">
                  <c:v>92</c:v>
                </c:pt>
                <c:pt idx="13">
                  <c:v>185</c:v>
                </c:pt>
                <c:pt idx="14">
                  <c:v>59</c:v>
                </c:pt>
                <c:pt idx="15">
                  <c:v>40</c:v>
                </c:pt>
                <c:pt idx="16">
                  <c:v>15</c:v>
                </c:pt>
                <c:pt idx="17">
                  <c:v>20</c:v>
                </c:pt>
                <c:pt idx="18">
                  <c:v>157</c:v>
                </c:pt>
                <c:pt idx="19">
                  <c:v>18</c:v>
                </c:pt>
                <c:pt idx="20">
                  <c:v>1</c:v>
                </c:pt>
                <c:pt idx="21">
                  <c:v>-1</c:v>
                </c:pt>
              </c:numCache>
            </c:numRef>
          </c:val>
          <c:extLst>
            <c:ext xmlns:c16="http://schemas.microsoft.com/office/drawing/2014/chart" uri="{C3380CC4-5D6E-409C-BE32-E72D297353CC}">
              <c16:uniqueId val="{00000000-6D94-4A1E-AA09-62B00EDE4BA6}"/>
            </c:ext>
          </c:extLst>
        </c:ser>
        <c:dLbls>
          <c:showLegendKey val="0"/>
          <c:showVal val="0"/>
          <c:showCatName val="0"/>
          <c:showSerName val="0"/>
          <c:showPercent val="0"/>
          <c:showBubbleSize val="0"/>
        </c:dLbls>
        <c:gapWidth val="150"/>
        <c:axId val="142934400"/>
        <c:axId val="142935936"/>
      </c:barChart>
      <c:catAx>
        <c:axId val="142934400"/>
        <c:scaling>
          <c:orientation val="maxMin"/>
        </c:scaling>
        <c:delete val="0"/>
        <c:axPos val="l"/>
        <c:numFmt formatCode="General" sourceLinked="0"/>
        <c:majorTickMark val="out"/>
        <c:minorTickMark val="none"/>
        <c:tickLblPos val="nextTo"/>
        <c:crossAx val="142935936"/>
        <c:crosses val="autoZero"/>
        <c:auto val="1"/>
        <c:lblAlgn val="ctr"/>
        <c:lblOffset val="150"/>
        <c:noMultiLvlLbl val="0"/>
      </c:catAx>
      <c:valAx>
        <c:axId val="142935936"/>
        <c:scaling>
          <c:orientation val="minMax"/>
          <c:min val="0"/>
        </c:scaling>
        <c:delete val="0"/>
        <c:axPos val="t"/>
        <c:majorGridlines/>
        <c:numFmt formatCode="#,##0" sourceLinked="1"/>
        <c:majorTickMark val="out"/>
        <c:minorTickMark val="none"/>
        <c:tickLblPos val="nextTo"/>
        <c:spPr>
          <a:noFill/>
          <a:ln>
            <a:noFill/>
          </a:ln>
        </c:spPr>
        <c:crossAx val="142934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completed</a:t>
            </a:r>
          </a:p>
        </c:rich>
      </c:tx>
      <c:overlay val="0"/>
    </c:title>
    <c:autoTitleDeleted val="0"/>
    <c:plotArea>
      <c:layout/>
      <c:pieChart>
        <c:varyColors val="1"/>
        <c:ser>
          <c:idx val="1"/>
          <c:order val="0"/>
          <c:tx>
            <c:strRef>
              <c:f>'Summary Tables'!$B$314</c:f>
              <c:strCache>
                <c:ptCount val="1"/>
                <c:pt idx="0">
                  <c:v>Net new build units completed by unit size and tenure</c:v>
                </c:pt>
              </c:strCache>
            </c:strRef>
          </c:tx>
          <c:cat>
            <c:strRef>
              <c:f>'Summary Tables'!$C$315:$I$315</c:f>
              <c:strCache>
                <c:ptCount val="7"/>
                <c:pt idx="0">
                  <c:v>Studio</c:v>
                </c:pt>
                <c:pt idx="1">
                  <c:v>1 bed</c:v>
                </c:pt>
                <c:pt idx="2">
                  <c:v>2 bed</c:v>
                </c:pt>
                <c:pt idx="3">
                  <c:v>3 bed</c:v>
                </c:pt>
                <c:pt idx="4">
                  <c:v>4 bed</c:v>
                </c:pt>
                <c:pt idx="5">
                  <c:v>5+ bed</c:v>
                </c:pt>
                <c:pt idx="6">
                  <c:v>Not Known</c:v>
                </c:pt>
              </c:strCache>
            </c:strRef>
          </c:cat>
          <c:val>
            <c:numRef>
              <c:f>'Summary Tables'!$C$322:$I$322</c:f>
              <c:numCache>
                <c:formatCode>#,##0</c:formatCode>
                <c:ptCount val="7"/>
                <c:pt idx="0">
                  <c:v>39</c:v>
                </c:pt>
                <c:pt idx="1">
                  <c:v>553</c:v>
                </c:pt>
                <c:pt idx="2">
                  <c:v>824</c:v>
                </c:pt>
                <c:pt idx="3">
                  <c:v>293</c:v>
                </c:pt>
                <c:pt idx="4">
                  <c:v>35</c:v>
                </c:pt>
                <c:pt idx="5">
                  <c:v>17</c:v>
                </c:pt>
                <c:pt idx="6">
                  <c:v>0</c:v>
                </c:pt>
              </c:numCache>
            </c:numRef>
          </c:val>
          <c:extLst>
            <c:ext xmlns:c16="http://schemas.microsoft.com/office/drawing/2014/chart" uri="{C3380CC4-5D6E-409C-BE32-E72D297353CC}">
              <c16:uniqueId val="{00000000-4A98-439B-9FB2-8984BFAF56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with planning permission</a:t>
            </a:r>
          </a:p>
        </c:rich>
      </c:tx>
      <c:overlay val="0"/>
    </c:title>
    <c:autoTitleDeleted val="0"/>
    <c:plotArea>
      <c:layout/>
      <c:pieChart>
        <c:varyColors val="1"/>
        <c:ser>
          <c:idx val="0"/>
          <c:order val="0"/>
          <c:tx>
            <c:strRef>
              <c:f>'Summary Tables'!$B$326</c:f>
              <c:strCache>
                <c:ptCount val="1"/>
                <c:pt idx="0">
                  <c:v>Net new build units with planning permission by unit size and tenure</c:v>
                </c:pt>
              </c:strCache>
            </c:strRef>
          </c:tx>
          <c:cat>
            <c:strRef>
              <c:f>'Summary Tables'!$C$315:$I$315</c:f>
              <c:strCache>
                <c:ptCount val="7"/>
                <c:pt idx="0">
                  <c:v>Studio</c:v>
                </c:pt>
                <c:pt idx="1">
                  <c:v>1 bed</c:v>
                </c:pt>
                <c:pt idx="2">
                  <c:v>2 bed</c:v>
                </c:pt>
                <c:pt idx="3">
                  <c:v>3 bed</c:v>
                </c:pt>
                <c:pt idx="4">
                  <c:v>4 bed</c:v>
                </c:pt>
                <c:pt idx="5">
                  <c:v>5+ bed</c:v>
                </c:pt>
                <c:pt idx="6">
                  <c:v>Not Known</c:v>
                </c:pt>
              </c:strCache>
            </c:strRef>
          </c:cat>
          <c:val>
            <c:numRef>
              <c:f>'Summary Tables'!$C$334:$I$334</c:f>
              <c:numCache>
                <c:formatCode>#,##0</c:formatCode>
                <c:ptCount val="7"/>
                <c:pt idx="0">
                  <c:v>546</c:v>
                </c:pt>
                <c:pt idx="1">
                  <c:v>3579</c:v>
                </c:pt>
                <c:pt idx="2">
                  <c:v>5443</c:v>
                </c:pt>
                <c:pt idx="3">
                  <c:v>1735</c:v>
                </c:pt>
                <c:pt idx="4">
                  <c:v>245</c:v>
                </c:pt>
                <c:pt idx="5">
                  <c:v>172</c:v>
                </c:pt>
                <c:pt idx="6">
                  <c:v>2655</c:v>
                </c:pt>
              </c:numCache>
            </c:numRef>
          </c:val>
          <c:extLst>
            <c:ext xmlns:c16="http://schemas.microsoft.com/office/drawing/2014/chart" uri="{C3380CC4-5D6E-409C-BE32-E72D297353CC}">
              <c16:uniqueId val="{00000000-4B72-4B47-8122-D9AE3530D7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Completions by ward in 2022/23 excluding Nine Elms</a:t>
            </a:r>
          </a:p>
        </c:rich>
      </c:tx>
      <c:overlay val="0"/>
    </c:title>
    <c:autoTitleDeleted val="0"/>
    <c:plotArea>
      <c:layout/>
      <c:barChart>
        <c:barDir val="bar"/>
        <c:grouping val="clustered"/>
        <c:varyColors val="0"/>
        <c:ser>
          <c:idx val="0"/>
          <c:order val="0"/>
          <c:tx>
            <c:strRef>
              <c:f>'Summary Tables'!$G$278</c:f>
              <c:strCache>
                <c:ptCount val="1"/>
                <c:pt idx="0">
                  <c:v>Completions</c:v>
                </c:pt>
              </c:strCache>
            </c:strRef>
          </c:tx>
          <c:invertIfNegative val="0"/>
          <c:cat>
            <c:strRef>
              <c:extLst>
                <c:ext xmlns:c15="http://schemas.microsoft.com/office/drawing/2012/chart" uri="{02D57815-91ED-43cb-92C2-25804820EDAC}">
                  <c15:fullRef>
                    <c15:sqref>'Summary Tables'!$A$280:$C$301</c15:sqref>
                  </c15:fullRef>
                </c:ext>
              </c:extLst>
              <c:f>('Summary Tables'!$A$280:$C$285,'Summary Tables'!$A$287:$C$289,'Summary Tables'!$A$291:$C$301)</c:f>
              <c:strCache>
                <c:ptCount val="20"/>
                <c:pt idx="0">
                  <c:v>Balham</c:v>
                </c:pt>
                <c:pt idx="1">
                  <c:v>Battersea Park</c:v>
                </c:pt>
                <c:pt idx="2">
                  <c:v>East Putney</c:v>
                </c:pt>
                <c:pt idx="3">
                  <c:v>Falconbrook</c:v>
                </c:pt>
                <c:pt idx="4">
                  <c:v>Furzedown</c:v>
                </c:pt>
                <c:pt idx="5">
                  <c:v>Lavender</c:v>
                </c:pt>
                <c:pt idx="6">
                  <c:v>Northcote</c:v>
                </c:pt>
                <c:pt idx="7">
                  <c:v>Roehampton</c:v>
                </c:pt>
                <c:pt idx="8">
                  <c:v>Shaftesbury &amp; Queenstown</c:v>
                </c:pt>
                <c:pt idx="9">
                  <c:v>Southfields</c:v>
                </c:pt>
                <c:pt idx="10">
                  <c:v>St Mary's</c:v>
                </c:pt>
                <c:pt idx="11">
                  <c:v>Thamesfield</c:v>
                </c:pt>
                <c:pt idx="12">
                  <c:v>Tooting Bec</c:v>
                </c:pt>
                <c:pt idx="13">
                  <c:v>Tooting Broadway</c:v>
                </c:pt>
                <c:pt idx="14">
                  <c:v>Trinity</c:v>
                </c:pt>
                <c:pt idx="15">
                  <c:v>Wandle</c:v>
                </c:pt>
                <c:pt idx="16">
                  <c:v>Wandsworth Common</c:v>
                </c:pt>
                <c:pt idx="17">
                  <c:v>Wandsworth Town</c:v>
                </c:pt>
                <c:pt idx="18">
                  <c:v>West Hill</c:v>
                </c:pt>
                <c:pt idx="19">
                  <c:v>West Putney</c:v>
                </c:pt>
              </c:strCache>
            </c:strRef>
          </c:cat>
          <c:val>
            <c:numRef>
              <c:extLst>
                <c:ext xmlns:c15="http://schemas.microsoft.com/office/drawing/2012/chart" uri="{02D57815-91ED-43cb-92C2-25804820EDAC}">
                  <c15:fullRef>
                    <c15:sqref>'Summary Tables'!$G$280:$G$301</c15:sqref>
                  </c15:fullRef>
                </c:ext>
              </c:extLst>
              <c:f>('Summary Tables'!$G$280:$G$285,'Summary Tables'!$G$287:$G$289,'Summary Tables'!$G$291:$G$301)</c:f>
              <c:numCache>
                <c:formatCode>#,##0</c:formatCode>
                <c:ptCount val="20"/>
                <c:pt idx="0">
                  <c:v>27</c:v>
                </c:pt>
                <c:pt idx="1">
                  <c:v>1</c:v>
                </c:pt>
                <c:pt idx="2">
                  <c:v>16</c:v>
                </c:pt>
                <c:pt idx="3">
                  <c:v>0</c:v>
                </c:pt>
                <c:pt idx="4">
                  <c:v>28</c:v>
                </c:pt>
                <c:pt idx="5">
                  <c:v>51</c:v>
                </c:pt>
                <c:pt idx="6">
                  <c:v>2</c:v>
                </c:pt>
                <c:pt idx="7">
                  <c:v>-1</c:v>
                </c:pt>
                <c:pt idx="8">
                  <c:v>35</c:v>
                </c:pt>
                <c:pt idx="9">
                  <c:v>1</c:v>
                </c:pt>
                <c:pt idx="10">
                  <c:v>92</c:v>
                </c:pt>
                <c:pt idx="11">
                  <c:v>185</c:v>
                </c:pt>
                <c:pt idx="12">
                  <c:v>59</c:v>
                </c:pt>
                <c:pt idx="13">
                  <c:v>40</c:v>
                </c:pt>
                <c:pt idx="14">
                  <c:v>15</c:v>
                </c:pt>
                <c:pt idx="15">
                  <c:v>20</c:v>
                </c:pt>
                <c:pt idx="16">
                  <c:v>157</c:v>
                </c:pt>
                <c:pt idx="17">
                  <c:v>18</c:v>
                </c:pt>
                <c:pt idx="18">
                  <c:v>1</c:v>
                </c:pt>
                <c:pt idx="19">
                  <c:v>-1</c:v>
                </c:pt>
              </c:numCache>
            </c:numRef>
          </c:val>
          <c:extLst>
            <c:ext xmlns:c16="http://schemas.microsoft.com/office/drawing/2014/chart" uri="{C3380CC4-5D6E-409C-BE32-E72D297353CC}">
              <c16:uniqueId val="{00000000-4E64-40FD-A0CB-6C1F3A8D0B72}"/>
            </c:ext>
          </c:extLst>
        </c:ser>
        <c:dLbls>
          <c:showLegendKey val="0"/>
          <c:showVal val="0"/>
          <c:showCatName val="0"/>
          <c:showSerName val="0"/>
          <c:showPercent val="0"/>
          <c:showBubbleSize val="0"/>
        </c:dLbls>
        <c:gapWidth val="150"/>
        <c:axId val="142934400"/>
        <c:axId val="142935936"/>
      </c:barChart>
      <c:catAx>
        <c:axId val="142934400"/>
        <c:scaling>
          <c:orientation val="maxMin"/>
        </c:scaling>
        <c:delete val="0"/>
        <c:axPos val="l"/>
        <c:numFmt formatCode="General" sourceLinked="0"/>
        <c:majorTickMark val="out"/>
        <c:minorTickMark val="none"/>
        <c:tickLblPos val="nextTo"/>
        <c:crossAx val="142935936"/>
        <c:crosses val="autoZero"/>
        <c:auto val="1"/>
        <c:lblAlgn val="ctr"/>
        <c:lblOffset val="150"/>
        <c:noMultiLvlLbl val="0"/>
      </c:catAx>
      <c:valAx>
        <c:axId val="142935936"/>
        <c:scaling>
          <c:orientation val="minMax"/>
          <c:min val="0"/>
        </c:scaling>
        <c:delete val="0"/>
        <c:axPos val="t"/>
        <c:majorGridlines/>
        <c:numFmt formatCode="#,##0" sourceLinked="1"/>
        <c:majorTickMark val="out"/>
        <c:minorTickMark val="none"/>
        <c:tickLblPos val="nextTo"/>
        <c:spPr>
          <a:noFill/>
          <a:ln>
            <a:noFill/>
          </a:ln>
        </c:spPr>
        <c:crossAx val="142934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Delivery</a:t>
            </a:r>
            <a:r>
              <a:rPr lang="en-GB" baseline="0"/>
              <a:t> Trajectory and Managed Target</a:t>
            </a:r>
            <a:endParaRPr lang="en-GB"/>
          </a:p>
        </c:rich>
      </c:tx>
      <c:overlay val="0"/>
    </c:title>
    <c:autoTitleDeleted val="0"/>
    <c:plotArea>
      <c:layout/>
      <c:barChart>
        <c:barDir val="col"/>
        <c:grouping val="clustered"/>
        <c:varyColors val="0"/>
        <c:ser>
          <c:idx val="0"/>
          <c:order val="0"/>
          <c:tx>
            <c:strRef>
              <c:f>'Housing Trajectory'!$B$6</c:f>
              <c:strCache>
                <c:ptCount val="1"/>
                <c:pt idx="0">
                  <c:v>Past Completions</c:v>
                </c:pt>
              </c:strCache>
            </c:strRef>
          </c:tx>
          <c:spPr>
            <a:solidFill>
              <a:schemeClr val="tx2"/>
            </a:solidFill>
          </c:spPr>
          <c:invertIfNegative val="0"/>
          <c:dLbls>
            <c:dLbl>
              <c:idx val="5"/>
              <c:spPr>
                <a:noFill/>
                <a:ln>
                  <a:noFill/>
                </a:ln>
                <a:effectLst/>
              </c:spPr>
              <c:txPr>
                <a:bodyPr wrap="square" lIns="38100" tIns="19050" rIns="38100" bIns="19050" anchor="ctr">
                  <a:spAutoFit/>
                </a:bodyPr>
                <a:lstStyle/>
                <a:p>
                  <a:pPr>
                    <a:defRPr b="1"/>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DD91-4378-B4FA-E80BDB073341}"/>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Trajectory'!$C$4:$X$4</c:f>
              <c:strCache>
                <c:ptCount val="2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strCache>
            </c:strRef>
          </c:cat>
          <c:val>
            <c:numRef>
              <c:f>'Housing Trajectory'!$C$6:$U$6</c:f>
              <c:numCache>
                <c:formatCode>#,##0</c:formatCode>
                <c:ptCount val="19"/>
                <c:pt idx="0">
                  <c:v>2710</c:v>
                </c:pt>
                <c:pt idx="1">
                  <c:v>2025</c:v>
                </c:pt>
                <c:pt idx="2">
                  <c:v>1877</c:v>
                </c:pt>
                <c:pt idx="3">
                  <c:v>1359</c:v>
                </c:pt>
                <c:pt idx="4">
                  <c:v>1470</c:v>
                </c:pt>
                <c:pt idx="5">
                  <c:v>1974</c:v>
                </c:pt>
                <c:pt idx="6">
                  <c:v>2264</c:v>
                </c:pt>
              </c:numCache>
            </c:numRef>
          </c:val>
          <c:extLst>
            <c:ext xmlns:c16="http://schemas.microsoft.com/office/drawing/2014/chart" uri="{C3380CC4-5D6E-409C-BE32-E72D297353CC}">
              <c16:uniqueId val="{00000000-A337-458F-AA58-DC058BEC71FC}"/>
            </c:ext>
          </c:extLst>
        </c:ser>
        <c:ser>
          <c:idx val="1"/>
          <c:order val="1"/>
          <c:tx>
            <c:strRef>
              <c:f>'Housing Trajectory'!$B$7</c:f>
              <c:strCache>
                <c:ptCount val="1"/>
                <c:pt idx="0">
                  <c:v>Projected Completions</c:v>
                </c:pt>
              </c:strCache>
            </c:strRef>
          </c:tx>
          <c:spPr>
            <a:solidFill>
              <a:schemeClr val="accent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Trajectory'!$C$4:$X$4</c:f>
              <c:strCache>
                <c:ptCount val="2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strCache>
            </c:strRef>
          </c:cat>
          <c:val>
            <c:numRef>
              <c:f>'Housing Trajectory'!$C$7:$X$7</c:f>
              <c:numCache>
                <c:formatCode>#,##0</c:formatCode>
                <c:ptCount val="22"/>
                <c:pt idx="7">
                  <c:v>3315.3611111111113</c:v>
                </c:pt>
                <c:pt idx="8">
                  <c:v>2466.1055555555554</c:v>
                </c:pt>
                <c:pt idx="9">
                  <c:v>2087.0055555555555</c:v>
                </c:pt>
                <c:pt idx="10">
                  <c:v>3064.6859477124167</c:v>
                </c:pt>
                <c:pt idx="11">
                  <c:v>3272.6002334267037</c:v>
                </c:pt>
                <c:pt idx="12">
                  <c:v>2504.1780112044821</c:v>
                </c:pt>
                <c:pt idx="13">
                  <c:v>1568.0946778711486</c:v>
                </c:pt>
                <c:pt idx="14">
                  <c:v>1902.3446778711477</c:v>
                </c:pt>
                <c:pt idx="15">
                  <c:v>1292.4613445378156</c:v>
                </c:pt>
                <c:pt idx="16">
                  <c:v>843.96134453781497</c:v>
                </c:pt>
                <c:pt idx="17">
                  <c:v>747.71134453781519</c:v>
                </c:pt>
                <c:pt idx="18">
                  <c:v>747.71134453781519</c:v>
                </c:pt>
                <c:pt idx="19">
                  <c:v>701.51134453781515</c:v>
                </c:pt>
                <c:pt idx="20">
                  <c:v>624.75420168067228</c:v>
                </c:pt>
                <c:pt idx="21">
                  <c:v>586.75420168067217</c:v>
                </c:pt>
              </c:numCache>
            </c:numRef>
          </c:val>
          <c:extLst>
            <c:ext xmlns:c16="http://schemas.microsoft.com/office/drawing/2014/chart" uri="{C3380CC4-5D6E-409C-BE32-E72D297353CC}">
              <c16:uniqueId val="{00000001-A337-458F-AA58-DC058BEC71FC}"/>
            </c:ext>
          </c:extLst>
        </c:ser>
        <c:dLbls>
          <c:showLegendKey val="0"/>
          <c:showVal val="0"/>
          <c:showCatName val="0"/>
          <c:showSerName val="0"/>
          <c:showPercent val="0"/>
          <c:showBubbleSize val="0"/>
        </c:dLbls>
        <c:gapWidth val="100"/>
        <c:overlap val="100"/>
        <c:axId val="143106048"/>
        <c:axId val="143107968"/>
      </c:barChart>
      <c:lineChart>
        <c:grouping val="standard"/>
        <c:varyColors val="0"/>
        <c:ser>
          <c:idx val="2"/>
          <c:order val="2"/>
          <c:tx>
            <c:strRef>
              <c:f>'Housing Trajectory'!$B$9</c:f>
              <c:strCache>
                <c:ptCount val="1"/>
                <c:pt idx="0">
                  <c:v>Annual Target</c:v>
                </c:pt>
              </c:strCache>
            </c:strRef>
          </c:tx>
          <c:spPr>
            <a:ln>
              <a:solidFill>
                <a:schemeClr val="accent6">
                  <a:lumMod val="50000"/>
                </a:schemeClr>
              </a:solidFill>
            </a:ln>
          </c:spPr>
          <c:marker>
            <c:symbol val="none"/>
          </c:marker>
          <c:val>
            <c:numRef>
              <c:f>'Housing Trajectory'!$C$9:$X$9</c:f>
              <c:numCache>
                <c:formatCode>#,##0</c:formatCode>
                <c:ptCount val="22"/>
                <c:pt idx="0">
                  <c:v>1812</c:v>
                </c:pt>
                <c:pt idx="1">
                  <c:v>1812</c:v>
                </c:pt>
                <c:pt idx="2">
                  <c:v>1812</c:v>
                </c:pt>
                <c:pt idx="3">
                  <c:v>1812</c:v>
                </c:pt>
                <c:pt idx="4">
                  <c:v>1812</c:v>
                </c:pt>
                <c:pt idx="5">
                  <c:v>1950</c:v>
                </c:pt>
                <c:pt idx="6">
                  <c:v>1950</c:v>
                </c:pt>
                <c:pt idx="7">
                  <c:v>1950</c:v>
                </c:pt>
                <c:pt idx="8">
                  <c:v>1950</c:v>
                </c:pt>
                <c:pt idx="9">
                  <c:v>1950</c:v>
                </c:pt>
                <c:pt idx="10">
                  <c:v>1950</c:v>
                </c:pt>
                <c:pt idx="11">
                  <c:v>1950</c:v>
                </c:pt>
                <c:pt idx="12">
                  <c:v>1950</c:v>
                </c:pt>
                <c:pt idx="13">
                  <c:v>957</c:v>
                </c:pt>
                <c:pt idx="14">
                  <c:v>957</c:v>
                </c:pt>
                <c:pt idx="15">
                  <c:v>957</c:v>
                </c:pt>
                <c:pt idx="16">
                  <c:v>957</c:v>
                </c:pt>
                <c:pt idx="17">
                  <c:v>957</c:v>
                </c:pt>
                <c:pt idx="18">
                  <c:v>957</c:v>
                </c:pt>
                <c:pt idx="19">
                  <c:v>957</c:v>
                </c:pt>
                <c:pt idx="20">
                  <c:v>957</c:v>
                </c:pt>
                <c:pt idx="21">
                  <c:v>957</c:v>
                </c:pt>
              </c:numCache>
            </c:numRef>
          </c:val>
          <c:smooth val="0"/>
          <c:extLst>
            <c:ext xmlns:c16="http://schemas.microsoft.com/office/drawing/2014/chart" uri="{C3380CC4-5D6E-409C-BE32-E72D297353CC}">
              <c16:uniqueId val="{00000002-A337-458F-AA58-DC058BEC71FC}"/>
            </c:ext>
          </c:extLst>
        </c:ser>
        <c:ser>
          <c:idx val="3"/>
          <c:order val="3"/>
          <c:tx>
            <c:strRef>
              <c:f>'Housing Trajectory'!$B$12</c:f>
              <c:strCache>
                <c:ptCount val="1"/>
                <c:pt idx="0">
                  <c:v>Managed Annual Target Taking Account of Past and Projected Completions</c:v>
                </c:pt>
              </c:strCache>
            </c:strRef>
          </c:tx>
          <c:spPr>
            <a:ln>
              <a:solidFill>
                <a:schemeClr val="accent6"/>
              </a:solidFill>
              <a:prstDash val="solid"/>
            </a:ln>
          </c:spPr>
          <c:marker>
            <c:symbol val="none"/>
          </c:marker>
          <c:val>
            <c:numRef>
              <c:f>'Housing Trajectory'!$C$12:$X$12</c:f>
              <c:numCache>
                <c:formatCode>#,##0</c:formatCode>
                <c:ptCount val="22"/>
                <c:pt idx="0">
                  <c:v>1812</c:v>
                </c:pt>
                <c:pt idx="1">
                  <c:v>1712.2222222222222</c:v>
                </c:pt>
                <c:pt idx="2">
                  <c:v>1673.125</c:v>
                </c:pt>
                <c:pt idx="3">
                  <c:v>1644</c:v>
                </c:pt>
                <c:pt idx="4">
                  <c:v>1691.5</c:v>
                </c:pt>
                <c:pt idx="5">
                  <c:v>1950</c:v>
                </c:pt>
                <c:pt idx="6">
                  <c:v>1946.5714285714287</c:v>
                </c:pt>
                <c:pt idx="7">
                  <c:v>1893.6666666666667</c:v>
                </c:pt>
                <c:pt idx="8">
                  <c:v>1609.3277777777778</c:v>
                </c:pt>
                <c:pt idx="9">
                  <c:v>1395.1333333333332</c:v>
                </c:pt>
                <c:pt idx="10">
                  <c:v>1164.5092592592591</c:v>
                </c:pt>
                <c:pt idx="11">
                  <c:v>214.42091503268057</c:v>
                </c:pt>
                <c:pt idx="12">
                  <c:v>0</c:v>
                </c:pt>
              </c:numCache>
            </c:numRef>
          </c:val>
          <c:smooth val="0"/>
          <c:extLst>
            <c:ext xmlns:c16="http://schemas.microsoft.com/office/drawing/2014/chart" uri="{C3380CC4-5D6E-409C-BE32-E72D297353CC}">
              <c16:uniqueId val="{00000003-A337-458F-AA58-DC058BEC71FC}"/>
            </c:ext>
          </c:extLst>
        </c:ser>
        <c:dLbls>
          <c:showLegendKey val="0"/>
          <c:showVal val="0"/>
          <c:showCatName val="0"/>
          <c:showSerName val="0"/>
          <c:showPercent val="0"/>
          <c:showBubbleSize val="0"/>
        </c:dLbls>
        <c:marker val="1"/>
        <c:smooth val="0"/>
        <c:axId val="143106048"/>
        <c:axId val="143107968"/>
      </c:lineChart>
      <c:catAx>
        <c:axId val="143106048"/>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07968"/>
        <c:crosses val="autoZero"/>
        <c:auto val="1"/>
        <c:lblAlgn val="ctr"/>
        <c:lblOffset val="100"/>
        <c:noMultiLvlLbl val="0"/>
      </c:catAx>
      <c:valAx>
        <c:axId val="143107968"/>
        <c:scaling>
          <c:orientation val="minMax"/>
        </c:scaling>
        <c:delete val="0"/>
        <c:axPos val="l"/>
        <c:majorGridlines>
          <c:spPr>
            <a:ln>
              <a:noFill/>
            </a:ln>
          </c:spPr>
        </c:majorGridlines>
        <c:title>
          <c:tx>
            <c:rich>
              <a:bodyPr rot="-5400000" vert="horz"/>
              <a:lstStyle/>
              <a:p>
                <a:pPr>
                  <a:defRPr/>
                </a:pPr>
                <a:r>
                  <a:rPr lang="en-US"/>
                  <a:t>Net Completions</a:t>
                </a:r>
              </a:p>
            </c:rich>
          </c:tx>
          <c:overlay val="0"/>
        </c:title>
        <c:numFmt formatCode="#,##0" sourceLinked="1"/>
        <c:majorTickMark val="out"/>
        <c:minorTickMark val="none"/>
        <c:tickLblPos val="nextTo"/>
        <c:crossAx val="143106048"/>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Housing Delivery above or below</a:t>
            </a:r>
            <a:r>
              <a:rPr lang="en-US" baseline="0"/>
              <a:t> the Target over Time</a:t>
            </a:r>
            <a:endParaRPr lang="en-US"/>
          </a:p>
        </c:rich>
      </c:tx>
      <c:overlay val="0"/>
    </c:title>
    <c:autoTitleDeleted val="0"/>
    <c:plotArea>
      <c:layout/>
      <c:lineChart>
        <c:grouping val="standard"/>
        <c:varyColors val="0"/>
        <c:ser>
          <c:idx val="0"/>
          <c:order val="0"/>
          <c:tx>
            <c:strRef>
              <c:f>'Housing Trajectory'!$B$11</c:f>
              <c:strCache>
                <c:ptCount val="1"/>
                <c:pt idx="0">
                  <c:v>Cumulative Completions above Cumulative Target</c:v>
                </c:pt>
              </c:strCache>
            </c:strRef>
          </c:tx>
          <c:spPr>
            <a:ln>
              <a:solidFill>
                <a:schemeClr val="accent6">
                  <a:lumMod val="50000"/>
                </a:schemeClr>
              </a:solidFill>
            </a:ln>
          </c:spPr>
          <c:marker>
            <c:symbol val="none"/>
          </c:marker>
          <c:cat>
            <c:strRef>
              <c:f>'Housing Trajectory'!$C$4:$U$4</c:f>
              <c:strCache>
                <c:ptCount val="19"/>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strCache>
            </c:strRef>
          </c:cat>
          <c:val>
            <c:numRef>
              <c:f>'Housing Trajectory'!$C$11:$X$11</c:f>
              <c:numCache>
                <c:formatCode>#,##0</c:formatCode>
                <c:ptCount val="22"/>
                <c:pt idx="0">
                  <c:v>898</c:v>
                </c:pt>
                <c:pt idx="1">
                  <c:v>1111</c:v>
                </c:pt>
                <c:pt idx="2">
                  <c:v>1176</c:v>
                </c:pt>
                <c:pt idx="3">
                  <c:v>723</c:v>
                </c:pt>
                <c:pt idx="4">
                  <c:v>381</c:v>
                </c:pt>
                <c:pt idx="5">
                  <c:v>24</c:v>
                </c:pt>
                <c:pt idx="6">
                  <c:v>338</c:v>
                </c:pt>
                <c:pt idx="7">
                  <c:v>1703.3611111111113</c:v>
                </c:pt>
                <c:pt idx="8">
                  <c:v>2219.4666666666672</c:v>
                </c:pt>
                <c:pt idx="9">
                  <c:v>2356.4722222222226</c:v>
                </c:pt>
                <c:pt idx="10">
                  <c:v>3471.1581699346389</c:v>
                </c:pt>
                <c:pt idx="11">
                  <c:v>4793.7584033613421</c:v>
                </c:pt>
                <c:pt idx="12">
                  <c:v>5347.9364145658255</c:v>
                </c:pt>
                <c:pt idx="13">
                  <c:v>5959.0310924369733</c:v>
                </c:pt>
                <c:pt idx="14">
                  <c:v>6904.375770308121</c:v>
                </c:pt>
                <c:pt idx="15">
                  <c:v>7239.8371148459373</c:v>
                </c:pt>
                <c:pt idx="16">
                  <c:v>7126.7984593837537</c:v>
                </c:pt>
                <c:pt idx="17">
                  <c:v>6917.50980392157</c:v>
                </c:pt>
                <c:pt idx="18">
                  <c:v>6708.2211484593863</c:v>
                </c:pt>
                <c:pt idx="19">
                  <c:v>6452.7324929972019</c:v>
                </c:pt>
                <c:pt idx="20">
                  <c:v>6120.4866946778748</c:v>
                </c:pt>
                <c:pt idx="21">
                  <c:v>5750.2408963585476</c:v>
                </c:pt>
              </c:numCache>
            </c:numRef>
          </c:val>
          <c:smooth val="0"/>
          <c:extLst>
            <c:ext xmlns:c16="http://schemas.microsoft.com/office/drawing/2014/chart" uri="{C3380CC4-5D6E-409C-BE32-E72D297353CC}">
              <c16:uniqueId val="{00000000-2C77-49E0-8C01-4F3899661AED}"/>
            </c:ext>
          </c:extLst>
        </c:ser>
        <c:dLbls>
          <c:showLegendKey val="0"/>
          <c:showVal val="0"/>
          <c:showCatName val="0"/>
          <c:showSerName val="0"/>
          <c:showPercent val="0"/>
          <c:showBubbleSize val="0"/>
        </c:dLbls>
        <c:smooth val="0"/>
        <c:axId val="143144064"/>
        <c:axId val="143145984"/>
      </c:lineChart>
      <c:catAx>
        <c:axId val="143144064"/>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45984"/>
        <c:crosses val="autoZero"/>
        <c:auto val="1"/>
        <c:lblAlgn val="ctr"/>
        <c:lblOffset val="100"/>
        <c:noMultiLvlLbl val="0"/>
      </c:catAx>
      <c:valAx>
        <c:axId val="143145984"/>
        <c:scaling>
          <c:orientation val="minMax"/>
        </c:scaling>
        <c:delete val="0"/>
        <c:axPos val="l"/>
        <c:majorGridlines>
          <c:spPr>
            <a:ln>
              <a:noFill/>
            </a:ln>
          </c:spPr>
        </c:majorGridlines>
        <c:title>
          <c:tx>
            <c:rich>
              <a:bodyPr rot="-5400000" vert="horz"/>
              <a:lstStyle/>
              <a:p>
                <a:pPr>
                  <a:defRPr/>
                </a:pPr>
                <a:r>
                  <a:rPr lang="en-GB"/>
                  <a:t>Net Completions</a:t>
                </a:r>
              </a:p>
            </c:rich>
          </c:tx>
          <c:overlay val="0"/>
        </c:title>
        <c:numFmt formatCode="#,##0" sourceLinked="1"/>
        <c:majorTickMark val="out"/>
        <c:minorTickMark val="none"/>
        <c:tickLblPos val="nextTo"/>
        <c:crossAx val="143144064"/>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9</xdr:col>
      <xdr:colOff>381001</xdr:colOff>
      <xdr:row>33</xdr:row>
      <xdr:rowOff>19050</xdr:rowOff>
    </xdr:from>
    <xdr:to>
      <xdr:col>16</xdr:col>
      <xdr:colOff>457201</xdr:colOff>
      <xdr:row>46</xdr:row>
      <xdr:rowOff>104775</xdr:rowOff>
    </xdr:to>
    <xdr:graphicFrame macro="">
      <xdr:nvGraphicFramePr>
        <xdr:cNvPr id="62356" name="Chart 1">
          <a:extLst>
            <a:ext uri="{FF2B5EF4-FFF2-40B4-BE49-F238E27FC236}">
              <a16:creationId xmlns:a16="http://schemas.microsoft.com/office/drawing/2014/main" id="{00000000-0008-0000-0000-000094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92</xdr:row>
      <xdr:rowOff>111474</xdr:rowOff>
    </xdr:from>
    <xdr:to>
      <xdr:col>16</xdr:col>
      <xdr:colOff>500635</xdr:colOff>
      <xdr:row>108</xdr:row>
      <xdr:rowOff>67235</xdr:rowOff>
    </xdr:to>
    <xdr:graphicFrame macro="">
      <xdr:nvGraphicFramePr>
        <xdr:cNvPr id="62358" name="Chart 20">
          <a:extLst>
            <a:ext uri="{FF2B5EF4-FFF2-40B4-BE49-F238E27FC236}">
              <a16:creationId xmlns:a16="http://schemas.microsoft.com/office/drawing/2014/main" id="{00000000-0008-0000-0000-000096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203</xdr:row>
      <xdr:rowOff>0</xdr:rowOff>
    </xdr:from>
    <xdr:to>
      <xdr:col>17</xdr:col>
      <xdr:colOff>0</xdr:colOff>
      <xdr:row>223</xdr:row>
      <xdr:rowOff>0</xdr:rowOff>
    </xdr:to>
    <xdr:graphicFrame macro="">
      <xdr:nvGraphicFramePr>
        <xdr:cNvPr id="62359" name="Chart 23">
          <a:extLst>
            <a:ext uri="{FF2B5EF4-FFF2-40B4-BE49-F238E27FC236}">
              <a16:creationId xmlns:a16="http://schemas.microsoft.com/office/drawing/2014/main" id="{00000000-0008-0000-0000-000097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219075</xdr:colOff>
      <xdr:row>179</xdr:row>
      <xdr:rowOff>0</xdr:rowOff>
    </xdr:from>
    <xdr:to>
      <xdr:col>16</xdr:col>
      <xdr:colOff>466725</xdr:colOff>
      <xdr:row>199</xdr:row>
      <xdr:rowOff>47625</xdr:rowOff>
    </xdr:to>
    <xdr:graphicFrame macro="">
      <xdr:nvGraphicFramePr>
        <xdr:cNvPr id="62360" name="Chart 26">
          <a:extLst>
            <a:ext uri="{FF2B5EF4-FFF2-40B4-BE49-F238E27FC236}">
              <a16:creationId xmlns:a16="http://schemas.microsoft.com/office/drawing/2014/main" id="{00000000-0008-0000-0000-000098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409575</xdr:colOff>
      <xdr:row>113</xdr:row>
      <xdr:rowOff>9526</xdr:rowOff>
    </xdr:from>
    <xdr:to>
      <xdr:col>16</xdr:col>
      <xdr:colOff>485775</xdr:colOff>
      <xdr:row>133</xdr:row>
      <xdr:rowOff>19050</xdr:rowOff>
    </xdr:to>
    <xdr:graphicFrame macro="">
      <xdr:nvGraphicFramePr>
        <xdr:cNvPr id="62361" name="Chart 34">
          <a:extLst>
            <a:ext uri="{FF2B5EF4-FFF2-40B4-BE49-F238E27FC236}">
              <a16:creationId xmlns:a16="http://schemas.microsoft.com/office/drawing/2014/main" id="{00000000-0008-0000-0000-000099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66674</xdr:colOff>
      <xdr:row>227</xdr:row>
      <xdr:rowOff>9525</xdr:rowOff>
    </xdr:from>
    <xdr:to>
      <xdr:col>16</xdr:col>
      <xdr:colOff>552449</xdr:colOff>
      <xdr:row>247</xdr:row>
      <xdr:rowOff>0</xdr:rowOff>
    </xdr:to>
    <xdr:graphicFrame macro="">
      <xdr:nvGraphicFramePr>
        <xdr:cNvPr id="62362" name="Chart 35">
          <a:extLst>
            <a:ext uri="{FF2B5EF4-FFF2-40B4-BE49-F238E27FC236}">
              <a16:creationId xmlns:a16="http://schemas.microsoft.com/office/drawing/2014/main" id="{00000000-0008-0000-0000-00009A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114300</xdr:colOff>
      <xdr:row>75</xdr:row>
      <xdr:rowOff>9524</xdr:rowOff>
    </xdr:from>
    <xdr:to>
      <xdr:col>17</xdr:col>
      <xdr:colOff>0</xdr:colOff>
      <xdr:row>93</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375285</xdr:colOff>
      <xdr:row>348</xdr:row>
      <xdr:rowOff>57149</xdr:rowOff>
    </xdr:from>
    <xdr:to>
      <xdr:col>20</xdr:col>
      <xdr:colOff>264795</xdr:colOff>
      <xdr:row>357</xdr:row>
      <xdr:rowOff>152399</xdr:rowOff>
    </xdr:to>
    <xdr:graphicFrame macro="">
      <xdr:nvGraphicFramePr>
        <xdr:cNvPr id="17" name="Chart 59">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285751</xdr:colOff>
      <xdr:row>336</xdr:row>
      <xdr:rowOff>9525</xdr:rowOff>
    </xdr:from>
    <xdr:to>
      <xdr:col>15</xdr:col>
      <xdr:colOff>285751</xdr:colOff>
      <xdr:row>355</xdr:row>
      <xdr:rowOff>9525</xdr:rowOff>
    </xdr:to>
    <xdr:graphicFrame macro="">
      <xdr:nvGraphicFramePr>
        <xdr:cNvPr id="62366" name="Chart 59">
          <a:extLst>
            <a:ext uri="{FF2B5EF4-FFF2-40B4-BE49-F238E27FC236}">
              <a16:creationId xmlns:a16="http://schemas.microsoft.com/office/drawing/2014/main" id="{00000000-0008-0000-0000-00009E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228600</xdr:colOff>
      <xdr:row>336</xdr:row>
      <xdr:rowOff>9526</xdr:rowOff>
    </xdr:from>
    <xdr:to>
      <xdr:col>20</xdr:col>
      <xdr:colOff>228600</xdr:colOff>
      <xdr:row>355</xdr:row>
      <xdr:rowOff>9525</xdr:rowOff>
    </xdr:to>
    <xdr:graphicFrame macro="">
      <xdr:nvGraphicFramePr>
        <xdr:cNvPr id="62367" name="Chart 60">
          <a:extLst>
            <a:ext uri="{FF2B5EF4-FFF2-40B4-BE49-F238E27FC236}">
              <a16:creationId xmlns:a16="http://schemas.microsoft.com/office/drawing/2014/main" id="{00000000-0008-0000-0000-00009F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89534</xdr:colOff>
      <xdr:row>133</xdr:row>
      <xdr:rowOff>38100</xdr:rowOff>
    </xdr:from>
    <xdr:to>
      <xdr:col>17</xdr:col>
      <xdr:colOff>95250</xdr:colOff>
      <xdr:row>149</xdr:row>
      <xdr:rowOff>152400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64770</xdr:colOff>
      <xdr:row>276</xdr:row>
      <xdr:rowOff>163829</xdr:rowOff>
    </xdr:from>
    <xdr:to>
      <xdr:col>16</xdr:col>
      <xdr:colOff>556259</xdr:colOff>
      <xdr:row>302</xdr:row>
      <xdr:rowOff>11429</xdr:rowOff>
    </xdr:to>
    <xdr:graphicFrame macro="">
      <xdr:nvGraphicFramePr>
        <xdr:cNvPr id="5" name="Chart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312</xdr:row>
      <xdr:rowOff>1</xdr:rowOff>
    </xdr:from>
    <xdr:to>
      <xdr:col>17</xdr:col>
      <xdr:colOff>0</xdr:colOff>
      <xdr:row>324</xdr:row>
      <xdr:rowOff>1</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324</xdr:row>
      <xdr:rowOff>1</xdr:rowOff>
    </xdr:from>
    <xdr:to>
      <xdr:col>17</xdr:col>
      <xdr:colOff>0</xdr:colOff>
      <xdr:row>336</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166427</xdr:colOff>
      <xdr:row>276</xdr:row>
      <xdr:rowOff>140450</xdr:rowOff>
    </xdr:from>
    <xdr:to>
      <xdr:col>26</xdr:col>
      <xdr:colOff>18182</xdr:colOff>
      <xdr:row>301</xdr:row>
      <xdr:rowOff>151707</xdr:rowOff>
    </xdr:to>
    <xdr:graphicFrame macro="">
      <xdr:nvGraphicFramePr>
        <xdr:cNvPr id="3" name="Chart 2">
          <a:extLst>
            <a:ext uri="{FF2B5EF4-FFF2-40B4-BE49-F238E27FC236}">
              <a16:creationId xmlns:a16="http://schemas.microsoft.com/office/drawing/2014/main" id="{661D1A5C-3640-4573-A3F4-26CF38406CBD}"/>
            </a:ext>
            <a:ext uri="{147F2762-F138-4A5C-976F-8EAC2B608ADB}">
              <a16:predDERef xmlns:a16="http://schemas.microsoft.com/office/drawing/2014/main" pre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24</xdr:col>
      <xdr:colOff>0</xdr:colOff>
      <xdr:row>48</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24</xdr:col>
      <xdr:colOff>0</xdr:colOff>
      <xdr:row>70</xdr:row>
      <xdr:rowOff>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68.455567476849" createdVersion="6" refreshedVersion="8" minRefreshableVersion="3" recordCount="1151" xr:uid="{B037050F-E2F3-4E94-AB04-BDD68A572670}">
  <cacheSource type="worksheet">
    <worksheetSource ref="A1:CO1152" sheet="Conventional Supply"/>
  </cacheSource>
  <cacheFields count="93">
    <cacheField name="Site" numFmtId="0">
      <sharedItems containsString="0" containsBlank="1" containsNumber="1" containsInteger="1" minValue="54" maxValue="8056"/>
    </cacheField>
    <cacheField name="Status" numFmtId="0">
      <sharedItems count="8">
        <s v="01 Completion"/>
        <s v="03 Planning"/>
        <s v="02 Under Construction"/>
        <s v="04 Subject to Legal Agreement"/>
        <s v="06 Identified Site"/>
        <s v="07 SHLAA Potential Site"/>
        <s v="08 SHLAA Small Sites"/>
        <s v="05 Pending or at Appeal" u="1"/>
      </sharedItems>
    </cacheField>
    <cacheField name="Application" numFmtId="0">
      <sharedItems containsBlank="1"/>
    </cacheField>
    <cacheField name="Address" numFmtId="0">
      <sharedItems containsBlank="1"/>
    </cacheField>
    <cacheField name="Phase" numFmtId="0">
      <sharedItems containsBlank="1"/>
    </cacheField>
    <cacheField name="Easting" numFmtId="0">
      <sharedItems containsString="0" containsBlank="1" containsNumber="1" minValue="521107" maxValue="530104"/>
    </cacheField>
    <cacheField name="Northing" numFmtId="0">
      <sharedItems containsString="0" containsBlank="1" containsNumber="1" minValue="170477" maxValue="177808"/>
    </cacheField>
    <cacheField name="Ward (2022)" numFmtId="0">
      <sharedItems containsBlank="1" count="24">
        <s v="Thamesfield"/>
        <s v="Shaftesbury &amp; Queenstown"/>
        <s v="Balham"/>
        <s v="Tooting Broadway"/>
        <s v="Trinity"/>
        <s v="St Mary's"/>
        <s v="Wandsworth Town"/>
        <s v="East Putney"/>
        <s v="South Balham"/>
        <s v="Tooting Bec"/>
        <s v="Wandsworth Common"/>
        <s v="Wandle"/>
        <s v="Lavender"/>
        <s v="Furzedown"/>
        <s v="Northcote"/>
        <s v="Nine Elms"/>
        <s v="Roehampton"/>
        <s v="Battersea Park"/>
        <s v="West Putney"/>
        <s v="West Hill"/>
        <s v="Southfields"/>
        <s v="Falconbrook"/>
        <m/>
        <s v="Latchmere" u="1"/>
      </sharedItems>
    </cacheField>
    <cacheField name="Site Construction Date" numFmtId="14">
      <sharedItems containsNonDate="0" containsDate="1" containsString="0" containsBlank="1" minDate="2013-11-21T00:00:00" maxDate="2023-04-01T00:00:00"/>
    </cacheField>
    <cacheField name="Site Completion Date" numFmtId="0">
      <sharedItems containsDate="1" containsBlank="1" containsMixedTypes="1" minDate="2022-04-01T00:00:00" maxDate="2023-04-01T00:00:00"/>
    </cacheField>
    <cacheField name="Phase Existing Units" numFmtId="0">
      <sharedItems containsSemiMixedTypes="0" containsString="0" containsNumber="1" containsInteger="1" minValue="0" maxValue="527"/>
    </cacheField>
    <cacheField name="Phase Proposed Units" numFmtId="0">
      <sharedItems containsSemiMixedTypes="0" containsString="0" containsNumber="1" containsInteger="1" minValue="0" maxValue="4788"/>
    </cacheField>
    <cacheField name="Phase Net Units" numFmtId="0">
      <sharedItems containsSemiMixedTypes="0" containsString="0" containsNumber="1" containsInteger="1" minValue="-527" maxValue="4788"/>
    </cacheField>
    <cacheField name="Application Proposed Units" numFmtId="0">
      <sharedItems containsSemiMixedTypes="0" containsString="0" containsNumber="1" containsInteger="1" minValue="0" maxValue="2971"/>
    </cacheField>
    <cacheField name="Application Net Units" numFmtId="0">
      <sharedItems containsSemiMixedTypes="0" containsString="0" containsNumber="1" containsInteger="1" minValue="-7" maxValue="2966"/>
    </cacheField>
    <cacheField name="Scheme of 10 or More Proposed Units" numFmtId="0">
      <sharedItems containsBlank="1" count="2">
        <s v="Y"/>
        <m/>
      </sharedItems>
    </cacheField>
    <cacheField name="Proposal" numFmtId="0">
      <sharedItems longText="1"/>
    </cacheField>
    <cacheField name="Application Status" numFmtId="0">
      <sharedItems/>
    </cacheField>
    <cacheField name="Application Received Date" numFmtId="14">
      <sharedItems containsNonDate="0" containsDate="1" containsString="0" containsBlank="1" minDate="2010-09-10T00:00:00" maxDate="2023-02-02T00:00:00"/>
    </cacheField>
    <cacheField name="Application Decision Date" numFmtId="0">
      <sharedItems containsNonDate="0" containsDate="1" containsString="0" containsBlank="1" minDate="2011-02-13T00:00:00" maxDate="2023-04-01T00:00:00"/>
    </cacheField>
    <cacheField name="Reporting Year Decision" numFmtId="0">
      <sharedItems containsBlank="1" count="2">
        <m/>
        <s v="Y"/>
      </sharedItems>
    </cacheField>
    <cacheField name="Appeal Status" numFmtId="0">
      <sharedItems/>
    </cacheField>
    <cacheField name="Appeal Decision Date" numFmtId="0">
      <sharedItems containsDate="1" containsBlank="1" containsMixedTypes="1" minDate="2012-06-22T00:00:00" maxDate="2021-09-25T00:00:00"/>
    </cacheField>
    <cacheField name="Land Type" numFmtId="0">
      <sharedItems/>
    </cacheField>
    <cacheField name="Development Type" numFmtId="0">
      <sharedItems/>
    </cacheField>
    <cacheField name="Large Residential Development Type" numFmtId="0">
      <sharedItems count="7">
        <s v="NB"/>
        <s v="EXT"/>
        <s v="n/a"/>
        <s v="O"/>
        <s v="LRC"/>
        <s v="OTC"/>
        <s v="OFC"/>
      </sharedItems>
    </cacheField>
    <cacheField name="Minor Residential Development Type" numFmtId="0">
      <sharedItems count="14">
        <s v="n/a"/>
        <s v="n"/>
        <s v="k"/>
        <s v="g"/>
        <s v="e"/>
        <s v="a"/>
        <s v="f"/>
        <s v="c+"/>
        <s v="b"/>
        <s v="c-"/>
        <s v="j+"/>
        <s v="d"/>
        <s v="h"/>
        <s v="j-"/>
      </sharedItems>
    </cacheField>
    <cacheField name="Phase Residential Site Area (ha)" numFmtId="0">
      <sharedItems containsSemiMixedTypes="0" containsString="0" containsNumber="1" minValue="0" maxValue="5.7229999999999999"/>
    </cacheField>
    <cacheField name="Phase Construction Date" numFmtId="0">
      <sharedItems containsDate="1" containsBlank="1" containsMixedTypes="1" minDate="2015-08-12T00:00:00" maxDate="2023-04-01T00:00:00"/>
    </cacheField>
    <cacheField name="Reporting Year Start" numFmtId="0">
      <sharedItems containsBlank="1" count="2">
        <m/>
        <s v="Y"/>
      </sharedItems>
    </cacheField>
    <cacheField name="Phase Completion Date" numFmtId="0">
      <sharedItems containsDate="1" containsBlank="1" containsMixedTypes="1" minDate="2022-04-01T00:00:00" maxDate="2023-04-01T00:00:00"/>
    </cacheField>
    <cacheField name="Tenure" numFmtId="0">
      <sharedItems count="4">
        <s v="Intermediate"/>
        <s v="Social/Affordable Rent"/>
        <s v="Open Market"/>
        <s v="Unknown"/>
      </sharedItems>
    </cacheField>
    <cacheField name="Tenure Code" numFmtId="0">
      <sharedItems/>
    </cacheField>
    <cacheField name="Site Specific Allocations Document Reference" numFmtId="0">
      <sharedItems containsBlank="1"/>
    </cacheField>
    <cacheField name="London SHLAA 2017 Reference" numFmtId="0">
      <sharedItems containsString="0" containsBlank="1" containsNumber="1" containsInteger="1" minValue="17320035" maxValue="17320336"/>
    </cacheField>
    <cacheField name="Lifetime Homes" numFmtId="0">
      <sharedItems containsString="0" containsBlank="1" containsNumber="1" containsInteger="1" minValue="0" maxValue="836"/>
    </cacheField>
    <cacheField name="M4(2) Dwellings" numFmtId="0">
      <sharedItems containsString="0" containsBlank="1" containsNumber="1" containsInteger="1" minValue="0" maxValue="1219"/>
    </cacheField>
    <cacheField name="Wheelchair Accessible Homes" numFmtId="0">
      <sharedItems containsString="0" containsBlank="1" containsNumber="1" containsInteger="1" minValue="0" maxValue="94"/>
    </cacheField>
    <cacheField name="M4(3) Dwellings" numFmtId="0">
      <sharedItems containsString="0" containsBlank="1" containsNumber="1" containsInteger="1" minValue="0" maxValue="395"/>
    </cacheField>
    <cacheField name="Net Studio Units" numFmtId="0">
      <sharedItems containsSemiMixedTypes="0" containsString="0" containsNumber="1" containsInteger="1" minValue="-79" maxValue="160"/>
    </cacheField>
    <cacheField name="Net 1 Bed Units" numFmtId="0">
      <sharedItems containsSemiMixedTypes="0" containsString="0" containsNumber="1" containsInteger="1" minValue="-120" maxValue="390"/>
    </cacheField>
    <cacheField name="Net 2 Bed Units" numFmtId="0">
      <sharedItems containsSemiMixedTypes="0" containsString="0" containsNumber="1" containsInteger="1" minValue="-256" maxValue="406"/>
    </cacheField>
    <cacheField name="Net 3 Bed Units" numFmtId="0">
      <sharedItems containsSemiMixedTypes="0" containsString="0" containsNumber="1" containsInteger="1" minValue="-118" maxValue="140"/>
    </cacheField>
    <cacheField name="Net 4 Bed Units" numFmtId="0">
      <sharedItems containsSemiMixedTypes="0" containsString="0" containsNumber="1" containsInteger="1" minValue="-30" maxValue="35"/>
    </cacheField>
    <cacheField name="Net 5+ Bed Units" numFmtId="0">
      <sharedItems containsSemiMixedTypes="0" containsString="0" containsNumber="1" containsInteger="1" minValue="-2" maxValue="66"/>
    </cacheField>
    <cacheField name="Net Not Known Bed Units" numFmtId="0">
      <sharedItems containsSemiMixedTypes="0" containsString="0" containsNumber="1" containsInteger="1" minValue="-5" maxValue="5222"/>
    </cacheField>
    <cacheField name="Net Studio Flats" numFmtId="0">
      <sharedItems containsSemiMixedTypes="0" containsString="0" containsNumber="1" containsInteger="1" minValue="-79" maxValue="160"/>
    </cacheField>
    <cacheField name="Net 1 Bed Flats" numFmtId="0">
      <sharedItems containsSemiMixedTypes="0" containsString="0" containsNumber="1" containsInteger="1" minValue="-120" maxValue="390"/>
    </cacheField>
    <cacheField name="Net 2 Bed Flats" numFmtId="0">
      <sharedItems containsSemiMixedTypes="0" containsString="0" containsNumber="1" containsInteger="1" minValue="-256" maxValue="406"/>
    </cacheField>
    <cacheField name="Net 3 Bed Flats" numFmtId="0">
      <sharedItems containsSemiMixedTypes="0" containsString="0" containsNumber="1" containsInteger="1" minValue="-118" maxValue="140"/>
    </cacheField>
    <cacheField name="Net 4 Bed Flats" numFmtId="0">
      <sharedItems containsSemiMixedTypes="0" containsString="0" containsNumber="1" containsInteger="1" minValue="-30" maxValue="35"/>
    </cacheField>
    <cacheField name="Net 5+ Bed Flats" numFmtId="0">
      <sharedItems containsSemiMixedTypes="0" containsString="0" containsNumber="1" containsInteger="1" minValue="-2" maxValue="66"/>
    </cacheField>
    <cacheField name="Net Not Known Bed Flats" numFmtId="0">
      <sharedItems containsSemiMixedTypes="0" containsString="0" containsNumber="1" containsInteger="1" minValue="-5" maxValue="5222"/>
    </cacheField>
    <cacheField name="Net Studio Houses" numFmtId="0">
      <sharedItems containsSemiMixedTypes="0" containsString="0" containsNumber="1" containsInteger="1" minValue="0" maxValue="0"/>
    </cacheField>
    <cacheField name="Net 1 Bed Houses" numFmtId="0">
      <sharedItems containsSemiMixedTypes="0" containsString="0" containsNumber="1" containsInteger="1" minValue="-1" maxValue="1"/>
    </cacheField>
    <cacheField name="Net 2 Bed Houses" numFmtId="0">
      <sharedItems containsSemiMixedTypes="0" containsString="0" containsNumber="1" containsInteger="1" minValue="-1" maxValue="8"/>
    </cacheField>
    <cacheField name="Net 3 Bed Houses" numFmtId="0">
      <sharedItems containsSemiMixedTypes="0" containsString="0" containsNumber="1" containsInteger="1" minValue="-6" maxValue="7"/>
    </cacheField>
    <cacheField name="Net 4 Bed Houses" numFmtId="0">
      <sharedItems containsSemiMixedTypes="0" containsString="0" containsNumber="1" containsInteger="1" minValue="-1" maxValue="14"/>
    </cacheField>
    <cacheField name="Net 5+ Bed Houses" numFmtId="0">
      <sharedItems containsSemiMixedTypes="0" containsString="0" containsNumber="1" containsInteger="1" minValue="-1" maxValue="2"/>
    </cacheField>
    <cacheField name="Net Not Known Bed Houses" numFmtId="0">
      <sharedItems containsSemiMixedTypes="0" containsString="0" containsNumber="1" containsInteger="1" minValue="-2" maxValue="145"/>
    </cacheField>
    <cacheField name="Net Studio Live Work" numFmtId="0">
      <sharedItems containsSemiMixedTypes="0" containsString="0" containsNumber="1" containsInteger="1" minValue="0" maxValue="0"/>
    </cacheField>
    <cacheField name="Net 1 Bed Live Work" numFmtId="0">
      <sharedItems containsSemiMixedTypes="0" containsString="0" containsNumber="1" containsInteger="1" minValue="-1" maxValue="0"/>
    </cacheField>
    <cacheField name="Net 2 Bed Live Work" numFmtId="0">
      <sharedItems containsSemiMixedTypes="0" containsString="0" containsNumber="1" containsInteger="1" minValue="0" maxValue="0"/>
    </cacheField>
    <cacheField name="Net 3 Bed Live Work" numFmtId="0">
      <sharedItems containsSemiMixedTypes="0" containsString="0" containsNumber="1" containsInteger="1" minValue="0" maxValue="0"/>
    </cacheField>
    <cacheField name="Net 4 Bed Live Work" numFmtId="0">
      <sharedItems containsSemiMixedTypes="0" containsString="0" containsNumber="1" containsInteger="1" minValue="0" maxValue="0"/>
    </cacheField>
    <cacheField name="Net 5+ Bed Live Work" numFmtId="0">
      <sharedItems containsSemiMixedTypes="0" containsString="0" containsNumber="1" containsInteger="1" minValue="0" maxValue="0"/>
    </cacheField>
    <cacheField name="Net Not Known Live Work" numFmtId="0">
      <sharedItems containsSemiMixedTypes="0" containsString="0" containsNumber="1" containsInteger="1" minValue="0" maxValue="0"/>
    </cacheField>
    <cacheField name="Town Centre" numFmtId="0">
      <sharedItems containsBlank="1" count="6">
        <m/>
        <s v="Balham"/>
        <s v="Tooting"/>
        <s v="Wandsworth"/>
        <s v="Putney"/>
        <s v="Clapham Junction"/>
      </sharedItems>
    </cacheField>
    <cacheField name="VNEB" numFmtId="0">
      <sharedItems containsBlank="1" count="2">
        <m/>
        <s v="Y"/>
      </sharedItems>
    </cacheField>
    <cacheField name="Spatial area" numFmtId="1">
      <sharedItems containsBlank="1" count="13">
        <s v="Wandsworth Town, including the Wandle Delta Masterplan Area"/>
        <s v="Rest of Borough"/>
        <s v="Balham"/>
        <s v="Tooting"/>
        <s v="Putney Town Centre"/>
        <s v="Clapham Junction Spatial Area Strategy"/>
        <s v="The Wandle Valley"/>
        <s v="Nine Elms Vauxhall Opportunity Area"/>
        <s v="Wandsworth riverside"/>
        <s v="Roehampton Regeneration Area"/>
        <s v="Wandsworth Town, excluding the Wandle Delta Masterplan Area"/>
        <s v="Borough-wide"/>
        <m u="1"/>
      </sharedItems>
    </cacheField>
    <cacheField name="Phasing Assumption" numFmtId="1">
      <sharedItems containsSemiMixedTypes="0" containsString="0" containsNumber="1" containsInteger="1" minValue="1" maxValue="22"/>
    </cacheField>
    <cacheField name="2022/23" numFmtId="3">
      <sharedItems containsString="0" containsBlank="1" containsNumber="1" containsInteger="1" minValue="-97" maxValue="299"/>
    </cacheField>
    <cacheField name="2023/24" numFmtId="3">
      <sharedItems containsString="0" containsBlank="1" containsNumber="1" minValue="-23" maxValue="622"/>
    </cacheField>
    <cacheField name="2024/25" numFmtId="3">
      <sharedItems containsString="0" containsBlank="1" containsNumber="1" minValue="-1.5" maxValue="209"/>
    </cacheField>
    <cacheField name="2025/26" numFmtId="3">
      <sharedItems containsString="0" containsBlank="1" containsNumber="1" minValue="-1.5" maxValue="316"/>
    </cacheField>
    <cacheField name="2026/27" numFmtId="3">
      <sharedItems containsString="0" containsBlank="1" containsNumber="1" minValue="-56" maxValue="294.33333333333331"/>
    </cacheField>
    <cacheField name="2027/28" numFmtId="3">
      <sharedItems containsString="0" containsBlank="1" containsNumber="1" minValue="-52.666666666666664" maxValue="294.33333333333331"/>
    </cacheField>
    <cacheField name="2028/29" numFmtId="3">
      <sharedItems containsString="0" containsBlank="1" containsNumber="1" minValue="-175.66666666666666" maxValue="451.66666666666669"/>
    </cacheField>
    <cacheField name="2029/30" numFmtId="3">
      <sharedItems containsString="0" containsBlank="1" containsNumber="1" minValue="-175.66666666666666" maxValue="451.66666666666669"/>
    </cacheField>
    <cacheField name="2030/31" numFmtId="3">
      <sharedItems containsString="0" containsBlank="1" containsNumber="1" minValue="-175.66666666666666" maxValue="451.66666666666669"/>
    </cacheField>
    <cacheField name="2031/32" numFmtId="3">
      <sharedItems containsString="0" containsBlank="1" containsNumber="1" minValue="6.25E-2" maxValue="414"/>
    </cacheField>
    <cacheField name="2032/33" numFmtId="3">
      <sharedItems containsString="0" containsBlank="1" containsNumber="1" minValue="6.25E-2" maxValue="414"/>
    </cacheField>
    <cacheField name="2033/34" numFmtId="3">
      <sharedItems containsString="0" containsBlank="1" containsNumber="1" minValue="6.25E-2" maxValue="414"/>
    </cacheField>
    <cacheField name="2034/35" numFmtId="3">
      <sharedItems containsString="0" containsBlank="1" containsNumber="1" minValue="6.25E-2" maxValue="414"/>
    </cacheField>
    <cacheField name="2035/36" numFmtId="3">
      <sharedItems containsString="0" containsBlank="1" containsNumber="1" minValue="6.25E-2" maxValue="414"/>
    </cacheField>
    <cacheField name="2036/37" numFmtId="3">
      <sharedItems containsString="0" containsBlank="1" containsNumber="1" minValue="6.25E-2" maxValue="414"/>
    </cacheField>
    <cacheField name="2037/38" numFmtId="3">
      <sharedItems containsString="0" containsBlank="1" containsNumber="1" minValue="6.25E-2" maxValue="414"/>
    </cacheField>
    <cacheField name="2038/39" numFmtId="3">
      <sharedItems containsString="0" containsBlank="1" containsNumber="1" minValue="6.25E-2" maxValue="16.916666666666668"/>
    </cacheField>
    <cacheField name="2039/40" numFmtId="3">
      <sharedItems containsString="0" containsBlank="1" containsNumber="1" minValue="6.25E-2" maxValue="16.916666666666668"/>
    </cacheField>
    <cacheField name="2040/41" numFmtId="3">
      <sharedItems containsString="0" containsBlank="1" containsNumber="1" minValue="6.25E-2" maxValue="16.916666666666668"/>
    </cacheField>
    <cacheField name="2041/42" numFmtId="3">
      <sharedItems containsString="0" containsBlank="1" containsNumber="1" minValue="6.25E-2" maxValue="16.916666666666668"/>
    </cacheField>
    <cacheField name="Delivery in 5 Years" numFmtId="1">
      <sharedItems containsSemiMixedTypes="0" containsString="0" containsNumber="1" minValue="-105.33333333333333" maxValue="885"/>
    </cacheField>
    <cacheField name="Delivery in 10 Years" numFmtId="1">
      <sharedItems containsSemiMixedTypes="0" containsString="0" containsNumber="1" minValue="-527" maxValue="271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68.455569907404" createdVersion="6" refreshedVersion="8" minRefreshableVersion="3" recordCount="1153" xr:uid="{BF4D34DC-ACE6-41BD-B45D-0D830D7D2577}">
  <cacheSource type="worksheet">
    <worksheetSource ref="A1:CO1048576" sheet="Conventional Supply"/>
  </cacheSource>
  <cacheFields count="93">
    <cacheField name="Site" numFmtId="0">
      <sharedItems containsString="0" containsBlank="1" containsNumber="1" containsInteger="1" minValue="54" maxValue="8056"/>
    </cacheField>
    <cacheField name="Status" numFmtId="0">
      <sharedItems containsBlank="1" count="10">
        <s v="01 Completion"/>
        <s v="03 Planning"/>
        <s v="02 Under Construction"/>
        <s v="04 Subject to Legal Agreement"/>
        <s v="06 Identified Site"/>
        <s v="07 SHLAA Potential Site"/>
        <s v="08 SHLAA Small Sites"/>
        <m/>
        <s v="05 Pending or at Appeal" u="1"/>
        <s v="07 SHLAA Potential Sites" u="1"/>
      </sharedItems>
    </cacheField>
    <cacheField name="Application" numFmtId="0">
      <sharedItems containsBlank="1"/>
    </cacheField>
    <cacheField name="Address" numFmtId="0">
      <sharedItems containsBlank="1"/>
    </cacheField>
    <cacheField name="Phase" numFmtId="0">
      <sharedItems containsBlank="1"/>
    </cacheField>
    <cacheField name="Easting" numFmtId="0">
      <sharedItems containsString="0" containsBlank="1" containsNumber="1" minValue="521107" maxValue="530104"/>
    </cacheField>
    <cacheField name="Northing" numFmtId="0">
      <sharedItems containsString="0" containsBlank="1" containsNumber="1" minValue="170477" maxValue="177808"/>
    </cacheField>
    <cacheField name="Ward (2022)" numFmtId="0">
      <sharedItems containsBlank="1"/>
    </cacheField>
    <cacheField name="Site Construction Date" numFmtId="14">
      <sharedItems containsNonDate="0" containsDate="1" containsString="0" containsBlank="1" minDate="2013-11-21T00:00:00" maxDate="2023-04-01T00:00:00"/>
    </cacheField>
    <cacheField name="Site Completion Date" numFmtId="0">
      <sharedItems containsDate="1" containsBlank="1" containsMixedTypes="1" minDate="2022-04-01T00:00:00" maxDate="2023-04-01T00:00:00"/>
    </cacheField>
    <cacheField name="Phase Existing Units" numFmtId="0">
      <sharedItems containsString="0" containsBlank="1" containsNumber="1" containsInteger="1" minValue="0" maxValue="527"/>
    </cacheField>
    <cacheField name="Phase Proposed Units" numFmtId="0">
      <sharedItems containsString="0" containsBlank="1" containsNumber="1" containsInteger="1" minValue="0" maxValue="4788"/>
    </cacheField>
    <cacheField name="Phase Net Units" numFmtId="0">
      <sharedItems containsString="0" containsBlank="1" containsNumber="1" containsInteger="1" minValue="-527" maxValue="4788"/>
    </cacheField>
    <cacheField name="Application Proposed Units" numFmtId="0">
      <sharedItems containsString="0" containsBlank="1" containsNumber="1" containsInteger="1" minValue="0" maxValue="2971"/>
    </cacheField>
    <cacheField name="Application Net Units" numFmtId="0">
      <sharedItems containsString="0" containsBlank="1" containsNumber="1" containsInteger="1" minValue="-7" maxValue="2966"/>
    </cacheField>
    <cacheField name="Scheme of 10 or More Proposed Units" numFmtId="0">
      <sharedItems containsBlank="1"/>
    </cacheField>
    <cacheField name="Proposal" numFmtId="0">
      <sharedItems containsBlank="1" longText="1"/>
    </cacheField>
    <cacheField name="Application Status" numFmtId="0">
      <sharedItems containsBlank="1"/>
    </cacheField>
    <cacheField name="Application Received Date" numFmtId="14">
      <sharedItems containsNonDate="0" containsDate="1" containsString="0" containsBlank="1" minDate="2010-09-10T00:00:00" maxDate="2023-02-02T00:00:00"/>
    </cacheField>
    <cacheField name="Application Decision Date" numFmtId="0">
      <sharedItems containsNonDate="0" containsDate="1" containsString="0" containsBlank="1" minDate="2011-02-13T00:00:00" maxDate="2023-04-01T00:00:00"/>
    </cacheField>
    <cacheField name="Reporting Year Decision" numFmtId="0">
      <sharedItems containsBlank="1"/>
    </cacheField>
    <cacheField name="Appeal Status" numFmtId="0">
      <sharedItems containsBlank="1"/>
    </cacheField>
    <cacheField name="Appeal Decision Date" numFmtId="0">
      <sharedItems containsDate="1" containsBlank="1" containsMixedTypes="1" minDate="2012-06-22T00:00:00" maxDate="2021-09-25T00:00:00"/>
    </cacheField>
    <cacheField name="Land Type" numFmtId="0">
      <sharedItems containsBlank="1"/>
    </cacheField>
    <cacheField name="Development Type" numFmtId="0">
      <sharedItems containsBlank="1"/>
    </cacheField>
    <cacheField name="Large Residential Development Type" numFmtId="0">
      <sharedItems containsBlank="1" count="8">
        <s v="NB"/>
        <s v="EXT"/>
        <s v="n/a"/>
        <s v="O"/>
        <s v="LRC"/>
        <s v="OTC"/>
        <s v="OFC"/>
        <m/>
      </sharedItems>
    </cacheField>
    <cacheField name="Minor Residential Development Type" numFmtId="0">
      <sharedItems containsBlank="1" count="16">
        <s v="n/a"/>
        <s v="n"/>
        <s v="k"/>
        <s v="g"/>
        <s v="e"/>
        <s v="a"/>
        <s v="f"/>
        <s v="c+"/>
        <s v="b"/>
        <s v="c-"/>
        <s v="j+"/>
        <s v="d"/>
        <s v="h"/>
        <s v="j-"/>
        <m/>
        <s v="n/a/" u="1"/>
      </sharedItems>
    </cacheField>
    <cacheField name="Phase Residential Site Area (ha)" numFmtId="0">
      <sharedItems containsString="0" containsBlank="1" containsNumber="1" minValue="0" maxValue="5.7229999999999999"/>
    </cacheField>
    <cacheField name="Phase Construction Date" numFmtId="0">
      <sharedItems containsDate="1" containsBlank="1" containsMixedTypes="1" minDate="2015-08-12T00:00:00" maxDate="2023-04-01T00:00:00"/>
    </cacheField>
    <cacheField name="Reporting Year Start" numFmtId="0">
      <sharedItems containsBlank="1" count="3">
        <m/>
        <s v="Y"/>
        <s v="-" u="1"/>
      </sharedItems>
    </cacheField>
    <cacheField name="Phase Completion Date" numFmtId="0">
      <sharedItems containsDate="1" containsBlank="1" containsMixedTypes="1" minDate="2022-04-01T00:00:00" maxDate="2023-04-01T00:00:00"/>
    </cacheField>
    <cacheField name="Tenure" numFmtId="0">
      <sharedItems containsBlank="1"/>
    </cacheField>
    <cacheField name="Tenure Code" numFmtId="0">
      <sharedItems containsBlank="1"/>
    </cacheField>
    <cacheField name="Site Specific Allocations Document Reference" numFmtId="0">
      <sharedItems containsBlank="1"/>
    </cacheField>
    <cacheField name="London SHLAA 2017 Reference" numFmtId="0">
      <sharedItems containsString="0" containsBlank="1" containsNumber="1" containsInteger="1" minValue="17320035" maxValue="17320336"/>
    </cacheField>
    <cacheField name="Lifetime Homes" numFmtId="0">
      <sharedItems containsString="0" containsBlank="1" containsNumber="1" containsInteger="1" minValue="0" maxValue="836"/>
    </cacheField>
    <cacheField name="M4(2) Dwellings" numFmtId="0">
      <sharedItems containsString="0" containsBlank="1" containsNumber="1" containsInteger="1" minValue="0" maxValue="1219"/>
    </cacheField>
    <cacheField name="Wheelchair Accessible Homes" numFmtId="0">
      <sharedItems containsString="0" containsBlank="1" containsNumber="1" containsInteger="1" minValue="0" maxValue="94"/>
    </cacheField>
    <cacheField name="M4(3) Dwellings" numFmtId="0">
      <sharedItems containsString="0" containsBlank="1" containsNumber="1" containsInteger="1" minValue="0" maxValue="395"/>
    </cacheField>
    <cacheField name="Net Studio Units" numFmtId="0">
      <sharedItems containsString="0" containsBlank="1" containsNumber="1" containsInteger="1" minValue="-79" maxValue="160"/>
    </cacheField>
    <cacheField name="Net 1 Bed Units" numFmtId="0">
      <sharedItems containsString="0" containsBlank="1" containsNumber="1" containsInteger="1" minValue="-120" maxValue="390"/>
    </cacheField>
    <cacheField name="Net 2 Bed Units" numFmtId="0">
      <sharedItems containsString="0" containsBlank="1" containsNumber="1" containsInteger="1" minValue="-256" maxValue="406"/>
    </cacheField>
    <cacheField name="Net 3 Bed Units" numFmtId="0">
      <sharedItems containsString="0" containsBlank="1" containsNumber="1" containsInteger="1" minValue="-118" maxValue="140"/>
    </cacheField>
    <cacheField name="Net 4 Bed Units" numFmtId="0">
      <sharedItems containsString="0" containsBlank="1" containsNumber="1" containsInteger="1" minValue="-30" maxValue="35"/>
    </cacheField>
    <cacheField name="Net 5+ Bed Units" numFmtId="0">
      <sharedItems containsString="0" containsBlank="1" containsNumber="1" containsInteger="1" minValue="-2" maxValue="66"/>
    </cacheField>
    <cacheField name="Net Not Known Bed Units" numFmtId="0">
      <sharedItems containsString="0" containsBlank="1" containsNumber="1" containsInteger="1" minValue="-5" maxValue="5222"/>
    </cacheField>
    <cacheField name="Net Studio Flats" numFmtId="0">
      <sharedItems containsString="0" containsBlank="1" containsNumber="1" containsInteger="1" minValue="-79" maxValue="160"/>
    </cacheField>
    <cacheField name="Net 1 Bed Flats" numFmtId="0">
      <sharedItems containsString="0" containsBlank="1" containsNumber="1" containsInteger="1" minValue="-120" maxValue="390"/>
    </cacheField>
    <cacheField name="Net 2 Bed Flats" numFmtId="0">
      <sharedItems containsString="0" containsBlank="1" containsNumber="1" containsInteger="1" minValue="-256" maxValue="406"/>
    </cacheField>
    <cacheField name="Net 3 Bed Flats" numFmtId="0">
      <sharedItems containsString="0" containsBlank="1" containsNumber="1" containsInteger="1" minValue="-118" maxValue="140"/>
    </cacheField>
    <cacheField name="Net 4 Bed Flats" numFmtId="0">
      <sharedItems containsString="0" containsBlank="1" containsNumber="1" containsInteger="1" minValue="-30" maxValue="35"/>
    </cacheField>
    <cacheField name="Net 5+ Bed Flats" numFmtId="0">
      <sharedItems containsString="0" containsBlank="1" containsNumber="1" containsInteger="1" minValue="-2" maxValue="66"/>
    </cacheField>
    <cacheField name="Net Not Known Bed Flats" numFmtId="0">
      <sharedItems containsString="0" containsBlank="1" containsNumber="1" containsInteger="1" minValue="-5" maxValue="5222"/>
    </cacheField>
    <cacheField name="Net Studio Houses" numFmtId="0">
      <sharedItems containsString="0" containsBlank="1" containsNumber="1" containsInteger="1" minValue="0" maxValue="0"/>
    </cacheField>
    <cacheField name="Net 1 Bed Houses" numFmtId="0">
      <sharedItems containsString="0" containsBlank="1" containsNumber="1" containsInteger="1" minValue="-1" maxValue="1"/>
    </cacheField>
    <cacheField name="Net 2 Bed Houses" numFmtId="0">
      <sharedItems containsString="0" containsBlank="1" containsNumber="1" containsInteger="1" minValue="-1" maxValue="8"/>
    </cacheField>
    <cacheField name="Net 3 Bed Houses" numFmtId="0">
      <sharedItems containsString="0" containsBlank="1" containsNumber="1" containsInteger="1" minValue="-6" maxValue="7"/>
    </cacheField>
    <cacheField name="Net 4 Bed Houses" numFmtId="0">
      <sharedItems containsString="0" containsBlank="1" containsNumber="1" containsInteger="1" minValue="-1" maxValue="14"/>
    </cacheField>
    <cacheField name="Net 5+ Bed Houses" numFmtId="0">
      <sharedItems containsString="0" containsBlank="1" containsNumber="1" containsInteger="1" minValue="-1" maxValue="2"/>
    </cacheField>
    <cacheField name="Net Not Known Bed Houses" numFmtId="0">
      <sharedItems containsString="0" containsBlank="1" containsNumber="1" containsInteger="1" minValue="-2" maxValue="145"/>
    </cacheField>
    <cacheField name="Net Studio Live Work" numFmtId="0">
      <sharedItems containsString="0" containsBlank="1" containsNumber="1" containsInteger="1" minValue="0" maxValue="0"/>
    </cacheField>
    <cacheField name="Net 1 Bed Live Work" numFmtId="0">
      <sharedItems containsString="0" containsBlank="1" containsNumber="1" containsInteger="1" minValue="-1" maxValue="0"/>
    </cacheField>
    <cacheField name="Net 2 Bed Live Work" numFmtId="0">
      <sharedItems containsString="0" containsBlank="1" containsNumber="1" containsInteger="1" minValue="0" maxValue="0"/>
    </cacheField>
    <cacheField name="Net 3 Bed Live Work" numFmtId="0">
      <sharedItems containsString="0" containsBlank="1" containsNumber="1" containsInteger="1" minValue="0" maxValue="0"/>
    </cacheField>
    <cacheField name="Net 4 Bed Live Work" numFmtId="0">
      <sharedItems containsString="0" containsBlank="1" containsNumber="1" containsInteger="1" minValue="0" maxValue="0"/>
    </cacheField>
    <cacheField name="Net 5+ Bed Live Work" numFmtId="0">
      <sharedItems containsString="0" containsBlank="1" containsNumber="1" containsInteger="1" minValue="0" maxValue="0"/>
    </cacheField>
    <cacheField name="Net Not Known Live Work" numFmtId="0">
      <sharedItems containsString="0" containsBlank="1" containsNumber="1" containsInteger="1" minValue="0" maxValue="0"/>
    </cacheField>
    <cacheField name="Town Centre" numFmtId="0">
      <sharedItems containsBlank="1"/>
    </cacheField>
    <cacheField name="VNEB" numFmtId="0">
      <sharedItems containsBlank="1"/>
    </cacheField>
    <cacheField name="Spatial area" numFmtId="0">
      <sharedItems containsBlank="1"/>
    </cacheField>
    <cacheField name="Phasing Assumption" numFmtId="0">
      <sharedItems containsString="0" containsBlank="1" containsNumber="1" containsInteger="1" minValue="1" maxValue="22"/>
    </cacheField>
    <cacheField name="2022/23" numFmtId="3">
      <sharedItems containsString="0" containsBlank="1" containsNumber="1" containsInteger="1" minValue="-97" maxValue="299"/>
    </cacheField>
    <cacheField name="2023/24" numFmtId="3">
      <sharedItems containsString="0" containsBlank="1" containsNumber="1" minValue="-23" maxValue="622"/>
    </cacheField>
    <cacheField name="2024/25" numFmtId="3">
      <sharedItems containsString="0" containsBlank="1" containsNumber="1" minValue="-1.5" maxValue="209"/>
    </cacheField>
    <cacheField name="2025/26" numFmtId="3">
      <sharedItems containsString="0" containsBlank="1" containsNumber="1" minValue="-1.5" maxValue="316"/>
    </cacheField>
    <cacheField name="2026/27" numFmtId="3">
      <sharedItems containsString="0" containsBlank="1" containsNumber="1" minValue="-56" maxValue="294.33333333333331"/>
    </cacheField>
    <cacheField name="2027/28" numFmtId="3">
      <sharedItems containsString="0" containsBlank="1" containsNumber="1" minValue="-52.666666666666664" maxValue="294.33333333333331"/>
    </cacheField>
    <cacheField name="2028/29" numFmtId="3">
      <sharedItems containsString="0" containsBlank="1" containsNumber="1" minValue="-175.66666666666666" maxValue="451.66666666666669"/>
    </cacheField>
    <cacheField name="2029/30" numFmtId="3">
      <sharedItems containsString="0" containsBlank="1" containsNumber="1" minValue="-175.66666666666666" maxValue="451.66666666666669"/>
    </cacheField>
    <cacheField name="2030/31" numFmtId="3">
      <sharedItems containsString="0" containsBlank="1" containsNumber="1" minValue="-175.66666666666666" maxValue="451.66666666666669"/>
    </cacheField>
    <cacheField name="2031/32" numFmtId="3">
      <sharedItems containsString="0" containsBlank="1" containsNumber="1" minValue="6.25E-2" maxValue="414"/>
    </cacheField>
    <cacheField name="2032/33" numFmtId="3">
      <sharedItems containsString="0" containsBlank="1" containsNumber="1" minValue="6.25E-2" maxValue="414"/>
    </cacheField>
    <cacheField name="2033/34" numFmtId="3">
      <sharedItems containsString="0" containsBlank="1" containsNumber="1" minValue="6.25E-2" maxValue="414"/>
    </cacheField>
    <cacheField name="2034/35" numFmtId="3">
      <sharedItems containsString="0" containsBlank="1" containsNumber="1" minValue="6.25E-2" maxValue="414"/>
    </cacheField>
    <cacheField name="2035/36" numFmtId="3">
      <sharedItems containsString="0" containsBlank="1" containsNumber="1" minValue="6.25E-2" maxValue="414"/>
    </cacheField>
    <cacheField name="2036/37" numFmtId="3">
      <sharedItems containsString="0" containsBlank="1" containsNumber="1" minValue="6.25E-2" maxValue="414"/>
    </cacheField>
    <cacheField name="2037/38" numFmtId="3">
      <sharedItems containsString="0" containsBlank="1" containsNumber="1" minValue="6.25E-2" maxValue="414"/>
    </cacheField>
    <cacheField name="2038/39" numFmtId="3">
      <sharedItems containsString="0" containsBlank="1" containsNumber="1" minValue="6.25E-2" maxValue="16.916666666666668"/>
    </cacheField>
    <cacheField name="2039/40" numFmtId="3">
      <sharedItems containsString="0" containsBlank="1" containsNumber="1" minValue="6.25E-2" maxValue="16.916666666666668"/>
    </cacheField>
    <cacheField name="2040/41" numFmtId="3">
      <sharedItems containsString="0" containsBlank="1" containsNumber="1" minValue="6.25E-2" maxValue="16.916666666666668"/>
    </cacheField>
    <cacheField name="2041/42" numFmtId="3">
      <sharedItems containsString="0" containsBlank="1" containsNumber="1" minValue="6.25E-2" maxValue="16.916666666666668"/>
    </cacheField>
    <cacheField name="Delivery in 5 Years" numFmtId="0">
      <sharedItems containsString="0" containsBlank="1" containsNumber="1" minValue="-105.33333333333333" maxValue="885"/>
    </cacheField>
    <cacheField name="Delivery in 10 Years" numFmtId="0">
      <sharedItems containsString="0" containsBlank="1" containsNumber="1" minValue="-527" maxValue="271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68.455570486112" createdVersion="8" refreshedVersion="8" minRefreshableVersion="3" recordCount="32" xr:uid="{D5BE01A4-2DDA-4D52-A1A1-25F579FF2160}">
  <cacheSource type="worksheet">
    <worksheetSource ref="A1:BN33" sheet="Non-Self-Contained Supply"/>
  </cacheSource>
  <cacheFields count="66">
    <cacheField name="Site" numFmtId="0">
      <sharedItems containsSemiMixedTypes="0" containsString="0" containsNumber="1" containsInteger="1" minValue="1" maxValue="7865"/>
    </cacheField>
    <cacheField name="Status" numFmtId="0">
      <sharedItems count="5">
        <s v="01 Completion"/>
        <s v="02 Under Construction"/>
        <s v="03 Planning"/>
        <s v="04 Subject to Legal Agreement"/>
        <s v="03 Planning " u="1"/>
      </sharedItems>
    </cacheField>
    <cacheField name="Application" numFmtId="0">
      <sharedItems/>
    </cacheField>
    <cacheField name="Address" numFmtId="0">
      <sharedItems/>
    </cacheField>
    <cacheField name="Easting" numFmtId="0">
      <sharedItems containsSemiMixedTypes="0" containsString="0" containsNumber="1" containsInteger="1" minValue="522152" maxValue="528953"/>
    </cacheField>
    <cacheField name="Northing" numFmtId="0">
      <sharedItems containsSemiMixedTypes="0" containsString="0" containsNumber="1" containsInteger="1" minValue="170963" maxValue="177092"/>
    </cacheField>
    <cacheField name="Ward" numFmtId="0">
      <sharedItems/>
    </cacheField>
    <cacheField name="Site Construction Date" numFmtId="14">
      <sharedItems containsNonDate="0" containsDate="1" containsString="0" containsBlank="1" minDate="2015-08-28T00:00:00" maxDate="2023-04-01T00:00:00"/>
    </cacheField>
    <cacheField name="Site Completion Date" numFmtId="14">
      <sharedItems containsNonDate="0" containsDate="1" containsString="0" containsBlank="1" minDate="2022-06-13T00:00:00" maxDate="2023-03-01T00:00:00"/>
    </cacheField>
    <cacheField name="Existing Hostel Rooms" numFmtId="1">
      <sharedItems containsSemiMixedTypes="0" containsString="0" containsNumber="1" containsInteger="1" minValue="0" maxValue="62"/>
    </cacheField>
    <cacheField name="Proposed Hostel Rooms" numFmtId="1">
      <sharedItems containsSemiMixedTypes="0" containsString="0" containsNumber="1" containsInteger="1" minValue="0" maxValue="239"/>
    </cacheField>
    <cacheField name="Net Hostel Rooms" numFmtId="1">
      <sharedItems containsSemiMixedTypes="0" containsString="0" containsNumber="1" containsInteger="1" minValue="0" maxValue="239"/>
    </cacheField>
    <cacheField name="Net Hostel Rooms ratio applied" numFmtId="1">
      <sharedItems containsSemiMixedTypes="0" containsString="0" containsNumber="1" minValue="0" maxValue="132.77777777777777"/>
    </cacheField>
    <cacheField name="Existing Home Rooms" numFmtId="1">
      <sharedItems containsSemiMixedTypes="0" containsString="0" containsNumber="1" containsInteger="1" minValue="0" maxValue="46"/>
    </cacheField>
    <cacheField name="Proposed Home Rooms" numFmtId="1">
      <sharedItems containsSemiMixedTypes="0" containsString="0" containsNumber="1" containsInteger="1" minValue="0" maxValue="96"/>
    </cacheField>
    <cacheField name="Net Home Rooms" numFmtId="1">
      <sharedItems containsSemiMixedTypes="0" containsString="0" containsNumber="1" containsInteger="1" minValue="-46" maxValue="96"/>
    </cacheField>
    <cacheField name="Net Home Rooms ratio applied" numFmtId="1">
      <sharedItems containsSemiMixedTypes="0" containsString="0" containsNumber="1" containsInteger="1" minValue="-46" maxValue="96"/>
    </cacheField>
    <cacheField name="Existing Staff Rooms" numFmtId="1">
      <sharedItems containsSemiMixedTypes="0" containsString="0" containsNumber="1" containsInteger="1" minValue="0" maxValue="0"/>
    </cacheField>
    <cacheField name="Proposed Staff Rooms" numFmtId="1">
      <sharedItems containsSemiMixedTypes="0" containsString="0" containsNumber="1" containsInteger="1" minValue="0" maxValue="0"/>
    </cacheField>
    <cacheField name="Net Staff Rooms" numFmtId="1">
      <sharedItems containsSemiMixedTypes="0" containsString="0" containsNumber="1" containsInteger="1" minValue="0" maxValue="0"/>
    </cacheField>
    <cacheField name="Net Staff Rooms ratio applied" numFmtId="1">
      <sharedItems containsSemiMixedTypes="0" containsString="0" containsNumber="1" containsInteger="1" minValue="0" maxValue="0"/>
    </cacheField>
    <cacheField name="Existing Student Rooms" numFmtId="1">
      <sharedItems containsSemiMixedTypes="0" containsString="0" containsNumber="1" containsInteger="1" minValue="0" maxValue="0"/>
    </cacheField>
    <cacheField name="Proposed Student Rooms" numFmtId="1">
      <sharedItems containsSemiMixedTypes="0" containsString="0" containsNumber="1" containsInteger="1" minValue="0" maxValue="852"/>
    </cacheField>
    <cacheField name="Net Student Rooms" numFmtId="1">
      <sharedItems containsSemiMixedTypes="0" containsString="0" containsNumber="1" containsInteger="1" minValue="0" maxValue="852"/>
    </cacheField>
    <cacheField name="Net Student Rooms ratio applied" numFmtId="1">
      <sharedItems containsSemiMixedTypes="0" containsString="0" containsNumber="1" minValue="0" maxValue="340.8"/>
    </cacheField>
    <cacheField name="Existing House in Multiple Occupation Rooms" numFmtId="1">
      <sharedItems containsSemiMixedTypes="0" containsString="0" containsNumber="1" containsInteger="1" minValue="0" maxValue="12"/>
    </cacheField>
    <cacheField name="Proposed House in Multiple Occupation Rooms" numFmtId="1">
      <sharedItems containsSemiMixedTypes="0" containsString="0" containsNumber="1" containsInteger="1" minValue="0" maxValue="18"/>
    </cacheField>
    <cacheField name="Net House in Multiple Occupation Rooms" numFmtId="1">
      <sharedItems containsSemiMixedTypes="0" containsString="0" containsNumber="1" containsInteger="1" minValue="-12" maxValue="18"/>
    </cacheField>
    <cacheField name="Net House in Multiple Occupation Rooms ratio applied" numFmtId="1">
      <sharedItems containsSemiMixedTypes="0" containsString="0" containsNumber="1" minValue="-6.6666666666666661" maxValue="10"/>
    </cacheField>
    <cacheField name="Net Non-Self-Contained Rooms ratio applied" numFmtId="1">
      <sharedItems containsSemiMixedTypes="0" containsString="0" containsNumber="1" minValue="-46" maxValue="340.8"/>
    </cacheField>
    <cacheField name="Proposal" numFmtId="0">
      <sharedItems longText="1"/>
    </cacheField>
    <cacheField name="Application Status" numFmtId="0">
      <sharedItems/>
    </cacheField>
    <cacheField name="Application Received Date" numFmtId="14">
      <sharedItems containsSemiMixedTypes="0" containsNonDate="0" containsDate="1" containsString="0" minDate="2010-09-10T00:00:00" maxDate="2022-07-22T00:00:00"/>
    </cacheField>
    <cacheField name="Application Decision Date" numFmtId="14">
      <sharedItems containsNonDate="0" containsDate="1" containsString="0" containsBlank="1" minDate="2011-02-13T00:00:00" maxDate="2022-11-30T00:00:00"/>
    </cacheField>
    <cacheField name="Appeal Status" numFmtId="0">
      <sharedItems/>
    </cacheField>
    <cacheField name="Appeal Decision Date" numFmtId="0">
      <sharedItems containsNonDate="0" containsDate="1" containsString="0" containsBlank="1" minDate="2012-06-22T00:00:00" maxDate="2021-09-18T00:00:00"/>
    </cacheField>
    <cacheField name="Non-Self-Contained Rooms Construction Date" numFmtId="14">
      <sharedItems containsNonDate="0" containsDate="1" containsString="0" containsBlank="1" minDate="2019-03-31T00:00:00" maxDate="2023-04-01T00:00:00"/>
    </cacheField>
    <cacheField name="Non-Self-Contained Rooms Completion Date" numFmtId="14">
      <sharedItems containsNonDate="0" containsDate="1" containsString="0" containsBlank="1" minDate="2022-06-13T00:00:00" maxDate="2023-03-01T00:00:00"/>
    </cacheField>
    <cacheField name="Tenure" numFmtId="0">
      <sharedItems/>
    </cacheField>
    <cacheField name="Tenure Code" numFmtId="0">
      <sharedItems/>
    </cacheField>
    <cacheField name="Site Specific Allocations Document Reference" numFmtId="0">
      <sharedItems/>
    </cacheField>
    <cacheField name="London SHLAA 2017 Reference" numFmtId="0">
      <sharedItems containsNonDate="0" containsString="0" containsBlank="1"/>
    </cacheField>
    <cacheField name="Special Needs" numFmtId="0">
      <sharedItems containsBlank="1"/>
    </cacheField>
    <cacheField name="Special Needs Type" numFmtId="0">
      <sharedItems containsBlank="1"/>
    </cacheField>
    <cacheField name="Phasing Assumption" numFmtId="1">
      <sharedItems containsSemiMixedTypes="0" containsString="0" containsNumber="1" containsInteger="1" minValue="1" maxValue="9"/>
    </cacheField>
    <cacheField name="2022/23" numFmtId="1">
      <sharedItems containsString="0" containsBlank="1" containsNumber="1" containsInteger="1" minValue="-7" maxValue="114"/>
    </cacheField>
    <cacheField name="2023/24" numFmtId="1">
      <sharedItems containsString="0" containsBlank="1" containsNumber="1" minValue="-37" maxValue="8.8888888888888893"/>
    </cacheField>
    <cacheField name="2024/25" numFmtId="1">
      <sharedItems containsString="0" containsBlank="1" containsNumber="1" minValue="-1.25" maxValue="340.8"/>
    </cacheField>
    <cacheField name="2025/26" numFmtId="1">
      <sharedItems containsString="0" containsBlank="1" containsNumber="1" minValue="-1.25" maxValue="33.194444444444443"/>
    </cacheField>
    <cacheField name="2026/27" numFmtId="1">
      <sharedItems containsString="0" containsBlank="1" containsNumber="1" minValue="-1.25" maxValue="33.194444444444443"/>
    </cacheField>
    <cacheField name="2027/28" numFmtId="1">
      <sharedItems containsString="0" containsBlank="1" containsNumber="1" minValue="-1.25" maxValue="33.194444444444443"/>
    </cacheField>
    <cacheField name="2028/29" numFmtId="1">
      <sharedItems containsString="0" containsBlank="1" containsNumber="1" minValue="-11.5" maxValue="32"/>
    </cacheField>
    <cacheField name="2029/30" numFmtId="1">
      <sharedItems containsString="0" containsBlank="1" containsNumber="1" minValue="-11.5" maxValue="6.3"/>
    </cacheField>
    <cacheField name="2030/31" numFmtId="1">
      <sharedItems containsString="0" containsBlank="1" containsNumber="1" minValue="-11.5" maxValue="6.3"/>
    </cacheField>
    <cacheField name="2031/32" numFmtId="1">
      <sharedItems containsString="0" containsBlank="1" containsNumber="1" minValue="-11.5" maxValue="6.3"/>
    </cacheField>
    <cacheField name="2032/33" numFmtId="1">
      <sharedItems containsNonDate="0" containsString="0" containsBlank="1"/>
    </cacheField>
    <cacheField name="2033/34" numFmtId="1">
      <sharedItems containsNonDate="0" containsString="0" containsBlank="1"/>
    </cacheField>
    <cacheField name="2034/35" numFmtId="1">
      <sharedItems containsNonDate="0" containsString="0" containsBlank="1"/>
    </cacheField>
    <cacheField name="2035/36" numFmtId="1">
      <sharedItems containsNonDate="0" containsString="0" containsBlank="1"/>
    </cacheField>
    <cacheField name="2036/37" numFmtId="1">
      <sharedItems containsNonDate="0" containsString="0" containsBlank="1"/>
    </cacheField>
    <cacheField name="2037/38" numFmtId="1">
      <sharedItems containsNonDate="0" containsString="0" containsBlank="1"/>
    </cacheField>
    <cacheField name="2038/39" numFmtId="1">
      <sharedItems containsNonDate="0" containsString="0" containsBlank="1"/>
    </cacheField>
    <cacheField name="2039/40" numFmtId="1">
      <sharedItems containsNonDate="0" containsString="0" containsBlank="1"/>
    </cacheField>
    <cacheField name="2040/41" numFmtId="1">
      <sharedItems containsNonDate="0" containsString="0" containsBlank="1"/>
    </cacheField>
    <cacheField name="Delivery in 5 Years" numFmtId="1">
      <sharedItems containsSemiMixedTypes="0" containsString="0" containsNumber="1" minValue="-37" maxValue="340.8"/>
    </cacheField>
    <cacheField name="Delivery in 10 Years" numFmtId="1">
      <sharedItems containsSemiMixedTypes="0" containsString="0" containsNumber="1" minValue="-46" maxValue="340.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1">
  <r>
    <n v="4513"/>
    <x v="0"/>
    <s v="2018/3709"/>
    <s v="9, 11 and 19 Osiers Road"/>
    <s v=""/>
    <n v="525336"/>
    <n v="175122"/>
    <x v="0"/>
    <d v="2020-01-06T00:00:00"/>
    <d v="2022-08-31T00:00:00"/>
    <n v="0"/>
    <n v="84"/>
    <n v="84"/>
    <n v="168"/>
    <n v="168"/>
    <x v="0"/>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x v="0"/>
    <s v="Nil"/>
    <m/>
    <s v="BF"/>
    <s v="NB"/>
    <x v="0"/>
    <x v="0"/>
    <n v="0.10100000000000001"/>
    <d v="2020-01-06T00:00:00"/>
    <x v="0"/>
    <d v="2022-08-31T00:00:00"/>
    <x v="0"/>
    <s v="ISL"/>
    <s v="3.3.3"/>
    <m/>
    <n v="0"/>
    <n v="84"/>
    <n v="0"/>
    <n v="9"/>
    <n v="0"/>
    <n v="18"/>
    <n v="60"/>
    <n v="6"/>
    <n v="0"/>
    <n v="0"/>
    <n v="0"/>
    <n v="0"/>
    <n v="18"/>
    <n v="60"/>
    <n v="6"/>
    <n v="0"/>
    <n v="0"/>
    <n v="0"/>
    <n v="0"/>
    <n v="0"/>
    <n v="0"/>
    <n v="0"/>
    <n v="0"/>
    <n v="0"/>
    <n v="0"/>
    <n v="0"/>
    <n v="0"/>
    <n v="0"/>
    <n v="0"/>
    <n v="0"/>
    <n v="0"/>
    <n v="0"/>
    <x v="0"/>
    <x v="0"/>
    <x v="0"/>
    <n v="1"/>
    <n v="84"/>
    <m/>
    <m/>
    <m/>
    <m/>
    <m/>
    <m/>
    <m/>
    <m/>
    <m/>
    <m/>
    <m/>
    <m/>
    <m/>
    <m/>
    <m/>
    <m/>
    <m/>
    <m/>
    <m/>
    <n v="0"/>
    <n v="0"/>
  </r>
  <r>
    <n v="4513"/>
    <x v="0"/>
    <s v="2018/3709"/>
    <s v="9, 11 and 19 Osiers Road"/>
    <s v=""/>
    <n v="525336"/>
    <n v="175122"/>
    <x v="0"/>
    <d v="2020-01-06T00:00:00"/>
    <d v="2022-08-31T00:00:00"/>
    <n v="0"/>
    <n v="84"/>
    <n v="84"/>
    <n v="168"/>
    <n v="168"/>
    <x v="0"/>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x v="0"/>
    <s v="Nil"/>
    <m/>
    <s v="BF"/>
    <s v="NB"/>
    <x v="0"/>
    <x v="0"/>
    <n v="8.2000000000000003E-2"/>
    <d v="2020-01-06T00:00:00"/>
    <x v="0"/>
    <d v="2022-08-31T00:00:00"/>
    <x v="1"/>
    <s v="AL"/>
    <s v="3.3.3"/>
    <m/>
    <n v="0"/>
    <n v="68"/>
    <n v="0"/>
    <n v="8"/>
    <n v="0"/>
    <n v="18"/>
    <n v="60"/>
    <n v="6"/>
    <n v="0"/>
    <n v="0"/>
    <n v="0"/>
    <n v="0"/>
    <n v="18"/>
    <n v="60"/>
    <n v="6"/>
    <n v="0"/>
    <n v="0"/>
    <n v="0"/>
    <n v="0"/>
    <n v="0"/>
    <n v="0"/>
    <n v="0"/>
    <n v="0"/>
    <n v="0"/>
    <n v="0"/>
    <n v="0"/>
    <n v="0"/>
    <n v="0"/>
    <n v="0"/>
    <n v="0"/>
    <n v="0"/>
    <n v="0"/>
    <x v="0"/>
    <x v="0"/>
    <x v="0"/>
    <n v="1"/>
    <n v="84"/>
    <m/>
    <m/>
    <m/>
    <m/>
    <m/>
    <m/>
    <m/>
    <m/>
    <m/>
    <m/>
    <m/>
    <m/>
    <m/>
    <m/>
    <m/>
    <m/>
    <m/>
    <m/>
    <m/>
    <n v="0"/>
    <n v="0"/>
  </r>
  <r>
    <n v="6479"/>
    <x v="0"/>
    <s v="2016/5738"/>
    <s v="Garages north of 99-152, 99-152 Gideon Road"/>
    <s v=""/>
    <n v="528125"/>
    <n v="175809"/>
    <x v="1"/>
    <d v="2019-08-28T00:00:00"/>
    <d v="2022-08-31T00:00:00"/>
    <n v="0"/>
    <n v="18"/>
    <n v="18"/>
    <n v="18"/>
    <n v="18"/>
    <x v="0"/>
    <s v="Demolition of existing garages and redevelopment to provide  18 units (15 flats and 3 houses) within 3 and 4 storey blocks with associated vehicle and cycle parking, bin storage and landscaping."/>
    <s v="PF"/>
    <d v="2016-09-30T00:00:00"/>
    <d v="2017-01-26T00:00:00"/>
    <x v="0"/>
    <s v="Nil"/>
    <m/>
    <s v="BF"/>
    <s v="NB"/>
    <x v="0"/>
    <x v="0"/>
    <n v="0.4"/>
    <d v="2019-08-28T00:00:00"/>
    <x v="0"/>
    <d v="2022-08-31T00:00:00"/>
    <x v="1"/>
    <s v="AS"/>
    <s v=""/>
    <m/>
    <n v="16"/>
    <m/>
    <n v="2"/>
    <m/>
    <n v="0"/>
    <n v="4"/>
    <n v="11"/>
    <n v="0"/>
    <n v="1"/>
    <n v="2"/>
    <n v="0"/>
    <n v="0"/>
    <n v="4"/>
    <n v="11"/>
    <n v="0"/>
    <n v="0"/>
    <n v="0"/>
    <n v="0"/>
    <n v="0"/>
    <n v="0"/>
    <n v="0"/>
    <n v="0"/>
    <n v="1"/>
    <n v="2"/>
    <n v="0"/>
    <n v="0"/>
    <n v="0"/>
    <n v="0"/>
    <n v="0"/>
    <n v="0"/>
    <n v="0"/>
    <n v="0"/>
    <x v="0"/>
    <x v="0"/>
    <x v="1"/>
    <n v="1"/>
    <n v="18"/>
    <m/>
    <m/>
    <m/>
    <m/>
    <m/>
    <m/>
    <m/>
    <m/>
    <m/>
    <m/>
    <m/>
    <m/>
    <m/>
    <m/>
    <m/>
    <m/>
    <m/>
    <m/>
    <m/>
    <n v="0"/>
    <n v="0"/>
  </r>
  <r>
    <n v="4183"/>
    <x v="0"/>
    <s v="2021/1280"/>
    <s v="96-100 Balham High Road"/>
    <s v=""/>
    <n v="528639"/>
    <n v="173520"/>
    <x v="2"/>
    <d v="2022-01-27T00:00:00"/>
    <d v="2023-01-09T00:00:00"/>
    <n v="9"/>
    <n v="12"/>
    <n v="3"/>
    <n v="12"/>
    <n v="3"/>
    <x v="0"/>
    <s v="Alterations in connection with change of use of of rear basement and ground floor levels from retail (Class E) to residential (Class C3) to create 2 x 2-bedroom flats and erection of part single/part two/part three storey rear extensions at first floor levels to extend existing dwellings, formation of rear roof terraces with 1.7m glazed safety surrounds, with associated cycle and refuse storage and outdoor amenity space."/>
    <s v="PF"/>
    <d v="2021-03-17T00:00:00"/>
    <d v="2021-08-19T00:00:00"/>
    <x v="0"/>
    <s v="Nil"/>
    <m/>
    <s v="BF"/>
    <s v="MIX"/>
    <x v="1"/>
    <x v="0"/>
    <n v="1.578833E-2"/>
    <d v="2022-01-27T00:00:00"/>
    <x v="0"/>
    <d v="2023-01-09T00:00:00"/>
    <x v="2"/>
    <s v="MR"/>
    <s v=""/>
    <m/>
    <n v="0"/>
    <n v="2"/>
    <n v="0"/>
    <m/>
    <n v="0"/>
    <n v="-1"/>
    <n v="4"/>
    <n v="0"/>
    <n v="0"/>
    <n v="0"/>
    <n v="0"/>
    <n v="0"/>
    <n v="-1"/>
    <n v="4"/>
    <n v="0"/>
    <n v="0"/>
    <n v="0"/>
    <n v="0"/>
    <n v="0"/>
    <n v="0"/>
    <n v="0"/>
    <n v="0"/>
    <n v="0"/>
    <n v="0"/>
    <n v="0"/>
    <n v="0"/>
    <n v="0"/>
    <n v="0"/>
    <n v="0"/>
    <n v="0"/>
    <n v="0"/>
    <n v="0"/>
    <x v="1"/>
    <x v="0"/>
    <x v="2"/>
    <n v="11"/>
    <n v="3"/>
    <m/>
    <m/>
    <m/>
    <m/>
    <m/>
    <m/>
    <m/>
    <m/>
    <m/>
    <m/>
    <m/>
    <m/>
    <m/>
    <m/>
    <m/>
    <m/>
    <m/>
    <m/>
    <m/>
    <n v="0"/>
    <n v="0"/>
  </r>
  <r>
    <n v="2305"/>
    <x v="0"/>
    <s v="2019/4841"/>
    <s v="Balham Club, 7-9 Ramsden Road"/>
    <s v=""/>
    <n v="528440"/>
    <n v="173367"/>
    <x v="2"/>
    <d v="2020-02-24T00:00:00"/>
    <d v="2022-07-04T00:00:00"/>
    <n v="0"/>
    <n v="10"/>
    <n v="10"/>
    <n v="26"/>
    <n v="26"/>
    <x v="0"/>
    <s v="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
    <s v="S73"/>
    <d v="2020-03-03T00:00:00"/>
    <d v="2020-09-03T00:00:00"/>
    <x v="0"/>
    <s v="Nil"/>
    <m/>
    <s v="BF"/>
    <s v="NB"/>
    <x v="0"/>
    <x v="0"/>
    <n v="7.0000000000000007E-2"/>
    <d v="2020-02-24T00:00:00"/>
    <x v="0"/>
    <d v="2022-07-04T00:00:00"/>
    <x v="0"/>
    <s v="ISO"/>
    <s v=""/>
    <m/>
    <n v="0"/>
    <n v="0"/>
    <n v="0"/>
    <n v="0"/>
    <n v="0"/>
    <n v="6"/>
    <n v="4"/>
    <n v="0"/>
    <n v="0"/>
    <n v="0"/>
    <n v="0"/>
    <n v="0"/>
    <n v="6"/>
    <n v="4"/>
    <n v="0"/>
    <n v="0"/>
    <n v="0"/>
    <n v="0"/>
    <n v="0"/>
    <n v="0"/>
    <n v="0"/>
    <n v="0"/>
    <n v="0"/>
    <n v="0"/>
    <n v="0"/>
    <n v="0"/>
    <n v="0"/>
    <n v="0"/>
    <n v="0"/>
    <n v="0"/>
    <n v="0"/>
    <n v="0"/>
    <x v="1"/>
    <x v="0"/>
    <x v="2"/>
    <n v="1"/>
    <n v="10"/>
    <m/>
    <m/>
    <m/>
    <m/>
    <m/>
    <m/>
    <m/>
    <m/>
    <m/>
    <m/>
    <m/>
    <m/>
    <m/>
    <m/>
    <m/>
    <m/>
    <m/>
    <m/>
    <m/>
    <n v="0"/>
    <n v="0"/>
  </r>
  <r>
    <n v="5114"/>
    <x v="0"/>
    <s v="2016/2096"/>
    <s v="134-142 Mitcham Road (Pearl Chemist)"/>
    <s v=""/>
    <n v="527786"/>
    <n v="171065"/>
    <x v="3"/>
    <d v="2019-02-25T00:00:00"/>
    <d v="2023-02-02T00:00:00"/>
    <n v="0"/>
    <n v="9"/>
    <n v="9"/>
    <n v="9"/>
    <n v="9"/>
    <x v="1"/>
    <s v="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
    <s v="PF"/>
    <d v="2016-04-14T00:00:00"/>
    <d v="2016-08-17T00:00:00"/>
    <x v="0"/>
    <s v="Nil"/>
    <m/>
    <s v="BF"/>
    <s v="NB"/>
    <x v="2"/>
    <x v="1"/>
    <n v="4.2999999999999997E-2"/>
    <d v="2019-02-25T00:00:00"/>
    <x v="0"/>
    <d v="2023-02-02T00:00:00"/>
    <x v="2"/>
    <s v="M"/>
    <s v=""/>
    <m/>
    <n v="9"/>
    <m/>
    <n v="0"/>
    <m/>
    <n v="0"/>
    <n v="2"/>
    <n v="5"/>
    <n v="2"/>
    <n v="0"/>
    <n v="0"/>
    <n v="0"/>
    <n v="0"/>
    <n v="2"/>
    <n v="5"/>
    <n v="2"/>
    <n v="0"/>
    <n v="0"/>
    <n v="0"/>
    <n v="0"/>
    <n v="0"/>
    <n v="0"/>
    <n v="0"/>
    <n v="0"/>
    <n v="0"/>
    <n v="0"/>
    <n v="0"/>
    <n v="0"/>
    <n v="0"/>
    <n v="0"/>
    <n v="0"/>
    <n v="0"/>
    <n v="0"/>
    <x v="2"/>
    <x v="0"/>
    <x v="3"/>
    <n v="1"/>
    <n v="9"/>
    <m/>
    <m/>
    <m/>
    <m/>
    <m/>
    <m/>
    <m/>
    <m/>
    <m/>
    <m/>
    <m/>
    <m/>
    <m/>
    <m/>
    <m/>
    <m/>
    <m/>
    <m/>
    <m/>
    <n v="0"/>
    <n v="0"/>
  </r>
  <r>
    <n v="6515"/>
    <x v="0"/>
    <s v="2016/6604"/>
    <s v="Norman Court, 160 Lower Richmond Road"/>
    <s v=""/>
    <n v="523349"/>
    <n v="175914"/>
    <x v="0"/>
    <d v="2020-10-01T00:00:00"/>
    <d v="2022-04-13T00:00:00"/>
    <n v="0"/>
    <n v="9"/>
    <n v="9"/>
    <n v="9"/>
    <n v="9"/>
    <x v="1"/>
    <s v="Erection of roof extension at third floor level to provide 7 x 1-bedroom and 2 x studio flats with external balcony access; associated cycle and refuse storage; and landscaping including new front boundary treatment."/>
    <s v="PFLA"/>
    <d v="2016-11-15T00:00:00"/>
    <d v="2018-05-11T00:00:00"/>
    <x v="0"/>
    <s v="Nil"/>
    <m/>
    <s v="BF"/>
    <s v="EXT"/>
    <x v="2"/>
    <x v="2"/>
    <n v="3.6999999999999998E-2"/>
    <d v="2020-10-01T00:00:00"/>
    <x v="0"/>
    <d v="2022-04-13T00:00:00"/>
    <x v="0"/>
    <s v="IR"/>
    <s v=""/>
    <m/>
    <n v="0"/>
    <m/>
    <n v="0"/>
    <m/>
    <n v="2"/>
    <n v="7"/>
    <n v="0"/>
    <n v="0"/>
    <n v="0"/>
    <n v="0"/>
    <n v="0"/>
    <n v="2"/>
    <n v="7"/>
    <n v="0"/>
    <n v="0"/>
    <n v="0"/>
    <n v="0"/>
    <n v="0"/>
    <n v="0"/>
    <n v="0"/>
    <n v="0"/>
    <n v="0"/>
    <n v="0"/>
    <n v="0"/>
    <n v="0"/>
    <n v="0"/>
    <n v="0"/>
    <n v="0"/>
    <n v="0"/>
    <n v="0"/>
    <n v="0"/>
    <n v="0"/>
    <x v="0"/>
    <x v="0"/>
    <x v="1"/>
    <n v="11"/>
    <n v="9"/>
    <m/>
    <m/>
    <m/>
    <m/>
    <m/>
    <m/>
    <m/>
    <m/>
    <m/>
    <m/>
    <m/>
    <m/>
    <m/>
    <m/>
    <m/>
    <m/>
    <m/>
    <m/>
    <m/>
    <n v="0"/>
    <n v="0"/>
  </r>
  <r>
    <n v="7478"/>
    <x v="0"/>
    <s v="2020/4838"/>
    <s v="56 Glenburnie Road"/>
    <s v=""/>
    <n v="527583"/>
    <n v="172331"/>
    <x v="4"/>
    <d v="2021-05-01T00:00:00"/>
    <d v="2022-11-24T00:00:00"/>
    <n v="1"/>
    <n v="9"/>
    <n v="8"/>
    <n v="9"/>
    <n v="8"/>
    <x v="1"/>
    <s v="Demolition of existing building and erection of two storey building (including roof and basement) to create 4 x 3-bedroom, 4 x 2-bedroom and 1 x 1-bedroom flats with associated refuse and cycle storage and outside amenity space."/>
    <s v="PF"/>
    <d v="2020-12-11T00:00:00"/>
    <d v="2021-03-24T00:00:00"/>
    <x v="0"/>
    <s v="Nil"/>
    <m/>
    <s v="BF"/>
    <s v="NB"/>
    <x v="2"/>
    <x v="1"/>
    <n v="0.05"/>
    <d v="2021-05-01T00:00:00"/>
    <x v="0"/>
    <d v="2022-11-24T00:00:00"/>
    <x v="2"/>
    <s v="M"/>
    <s v=""/>
    <m/>
    <n v="0"/>
    <m/>
    <n v="0"/>
    <m/>
    <n v="0"/>
    <n v="1"/>
    <n v="4"/>
    <n v="4"/>
    <n v="0"/>
    <n v="-1"/>
    <n v="0"/>
    <n v="0"/>
    <n v="1"/>
    <n v="4"/>
    <n v="4"/>
    <n v="0"/>
    <n v="0"/>
    <n v="0"/>
    <n v="0"/>
    <n v="0"/>
    <n v="0"/>
    <n v="0"/>
    <n v="0"/>
    <n v="-1"/>
    <n v="0"/>
    <n v="0"/>
    <n v="0"/>
    <n v="0"/>
    <n v="0"/>
    <n v="0"/>
    <n v="0"/>
    <n v="0"/>
    <x v="0"/>
    <x v="0"/>
    <x v="1"/>
    <n v="1"/>
    <n v="8"/>
    <m/>
    <m/>
    <m/>
    <m/>
    <m/>
    <m/>
    <m/>
    <m/>
    <m/>
    <m/>
    <m/>
    <m/>
    <m/>
    <m/>
    <m/>
    <m/>
    <m/>
    <m/>
    <m/>
    <n v="0"/>
    <n v="0"/>
  </r>
  <r>
    <n v="5232"/>
    <x v="0"/>
    <s v="2019/4262"/>
    <s v="134/134a Battersea High Street"/>
    <s v=""/>
    <n v="527007"/>
    <n v="176205"/>
    <x v="5"/>
    <d v="2020-07-13T00:00:00"/>
    <d v="2022-10-06T00:00:00"/>
    <n v="1"/>
    <n v="8"/>
    <n v="7"/>
    <n v="9"/>
    <n v="8"/>
    <x v="1"/>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x v="0"/>
    <s v="Nil"/>
    <m/>
    <s v="BF"/>
    <s v="NB"/>
    <x v="2"/>
    <x v="1"/>
    <n v="3.2000000000000001E-2"/>
    <d v="2020-07-13T00:00:00"/>
    <x v="0"/>
    <d v="2022-10-06T00:00:00"/>
    <x v="2"/>
    <s v="M"/>
    <s v=""/>
    <m/>
    <n v="0"/>
    <m/>
    <n v="0"/>
    <m/>
    <n v="1"/>
    <n v="2"/>
    <n v="4"/>
    <n v="0"/>
    <n v="0"/>
    <n v="0"/>
    <n v="0"/>
    <n v="1"/>
    <n v="2"/>
    <n v="4"/>
    <n v="1"/>
    <n v="0"/>
    <n v="0"/>
    <n v="0"/>
    <n v="0"/>
    <n v="0"/>
    <n v="0"/>
    <n v="-1"/>
    <n v="0"/>
    <n v="0"/>
    <n v="0"/>
    <n v="0"/>
    <n v="0"/>
    <n v="0"/>
    <n v="0"/>
    <n v="0"/>
    <n v="0"/>
    <n v="0"/>
    <x v="0"/>
    <x v="0"/>
    <x v="1"/>
    <n v="1"/>
    <n v="7"/>
    <m/>
    <m/>
    <m/>
    <m/>
    <m/>
    <m/>
    <m/>
    <m/>
    <m/>
    <m/>
    <m/>
    <m/>
    <m/>
    <m/>
    <m/>
    <m/>
    <m/>
    <m/>
    <m/>
    <n v="0"/>
    <n v="0"/>
  </r>
  <r>
    <n v="7594"/>
    <x v="0"/>
    <s v="2021/0907"/>
    <s v="The East Hill, 21 Alma Road"/>
    <s v=""/>
    <n v="526141"/>
    <n v="174861"/>
    <x v="6"/>
    <d v="2021-09-01T00:00:00"/>
    <d v="2023-02-08T00:00:00"/>
    <n v="0"/>
    <n v="8"/>
    <n v="8"/>
    <n v="8"/>
    <n v="8"/>
    <x v="1"/>
    <s v="Retention of the public house on the basement and ground floor and the conversion of upper floors to provide 5 x studio, 2 x 1-bedroom , and 1 x 2-bedroom  flats"/>
    <s v="PF"/>
    <d v="2021-02-25T00:00:00"/>
    <d v="2021-05-06T00:00:00"/>
    <x v="0"/>
    <s v="Nil"/>
    <m/>
    <s v="BF"/>
    <s v="CON"/>
    <x v="2"/>
    <x v="3"/>
    <n v="8.0000000000000002E-3"/>
    <d v="2021-09-01T00:00:00"/>
    <x v="0"/>
    <d v="2023-02-08T00:00:00"/>
    <x v="2"/>
    <s v="M"/>
    <s v=""/>
    <m/>
    <n v="0"/>
    <m/>
    <n v="0"/>
    <m/>
    <n v="5"/>
    <n v="2"/>
    <n v="1"/>
    <n v="0"/>
    <n v="0"/>
    <n v="0"/>
    <n v="0"/>
    <n v="5"/>
    <n v="2"/>
    <n v="1"/>
    <n v="0"/>
    <n v="0"/>
    <n v="0"/>
    <n v="0"/>
    <n v="0"/>
    <n v="0"/>
    <n v="0"/>
    <n v="0"/>
    <n v="0"/>
    <n v="0"/>
    <n v="0"/>
    <n v="0"/>
    <n v="0"/>
    <n v="0"/>
    <n v="0"/>
    <n v="0"/>
    <n v="0"/>
    <n v="0"/>
    <x v="0"/>
    <x v="0"/>
    <x v="1"/>
    <n v="11"/>
    <n v="8"/>
    <m/>
    <m/>
    <m/>
    <m/>
    <m/>
    <m/>
    <m/>
    <m/>
    <m/>
    <m/>
    <m/>
    <m/>
    <m/>
    <m/>
    <m/>
    <m/>
    <m/>
    <m/>
    <m/>
    <n v="0"/>
    <n v="0"/>
  </r>
  <r>
    <n v="7324"/>
    <x v="0"/>
    <s v="2021/4781"/>
    <s v="6-8 West Hill"/>
    <s v=""/>
    <n v="525232"/>
    <n v="174667"/>
    <x v="7"/>
    <d v="2022-03-24T00:00:00"/>
    <d v="2022-10-25T00:00:00"/>
    <n v="2"/>
    <n v="8"/>
    <n v="6"/>
    <n v="8"/>
    <n v="6"/>
    <x v="1"/>
    <s v="Alterations including erection of single-storey rear/side extension to ground floor (both properties), erection of rear mansard roof extension to main rear roof and above two-storey back addition to both properties; formation of roof terraces with privacy screens to each upper floor; replacement front gable and ground floor front elevation to incorporate refuse and bike stores in connection with change of use of ground floor restaurant (Class E) to residential (Class C3) and together with accommodation above, provide of 3 x 2-bedroom, 3 x 1-bedroom and 2 x studio flats"/>
    <s v="PF"/>
    <d v="2021-10-18T00:00:00"/>
    <d v="2022-03-24T00:00:00"/>
    <x v="0"/>
    <s v="Nil"/>
    <m/>
    <s v="BF"/>
    <s v="MIX"/>
    <x v="2"/>
    <x v="2"/>
    <n v="1.2999999999999999E-2"/>
    <d v="2022-03-24T00:00:00"/>
    <x v="0"/>
    <d v="2022-10-25T00:00:00"/>
    <x v="2"/>
    <s v="MR"/>
    <s v=""/>
    <m/>
    <n v="0"/>
    <m/>
    <n v="0"/>
    <m/>
    <n v="2"/>
    <n v="3"/>
    <n v="3"/>
    <n v="-2"/>
    <n v="0"/>
    <n v="0"/>
    <n v="0"/>
    <n v="2"/>
    <n v="3"/>
    <n v="3"/>
    <n v="-2"/>
    <n v="0"/>
    <n v="0"/>
    <n v="0"/>
    <n v="0"/>
    <n v="0"/>
    <n v="0"/>
    <n v="0"/>
    <n v="0"/>
    <n v="0"/>
    <n v="0"/>
    <n v="0"/>
    <n v="0"/>
    <n v="0"/>
    <n v="0"/>
    <n v="0"/>
    <n v="0"/>
    <n v="0"/>
    <x v="0"/>
    <x v="0"/>
    <x v="0"/>
    <n v="11"/>
    <n v="6"/>
    <m/>
    <m/>
    <m/>
    <m/>
    <m/>
    <m/>
    <m/>
    <m/>
    <m/>
    <m/>
    <m/>
    <m/>
    <m/>
    <m/>
    <m/>
    <m/>
    <m/>
    <m/>
    <m/>
    <n v="0"/>
    <n v="0"/>
  </r>
  <r>
    <n v="6481"/>
    <x v="0"/>
    <s v="2019/1895"/>
    <s v="189 Balham High Road"/>
    <s v=""/>
    <n v="528408"/>
    <n v="173055"/>
    <x v="8"/>
    <d v="2021-02-08T00:00:00"/>
    <d v="2022-06-16T00:00:00"/>
    <n v="0"/>
    <n v="7"/>
    <n v="7"/>
    <n v="7"/>
    <n v="7"/>
    <x v="1"/>
    <s v="Demolition of existing garages and erection of 7 x 3-storey (plus basement) 3-bedroom houses with associated landscaping, car and cycle parking."/>
    <s v="PF"/>
    <d v="2019-05-16T00:00:00"/>
    <d v="2019-07-30T00:00:00"/>
    <x v="0"/>
    <s v="Nil"/>
    <m/>
    <s v="BF"/>
    <s v="NB"/>
    <x v="2"/>
    <x v="1"/>
    <n v="1.4E-2"/>
    <d v="2021-02-08T00:00:00"/>
    <x v="0"/>
    <d v="2022-06-16T00:00:00"/>
    <x v="2"/>
    <s v="M"/>
    <s v=""/>
    <m/>
    <n v="0"/>
    <m/>
    <n v="0"/>
    <m/>
    <n v="0"/>
    <n v="0"/>
    <n v="0"/>
    <n v="7"/>
    <n v="0"/>
    <n v="0"/>
    <n v="0"/>
    <n v="0"/>
    <n v="0"/>
    <n v="0"/>
    <n v="0"/>
    <n v="0"/>
    <n v="0"/>
    <n v="0"/>
    <n v="0"/>
    <n v="0"/>
    <n v="0"/>
    <n v="7"/>
    <n v="0"/>
    <n v="0"/>
    <n v="0"/>
    <n v="0"/>
    <n v="0"/>
    <n v="0"/>
    <n v="0"/>
    <n v="0"/>
    <n v="0"/>
    <n v="0"/>
    <x v="0"/>
    <x v="0"/>
    <x v="1"/>
    <n v="1"/>
    <n v="7"/>
    <m/>
    <m/>
    <m/>
    <m/>
    <m/>
    <m/>
    <m/>
    <m/>
    <m/>
    <m/>
    <m/>
    <m/>
    <m/>
    <m/>
    <m/>
    <m/>
    <m/>
    <m/>
    <m/>
    <n v="0"/>
    <n v="0"/>
  </r>
  <r>
    <n v="7204"/>
    <x v="0"/>
    <s v="2019/2905"/>
    <s v="83 Huron Road"/>
    <s v=""/>
    <n v="528657"/>
    <n v="172323"/>
    <x v="8"/>
    <d v="2020-03-31T00:00:00"/>
    <d v="2022-08-17T00:00:00"/>
    <n v="0"/>
    <n v="7"/>
    <n v="7"/>
    <n v="7"/>
    <n v="7"/>
    <x v="1"/>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x v="0"/>
    <s v="Nil"/>
    <m/>
    <s v="BF"/>
    <s v="MIX"/>
    <x v="2"/>
    <x v="3"/>
    <n v="4.5999999999999999E-2"/>
    <d v="2020-03-31T00:00:00"/>
    <x v="0"/>
    <d v="2022-08-17T00:00:00"/>
    <x v="2"/>
    <s v="M"/>
    <s v=""/>
    <m/>
    <n v="0"/>
    <m/>
    <n v="0"/>
    <m/>
    <n v="0"/>
    <n v="1"/>
    <n v="4"/>
    <n v="2"/>
    <n v="0"/>
    <n v="0"/>
    <n v="0"/>
    <n v="0"/>
    <n v="1"/>
    <n v="4"/>
    <n v="2"/>
    <n v="0"/>
    <n v="0"/>
    <n v="0"/>
    <n v="0"/>
    <n v="0"/>
    <n v="0"/>
    <n v="0"/>
    <n v="0"/>
    <n v="0"/>
    <n v="0"/>
    <n v="0"/>
    <n v="0"/>
    <n v="0"/>
    <n v="0"/>
    <n v="0"/>
    <n v="0"/>
    <n v="0"/>
    <x v="0"/>
    <x v="0"/>
    <x v="1"/>
    <n v="11"/>
    <n v="7"/>
    <m/>
    <m/>
    <m/>
    <m/>
    <m/>
    <m/>
    <m/>
    <m/>
    <m/>
    <m/>
    <m/>
    <m/>
    <m/>
    <m/>
    <m/>
    <m/>
    <m/>
    <m/>
    <m/>
    <n v="0"/>
    <n v="0"/>
  </r>
  <r>
    <n v="5420"/>
    <x v="0"/>
    <s v="2020/2061"/>
    <s v="Broadway Studio, 28 Tooting High Street"/>
    <s v=""/>
    <n v="527461"/>
    <n v="171563"/>
    <x v="3"/>
    <d v="2021-03-15T00:00:00"/>
    <d v="2022-05-05T00:00:00"/>
    <n v="0"/>
    <n v="6"/>
    <n v="6"/>
    <n v="6"/>
    <n v="6"/>
    <x v="1"/>
    <s v="Alterations to elevations and roofs along with provision of external spiral staircase to second floor, in connection with change of use of ground floor from flexible use (Class A1/A2/A3/B1/D1/D2) to residential (Class C3) to provide 1 x 1-bedroom, 4 x 2-bedroom and 1 x 3-bedroom flats with associated refuse and cycle storage and amenity space."/>
    <s v="PF"/>
    <d v="2020-07-14T00:00:00"/>
    <d v="2020-11-30T00:00:00"/>
    <x v="0"/>
    <s v="Nil"/>
    <m/>
    <s v="BF"/>
    <s v="COU"/>
    <x v="2"/>
    <x v="4"/>
    <n v="6.8000000000000005E-2"/>
    <d v="2021-03-15T00:00:00"/>
    <x v="0"/>
    <d v="2022-05-05T00:00:00"/>
    <x v="2"/>
    <s v="M"/>
    <s v=""/>
    <m/>
    <n v="0"/>
    <m/>
    <n v="0"/>
    <m/>
    <n v="0"/>
    <n v="1"/>
    <n v="4"/>
    <n v="1"/>
    <n v="0"/>
    <n v="0"/>
    <n v="0"/>
    <n v="0"/>
    <n v="1"/>
    <n v="4"/>
    <n v="1"/>
    <n v="0"/>
    <n v="0"/>
    <n v="0"/>
    <n v="0"/>
    <n v="0"/>
    <n v="0"/>
    <n v="0"/>
    <n v="0"/>
    <n v="0"/>
    <n v="0"/>
    <n v="0"/>
    <n v="0"/>
    <n v="0"/>
    <n v="0"/>
    <n v="0"/>
    <n v="0"/>
    <n v="0"/>
    <x v="2"/>
    <x v="0"/>
    <x v="3"/>
    <n v="11"/>
    <n v="6"/>
    <m/>
    <m/>
    <m/>
    <m/>
    <m/>
    <m/>
    <m/>
    <m/>
    <m/>
    <m/>
    <m/>
    <m/>
    <m/>
    <m/>
    <m/>
    <m/>
    <m/>
    <m/>
    <m/>
    <n v="0"/>
    <n v="0"/>
  </r>
  <r>
    <n v="7365"/>
    <x v="0"/>
    <s v="2020/2528"/>
    <s v="118a Disraeli Road"/>
    <s v=""/>
    <n v="524420"/>
    <n v="175013"/>
    <x v="0"/>
    <d v="2022-01-03T00:00:00"/>
    <d v="2023-03-31T00:00:00"/>
    <n v="0"/>
    <n v="6"/>
    <n v="6"/>
    <n v="6"/>
    <n v="6"/>
    <x v="1"/>
    <s v="Demolition of existing car garage and erection of a two and a half storey residential building comprising 6 residential flats (1 x 1-bedroom and 2 x 2-bedroom flats and 3 x 1-bedroom studios)."/>
    <s v="PF"/>
    <d v="2020-07-14T00:00:00"/>
    <d v="2020-12-21T00:00:00"/>
    <x v="0"/>
    <s v="Nil"/>
    <m/>
    <s v="BF"/>
    <s v="NB"/>
    <x v="2"/>
    <x v="1"/>
    <n v="2.1000000000000001E-2"/>
    <d v="2022-01-03T00:00:00"/>
    <x v="0"/>
    <d v="2023-03-31T00:00:00"/>
    <x v="2"/>
    <s v="M"/>
    <s v=""/>
    <m/>
    <n v="0"/>
    <m/>
    <n v="0"/>
    <m/>
    <n v="3"/>
    <n v="1"/>
    <n v="2"/>
    <n v="0"/>
    <n v="0"/>
    <n v="0"/>
    <n v="0"/>
    <n v="3"/>
    <n v="1"/>
    <n v="2"/>
    <n v="0"/>
    <n v="0"/>
    <n v="0"/>
    <n v="0"/>
    <n v="0"/>
    <n v="0"/>
    <n v="0"/>
    <n v="0"/>
    <n v="0"/>
    <n v="0"/>
    <n v="0"/>
    <n v="0"/>
    <n v="0"/>
    <n v="0"/>
    <n v="0"/>
    <n v="0"/>
    <n v="0"/>
    <n v="0"/>
    <x v="0"/>
    <x v="0"/>
    <x v="4"/>
    <n v="1"/>
    <n v="6"/>
    <m/>
    <m/>
    <m/>
    <m/>
    <m/>
    <m/>
    <m/>
    <m/>
    <m/>
    <m/>
    <m/>
    <m/>
    <m/>
    <m/>
    <m/>
    <m/>
    <m/>
    <m/>
    <m/>
    <n v="0"/>
    <n v="0"/>
  </r>
  <r>
    <n v="7440"/>
    <x v="0"/>
    <s v="2021/2046"/>
    <s v="29-31 Cathles Road"/>
    <s v=""/>
    <n v="528916"/>
    <n v="174074"/>
    <x v="2"/>
    <d v="2022-01-17T00:00:00"/>
    <d v="2023-03-26T00:00:00"/>
    <n v="2"/>
    <n v="6"/>
    <n v="4"/>
    <n v="6"/>
    <n v="4"/>
    <x v="1"/>
    <s v="Demolition of existing buildings and erection of two-storey building with roof accommodation consisting of 6 self-contained flats with associated private outside amenity space, refuse and cycle parking. Formation of roof terraces with 1.7m high obscured glazed privacy screens at roof level."/>
    <s v="PF"/>
    <d v="2021-04-29T00:00:00"/>
    <d v="2021-08-19T00:00:00"/>
    <x v="0"/>
    <s v="Nil"/>
    <m/>
    <s v="BF"/>
    <s v="MIX"/>
    <x v="2"/>
    <x v="5"/>
    <n v="9.0500000000000008E-3"/>
    <d v="2022-01-17T00:00:00"/>
    <x v="0"/>
    <d v="2023-03-26T00:00:00"/>
    <x v="2"/>
    <s v="M"/>
    <s v=""/>
    <m/>
    <n v="0"/>
    <n v="6"/>
    <n v="0"/>
    <n v="6"/>
    <n v="0"/>
    <n v="2"/>
    <n v="2"/>
    <n v="0"/>
    <n v="0"/>
    <n v="0"/>
    <n v="0"/>
    <n v="0"/>
    <n v="2"/>
    <n v="2"/>
    <n v="2"/>
    <n v="0"/>
    <n v="0"/>
    <n v="0"/>
    <n v="0"/>
    <n v="0"/>
    <n v="0"/>
    <n v="-2"/>
    <n v="0"/>
    <n v="0"/>
    <n v="0"/>
    <n v="0"/>
    <n v="0"/>
    <n v="0"/>
    <n v="0"/>
    <n v="0"/>
    <n v="0"/>
    <n v="0"/>
    <x v="0"/>
    <x v="0"/>
    <x v="1"/>
    <n v="11"/>
    <n v="4"/>
    <m/>
    <m/>
    <m/>
    <m/>
    <m/>
    <m/>
    <m/>
    <m/>
    <m/>
    <m/>
    <m/>
    <m/>
    <m/>
    <m/>
    <m/>
    <m/>
    <m/>
    <m/>
    <m/>
    <n v="0"/>
    <n v="0"/>
  </r>
  <r>
    <n v="7210"/>
    <x v="0"/>
    <s v="2019/2977"/>
    <s v="180 Balham High Road"/>
    <s v=""/>
    <n v="528481"/>
    <n v="173303"/>
    <x v="2"/>
    <d v="2021-03-13T00:00:00"/>
    <d v="2022-10-24T00:00:00"/>
    <n v="0"/>
    <n v="5"/>
    <n v="5"/>
    <n v="5"/>
    <n v="5"/>
    <x v="1"/>
    <s v="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
    <s v="PF"/>
    <d v="2019-07-25T00:00:00"/>
    <d v="2019-12-02T00:00:00"/>
    <x v="0"/>
    <s v="Nil"/>
    <m/>
    <s v="BF"/>
    <s v="NB"/>
    <x v="2"/>
    <x v="1"/>
    <n v="1.0999999999999999E-2"/>
    <d v="2021-03-31T00:00:00"/>
    <x v="0"/>
    <d v="2022-10-24T00:00:00"/>
    <x v="2"/>
    <s v="M"/>
    <s v=""/>
    <m/>
    <n v="0"/>
    <m/>
    <n v="0"/>
    <m/>
    <n v="0"/>
    <n v="4"/>
    <n v="1"/>
    <n v="0"/>
    <n v="0"/>
    <n v="0"/>
    <n v="0"/>
    <n v="0"/>
    <n v="4"/>
    <n v="1"/>
    <n v="0"/>
    <n v="0"/>
    <n v="0"/>
    <n v="0"/>
    <n v="0"/>
    <n v="0"/>
    <n v="0"/>
    <n v="0"/>
    <n v="0"/>
    <n v="0"/>
    <n v="0"/>
    <n v="0"/>
    <n v="0"/>
    <n v="0"/>
    <n v="0"/>
    <n v="0"/>
    <n v="0"/>
    <n v="0"/>
    <x v="1"/>
    <x v="0"/>
    <x v="2"/>
    <n v="1"/>
    <n v="5"/>
    <m/>
    <m/>
    <m/>
    <m/>
    <m/>
    <m/>
    <m/>
    <m/>
    <m/>
    <m/>
    <m/>
    <m/>
    <m/>
    <m/>
    <m/>
    <m/>
    <m/>
    <m/>
    <m/>
    <n v="0"/>
    <n v="0"/>
  </r>
  <r>
    <n v="6828"/>
    <x v="0"/>
    <s v="2020/1998"/>
    <s v="74a Vant Road"/>
    <s v=""/>
    <n v="527983"/>
    <n v="171216"/>
    <x v="3"/>
    <d v="2019-06-18T00:00:00"/>
    <d v="2022-10-04T00:00:00"/>
    <n v="1"/>
    <n v="5"/>
    <n v="4"/>
    <n v="5"/>
    <n v="4"/>
    <x v="1"/>
    <s v="Demolition of existing building and erection of two-storey (plus part single/part two-storey back addition, habitable roof space and basement with front and rear lightwells) building to provide 1 x 3-bedroom, 2 x 2-bedroom and 2 x 1-bedroom flats with associated cycle/bin storage and replacement of front boundary."/>
    <s v="PF"/>
    <d v="2020-06-08T00:00:00"/>
    <d v="2020-12-22T00:00:00"/>
    <x v="0"/>
    <s v="Nil"/>
    <m/>
    <s v="BF"/>
    <s v="NB"/>
    <x v="2"/>
    <x v="1"/>
    <n v="3.3000000000000002E-2"/>
    <d v="2019-06-18T00:00:00"/>
    <x v="0"/>
    <d v="2022-10-04T00:00:00"/>
    <x v="2"/>
    <s v="M"/>
    <s v=""/>
    <m/>
    <n v="0"/>
    <m/>
    <n v="0"/>
    <m/>
    <n v="0"/>
    <n v="2"/>
    <n v="2"/>
    <n v="1"/>
    <n v="0"/>
    <n v="-1"/>
    <n v="0"/>
    <n v="0"/>
    <n v="2"/>
    <n v="2"/>
    <n v="1"/>
    <n v="0"/>
    <n v="0"/>
    <n v="0"/>
    <n v="0"/>
    <n v="0"/>
    <n v="0"/>
    <n v="0"/>
    <n v="0"/>
    <n v="-1"/>
    <n v="0"/>
    <n v="0"/>
    <n v="0"/>
    <n v="0"/>
    <n v="0"/>
    <n v="0"/>
    <n v="0"/>
    <n v="0"/>
    <x v="0"/>
    <x v="0"/>
    <x v="1"/>
    <n v="1"/>
    <n v="4"/>
    <m/>
    <m/>
    <m/>
    <m/>
    <m/>
    <m/>
    <m/>
    <m/>
    <m/>
    <m/>
    <m/>
    <m/>
    <m/>
    <m/>
    <m/>
    <m/>
    <m/>
    <m/>
    <m/>
    <n v="0"/>
    <n v="0"/>
  </r>
  <r>
    <n v="3157"/>
    <x v="0"/>
    <s v="2021/3345"/>
    <s v="15 Smallwood Road"/>
    <s v=""/>
    <n v="526833"/>
    <n v="171839"/>
    <x v="3"/>
    <d v="2022-03-01T00:00:00"/>
    <d v="2023-01-31T00:00:00"/>
    <n v="3"/>
    <n v="5"/>
    <n v="2"/>
    <n v="5"/>
    <n v="2"/>
    <x v="1"/>
    <s v="Demolition of existing property and outbuildings and erection of two-storey building plus roof and basement with front and rear lightwells to create 1 x 3-bedroom, 2 x 2-bedroom and 2 x 1-bedroom flats with associated outside amenity space, refuse and cycle storage."/>
    <s v="PF"/>
    <d v="2021-07-14T00:00:00"/>
    <d v="2021-10-19T00:00:00"/>
    <x v="0"/>
    <s v="Nil"/>
    <m/>
    <s v="BF"/>
    <s v="NB"/>
    <x v="2"/>
    <x v="1"/>
    <n v="8.9999999999999993E-3"/>
    <d v="2022-03-01T00:00:00"/>
    <x v="0"/>
    <d v="2023-01-31T00:00:00"/>
    <x v="2"/>
    <s v="M"/>
    <s v=""/>
    <m/>
    <n v="0"/>
    <m/>
    <n v="0"/>
    <m/>
    <n v="0"/>
    <n v="2"/>
    <n v="1"/>
    <n v="-1"/>
    <n v="0"/>
    <n v="0"/>
    <n v="0"/>
    <n v="0"/>
    <n v="2"/>
    <n v="1"/>
    <n v="-1"/>
    <n v="0"/>
    <n v="0"/>
    <n v="0"/>
    <n v="0"/>
    <n v="0"/>
    <n v="0"/>
    <n v="0"/>
    <n v="0"/>
    <n v="0"/>
    <n v="0"/>
    <n v="0"/>
    <n v="0"/>
    <n v="0"/>
    <n v="0"/>
    <n v="0"/>
    <n v="0"/>
    <n v="0"/>
    <x v="0"/>
    <x v="0"/>
    <x v="1"/>
    <n v="1"/>
    <n v="2"/>
    <m/>
    <m/>
    <m/>
    <m/>
    <m/>
    <m/>
    <m/>
    <m/>
    <m/>
    <m/>
    <m/>
    <m/>
    <m/>
    <m/>
    <m/>
    <m/>
    <m/>
    <m/>
    <m/>
    <n v="0"/>
    <n v="0"/>
  </r>
  <r>
    <n v="6186"/>
    <x v="0"/>
    <s v="2019/5216"/>
    <s v="65 &amp; 65a, 65 Garratt Terrace"/>
    <s v=""/>
    <n v="527237"/>
    <n v="171543"/>
    <x v="3"/>
    <d v="2021-06-11T00:00:00"/>
    <d v="2023-03-27T00:00:00"/>
    <n v="1"/>
    <n v="4"/>
    <n v="3"/>
    <n v="4"/>
    <n v="3"/>
    <x v="1"/>
    <s v="Alterations including erection of mansard roof extension to main rear roof including raising ridge by 300mm; erection of roof extension above three-storey back addition; alterations to roof of two-storey back addition; lowering of front windows and erection of single storey rear/side extension in connection with conversion of property to 1 x 3-bedroom, 1 x 2-bedroom and 2 x studio flats with associated bin and cycle storage."/>
    <s v="PF"/>
    <d v="2020-01-14T00:00:00"/>
    <d v="2020-09-25T00:00:00"/>
    <x v="0"/>
    <s v="Nil"/>
    <m/>
    <s v="BF"/>
    <s v="MIX"/>
    <x v="2"/>
    <x v="5"/>
    <n v="1.4E-2"/>
    <d v="2021-06-11T00:00:00"/>
    <x v="0"/>
    <d v="2023-03-27T00:00:00"/>
    <x v="2"/>
    <s v="M"/>
    <s v=""/>
    <m/>
    <n v="0"/>
    <m/>
    <n v="0"/>
    <m/>
    <n v="2"/>
    <n v="0"/>
    <n v="1"/>
    <n v="1"/>
    <n v="0"/>
    <n v="-1"/>
    <n v="0"/>
    <n v="2"/>
    <n v="0"/>
    <n v="1"/>
    <n v="1"/>
    <n v="0"/>
    <n v="0"/>
    <n v="0"/>
    <n v="0"/>
    <n v="0"/>
    <n v="0"/>
    <n v="0"/>
    <n v="0"/>
    <n v="-1"/>
    <n v="0"/>
    <n v="0"/>
    <n v="0"/>
    <n v="0"/>
    <n v="0"/>
    <n v="0"/>
    <n v="0"/>
    <n v="0"/>
    <x v="0"/>
    <x v="0"/>
    <x v="3"/>
    <n v="11"/>
    <n v="3"/>
    <m/>
    <m/>
    <m/>
    <m/>
    <m/>
    <m/>
    <m/>
    <m/>
    <m/>
    <m/>
    <m/>
    <m/>
    <m/>
    <m/>
    <m/>
    <m/>
    <m/>
    <m/>
    <m/>
    <n v="0"/>
    <n v="0"/>
  </r>
  <r>
    <n v="5996"/>
    <x v="0"/>
    <s v="2020/2613"/>
    <s v="6 Broadwater Road"/>
    <s v=""/>
    <n v="527571"/>
    <n v="171743"/>
    <x v="9"/>
    <d v="2020-09-21T00:00:00"/>
    <d v="2022-06-26T00:00:00"/>
    <n v="0"/>
    <n v="4"/>
    <n v="4"/>
    <n v="4"/>
    <n v="4"/>
    <x v="1"/>
    <s v="Demolition of existing buildings and erection of three-storey building with basement and terraces to provide 2 x two bedroom, 1 x one bedroom and 1 x studio flats, with associated landscaping, and cycle and refuse storage."/>
    <s v="PF"/>
    <d v="2020-07-20T00:00:00"/>
    <d v="2020-12-22T00:00:00"/>
    <x v="0"/>
    <s v="Nil"/>
    <m/>
    <s v="BF"/>
    <s v="NB"/>
    <x v="2"/>
    <x v="1"/>
    <n v="1.2E-2"/>
    <d v="2020-09-21T00:00:00"/>
    <x v="0"/>
    <d v="2022-06-26T00:00:00"/>
    <x v="2"/>
    <s v="M"/>
    <s v=""/>
    <m/>
    <n v="0"/>
    <m/>
    <n v="0"/>
    <m/>
    <n v="1"/>
    <n v="1"/>
    <n v="2"/>
    <n v="0"/>
    <n v="0"/>
    <n v="0"/>
    <n v="0"/>
    <n v="1"/>
    <n v="1"/>
    <n v="2"/>
    <n v="0"/>
    <n v="0"/>
    <n v="0"/>
    <n v="0"/>
    <n v="0"/>
    <n v="0"/>
    <n v="0"/>
    <n v="0"/>
    <n v="0"/>
    <n v="0"/>
    <n v="0"/>
    <n v="0"/>
    <n v="0"/>
    <n v="0"/>
    <n v="0"/>
    <n v="0"/>
    <n v="0"/>
    <n v="0"/>
    <x v="0"/>
    <x v="0"/>
    <x v="3"/>
    <n v="1"/>
    <n v="4"/>
    <m/>
    <m/>
    <m/>
    <m/>
    <m/>
    <m/>
    <m/>
    <m/>
    <m/>
    <m/>
    <m/>
    <m/>
    <m/>
    <m/>
    <m/>
    <m/>
    <m/>
    <m/>
    <m/>
    <n v="0"/>
    <n v="0"/>
  </r>
  <r>
    <n v="4592"/>
    <x v="0"/>
    <s v="2020/3271"/>
    <s v="Jessica House, Red Lion Square"/>
    <s v=""/>
    <n v="525349"/>
    <n v="174610"/>
    <x v="6"/>
    <d v="2022-02-01T00:00:00"/>
    <d v="2022-06-20T00:00:00"/>
    <n v="0"/>
    <n v="4"/>
    <n v="4"/>
    <n v="4"/>
    <n v="4"/>
    <x v="1"/>
    <s v="Alterations in connection with change of use of first floor from office (Class A2) to residential (Class C3) to create 3 x 2 bedroom and 1 x studio flats."/>
    <s v="PFLA"/>
    <d v="2020-09-03T00:00:00"/>
    <d v="2021-03-12T00:00:00"/>
    <x v="0"/>
    <s v="Nil"/>
    <m/>
    <s v="BF"/>
    <s v="COU"/>
    <x v="2"/>
    <x v="6"/>
    <n v="7.0000000000000001E-3"/>
    <d v="2022-02-01T00:00:00"/>
    <x v="0"/>
    <d v="2022-06-20T00:00:00"/>
    <x v="2"/>
    <s v="M"/>
    <s v=""/>
    <m/>
    <n v="0"/>
    <m/>
    <n v="0"/>
    <m/>
    <n v="1"/>
    <n v="0"/>
    <n v="3"/>
    <n v="0"/>
    <n v="0"/>
    <n v="0"/>
    <n v="0"/>
    <n v="1"/>
    <n v="0"/>
    <n v="3"/>
    <n v="0"/>
    <n v="0"/>
    <n v="0"/>
    <n v="0"/>
    <n v="0"/>
    <n v="0"/>
    <n v="0"/>
    <n v="0"/>
    <n v="0"/>
    <n v="0"/>
    <n v="0"/>
    <n v="0"/>
    <n v="0"/>
    <n v="0"/>
    <n v="0"/>
    <n v="0"/>
    <n v="0"/>
    <n v="0"/>
    <x v="3"/>
    <x v="0"/>
    <x v="0"/>
    <n v="11"/>
    <n v="4"/>
    <m/>
    <m/>
    <m/>
    <m/>
    <m/>
    <m/>
    <m/>
    <m/>
    <m/>
    <m/>
    <m/>
    <m/>
    <m/>
    <m/>
    <m/>
    <m/>
    <m/>
    <m/>
    <m/>
    <n v="0"/>
    <n v="0"/>
  </r>
  <r>
    <n v="7646"/>
    <x v="0"/>
    <s v="2021/1671"/>
    <s v="238-244 Mitcham Road"/>
    <s v=""/>
    <n v="527974"/>
    <n v="170779"/>
    <x v="3"/>
    <d v="2022-01-25T00:00:00"/>
    <d v="2023-01-19T00:00:00"/>
    <n v="2"/>
    <n v="4"/>
    <n v="2"/>
    <n v="4"/>
    <n v="2"/>
    <x v="1"/>
    <s v="Alterations including replacement front dormers, erection of three storey side/rear extension; erection of mansard roof extension to main rear roof and above two storey back addition in connection with conversion of existing upper floor flats into 4 x 2-bedroom with associated refuse and cycle store."/>
    <s v="PF"/>
    <d v="2021-04-08T00:00:00"/>
    <d v="2021-06-03T00:00:00"/>
    <x v="0"/>
    <s v="Nil"/>
    <m/>
    <s v="BF"/>
    <s v="MIX"/>
    <x v="2"/>
    <x v="2"/>
    <n v="1.4E-2"/>
    <d v="2022-01-25T00:00:00"/>
    <x v="0"/>
    <d v="2023-01-19T00:00:00"/>
    <x v="2"/>
    <s v="M"/>
    <s v=""/>
    <m/>
    <n v="0"/>
    <m/>
    <n v="0"/>
    <m/>
    <n v="0"/>
    <n v="0"/>
    <n v="2"/>
    <n v="0"/>
    <n v="0"/>
    <n v="0"/>
    <n v="0"/>
    <n v="0"/>
    <n v="0"/>
    <n v="2"/>
    <n v="0"/>
    <n v="0"/>
    <n v="0"/>
    <n v="0"/>
    <n v="0"/>
    <n v="0"/>
    <n v="0"/>
    <n v="0"/>
    <n v="0"/>
    <n v="0"/>
    <n v="0"/>
    <n v="0"/>
    <n v="0"/>
    <n v="0"/>
    <n v="0"/>
    <n v="0"/>
    <n v="0"/>
    <n v="0"/>
    <x v="0"/>
    <x v="0"/>
    <x v="1"/>
    <n v="11"/>
    <n v="2"/>
    <m/>
    <m/>
    <m/>
    <m/>
    <m/>
    <m/>
    <m/>
    <m/>
    <m/>
    <m/>
    <m/>
    <m/>
    <m/>
    <m/>
    <m/>
    <m/>
    <m/>
    <m/>
    <m/>
    <n v="0"/>
    <n v="0"/>
  </r>
  <r>
    <n v="7647"/>
    <x v="0"/>
    <s v="2021/1673"/>
    <s v="246-252 Mitcham Road"/>
    <s v=""/>
    <n v="527970"/>
    <n v="170768"/>
    <x v="3"/>
    <d v="2020-09-01T00:00:00"/>
    <d v="2022-09-05T00:00:00"/>
    <n v="2"/>
    <n v="4"/>
    <n v="2"/>
    <n v="4"/>
    <n v="2"/>
    <x v="1"/>
    <s v="Alterations including replacement front dormers, erection of three storey side/rear extension; erection of mansard roof extension to main rear roof and above two storey back addition in connection with conversion of existing upper floor flats into 4 x 2-bedroom with associated refuse and cycle store."/>
    <s v="PF"/>
    <d v="2021-04-08T00:00:00"/>
    <d v="2021-06-03T00:00:00"/>
    <x v="0"/>
    <s v="Nil"/>
    <m/>
    <s v="BF"/>
    <s v="MIX"/>
    <x v="2"/>
    <x v="2"/>
    <n v="1.4E-2"/>
    <d v="2020-09-01T00:00:00"/>
    <x v="0"/>
    <d v="2022-09-05T00:00:00"/>
    <x v="2"/>
    <s v="M"/>
    <s v=""/>
    <m/>
    <n v="0"/>
    <m/>
    <n v="0"/>
    <m/>
    <n v="0"/>
    <n v="0"/>
    <n v="2"/>
    <n v="0"/>
    <n v="0"/>
    <n v="0"/>
    <n v="0"/>
    <n v="0"/>
    <n v="0"/>
    <n v="2"/>
    <n v="0"/>
    <n v="0"/>
    <n v="0"/>
    <n v="0"/>
    <n v="0"/>
    <n v="0"/>
    <n v="0"/>
    <n v="0"/>
    <n v="0"/>
    <n v="0"/>
    <n v="0"/>
    <n v="0"/>
    <n v="0"/>
    <n v="0"/>
    <n v="0"/>
    <n v="0"/>
    <n v="0"/>
    <n v="0"/>
    <x v="0"/>
    <x v="0"/>
    <x v="1"/>
    <n v="11"/>
    <n v="2"/>
    <m/>
    <m/>
    <m/>
    <m/>
    <m/>
    <m/>
    <m/>
    <m/>
    <m/>
    <m/>
    <m/>
    <m/>
    <m/>
    <m/>
    <m/>
    <m/>
    <m/>
    <m/>
    <m/>
    <n v="0"/>
    <n v="0"/>
  </r>
  <r>
    <n v="7611"/>
    <x v="0"/>
    <s v="2021/1703"/>
    <s v="77 Dorothy Road"/>
    <s v=""/>
    <n v="527614"/>
    <n v="175748"/>
    <x v="1"/>
    <d v="2021-09-13T00:00:00"/>
    <d v="2022-05-26T00:00:00"/>
    <n v="1"/>
    <n v="4"/>
    <n v="3"/>
    <n v="4"/>
    <n v="3"/>
    <x v="1"/>
    <s v="Alterations including erection of hip-to-gable side roof extension and extension to main rear roof (with French doors and safety railings); Erection of part-single part two-storey rear extension with habitable roofspace; Change of use of ground floor from food and wine bar (Sui Generis) to residential (Class C3) in connection with provision of 2 x 2 bedroom flats and 2 x 3 bedroom flats"/>
    <s v="PF"/>
    <d v="2021-04-09T00:00:00"/>
    <d v="2021-07-07T00:00:00"/>
    <x v="0"/>
    <s v="Nil"/>
    <m/>
    <s v="BF"/>
    <s v="MIX"/>
    <x v="2"/>
    <x v="7"/>
    <n v="1.3599999999999999E-2"/>
    <d v="2021-09-13T00:00:00"/>
    <x v="0"/>
    <d v="2022-05-26T00:00:00"/>
    <x v="2"/>
    <s v="M"/>
    <s v=""/>
    <m/>
    <n v="0"/>
    <m/>
    <n v="0"/>
    <m/>
    <n v="0"/>
    <n v="0"/>
    <n v="2"/>
    <n v="2"/>
    <n v="0"/>
    <n v="-1"/>
    <n v="0"/>
    <n v="0"/>
    <n v="0"/>
    <n v="2"/>
    <n v="2"/>
    <n v="0"/>
    <n v="-1"/>
    <n v="0"/>
    <n v="0"/>
    <n v="0"/>
    <n v="0"/>
    <n v="0"/>
    <n v="0"/>
    <n v="0"/>
    <n v="0"/>
    <n v="0"/>
    <n v="0"/>
    <n v="0"/>
    <n v="0"/>
    <n v="0"/>
    <n v="0"/>
    <n v="0"/>
    <x v="0"/>
    <x v="0"/>
    <x v="5"/>
    <n v="11"/>
    <n v="3"/>
    <m/>
    <m/>
    <m/>
    <m/>
    <m/>
    <m/>
    <m/>
    <m/>
    <m/>
    <m/>
    <m/>
    <m/>
    <m/>
    <m/>
    <m/>
    <m/>
    <m/>
    <m/>
    <m/>
    <n v="0"/>
    <n v="0"/>
  </r>
  <r>
    <n v="7663"/>
    <x v="0"/>
    <s v="2021/3204"/>
    <s v="55 Gilbey Road"/>
    <s v=""/>
    <n v="527229"/>
    <n v="171481"/>
    <x v="3"/>
    <d v="2021-08-31T00:00:00"/>
    <d v="2022-05-24T00:00:00"/>
    <n v="1"/>
    <n v="4"/>
    <n v="3"/>
    <n v="4"/>
    <n v="3"/>
    <x v="1"/>
    <s v="Alterations including changing the first floor pitched roof to a flat roof and conversion of the property into 1 x 3-bedroom, 1 x 2-bedroom and 2 x 1-bedroom flats with associated refuse and cycle storage."/>
    <s v="PF"/>
    <d v="2021-07-06T00:00:00"/>
    <d v="2021-08-31T00:00:00"/>
    <x v="0"/>
    <s v="Nil"/>
    <m/>
    <s v="BF"/>
    <s v="CON"/>
    <x v="2"/>
    <x v="5"/>
    <n v="6.0749999999999997E-3"/>
    <d v="2021-08-31T00:00:00"/>
    <x v="0"/>
    <d v="2022-05-24T00:00:00"/>
    <x v="2"/>
    <s v="M"/>
    <s v=""/>
    <m/>
    <n v="0"/>
    <m/>
    <n v="0"/>
    <m/>
    <n v="0"/>
    <n v="2"/>
    <n v="1"/>
    <n v="0"/>
    <n v="0"/>
    <n v="0"/>
    <n v="0"/>
    <n v="0"/>
    <n v="2"/>
    <n v="1"/>
    <n v="1"/>
    <n v="0"/>
    <n v="0"/>
    <n v="0"/>
    <n v="0"/>
    <n v="0"/>
    <n v="0"/>
    <n v="-1"/>
    <n v="0"/>
    <n v="0"/>
    <n v="0"/>
    <n v="0"/>
    <n v="0"/>
    <n v="0"/>
    <n v="0"/>
    <n v="0"/>
    <n v="0"/>
    <n v="0"/>
    <x v="0"/>
    <x v="0"/>
    <x v="3"/>
    <n v="11"/>
    <n v="3"/>
    <m/>
    <m/>
    <m/>
    <m/>
    <m/>
    <m/>
    <m/>
    <m/>
    <m/>
    <m/>
    <m/>
    <m/>
    <m/>
    <m/>
    <m/>
    <m/>
    <m/>
    <m/>
    <m/>
    <n v="0"/>
    <n v="0"/>
  </r>
  <r>
    <n v="6695"/>
    <x v="0"/>
    <s v="2017/4506"/>
    <s v="St Andrews Court, 1 - 6 St Andrews Court"/>
    <s v=""/>
    <n v="526188"/>
    <n v="172838"/>
    <x v="10"/>
    <d v="2020-08-26T00:00:00"/>
    <d v="2022-06-20T00:00:00"/>
    <n v="0"/>
    <n v="3"/>
    <n v="3"/>
    <n v="3"/>
    <n v="3"/>
    <x v="1"/>
    <s v="Erection of three storey building to provide 3 x 1-bedroom flats with balconies to all levels fronting Waynflete Street."/>
    <s v="PF"/>
    <d v="2017-09-06T00:00:00"/>
    <d v="2017-12-14T00:00:00"/>
    <x v="0"/>
    <s v="Nil"/>
    <m/>
    <s v="Gdn"/>
    <s v="NB"/>
    <x v="2"/>
    <x v="1"/>
    <n v="2.8000000000000001E-2"/>
    <d v="2020-08-26T00:00:00"/>
    <x v="0"/>
    <d v="2022-06-20T00:00:00"/>
    <x v="2"/>
    <s v="M"/>
    <s v=""/>
    <m/>
    <n v="0"/>
    <m/>
    <n v="0"/>
    <m/>
    <n v="0"/>
    <n v="3"/>
    <n v="0"/>
    <n v="0"/>
    <n v="0"/>
    <n v="0"/>
    <n v="0"/>
    <n v="0"/>
    <n v="3"/>
    <n v="0"/>
    <n v="0"/>
    <n v="0"/>
    <n v="0"/>
    <n v="0"/>
    <n v="0"/>
    <n v="0"/>
    <n v="0"/>
    <n v="0"/>
    <n v="0"/>
    <n v="0"/>
    <n v="0"/>
    <n v="0"/>
    <n v="0"/>
    <n v="0"/>
    <n v="0"/>
    <n v="0"/>
    <n v="0"/>
    <n v="0"/>
    <x v="0"/>
    <x v="0"/>
    <x v="1"/>
    <n v="1"/>
    <n v="3"/>
    <m/>
    <m/>
    <m/>
    <m/>
    <m/>
    <m/>
    <m/>
    <m/>
    <m/>
    <m/>
    <m/>
    <m/>
    <m/>
    <m/>
    <m/>
    <m/>
    <m/>
    <m/>
    <m/>
    <n v="0"/>
    <n v="0"/>
  </r>
  <r>
    <n v="6930"/>
    <x v="0"/>
    <s v="2018/1582"/>
    <s v="2 Windmill Road"/>
    <s v=""/>
    <n v="526666"/>
    <n v="174232"/>
    <x v="11"/>
    <d v="2019-09-25T00:00:00"/>
    <d v="2022-06-01T00:00:00"/>
    <n v="1"/>
    <n v="3"/>
    <n v="2"/>
    <n v="3"/>
    <n v="2"/>
    <x v="1"/>
    <s v="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
    <s v="PF"/>
    <d v="2018-04-06T00:00:00"/>
    <d v="2018-06-14T00:00:00"/>
    <x v="0"/>
    <s v="Nil"/>
    <m/>
    <s v="BF"/>
    <s v="MIX"/>
    <x v="2"/>
    <x v="5"/>
    <n v="2.9000000000000001E-2"/>
    <d v="2019-09-25T00:00:00"/>
    <x v="0"/>
    <d v="2022-06-01T00:00:00"/>
    <x v="2"/>
    <s v="M"/>
    <s v=""/>
    <m/>
    <n v="0"/>
    <m/>
    <n v="0"/>
    <m/>
    <n v="0"/>
    <n v="1"/>
    <n v="1"/>
    <n v="1"/>
    <n v="-1"/>
    <n v="0"/>
    <n v="0"/>
    <n v="0"/>
    <n v="1"/>
    <n v="1"/>
    <n v="1"/>
    <n v="0"/>
    <n v="0"/>
    <n v="0"/>
    <n v="0"/>
    <n v="0"/>
    <n v="0"/>
    <n v="0"/>
    <n v="-1"/>
    <n v="0"/>
    <n v="0"/>
    <n v="0"/>
    <n v="0"/>
    <n v="0"/>
    <n v="0"/>
    <n v="0"/>
    <n v="0"/>
    <n v="0"/>
    <x v="0"/>
    <x v="0"/>
    <x v="1"/>
    <n v="11"/>
    <n v="2"/>
    <m/>
    <m/>
    <m/>
    <m/>
    <m/>
    <m/>
    <m/>
    <m/>
    <m/>
    <m/>
    <m/>
    <m/>
    <m/>
    <m/>
    <m/>
    <m/>
    <m/>
    <m/>
    <m/>
    <n v="0"/>
    <n v="0"/>
  </r>
  <r>
    <n v="7173"/>
    <x v="0"/>
    <s v="2019/1659"/>
    <s v="173 Lavender Hill"/>
    <s v=""/>
    <n v="527960"/>
    <n v="175575"/>
    <x v="12"/>
    <d v="2021-04-01T00:00:00"/>
    <d v="2022-08-17T00:00:00"/>
    <n v="0"/>
    <n v="3"/>
    <n v="3"/>
    <n v="3"/>
    <n v="3"/>
    <x v="1"/>
    <s v="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
    <s v="PF"/>
    <d v="2019-04-12T00:00:00"/>
    <d v="2019-06-06T00:00:00"/>
    <x v="0"/>
    <s v="Nil"/>
    <m/>
    <s v="BF"/>
    <s v="MIX"/>
    <x v="2"/>
    <x v="2"/>
    <n v="8.0000000000000002E-3"/>
    <d v="2021-04-01T00:00:00"/>
    <x v="0"/>
    <d v="2022-08-17T00:00:00"/>
    <x v="2"/>
    <s v="M"/>
    <s v=""/>
    <m/>
    <n v="0"/>
    <m/>
    <n v="0"/>
    <m/>
    <n v="0"/>
    <n v="1"/>
    <n v="2"/>
    <n v="0"/>
    <n v="0"/>
    <n v="0"/>
    <n v="0"/>
    <n v="0"/>
    <n v="1"/>
    <n v="2"/>
    <n v="0"/>
    <n v="0"/>
    <n v="0"/>
    <n v="0"/>
    <n v="0"/>
    <n v="0"/>
    <n v="0"/>
    <n v="0"/>
    <n v="0"/>
    <n v="0"/>
    <n v="0"/>
    <n v="0"/>
    <n v="0"/>
    <n v="0"/>
    <n v="0"/>
    <n v="0"/>
    <n v="0"/>
    <n v="0"/>
    <x v="0"/>
    <x v="0"/>
    <x v="5"/>
    <n v="11"/>
    <n v="3"/>
    <m/>
    <m/>
    <m/>
    <m/>
    <m/>
    <m/>
    <m/>
    <m/>
    <m/>
    <m/>
    <m/>
    <m/>
    <m/>
    <m/>
    <m/>
    <m/>
    <m/>
    <m/>
    <m/>
    <n v="0"/>
    <n v="0"/>
  </r>
  <r>
    <n v="6809"/>
    <x v="0"/>
    <s v="2019/4792"/>
    <s v="116 Mitcham Lane"/>
    <s v=""/>
    <n v="529284"/>
    <n v="171134"/>
    <x v="13"/>
    <d v="2021-04-01T00:00:00"/>
    <d v="2022-11-11T00:00:00"/>
    <n v="0"/>
    <n v="3"/>
    <n v="3"/>
    <n v="3"/>
    <n v="3"/>
    <x v="1"/>
    <s v="Determination as to whether prior approval is required for change of use from retail (Class A1) to 2 x 2 bedroom flats and 1 x 1-bedroom flat (Class C3) at ground and first floor levels with associated external alterations to rear."/>
    <s v="PANR"/>
    <d v="2019-11-13T00:00:00"/>
    <d v="2020-01-02T00:00:00"/>
    <x v="0"/>
    <s v="Nil"/>
    <m/>
    <s v="BF"/>
    <s v="COU"/>
    <x v="2"/>
    <x v="4"/>
    <n v="1.0999999999999999E-2"/>
    <d v="2021-04-01T00:00:00"/>
    <x v="0"/>
    <d v="2022-11-11T00:00:00"/>
    <x v="2"/>
    <s v="M"/>
    <s v=""/>
    <m/>
    <n v="0"/>
    <m/>
    <n v="0"/>
    <m/>
    <n v="0"/>
    <n v="1"/>
    <n v="2"/>
    <n v="0"/>
    <n v="0"/>
    <n v="0"/>
    <n v="0"/>
    <n v="0"/>
    <n v="1"/>
    <n v="2"/>
    <n v="0"/>
    <n v="0"/>
    <n v="0"/>
    <n v="0"/>
    <n v="0"/>
    <n v="0"/>
    <n v="0"/>
    <n v="0"/>
    <n v="0"/>
    <n v="0"/>
    <n v="0"/>
    <n v="0"/>
    <n v="0"/>
    <n v="0"/>
    <n v="0"/>
    <n v="0"/>
    <n v="0"/>
    <n v="0"/>
    <x v="0"/>
    <x v="0"/>
    <x v="1"/>
    <n v="11"/>
    <n v="3"/>
    <m/>
    <m/>
    <m/>
    <m/>
    <m/>
    <m/>
    <m/>
    <m/>
    <m/>
    <m/>
    <m/>
    <m/>
    <m/>
    <m/>
    <m/>
    <m/>
    <m/>
    <m/>
    <m/>
    <n v="0"/>
    <n v="0"/>
  </r>
  <r>
    <n v="7408"/>
    <x v="0"/>
    <s v="2020/0350"/>
    <s v="195 Merton road"/>
    <s v=""/>
    <n v="525222"/>
    <n v="173872"/>
    <x v="7"/>
    <d v="2021-01-06T00:00:00"/>
    <d v="2023-01-23T00:00:00"/>
    <n v="1"/>
    <n v="3"/>
    <n v="2"/>
    <n v="3"/>
    <n v="2"/>
    <x v="1"/>
    <s v="Alterations including erection of part single, part three-storey rear/side extension and mansard roof extension in connection with the conversion of the existing 1 x 2 bedroom flat into 3 x 1 bedroom flats (Amended Description)"/>
    <s v="PF"/>
    <d v="2020-01-31T00:00:00"/>
    <d v="2020-06-04T00:00:00"/>
    <x v="0"/>
    <s v="Nil"/>
    <m/>
    <s v="BF"/>
    <s v="MIX"/>
    <x v="2"/>
    <x v="7"/>
    <n v="8.9999999999999993E-3"/>
    <d v="2021-01-06T00:00:00"/>
    <x v="0"/>
    <d v="2023-01-23T00:00:00"/>
    <x v="2"/>
    <s v="M"/>
    <s v=""/>
    <m/>
    <n v="0"/>
    <m/>
    <n v="0"/>
    <m/>
    <n v="0"/>
    <n v="3"/>
    <n v="-1"/>
    <n v="0"/>
    <n v="0"/>
    <n v="0"/>
    <n v="0"/>
    <n v="0"/>
    <n v="3"/>
    <n v="-1"/>
    <n v="0"/>
    <n v="0"/>
    <n v="0"/>
    <n v="0"/>
    <n v="0"/>
    <n v="0"/>
    <n v="0"/>
    <n v="0"/>
    <n v="0"/>
    <n v="0"/>
    <n v="0"/>
    <n v="0"/>
    <n v="0"/>
    <n v="0"/>
    <n v="0"/>
    <n v="0"/>
    <n v="0"/>
    <n v="0"/>
    <x v="0"/>
    <x v="0"/>
    <x v="6"/>
    <n v="11"/>
    <n v="2"/>
    <m/>
    <m/>
    <m/>
    <m/>
    <m/>
    <m/>
    <m/>
    <m/>
    <m/>
    <m/>
    <m/>
    <m/>
    <m/>
    <m/>
    <m/>
    <m/>
    <m/>
    <m/>
    <m/>
    <n v="0"/>
    <n v="0"/>
  </r>
  <r>
    <n v="7645"/>
    <x v="0"/>
    <s v="2021/1499"/>
    <s v="164-166 Tooting High Street"/>
    <s v=""/>
    <n v="527230"/>
    <n v="171110"/>
    <x v="3"/>
    <d v="2021-10-07T00:00:00"/>
    <d v="2022-09-11T00:00:00"/>
    <n v="2"/>
    <n v="3"/>
    <n v="1"/>
    <n v="3"/>
    <n v="1"/>
    <x v="1"/>
    <s v="Alterations including erection of mansard roof extension to main roof and a three-storey rear extension, in connection with the creation of 1 x 1-bedroom/studio flat on third floor level."/>
    <s v="PF"/>
    <d v="2021-06-16T00:00:00"/>
    <d v="2021-08-10T00:00:00"/>
    <x v="0"/>
    <s v="Nil"/>
    <m/>
    <s v="BF"/>
    <s v="EXT"/>
    <x v="2"/>
    <x v="2"/>
    <n v="4.0000000000000001E-3"/>
    <d v="2021-10-07T00:00:00"/>
    <x v="0"/>
    <d v="2022-09-11T00:00:00"/>
    <x v="2"/>
    <s v="M"/>
    <s v=""/>
    <m/>
    <n v="0"/>
    <m/>
    <n v="0"/>
    <m/>
    <n v="1"/>
    <n v="0"/>
    <n v="0"/>
    <n v="0"/>
    <n v="0"/>
    <n v="0"/>
    <n v="0"/>
    <n v="1"/>
    <n v="0"/>
    <n v="0"/>
    <n v="0"/>
    <n v="0"/>
    <n v="0"/>
    <n v="0"/>
    <n v="0"/>
    <n v="0"/>
    <n v="0"/>
    <n v="0"/>
    <n v="0"/>
    <n v="0"/>
    <n v="0"/>
    <n v="0"/>
    <n v="0"/>
    <n v="0"/>
    <n v="0"/>
    <n v="0"/>
    <n v="0"/>
    <n v="0"/>
    <x v="0"/>
    <x v="0"/>
    <x v="3"/>
    <n v="11"/>
    <n v="1"/>
    <m/>
    <m/>
    <m/>
    <m/>
    <m/>
    <m/>
    <m/>
    <m/>
    <m/>
    <m/>
    <m/>
    <m/>
    <m/>
    <m/>
    <m/>
    <m/>
    <m/>
    <m/>
    <m/>
    <n v="0"/>
    <n v="0"/>
  </r>
  <r>
    <n v="7649"/>
    <x v="0"/>
    <s v="2021/1857"/>
    <s v="355 Garratt Lane"/>
    <s v=""/>
    <n v="525941"/>
    <n v="173431"/>
    <x v="11"/>
    <d v="2021-11-23T00:00:00"/>
    <d v="2022-06-06T00:00:00"/>
    <n v="2"/>
    <n v="3"/>
    <n v="1"/>
    <n v="3"/>
    <n v="1"/>
    <x v="1"/>
    <s v="Erection of a part-single and  part two-storey rear extension. Erection of a dormer extension to main rear roof with internal alterations in connection with the conversion of the existing ground floor shop and flats into a ground floor shop with basement and 3 self-contained residential units ( 1 x 3-bedroom and 2 x 1-bedroom)  with the additional habitable space."/>
    <s v="PF"/>
    <d v="2021-04-19T00:00:00"/>
    <d v="2021-06-14T00:00:00"/>
    <x v="0"/>
    <s v="Nil"/>
    <m/>
    <s v="BF"/>
    <s v="MIX"/>
    <x v="2"/>
    <x v="2"/>
    <n v="6.0000000000000001E-3"/>
    <d v="2021-11-23T00:00:00"/>
    <x v="0"/>
    <d v="2022-06-06T00:00:00"/>
    <x v="2"/>
    <s v="M"/>
    <s v=""/>
    <m/>
    <n v="0"/>
    <m/>
    <n v="0"/>
    <m/>
    <n v="-1"/>
    <n v="2"/>
    <n v="1"/>
    <n v="0"/>
    <n v="-1"/>
    <n v="0"/>
    <n v="0"/>
    <n v="-1"/>
    <n v="2"/>
    <n v="1"/>
    <n v="0"/>
    <n v="-1"/>
    <n v="0"/>
    <n v="0"/>
    <n v="0"/>
    <n v="0"/>
    <n v="0"/>
    <n v="0"/>
    <n v="0"/>
    <n v="0"/>
    <n v="0"/>
    <n v="0"/>
    <n v="0"/>
    <n v="0"/>
    <n v="0"/>
    <n v="0"/>
    <n v="0"/>
    <n v="0"/>
    <x v="0"/>
    <x v="0"/>
    <x v="6"/>
    <n v="11"/>
    <n v="1"/>
    <m/>
    <m/>
    <m/>
    <m/>
    <m/>
    <m/>
    <m/>
    <m/>
    <m/>
    <m/>
    <m/>
    <m/>
    <m/>
    <m/>
    <m/>
    <m/>
    <m/>
    <m/>
    <m/>
    <n v="0"/>
    <n v="0"/>
  </r>
  <r>
    <n v="7675"/>
    <x v="0"/>
    <s v="2021/2831"/>
    <s v="47 Moyser Road"/>
    <s v=""/>
    <n v="528999"/>
    <n v="171043"/>
    <x v="13"/>
    <d v="2021-07-02T00:00:00"/>
    <d v="2022-07-12T00:00:00"/>
    <n v="2"/>
    <n v="3"/>
    <n v="1"/>
    <n v="3"/>
    <n v="1"/>
    <x v="1"/>
    <s v="Erection of single-storey rear/side extension to existing ground floor flat. Erection of a mansard roof extension to main rear roof slope and extension above part of two-storey back addition; Formation of a roof terrace with 1.7m high screen surround above the two-storey back addition in connection with creation of 1 x 1 bedroom flat. Replacement of first floor windows with French doors and safety railings to rear of back addition. Provision of associated cycle and refuse storage to front garden."/>
    <s v="PF"/>
    <d v="2021-09-29T00:00:00"/>
    <d v="2021-11-24T00:00:00"/>
    <x v="0"/>
    <s v="Nil"/>
    <m/>
    <s v="BF"/>
    <s v="EXT"/>
    <x v="2"/>
    <x v="2"/>
    <n v="5.0000000000000001E-3"/>
    <d v="2021-07-02T00:00:00"/>
    <x v="0"/>
    <d v="2022-07-12T00:00:00"/>
    <x v="2"/>
    <s v="M"/>
    <s v=""/>
    <m/>
    <n v="0"/>
    <m/>
    <n v="0"/>
    <m/>
    <n v="0"/>
    <n v="0"/>
    <n v="0"/>
    <n v="1"/>
    <n v="0"/>
    <n v="0"/>
    <n v="0"/>
    <n v="0"/>
    <n v="0"/>
    <n v="0"/>
    <n v="1"/>
    <n v="0"/>
    <n v="0"/>
    <n v="0"/>
    <n v="0"/>
    <n v="0"/>
    <n v="0"/>
    <n v="0"/>
    <n v="0"/>
    <n v="0"/>
    <n v="0"/>
    <n v="0"/>
    <n v="0"/>
    <n v="0"/>
    <n v="0"/>
    <n v="0"/>
    <n v="0"/>
    <n v="0"/>
    <x v="0"/>
    <x v="0"/>
    <x v="1"/>
    <n v="11"/>
    <n v="1"/>
    <m/>
    <m/>
    <m/>
    <m/>
    <m/>
    <m/>
    <m/>
    <m/>
    <m/>
    <m/>
    <m/>
    <m/>
    <m/>
    <m/>
    <m/>
    <m/>
    <m/>
    <m/>
    <m/>
    <n v="0"/>
    <n v="0"/>
  </r>
  <r>
    <n v="7668"/>
    <x v="0"/>
    <s v="2021/4131"/>
    <s v="26 Trinity Road"/>
    <s v=""/>
    <n v="527959"/>
    <n v="172410"/>
    <x v="4"/>
    <d v="2022-03-31T00:00:00"/>
    <d v="2022-11-06T00:00:00"/>
    <n v="1"/>
    <n v="3"/>
    <n v="2"/>
    <n v="3"/>
    <n v="2"/>
    <x v="1"/>
    <s v="Alterations including erection of a mansard roof extension and extension over the back addition to create additional floor of accommodation, with roof terrace and 1.7m high screen surround above; Erection of single-storey side/rear extension; Replacement shopfront; Partial change of use of ground floor from shop (Class E) to residential (Class C3) in connection with conversion of the property into 3 x 1-bedroom flats."/>
    <s v="PF"/>
    <d v="2021-09-07T00:00:00"/>
    <d v="2021-12-23T00:00:00"/>
    <x v="0"/>
    <s v="Nil"/>
    <m/>
    <s v="BF"/>
    <s v="MIX"/>
    <x v="2"/>
    <x v="4"/>
    <n v="6.4599999999999996E-3"/>
    <d v="2022-03-31T00:00:00"/>
    <x v="0"/>
    <d v="2022-11-06T00:00:00"/>
    <x v="2"/>
    <s v="M"/>
    <s v=""/>
    <m/>
    <n v="0"/>
    <m/>
    <n v="0"/>
    <m/>
    <n v="0"/>
    <n v="2"/>
    <n v="0"/>
    <n v="0"/>
    <n v="0"/>
    <n v="0"/>
    <n v="0"/>
    <n v="0"/>
    <n v="2"/>
    <n v="0"/>
    <n v="0"/>
    <n v="0"/>
    <n v="0"/>
    <n v="0"/>
    <n v="0"/>
    <n v="0"/>
    <n v="0"/>
    <n v="0"/>
    <n v="0"/>
    <n v="0"/>
    <n v="0"/>
    <n v="0"/>
    <n v="0"/>
    <n v="0"/>
    <n v="0"/>
    <n v="0"/>
    <n v="0"/>
    <n v="0"/>
    <x v="0"/>
    <x v="0"/>
    <x v="1"/>
    <n v="11"/>
    <n v="2"/>
    <m/>
    <m/>
    <m/>
    <m/>
    <m/>
    <m/>
    <m/>
    <m/>
    <m/>
    <m/>
    <m/>
    <m/>
    <m/>
    <m/>
    <m/>
    <m/>
    <m/>
    <m/>
    <m/>
    <n v="0"/>
    <n v="0"/>
  </r>
  <r>
    <n v="7651"/>
    <x v="0"/>
    <s v="2021/4856"/>
    <s v="134 Trinity Road"/>
    <s v=""/>
    <n v="527647"/>
    <n v="172914"/>
    <x v="4"/>
    <d v="2022-03-31T00:00:00"/>
    <d v="2023-03-31T00:00:00"/>
    <n v="1"/>
    <n v="3"/>
    <n v="2"/>
    <n v="3"/>
    <n v="2"/>
    <x v="1"/>
    <s v="Alterations including erection of rear mansard roof extension and formation of roof terrace with 1.7m safety glass surround over threestorey back addition; erection of single storey rear and side extension; and erection of front boundary and provision of cycle and waste storage to front garden. Alterations and extensions in connection with conversion of property into 1 x 3-bedroom, 1 x 2-bedroom and 1 x 1- bedroom flats"/>
    <s v="PF"/>
    <d v="2021-10-22T00:00:00"/>
    <d v="2021-12-15T00:00:00"/>
    <x v="0"/>
    <s v="Nil"/>
    <m/>
    <s v="BF"/>
    <s v="CON"/>
    <x v="2"/>
    <x v="5"/>
    <n v="6.0000000000000001E-3"/>
    <d v="2022-03-31T00:00:00"/>
    <x v="0"/>
    <d v="2023-03-31T00:00:00"/>
    <x v="2"/>
    <s v="M"/>
    <s v=""/>
    <m/>
    <n v="0"/>
    <m/>
    <n v="0"/>
    <m/>
    <n v="0"/>
    <n v="1"/>
    <n v="1"/>
    <n v="1"/>
    <n v="0"/>
    <n v="-1"/>
    <n v="0"/>
    <n v="0"/>
    <n v="1"/>
    <n v="1"/>
    <n v="1"/>
    <n v="0"/>
    <n v="0"/>
    <n v="0"/>
    <n v="0"/>
    <n v="0"/>
    <n v="0"/>
    <n v="0"/>
    <n v="0"/>
    <n v="-1"/>
    <n v="0"/>
    <n v="0"/>
    <n v="0"/>
    <n v="0"/>
    <n v="0"/>
    <n v="0"/>
    <n v="0"/>
    <n v="0"/>
    <x v="0"/>
    <x v="0"/>
    <x v="1"/>
    <n v="11"/>
    <n v="2"/>
    <m/>
    <m/>
    <m/>
    <m/>
    <m/>
    <m/>
    <m/>
    <m/>
    <m/>
    <m/>
    <m/>
    <m/>
    <m/>
    <m/>
    <m/>
    <m/>
    <m/>
    <m/>
    <m/>
    <n v="0"/>
    <n v="0"/>
  </r>
  <r>
    <n v="6392"/>
    <x v="0"/>
    <s v="2016/6355"/>
    <s v="122 Clapham Common West Side"/>
    <s v=""/>
    <n v="528007"/>
    <n v="175012"/>
    <x v="14"/>
    <d v="2022-01-31T00:00:00"/>
    <d v="2022-10-18T00:00:00"/>
    <n v="2"/>
    <n v="2"/>
    <n v="0"/>
    <n v="2"/>
    <n v="0"/>
    <x v="1"/>
    <s v="Alterations including erection of single storey side/rear extension, replacement windows, and bin store to front area in connection with conversion of building into 2 x 3-bedroom flats."/>
    <s v="PF"/>
    <d v="2016-10-31T00:00:00"/>
    <d v="2016-12-22T00:00:00"/>
    <x v="0"/>
    <s v="Nil"/>
    <m/>
    <s v="BF"/>
    <s v="MIX"/>
    <x v="2"/>
    <x v="5"/>
    <n v="0.02"/>
    <d v="2022-01-31T00:00:00"/>
    <x v="0"/>
    <d v="2022-10-18T00:00:00"/>
    <x v="2"/>
    <s v="M"/>
    <s v=""/>
    <m/>
    <n v="0"/>
    <m/>
    <n v="0"/>
    <m/>
    <n v="-1"/>
    <n v="0"/>
    <n v="0"/>
    <n v="2"/>
    <n v="-1"/>
    <n v="0"/>
    <n v="0"/>
    <n v="-1"/>
    <n v="0"/>
    <n v="0"/>
    <n v="2"/>
    <n v="0"/>
    <n v="0"/>
    <n v="0"/>
    <n v="0"/>
    <n v="0"/>
    <n v="0"/>
    <n v="0"/>
    <n v="-1"/>
    <n v="0"/>
    <n v="0"/>
    <n v="0"/>
    <n v="0"/>
    <n v="0"/>
    <n v="0"/>
    <n v="0"/>
    <n v="0"/>
    <n v="0"/>
    <x v="0"/>
    <x v="0"/>
    <x v="1"/>
    <n v="11"/>
    <n v="0"/>
    <m/>
    <m/>
    <m/>
    <m/>
    <m/>
    <m/>
    <m/>
    <m/>
    <m/>
    <m/>
    <m/>
    <m/>
    <m/>
    <m/>
    <m/>
    <m/>
    <m/>
    <m/>
    <m/>
    <n v="0"/>
    <n v="0"/>
  </r>
  <r>
    <n v="5682"/>
    <x v="0"/>
    <s v="2017/1395"/>
    <s v="7 Lavender Hill"/>
    <s v=""/>
    <n v="528537"/>
    <n v="175740"/>
    <x v="12"/>
    <d v="2019-03-31T00:00:00"/>
    <d v="2023-03-31T00:00:00"/>
    <n v="1"/>
    <n v="2"/>
    <n v="1"/>
    <n v="3"/>
    <n v="2"/>
    <x v="1"/>
    <s v="Alterations including erection of roof extension to create additional floor of accommodation in connection with conversion of property into 3 x 1-bedroom flats."/>
    <s v="PF"/>
    <d v="2017-04-13T00:00:00"/>
    <d v="2017-09-19T00:00:00"/>
    <x v="0"/>
    <s v="Nil"/>
    <m/>
    <s v="BF"/>
    <s v="MIX"/>
    <x v="2"/>
    <x v="7"/>
    <n v="4.0000000000000001E-3"/>
    <d v="2019-03-31T00:00:00"/>
    <x v="0"/>
    <d v="2023-03-31T00:00:00"/>
    <x v="2"/>
    <s v="M"/>
    <s v=""/>
    <m/>
    <n v="0"/>
    <m/>
    <n v="0"/>
    <m/>
    <n v="0"/>
    <n v="2"/>
    <n v="0"/>
    <n v="0"/>
    <n v="-1"/>
    <n v="0"/>
    <n v="0"/>
    <n v="0"/>
    <n v="2"/>
    <n v="0"/>
    <n v="0"/>
    <n v="-1"/>
    <n v="0"/>
    <n v="0"/>
    <n v="0"/>
    <n v="0"/>
    <n v="0"/>
    <n v="0"/>
    <n v="0"/>
    <n v="0"/>
    <n v="0"/>
    <n v="0"/>
    <n v="0"/>
    <n v="0"/>
    <n v="0"/>
    <n v="0"/>
    <n v="0"/>
    <n v="0"/>
    <x v="0"/>
    <x v="0"/>
    <x v="1"/>
    <n v="11"/>
    <n v="1"/>
    <m/>
    <m/>
    <m/>
    <m/>
    <m/>
    <m/>
    <m/>
    <m/>
    <m/>
    <m/>
    <m/>
    <m/>
    <m/>
    <m/>
    <m/>
    <m/>
    <m/>
    <m/>
    <m/>
    <n v="0"/>
    <n v="0"/>
  </r>
  <r>
    <n v="4438"/>
    <x v="0"/>
    <s v="2017/1456"/>
    <s v="120 Upper Richmond Road"/>
    <s v=""/>
    <n v="524309"/>
    <n v="174961"/>
    <x v="7"/>
    <d v="2020-10-01T00:00:00"/>
    <d v="2023-03-22T00:00:00"/>
    <n v="1"/>
    <n v="2"/>
    <n v="1"/>
    <n v="3"/>
    <n v="2"/>
    <x v="1"/>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x v="0"/>
    <s v="Nil"/>
    <m/>
    <s v="BF"/>
    <s v="EXT"/>
    <x v="2"/>
    <x v="7"/>
    <n v="5.0000000000000001E-3"/>
    <d v="2020-10-01T00:00:00"/>
    <x v="0"/>
    <d v="2023-03-22T00:00:00"/>
    <x v="2"/>
    <s v="M"/>
    <s v=""/>
    <m/>
    <n v="0"/>
    <m/>
    <n v="0"/>
    <m/>
    <n v="0"/>
    <n v="2"/>
    <n v="-1"/>
    <n v="0"/>
    <n v="0"/>
    <n v="0"/>
    <n v="0"/>
    <n v="0"/>
    <n v="2"/>
    <n v="-1"/>
    <n v="0"/>
    <n v="0"/>
    <n v="0"/>
    <n v="0"/>
    <n v="0"/>
    <n v="0"/>
    <n v="0"/>
    <n v="0"/>
    <n v="0"/>
    <n v="0"/>
    <n v="0"/>
    <n v="0"/>
    <n v="0"/>
    <n v="0"/>
    <n v="0"/>
    <n v="0"/>
    <n v="0"/>
    <n v="0"/>
    <x v="4"/>
    <x v="0"/>
    <x v="4"/>
    <n v="11"/>
    <n v="1"/>
    <m/>
    <m/>
    <m/>
    <m/>
    <m/>
    <m/>
    <m/>
    <m/>
    <m/>
    <m/>
    <m/>
    <m/>
    <m/>
    <m/>
    <m/>
    <m/>
    <m/>
    <m/>
    <m/>
    <n v="0"/>
    <n v="0"/>
  </r>
  <r>
    <n v="7166"/>
    <x v="0"/>
    <s v="2019/1481"/>
    <s v="10-15 The Boulevard, Balham High Road"/>
    <s v=""/>
    <n v="528340"/>
    <n v="172918"/>
    <x v="8"/>
    <d v="2022-03-31T00:00:00"/>
    <d v="2022-07-31T00:00:00"/>
    <n v="0"/>
    <n v="2"/>
    <n v="2"/>
    <n v="2"/>
    <n v="2"/>
    <x v="1"/>
    <s v="Alterations including erection of mansard roof extensions to rear roof slope in connection with formation of 1 x 2-bedroom and 1 x 1-bedroom flats."/>
    <s v="PF"/>
    <d v="2019-04-03T00:00:00"/>
    <d v="2019-05-29T00:00:00"/>
    <x v="0"/>
    <s v="Nil"/>
    <m/>
    <s v="BF"/>
    <s v="EXT"/>
    <x v="2"/>
    <x v="2"/>
    <n v="7.0000000000000001E-3"/>
    <d v="2022-03-31T00:00:00"/>
    <x v="0"/>
    <d v="2022-07-31T00:00:00"/>
    <x v="2"/>
    <s v="M"/>
    <s v=""/>
    <m/>
    <n v="0"/>
    <m/>
    <n v="0"/>
    <m/>
    <n v="0"/>
    <n v="1"/>
    <n v="1"/>
    <n v="0"/>
    <n v="0"/>
    <n v="0"/>
    <n v="0"/>
    <n v="0"/>
    <n v="1"/>
    <n v="1"/>
    <n v="0"/>
    <n v="0"/>
    <n v="0"/>
    <n v="0"/>
    <n v="0"/>
    <n v="0"/>
    <n v="0"/>
    <n v="0"/>
    <n v="0"/>
    <n v="0"/>
    <n v="0"/>
    <n v="0"/>
    <n v="0"/>
    <n v="0"/>
    <n v="0"/>
    <n v="0"/>
    <n v="0"/>
    <n v="0"/>
    <x v="0"/>
    <x v="0"/>
    <x v="1"/>
    <n v="11"/>
    <n v="2"/>
    <m/>
    <m/>
    <m/>
    <m/>
    <m/>
    <m/>
    <m/>
    <m/>
    <m/>
    <m/>
    <m/>
    <m/>
    <m/>
    <m/>
    <m/>
    <m/>
    <m/>
    <m/>
    <m/>
    <n v="0"/>
    <n v="0"/>
  </r>
  <r>
    <n v="6860"/>
    <x v="0"/>
    <s v="2019/3393"/>
    <s v="116 Tooting High Street"/>
    <s v=""/>
    <n v="527312"/>
    <n v="171270"/>
    <x v="3"/>
    <d v="2020-03-31T00:00:00"/>
    <d v="2022-04-03T00:00:00"/>
    <n v="1"/>
    <n v="2"/>
    <n v="1"/>
    <n v="2"/>
    <n v="1"/>
    <x v="1"/>
    <s v="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
    <s v="PF"/>
    <d v="2019-08-20T00:00:00"/>
    <d v="2019-09-27T00:00:00"/>
    <x v="0"/>
    <s v="Nil"/>
    <m/>
    <s v="BF"/>
    <s v="CON"/>
    <x v="2"/>
    <x v="7"/>
    <n v="8.9999999999999993E-3"/>
    <d v="2020-03-31T00:00:00"/>
    <x v="0"/>
    <d v="2022-04-03T00:00:00"/>
    <x v="2"/>
    <s v="M"/>
    <s v=""/>
    <m/>
    <n v="0"/>
    <m/>
    <n v="0"/>
    <m/>
    <n v="0"/>
    <n v="1"/>
    <n v="1"/>
    <n v="-1"/>
    <n v="0"/>
    <n v="0"/>
    <n v="0"/>
    <n v="0"/>
    <n v="1"/>
    <n v="1"/>
    <n v="-1"/>
    <n v="0"/>
    <n v="0"/>
    <n v="0"/>
    <n v="0"/>
    <n v="0"/>
    <n v="0"/>
    <n v="0"/>
    <n v="0"/>
    <n v="0"/>
    <n v="0"/>
    <n v="0"/>
    <n v="0"/>
    <n v="0"/>
    <n v="0"/>
    <n v="0"/>
    <n v="0"/>
    <n v="0"/>
    <x v="0"/>
    <x v="0"/>
    <x v="3"/>
    <n v="11"/>
    <n v="1"/>
    <m/>
    <m/>
    <m/>
    <m/>
    <m/>
    <m/>
    <m/>
    <m/>
    <m/>
    <m/>
    <m/>
    <m/>
    <m/>
    <m/>
    <m/>
    <m/>
    <m/>
    <m/>
    <m/>
    <n v="0"/>
    <n v="0"/>
  </r>
  <r>
    <n v="7086"/>
    <x v="0"/>
    <s v="2019/4923"/>
    <s v="18 Trinity Road"/>
    <s v=""/>
    <n v="527983"/>
    <n v="172402"/>
    <x v="4"/>
    <d v="2021-10-25T00:00:00"/>
    <d v="2023-03-16T00:00:00"/>
    <n v="0"/>
    <n v="2"/>
    <n v="2"/>
    <n v="2"/>
    <n v="2"/>
    <x v="1"/>
    <s v="Erection of a part two, part three-storey extension to create two x 2-bedroom flats with associated refuse and cycle storage."/>
    <s v="PFLA"/>
    <d v="2019-12-05T00:00:00"/>
    <d v="2020-04-28T00:00:00"/>
    <x v="0"/>
    <s v="Nil"/>
    <m/>
    <s v="BF"/>
    <s v="NB"/>
    <x v="2"/>
    <x v="1"/>
    <n v="8.9999999999999993E-3"/>
    <d v="2021-10-25T00:00:00"/>
    <x v="0"/>
    <d v="2023-03-16T00:00:00"/>
    <x v="2"/>
    <s v="M"/>
    <s v=""/>
    <m/>
    <n v="0"/>
    <m/>
    <n v="0"/>
    <m/>
    <n v="0"/>
    <n v="0"/>
    <n v="2"/>
    <n v="0"/>
    <n v="0"/>
    <n v="0"/>
    <n v="0"/>
    <n v="0"/>
    <n v="0"/>
    <n v="2"/>
    <n v="0"/>
    <n v="0"/>
    <n v="0"/>
    <n v="0"/>
    <n v="0"/>
    <n v="0"/>
    <n v="0"/>
    <n v="0"/>
    <n v="0"/>
    <n v="0"/>
    <n v="0"/>
    <n v="0"/>
    <n v="0"/>
    <n v="0"/>
    <n v="0"/>
    <n v="0"/>
    <n v="0"/>
    <n v="0"/>
    <x v="0"/>
    <x v="0"/>
    <x v="1"/>
    <n v="1"/>
    <n v="2"/>
    <m/>
    <m/>
    <m/>
    <m/>
    <m/>
    <m/>
    <m/>
    <m/>
    <m/>
    <m/>
    <m/>
    <m/>
    <m/>
    <m/>
    <m/>
    <m/>
    <m/>
    <m/>
    <m/>
    <n v="0"/>
    <n v="0"/>
  </r>
  <r>
    <n v="3943"/>
    <x v="0"/>
    <s v="2020/1167"/>
    <s v="Royal Mail Group Site, Ponton Road (Nine Elms Park)"/>
    <s v="Plot C1 - Block C"/>
    <n v="529575"/>
    <n v="177401"/>
    <x v="15"/>
    <d v="2019-11-29T00:00:00"/>
    <d v="2022-09-16T00:00:00"/>
    <n v="0"/>
    <n v="40"/>
    <n v="40"/>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0"/>
    <s v="Nil"/>
    <m/>
    <s v="BF"/>
    <s v="NB"/>
    <x v="0"/>
    <x v="0"/>
    <n v="4.2999999999999997E-2"/>
    <d v="2020-03-31T00:00:00"/>
    <x v="0"/>
    <d v="2022-09-09T00:00:00"/>
    <x v="1"/>
    <s v="AA"/>
    <s v="2.1.18"/>
    <m/>
    <n v="0"/>
    <n v="36"/>
    <n v="0"/>
    <n v="4"/>
    <n v="0"/>
    <n v="10"/>
    <n v="17"/>
    <n v="12"/>
    <n v="1"/>
    <n v="0"/>
    <n v="0"/>
    <n v="0"/>
    <n v="10"/>
    <n v="17"/>
    <n v="12"/>
    <n v="1"/>
    <n v="0"/>
    <n v="0"/>
    <n v="0"/>
    <n v="0"/>
    <n v="0"/>
    <n v="0"/>
    <n v="0"/>
    <n v="0"/>
    <n v="0"/>
    <n v="0"/>
    <n v="0"/>
    <n v="0"/>
    <n v="0"/>
    <n v="0"/>
    <n v="0"/>
    <n v="0"/>
    <x v="0"/>
    <x v="1"/>
    <x v="7"/>
    <n v="1"/>
    <n v="40"/>
    <m/>
    <m/>
    <m/>
    <m/>
    <m/>
    <m/>
    <m/>
    <m/>
    <m/>
    <m/>
    <m/>
    <m/>
    <m/>
    <m/>
    <m/>
    <m/>
    <m/>
    <m/>
    <m/>
    <n v="0"/>
    <n v="0"/>
  </r>
  <r>
    <n v="5215"/>
    <x v="0"/>
    <s v="2021/0607"/>
    <s v="21 Balham High Road"/>
    <s v=""/>
    <n v="528754"/>
    <n v="173676"/>
    <x v="2"/>
    <d v="2021-10-20T00:00:00"/>
    <d v="2022-04-01T00:00:00"/>
    <n v="0"/>
    <n v="2"/>
    <n v="2"/>
    <n v="2"/>
    <n v="2"/>
    <x v="1"/>
    <s v="Erection of three-storey rear extension with second floor terrace to provide 1 x 1-bedroom and 1 x 2-bedroom  flats"/>
    <s v="PF"/>
    <d v="2021-02-27T00:00:00"/>
    <d v="2021-05-19T00:00:00"/>
    <x v="0"/>
    <s v="Nil"/>
    <m/>
    <s v="BF"/>
    <s v="EXT"/>
    <x v="2"/>
    <x v="2"/>
    <n v="0.01"/>
    <d v="2021-11-20T00:00:00"/>
    <x v="0"/>
    <d v="2022-04-01T00:00:00"/>
    <x v="2"/>
    <s v="M"/>
    <s v=""/>
    <m/>
    <n v="0"/>
    <m/>
    <n v="0"/>
    <m/>
    <n v="0"/>
    <n v="1"/>
    <n v="1"/>
    <n v="0"/>
    <n v="0"/>
    <n v="0"/>
    <n v="0"/>
    <n v="0"/>
    <n v="1"/>
    <n v="1"/>
    <n v="0"/>
    <n v="0"/>
    <n v="0"/>
    <n v="0"/>
    <n v="0"/>
    <n v="0"/>
    <n v="0"/>
    <n v="0"/>
    <n v="0"/>
    <n v="0"/>
    <n v="0"/>
    <n v="0"/>
    <n v="0"/>
    <n v="0"/>
    <n v="0"/>
    <n v="0"/>
    <n v="0"/>
    <n v="0"/>
    <x v="1"/>
    <x v="0"/>
    <x v="2"/>
    <n v="11"/>
    <n v="2"/>
    <m/>
    <m/>
    <m/>
    <m/>
    <m/>
    <m/>
    <m/>
    <m/>
    <m/>
    <m/>
    <m/>
    <m/>
    <m/>
    <m/>
    <m/>
    <m/>
    <m/>
    <m/>
    <m/>
    <n v="0"/>
    <n v="0"/>
  </r>
  <r>
    <n v="7450"/>
    <x v="0"/>
    <s v="2021/1437"/>
    <s v="19 Melrose Road"/>
    <s v=""/>
    <n v="524894"/>
    <n v="174072"/>
    <x v="7"/>
    <d v="2022-03-09T00:00:00"/>
    <d v="2023-01-18T00:00:00"/>
    <n v="1"/>
    <n v="2"/>
    <n v="1"/>
    <n v="2"/>
    <n v="1"/>
    <x v="1"/>
    <s v="Erection of single storey ground floor extension to the rear of the property and minor alterations within front lightwell and side elevation associated with the conversion of the lower ground to 1 x 1 bed and 1 x 2 bed residential dwellings."/>
    <s v="PF"/>
    <d v="2021-03-26T00:00:00"/>
    <d v="2021-07-27T00:00:00"/>
    <x v="0"/>
    <s v="Nil"/>
    <m/>
    <s v="BF"/>
    <s v="MIX"/>
    <x v="2"/>
    <x v="2"/>
    <n v="5.5999999999999999E-3"/>
    <d v="2022-03-09T00:00:00"/>
    <x v="0"/>
    <d v="2023-01-18T00:00:00"/>
    <x v="2"/>
    <s v="M"/>
    <s v=""/>
    <m/>
    <n v="0"/>
    <m/>
    <n v="0"/>
    <m/>
    <n v="0"/>
    <n v="1"/>
    <n v="0"/>
    <n v="0"/>
    <n v="0"/>
    <n v="0"/>
    <n v="0"/>
    <n v="0"/>
    <n v="1"/>
    <n v="0"/>
    <n v="0"/>
    <n v="0"/>
    <n v="0"/>
    <n v="0"/>
    <n v="0"/>
    <n v="0"/>
    <n v="0"/>
    <n v="0"/>
    <n v="0"/>
    <n v="0"/>
    <n v="0"/>
    <n v="0"/>
    <n v="0"/>
    <n v="0"/>
    <n v="0"/>
    <n v="0"/>
    <n v="0"/>
    <n v="0"/>
    <x v="0"/>
    <x v="0"/>
    <x v="1"/>
    <n v="11"/>
    <n v="1"/>
    <m/>
    <m/>
    <m/>
    <m/>
    <m/>
    <m/>
    <m/>
    <m/>
    <m/>
    <m/>
    <m/>
    <m/>
    <m/>
    <m/>
    <m/>
    <m/>
    <m/>
    <m/>
    <m/>
    <n v="0"/>
    <n v="0"/>
  </r>
  <r>
    <n v="7635"/>
    <x v="0"/>
    <s v="2021/2086"/>
    <s v="58-60 Ashlone Road"/>
    <s v=""/>
    <n v="523534"/>
    <n v="176043"/>
    <x v="0"/>
    <d v="2021-12-01T00:00:00"/>
    <d v="2022-12-12T00:00:00"/>
    <n v="2"/>
    <n v="2"/>
    <n v="0"/>
    <n v="2"/>
    <n v="0"/>
    <x v="1"/>
    <s v="Alterations including erection of single storey rear extensions, installation of front dormer and french doors with safety railings within dormers to rear roof extension; infilling of side roof terrace and replacement fenestration throughout in connection with provision of 1 x 3-bedroom and 1 x 4-bedroom houses."/>
    <s v="PF"/>
    <d v="2021-05-19T00:00:00"/>
    <d v="2021-07-15T00:00:00"/>
    <x v="0"/>
    <s v="Nil"/>
    <m/>
    <s v="BF"/>
    <s v="MIX"/>
    <x v="2"/>
    <x v="8"/>
    <n v="8.0999999999999996E-3"/>
    <d v="2021-12-01T00:00:00"/>
    <x v="0"/>
    <d v="2022-12-12T00:00:00"/>
    <x v="2"/>
    <s v="M"/>
    <s v=""/>
    <m/>
    <n v="0"/>
    <m/>
    <n v="0"/>
    <m/>
    <n v="0"/>
    <n v="0"/>
    <n v="-2"/>
    <n v="2"/>
    <n v="0"/>
    <n v="0"/>
    <n v="0"/>
    <n v="0"/>
    <n v="0"/>
    <n v="-2"/>
    <n v="0"/>
    <n v="0"/>
    <n v="0"/>
    <n v="0"/>
    <n v="0"/>
    <n v="0"/>
    <n v="0"/>
    <n v="2"/>
    <n v="0"/>
    <n v="0"/>
    <n v="0"/>
    <n v="0"/>
    <n v="0"/>
    <n v="0"/>
    <n v="0"/>
    <n v="0"/>
    <n v="0"/>
    <n v="0"/>
    <x v="0"/>
    <x v="0"/>
    <x v="8"/>
    <n v="11"/>
    <n v="0"/>
    <m/>
    <m/>
    <m/>
    <m/>
    <m/>
    <m/>
    <m/>
    <m/>
    <m/>
    <m/>
    <m/>
    <m/>
    <m/>
    <m/>
    <m/>
    <m/>
    <m/>
    <m/>
    <m/>
    <n v="0"/>
    <n v="0"/>
  </r>
  <r>
    <n v="1836"/>
    <x v="0"/>
    <s v="2021/3209"/>
    <s v="177 Wandsworth High Street (1-12 Dutch Yard House)"/>
    <s v=""/>
    <n v="525361"/>
    <n v="174644"/>
    <x v="6"/>
    <d v="2021-12-13T00:00:00"/>
    <d v="2023-01-26T00:00:00"/>
    <n v="0"/>
    <n v="2"/>
    <n v="2"/>
    <n v="2"/>
    <n v="2"/>
    <x v="1"/>
    <s v="Alterations including change of use of part ground floor from café/yoga studio (Class A3/D2) to residential(Class C3) to provide 2 x 1 bedroom flats"/>
    <s v="PF"/>
    <d v="2021-07-13T00:00:00"/>
    <d v="2021-09-08T00:00:00"/>
    <x v="0"/>
    <s v="Nil"/>
    <m/>
    <s v="BF"/>
    <s v="CON"/>
    <x v="2"/>
    <x v="3"/>
    <n v="1.21E-2"/>
    <d v="2021-12-13T00:00:00"/>
    <x v="0"/>
    <d v="2023-01-26T00:00:00"/>
    <x v="2"/>
    <s v="M"/>
    <s v=""/>
    <m/>
    <n v="0"/>
    <m/>
    <n v="0"/>
    <m/>
    <n v="1"/>
    <n v="1"/>
    <n v="0"/>
    <n v="0"/>
    <n v="0"/>
    <n v="0"/>
    <n v="0"/>
    <n v="1"/>
    <n v="1"/>
    <n v="0"/>
    <n v="0"/>
    <n v="0"/>
    <n v="0"/>
    <n v="0"/>
    <n v="0"/>
    <n v="0"/>
    <n v="0"/>
    <n v="0"/>
    <n v="0"/>
    <n v="0"/>
    <n v="0"/>
    <n v="0"/>
    <n v="0"/>
    <n v="0"/>
    <n v="0"/>
    <n v="0"/>
    <n v="0"/>
    <n v="0"/>
    <x v="3"/>
    <x v="0"/>
    <x v="0"/>
    <n v="11"/>
    <n v="2"/>
    <m/>
    <m/>
    <m/>
    <m/>
    <m/>
    <m/>
    <m/>
    <m/>
    <m/>
    <m/>
    <m/>
    <m/>
    <m/>
    <m/>
    <m/>
    <m/>
    <m/>
    <m/>
    <m/>
    <n v="0"/>
    <n v="0"/>
  </r>
  <r>
    <n v="7681"/>
    <x v="0"/>
    <s v="2021/3404"/>
    <s v="49 Mantilla Road"/>
    <s v=""/>
    <n v="528394"/>
    <n v="171693"/>
    <x v="9"/>
    <d v="2022-02-03T00:00:00"/>
    <d v="2023-01-25T00:00:00"/>
    <n v="1"/>
    <n v="2"/>
    <n v="1"/>
    <n v="2"/>
    <n v="1"/>
    <x v="1"/>
    <s v="Alterations including erection of mansard roof extension to main rear roof with increase in ridge height of 300mm, extension above part of two-storey back addition and formation of roof terrace above two-storey back addition with 1.7m high screen surround in connection with creation of a 1-bedroom flat at 2nd floor level. bin storage within front garden."/>
    <s v="PF"/>
    <d v="2021-07-19T00:00:00"/>
    <d v="2021-11-30T00:00:00"/>
    <x v="0"/>
    <s v="Nil"/>
    <m/>
    <s v="BF"/>
    <s v="EXT"/>
    <x v="2"/>
    <x v="2"/>
    <n v="7.0000000000000001E-3"/>
    <d v="2022-02-03T00:00:00"/>
    <x v="0"/>
    <d v="2023-01-25T00:00:00"/>
    <x v="2"/>
    <s v="M"/>
    <s v=""/>
    <m/>
    <n v="0"/>
    <m/>
    <n v="0"/>
    <m/>
    <n v="0"/>
    <n v="1"/>
    <n v="-1"/>
    <n v="1"/>
    <n v="0"/>
    <n v="0"/>
    <n v="0"/>
    <n v="0"/>
    <n v="1"/>
    <n v="-1"/>
    <n v="1"/>
    <n v="0"/>
    <n v="0"/>
    <n v="0"/>
    <n v="0"/>
    <n v="0"/>
    <n v="0"/>
    <n v="0"/>
    <n v="0"/>
    <n v="0"/>
    <n v="0"/>
    <n v="0"/>
    <n v="0"/>
    <n v="0"/>
    <n v="0"/>
    <n v="0"/>
    <n v="0"/>
    <n v="0"/>
    <x v="0"/>
    <x v="0"/>
    <x v="1"/>
    <n v="11"/>
    <n v="1"/>
    <m/>
    <m/>
    <m/>
    <m/>
    <m/>
    <m/>
    <m/>
    <m/>
    <m/>
    <m/>
    <m/>
    <m/>
    <m/>
    <m/>
    <m/>
    <m/>
    <m/>
    <m/>
    <m/>
    <n v="0"/>
    <n v="0"/>
  </r>
  <r>
    <n v="7687"/>
    <x v="0"/>
    <s v="2021/4724"/>
    <s v="First Floor Flat, 47 Lucien Road"/>
    <s v=""/>
    <n v="528315"/>
    <n v="171540"/>
    <x v="9"/>
    <d v="2022-03-23T00:00:00"/>
    <d v="2022-12-15T00:00:00"/>
    <n v="1"/>
    <n v="2"/>
    <n v="1"/>
    <n v="2"/>
    <n v="1"/>
    <x v="1"/>
    <s v="Erection of mansard roof extension to main rear roof slope and extension above part of the two-storey back addition to convert the property into a 1 x 2-bedroom and 1 x 1-bedroom unit. Formation of roof terrace above two-storey back addition with 1.7m screen surround."/>
    <s v="PF"/>
    <d v="2021-10-14T00:00:00"/>
    <d v="2022-01-19T00:00:00"/>
    <x v="0"/>
    <s v="Nil"/>
    <m/>
    <s v="BF"/>
    <s v="CON"/>
    <x v="2"/>
    <x v="2"/>
    <n v="7.0000000000000001E-3"/>
    <d v="2022-03-23T00:00:00"/>
    <x v="0"/>
    <d v="2022-12-15T00:00:00"/>
    <x v="2"/>
    <s v="M"/>
    <s v=""/>
    <m/>
    <n v="0"/>
    <m/>
    <n v="0"/>
    <m/>
    <n v="0"/>
    <n v="1"/>
    <n v="1"/>
    <n v="-1"/>
    <n v="0"/>
    <n v="0"/>
    <n v="0"/>
    <n v="0"/>
    <n v="1"/>
    <n v="1"/>
    <n v="0"/>
    <n v="0"/>
    <n v="0"/>
    <n v="0"/>
    <n v="0"/>
    <n v="0"/>
    <n v="0"/>
    <n v="-1"/>
    <n v="0"/>
    <n v="0"/>
    <n v="0"/>
    <n v="0"/>
    <n v="0"/>
    <n v="0"/>
    <n v="0"/>
    <n v="0"/>
    <n v="0"/>
    <n v="0"/>
    <x v="0"/>
    <x v="0"/>
    <x v="1"/>
    <n v="11"/>
    <n v="1"/>
    <m/>
    <m/>
    <m/>
    <m/>
    <m/>
    <m/>
    <m/>
    <m/>
    <m/>
    <m/>
    <m/>
    <m/>
    <m/>
    <m/>
    <m/>
    <m/>
    <m/>
    <m/>
    <m/>
    <n v="0"/>
    <n v="0"/>
  </r>
  <r>
    <n v="6063"/>
    <x v="0"/>
    <s v="2015/5072"/>
    <s v="Land east of 11-13 (11A), 11-13 Stanmer Street"/>
    <s v=""/>
    <n v="527408"/>
    <n v="176440"/>
    <x v="5"/>
    <d v="2019-12-02T00:00:00"/>
    <d v="2023-01-20T00:00:00"/>
    <n v="0"/>
    <n v="1"/>
    <n v="1"/>
    <n v="1"/>
    <n v="1"/>
    <x v="1"/>
    <s v="Erection of two-storey 2-bedroom dwelling at basement and ground floor levels (accessed from passage between 11 and 13 Stanmer Street and entrance gate) with lightwell to Stanmer Street."/>
    <s v="PF"/>
    <d v="2015-09-10T00:00:00"/>
    <d v="2016-07-29T00:00:00"/>
    <x v="0"/>
    <s v="Nil"/>
    <m/>
    <s v="BF"/>
    <s v="NB"/>
    <x v="2"/>
    <x v="1"/>
    <n v="1.7999999999999999E-2"/>
    <d v="2019-12-02T00:00:00"/>
    <x v="0"/>
    <d v="2023-01-20T00:00:00"/>
    <x v="2"/>
    <s v="M"/>
    <s v=""/>
    <m/>
    <n v="1"/>
    <m/>
    <n v="0"/>
    <m/>
    <n v="0"/>
    <n v="0"/>
    <n v="1"/>
    <n v="0"/>
    <n v="0"/>
    <n v="0"/>
    <n v="0"/>
    <n v="0"/>
    <n v="0"/>
    <n v="0"/>
    <n v="0"/>
    <n v="0"/>
    <n v="0"/>
    <n v="0"/>
    <n v="0"/>
    <n v="0"/>
    <n v="1"/>
    <n v="0"/>
    <n v="0"/>
    <n v="0"/>
    <n v="0"/>
    <n v="0"/>
    <n v="0"/>
    <n v="0"/>
    <n v="0"/>
    <n v="0"/>
    <n v="0"/>
    <n v="0"/>
    <x v="0"/>
    <x v="0"/>
    <x v="1"/>
    <n v="1"/>
    <n v="1"/>
    <m/>
    <m/>
    <m/>
    <m/>
    <m/>
    <m/>
    <m/>
    <m/>
    <m/>
    <m/>
    <m/>
    <m/>
    <m/>
    <m/>
    <m/>
    <m/>
    <m/>
    <m/>
    <m/>
    <n v="0"/>
    <n v="0"/>
  </r>
  <r>
    <n v="5682"/>
    <x v="0"/>
    <s v="2016/1252"/>
    <s v="7 Lavender Hill"/>
    <s v=""/>
    <n v="528537"/>
    <n v="175740"/>
    <x v="12"/>
    <d v="2019-03-31T00:00:00"/>
    <d v="2023-03-31T00:00:00"/>
    <n v="0"/>
    <n v="1"/>
    <n v="1"/>
    <n v="1"/>
    <n v="1"/>
    <x v="1"/>
    <s v="Erection of single-storey rear extension at first floor level in connection with change of use of rear basement and ground floors from retail (Use Class A1) to 1 x 1-bedroom residential unit (Use Class C3) accessed from Abberley Mews."/>
    <s v="PF"/>
    <d v="2016-05-03T00:00:00"/>
    <d v="2016-06-28T00:00:00"/>
    <x v="0"/>
    <s v="Nil"/>
    <m/>
    <s v="BF"/>
    <s v="MIX"/>
    <x v="2"/>
    <x v="4"/>
    <n v="4.0000000000000001E-3"/>
    <d v="2019-03-31T00:00:00"/>
    <x v="0"/>
    <d v="2023-03-31T00:00:00"/>
    <x v="2"/>
    <s v="M"/>
    <s v=""/>
    <m/>
    <n v="0"/>
    <m/>
    <n v="0"/>
    <m/>
    <n v="0"/>
    <n v="1"/>
    <n v="0"/>
    <n v="0"/>
    <n v="0"/>
    <n v="0"/>
    <n v="0"/>
    <n v="0"/>
    <n v="1"/>
    <n v="0"/>
    <n v="0"/>
    <n v="0"/>
    <n v="0"/>
    <n v="0"/>
    <n v="0"/>
    <n v="0"/>
    <n v="0"/>
    <n v="0"/>
    <n v="0"/>
    <n v="0"/>
    <n v="0"/>
    <n v="0"/>
    <n v="0"/>
    <n v="0"/>
    <n v="0"/>
    <n v="0"/>
    <n v="0"/>
    <n v="0"/>
    <x v="0"/>
    <x v="0"/>
    <x v="1"/>
    <n v="11"/>
    <n v="1"/>
    <m/>
    <m/>
    <m/>
    <m/>
    <m/>
    <m/>
    <m/>
    <m/>
    <m/>
    <m/>
    <m/>
    <m/>
    <m/>
    <m/>
    <m/>
    <m/>
    <m/>
    <m/>
    <m/>
    <n v="0"/>
    <n v="0"/>
  </r>
  <r>
    <n v="1924"/>
    <x v="0"/>
    <s v="2016/3919"/>
    <s v="42 Roehampton Gate"/>
    <s v=""/>
    <n v="521176"/>
    <n v="174253"/>
    <x v="16"/>
    <d v="2017-03-31T00:00:00"/>
    <d v="2022-10-26T00:00:00"/>
    <n v="1"/>
    <n v="1"/>
    <n v="0"/>
    <n v="1"/>
    <n v="0"/>
    <x v="1"/>
    <s v="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
    <s v="PF"/>
    <d v="2016-07-06T00:00:00"/>
    <d v="2016-08-31T00:00:00"/>
    <x v="0"/>
    <s v="Nil"/>
    <m/>
    <s v="BF"/>
    <s v="NB"/>
    <x v="2"/>
    <x v="1"/>
    <n v="0.123"/>
    <d v="2017-03-31T00:00:00"/>
    <x v="0"/>
    <d v="2022-10-26T00:00:00"/>
    <x v="2"/>
    <s v="M"/>
    <s v=""/>
    <m/>
    <n v="0"/>
    <m/>
    <n v="0"/>
    <m/>
    <n v="0"/>
    <n v="0"/>
    <n v="0"/>
    <n v="0"/>
    <n v="-1"/>
    <n v="1"/>
    <n v="0"/>
    <n v="0"/>
    <n v="0"/>
    <n v="0"/>
    <n v="0"/>
    <n v="0"/>
    <n v="0"/>
    <n v="0"/>
    <n v="0"/>
    <n v="0"/>
    <n v="0"/>
    <n v="0"/>
    <n v="-1"/>
    <n v="1"/>
    <n v="0"/>
    <n v="0"/>
    <n v="0"/>
    <n v="0"/>
    <n v="0"/>
    <n v="0"/>
    <n v="0"/>
    <n v="0"/>
    <x v="0"/>
    <x v="0"/>
    <x v="9"/>
    <n v="1"/>
    <n v="0"/>
    <m/>
    <m/>
    <m/>
    <m/>
    <m/>
    <m/>
    <m/>
    <m/>
    <m/>
    <m/>
    <m/>
    <m/>
    <m/>
    <m/>
    <m/>
    <m/>
    <m/>
    <m/>
    <m/>
    <n v="0"/>
    <n v="0"/>
  </r>
  <r>
    <n v="2978"/>
    <x v="0"/>
    <s v="2017/0927"/>
    <s v="Garden Flat, 127 Trinity Road"/>
    <s v=""/>
    <n v="527727"/>
    <n v="172703"/>
    <x v="4"/>
    <d v="2019-03-31T00:00:00"/>
    <d v="2022-07-01T00:00:00"/>
    <n v="1"/>
    <n v="1"/>
    <n v="0"/>
    <n v="1"/>
    <n v="0"/>
    <x v="1"/>
    <s v="Demolition of existing bungalow and erection of a two-storey plus basement 3-bedroom house with associated refuse, recycling and cycle storage."/>
    <s v="PF"/>
    <d v="2017-02-24T00:00:00"/>
    <d v="2017-04-21T00:00:00"/>
    <x v="0"/>
    <s v="Nil"/>
    <m/>
    <s v="BF"/>
    <s v="NB"/>
    <x v="2"/>
    <x v="1"/>
    <n v="3.6999999999999998E-2"/>
    <d v="2019-03-31T00:00:00"/>
    <x v="0"/>
    <d v="2022-07-01T00:00:00"/>
    <x v="2"/>
    <s v="M"/>
    <s v=""/>
    <m/>
    <n v="0"/>
    <m/>
    <n v="0"/>
    <m/>
    <n v="0"/>
    <n v="-1"/>
    <n v="0"/>
    <n v="1"/>
    <n v="0"/>
    <n v="0"/>
    <n v="0"/>
    <n v="0"/>
    <n v="0"/>
    <n v="0"/>
    <n v="0"/>
    <n v="0"/>
    <n v="0"/>
    <n v="0"/>
    <n v="0"/>
    <n v="-1"/>
    <n v="0"/>
    <n v="1"/>
    <n v="0"/>
    <n v="0"/>
    <n v="0"/>
    <n v="0"/>
    <n v="0"/>
    <n v="0"/>
    <n v="0"/>
    <n v="0"/>
    <n v="0"/>
    <n v="0"/>
    <x v="0"/>
    <x v="0"/>
    <x v="1"/>
    <n v="1"/>
    <n v="0"/>
    <m/>
    <m/>
    <m/>
    <m/>
    <m/>
    <m/>
    <m/>
    <m/>
    <m/>
    <m/>
    <m/>
    <m/>
    <m/>
    <m/>
    <m/>
    <m/>
    <m/>
    <m/>
    <m/>
    <n v="0"/>
    <n v="0"/>
  </r>
  <r>
    <n v="5682"/>
    <x v="0"/>
    <s v="2017/1395"/>
    <s v="7 Lavender Hill"/>
    <s v=""/>
    <n v="528537"/>
    <n v="175740"/>
    <x v="12"/>
    <d v="2019-03-31T00:00:00"/>
    <d v="2023-03-31T00:00:00"/>
    <n v="0"/>
    <n v="1"/>
    <n v="1"/>
    <n v="3"/>
    <n v="2"/>
    <x v="1"/>
    <s v="Alterations including erection of roof extension to create additional floor of accommodation in connection with conversion of property into 3 x 1-bedroom flats."/>
    <s v="PF"/>
    <d v="2017-04-13T00:00:00"/>
    <d v="2017-09-19T00:00:00"/>
    <x v="0"/>
    <s v="Nil"/>
    <m/>
    <s v="BF"/>
    <s v="MIX"/>
    <x v="2"/>
    <x v="1"/>
    <n v="3.0000000000000001E-3"/>
    <d v="2019-03-31T00:00:00"/>
    <x v="0"/>
    <d v="2023-03-31T00:00:00"/>
    <x v="2"/>
    <s v="M"/>
    <s v=""/>
    <m/>
    <n v="0"/>
    <m/>
    <n v="0"/>
    <m/>
    <n v="0"/>
    <n v="1"/>
    <n v="0"/>
    <n v="0"/>
    <n v="0"/>
    <n v="0"/>
    <n v="0"/>
    <n v="0"/>
    <n v="1"/>
    <n v="0"/>
    <n v="0"/>
    <n v="0"/>
    <n v="0"/>
    <n v="0"/>
    <n v="0"/>
    <n v="0"/>
    <n v="0"/>
    <n v="0"/>
    <n v="0"/>
    <n v="0"/>
    <n v="0"/>
    <n v="0"/>
    <n v="0"/>
    <n v="0"/>
    <n v="0"/>
    <n v="0"/>
    <n v="0"/>
    <n v="0"/>
    <x v="0"/>
    <x v="0"/>
    <x v="1"/>
    <n v="11"/>
    <n v="1"/>
    <m/>
    <m/>
    <m/>
    <m/>
    <m/>
    <m/>
    <m/>
    <m/>
    <m/>
    <m/>
    <m/>
    <m/>
    <m/>
    <m/>
    <m/>
    <m/>
    <m/>
    <m/>
    <m/>
    <n v="0"/>
    <n v="0"/>
  </r>
  <r>
    <n v="4438"/>
    <x v="0"/>
    <s v="2017/1456"/>
    <s v="120 Upper Richmond Road"/>
    <s v=""/>
    <n v="524309"/>
    <n v="174961"/>
    <x v="7"/>
    <d v="2020-10-01T00:00:00"/>
    <d v="2023-03-22T00:00:00"/>
    <n v="0"/>
    <n v="1"/>
    <n v="1"/>
    <n v="3"/>
    <n v="2"/>
    <x v="1"/>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x v="0"/>
    <s v="Nil"/>
    <m/>
    <s v="BF"/>
    <s v="EXT"/>
    <x v="2"/>
    <x v="2"/>
    <n v="6.0000000000000001E-3"/>
    <d v="2020-10-01T00:00:00"/>
    <x v="0"/>
    <d v="2023-03-22T00:00:00"/>
    <x v="2"/>
    <s v="M"/>
    <s v=""/>
    <m/>
    <n v="0"/>
    <m/>
    <n v="0"/>
    <m/>
    <n v="0"/>
    <n v="0"/>
    <n v="1"/>
    <n v="0"/>
    <n v="0"/>
    <n v="0"/>
    <n v="0"/>
    <n v="0"/>
    <n v="0"/>
    <n v="1"/>
    <n v="0"/>
    <n v="0"/>
    <n v="0"/>
    <n v="0"/>
    <n v="0"/>
    <n v="0"/>
    <n v="0"/>
    <n v="0"/>
    <n v="0"/>
    <n v="0"/>
    <n v="0"/>
    <n v="0"/>
    <n v="0"/>
    <n v="0"/>
    <n v="0"/>
    <n v="0"/>
    <n v="0"/>
    <n v="0"/>
    <x v="4"/>
    <x v="0"/>
    <x v="4"/>
    <n v="11"/>
    <n v="1"/>
    <m/>
    <m/>
    <m/>
    <m/>
    <m/>
    <m/>
    <m/>
    <m/>
    <m/>
    <m/>
    <m/>
    <m/>
    <m/>
    <m/>
    <m/>
    <m/>
    <m/>
    <m/>
    <m/>
    <n v="0"/>
    <n v="0"/>
  </r>
  <r>
    <n v="615"/>
    <x v="0"/>
    <s v="2017/2547"/>
    <s v="Marius Mansions, Marius Road"/>
    <s v=""/>
    <n v="528241"/>
    <n v="172875"/>
    <x v="4"/>
    <d v="2021-04-01T00:00:00"/>
    <d v="2023-03-31T00:00:00"/>
    <n v="0"/>
    <n v="1"/>
    <n v="1"/>
    <n v="1"/>
    <n v="1"/>
    <x v="1"/>
    <s v="Erection of three-storey side extension to create a 1 x 2 bedroom flat with roof level balcony."/>
    <s v="PF"/>
    <d v="2017-04-26T00:00:00"/>
    <d v="2017-09-25T00:00:00"/>
    <x v="0"/>
    <s v="Nil"/>
    <m/>
    <s v="BF"/>
    <s v="EXT"/>
    <x v="2"/>
    <x v="2"/>
    <n v="7.0000000000000001E-3"/>
    <d v="2021-04-01T00:00:00"/>
    <x v="0"/>
    <d v="2023-03-31T00:00:00"/>
    <x v="2"/>
    <s v="M"/>
    <s v=""/>
    <m/>
    <n v="0"/>
    <m/>
    <n v="0"/>
    <m/>
    <n v="0"/>
    <n v="0"/>
    <n v="1"/>
    <n v="0"/>
    <n v="0"/>
    <n v="0"/>
    <n v="0"/>
    <n v="0"/>
    <n v="0"/>
    <n v="1"/>
    <n v="0"/>
    <n v="0"/>
    <n v="0"/>
    <n v="0"/>
    <n v="0"/>
    <n v="0"/>
    <n v="0"/>
    <n v="0"/>
    <n v="0"/>
    <n v="0"/>
    <n v="0"/>
    <n v="0"/>
    <n v="0"/>
    <n v="0"/>
    <n v="0"/>
    <n v="0"/>
    <n v="0"/>
    <n v="0"/>
    <x v="0"/>
    <x v="0"/>
    <x v="1"/>
    <n v="11"/>
    <n v="1"/>
    <m/>
    <m/>
    <m/>
    <m/>
    <m/>
    <m/>
    <m/>
    <m/>
    <m/>
    <m/>
    <m/>
    <m/>
    <m/>
    <m/>
    <m/>
    <m/>
    <m/>
    <m/>
    <m/>
    <n v="0"/>
    <n v="0"/>
  </r>
  <r>
    <n v="6703"/>
    <x v="0"/>
    <s v="2017/4170"/>
    <s v="155 Trevelyan Road"/>
    <s v=""/>
    <n v="527632"/>
    <n v="170817"/>
    <x v="3"/>
    <d v="2017-11-27T00:00:00"/>
    <d v="2023-03-02T00:00:00"/>
    <n v="2"/>
    <n v="1"/>
    <n v="-1"/>
    <n v="1"/>
    <n v="-1"/>
    <x v="1"/>
    <s v="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
    <s v="PF"/>
    <d v="2017-08-04T00:00:00"/>
    <d v="2017-09-28T00:00:00"/>
    <x v="0"/>
    <s v="Nil"/>
    <m/>
    <s v="BF"/>
    <s v="CON"/>
    <x v="2"/>
    <x v="8"/>
    <n v="1.7000000000000001E-2"/>
    <d v="2017-11-27T00:00:00"/>
    <x v="0"/>
    <d v="2023-03-02T00:00:00"/>
    <x v="2"/>
    <s v="M"/>
    <s v=""/>
    <m/>
    <n v="0"/>
    <m/>
    <n v="0"/>
    <m/>
    <n v="0"/>
    <n v="-2"/>
    <n v="0"/>
    <n v="0"/>
    <n v="0"/>
    <n v="1"/>
    <n v="0"/>
    <n v="0"/>
    <n v="-2"/>
    <n v="0"/>
    <n v="0"/>
    <n v="0"/>
    <n v="0"/>
    <n v="0"/>
    <n v="0"/>
    <n v="0"/>
    <n v="0"/>
    <n v="0"/>
    <n v="0"/>
    <n v="1"/>
    <n v="0"/>
    <n v="0"/>
    <n v="0"/>
    <n v="0"/>
    <n v="0"/>
    <n v="0"/>
    <n v="0"/>
    <n v="0"/>
    <x v="0"/>
    <x v="0"/>
    <x v="1"/>
    <n v="11"/>
    <n v="-1"/>
    <m/>
    <m/>
    <m/>
    <m/>
    <m/>
    <m/>
    <m/>
    <m/>
    <m/>
    <m/>
    <m/>
    <m/>
    <m/>
    <m/>
    <m/>
    <m/>
    <m/>
    <m/>
    <m/>
    <n v="0"/>
    <n v="0"/>
  </r>
  <r>
    <n v="6753"/>
    <x v="0"/>
    <s v="2017/6510"/>
    <s v="Land between 107-109, 107-109 Garratt Lane"/>
    <s v=""/>
    <n v="525803"/>
    <n v="174168"/>
    <x v="6"/>
    <d v="2021-08-01T00:00:00"/>
    <d v="2022-04-01T00:00:00"/>
    <n v="0"/>
    <n v="1"/>
    <n v="1"/>
    <n v="1"/>
    <n v="1"/>
    <x v="1"/>
    <s v="Erection and excavation of a two-storey (plus basement) 3-bedroom detached house with associated cycle and refuse storage and lightwell courtyard to the rear."/>
    <s v="PF"/>
    <d v="2017-11-27T00:00:00"/>
    <d v="2018-01-22T00:00:00"/>
    <x v="0"/>
    <s v="Nil"/>
    <m/>
    <s v="BF"/>
    <s v="NB"/>
    <x v="2"/>
    <x v="1"/>
    <n v="8.9999999999999993E-3"/>
    <d v="2021-08-01T00:00:00"/>
    <x v="0"/>
    <d v="2022-04-01T00:00:00"/>
    <x v="2"/>
    <s v="M"/>
    <s v=""/>
    <m/>
    <n v="0"/>
    <m/>
    <n v="0"/>
    <m/>
    <n v="0"/>
    <n v="0"/>
    <n v="0"/>
    <n v="1"/>
    <n v="0"/>
    <n v="0"/>
    <n v="0"/>
    <n v="0"/>
    <n v="0"/>
    <n v="0"/>
    <n v="0"/>
    <n v="0"/>
    <n v="0"/>
    <n v="0"/>
    <n v="0"/>
    <n v="0"/>
    <n v="0"/>
    <n v="1"/>
    <n v="0"/>
    <n v="0"/>
    <n v="0"/>
    <n v="0"/>
    <n v="0"/>
    <n v="0"/>
    <n v="0"/>
    <n v="0"/>
    <n v="0"/>
    <n v="0"/>
    <x v="0"/>
    <x v="0"/>
    <x v="0"/>
    <n v="1"/>
    <n v="1"/>
    <m/>
    <m/>
    <m/>
    <m/>
    <m/>
    <m/>
    <m/>
    <m/>
    <m/>
    <m/>
    <m/>
    <m/>
    <m/>
    <m/>
    <m/>
    <m/>
    <m/>
    <m/>
    <m/>
    <n v="0"/>
    <n v="0"/>
  </r>
  <r>
    <n v="2504"/>
    <x v="0"/>
    <s v="2017/6683"/>
    <s v="Garages rear of 60, Granville Road (Land adjoining playing field Viewfield Road)"/>
    <s v=""/>
    <n v="524835"/>
    <n v="173907"/>
    <x v="7"/>
    <d v="2021-08-03T00:00:00"/>
    <d v="2023-03-31T00:00:00"/>
    <n v="0"/>
    <n v="1"/>
    <n v="1"/>
    <n v="1"/>
    <n v="1"/>
    <x v="1"/>
    <s v="Demoliton of existing double garages and erection of single-storey plus basement level one-bedroom house."/>
    <s v="PF"/>
    <d v="2019-07-24T00:00:00"/>
    <d v="2019-08-23T00:00:00"/>
    <x v="0"/>
    <s v="Nil"/>
    <m/>
    <s v="BF"/>
    <s v="NB"/>
    <x v="2"/>
    <x v="1"/>
    <n v="5.0000000000000001E-3"/>
    <d v="2021-08-03T00:00:00"/>
    <x v="0"/>
    <d v="2023-03-31T00:00:00"/>
    <x v="2"/>
    <s v="M"/>
    <s v=""/>
    <m/>
    <n v="0"/>
    <m/>
    <n v="0"/>
    <m/>
    <n v="0"/>
    <n v="1"/>
    <n v="0"/>
    <n v="0"/>
    <n v="0"/>
    <n v="0"/>
    <n v="0"/>
    <n v="0"/>
    <n v="0"/>
    <n v="0"/>
    <n v="0"/>
    <n v="0"/>
    <n v="0"/>
    <n v="0"/>
    <n v="0"/>
    <n v="1"/>
    <n v="0"/>
    <n v="0"/>
    <n v="0"/>
    <n v="0"/>
    <n v="0"/>
    <n v="0"/>
    <n v="0"/>
    <n v="0"/>
    <n v="0"/>
    <n v="0"/>
    <n v="0"/>
    <n v="0"/>
    <x v="0"/>
    <x v="0"/>
    <x v="1"/>
    <n v="1"/>
    <n v="1"/>
    <m/>
    <m/>
    <m/>
    <m/>
    <m/>
    <m/>
    <m/>
    <m/>
    <m/>
    <m/>
    <m/>
    <m/>
    <m/>
    <m/>
    <m/>
    <m/>
    <m/>
    <m/>
    <m/>
    <n v="0"/>
    <n v="0"/>
  </r>
  <r>
    <n v="3943"/>
    <x v="0"/>
    <s v="2017/6764"/>
    <s v="Royal Mail Group Site, Ponton Road (Nine Elms Park)"/>
    <s v="Plot D1"/>
    <n v="529575"/>
    <n v="177401"/>
    <x v="15"/>
    <d v="2019-09-03T00:00:00"/>
    <m/>
    <n v="0"/>
    <n v="30"/>
    <n v="30"/>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0"/>
    <s v="Nil"/>
    <m/>
    <s v="BF"/>
    <s v="NB"/>
    <x v="0"/>
    <x v="0"/>
    <n v="2.9000000000000001E-2"/>
    <d v="2019-09-03T00:00:00"/>
    <x v="0"/>
    <d v="2023-01-06T00:00:00"/>
    <x v="0"/>
    <s v="IRD"/>
    <s v="2.1.18"/>
    <m/>
    <n v="0"/>
    <n v="27"/>
    <n v="0"/>
    <n v="3"/>
    <n v="0"/>
    <n v="20"/>
    <n v="6"/>
    <n v="4"/>
    <n v="0"/>
    <n v="0"/>
    <n v="0"/>
    <n v="0"/>
    <n v="20"/>
    <n v="6"/>
    <n v="4"/>
    <n v="0"/>
    <n v="0"/>
    <n v="0"/>
    <n v="0"/>
    <n v="0"/>
    <n v="0"/>
    <n v="0"/>
    <n v="0"/>
    <n v="0"/>
    <n v="0"/>
    <n v="0"/>
    <n v="0"/>
    <n v="0"/>
    <n v="0"/>
    <n v="0"/>
    <n v="0"/>
    <n v="0"/>
    <x v="0"/>
    <x v="1"/>
    <x v="7"/>
    <n v="1"/>
    <n v="30"/>
    <m/>
    <m/>
    <m/>
    <m/>
    <m/>
    <m/>
    <m/>
    <m/>
    <m/>
    <m/>
    <m/>
    <m/>
    <m/>
    <m/>
    <m/>
    <m/>
    <m/>
    <m/>
    <m/>
    <n v="0"/>
    <n v="0"/>
  </r>
  <r>
    <n v="6938"/>
    <x v="0"/>
    <s v="2018/1564"/>
    <s v="4 Worfield Street"/>
    <s v=""/>
    <n v="527400"/>
    <n v="177117"/>
    <x v="17"/>
    <d v="2020-06-26T00:00:00"/>
    <d v="2022-08-01T00:00:00"/>
    <n v="2"/>
    <n v="1"/>
    <n v="-1"/>
    <n v="1"/>
    <n v="-1"/>
    <x v="1"/>
    <s v="Alterations including erection of a single storey side extension in connection with the change of use from the existing 2 x two-bedroom self-contained flats to a single dwellinghouse."/>
    <s v="PF"/>
    <d v="2018-04-06T00:00:00"/>
    <d v="2018-05-31T00:00:00"/>
    <x v="0"/>
    <s v="Nil"/>
    <m/>
    <s v="BF"/>
    <s v="CON"/>
    <x v="2"/>
    <x v="8"/>
    <n v="1.2E-2"/>
    <d v="2020-06-26T00:00:00"/>
    <x v="0"/>
    <d v="2022-08-01T00:00:00"/>
    <x v="2"/>
    <s v="M"/>
    <s v=""/>
    <m/>
    <n v="0"/>
    <m/>
    <n v="0"/>
    <m/>
    <n v="0"/>
    <n v="0"/>
    <n v="-2"/>
    <n v="0"/>
    <n v="1"/>
    <n v="0"/>
    <n v="0"/>
    <n v="0"/>
    <n v="0"/>
    <n v="-2"/>
    <n v="0"/>
    <n v="0"/>
    <n v="0"/>
    <n v="0"/>
    <n v="0"/>
    <n v="0"/>
    <n v="0"/>
    <n v="0"/>
    <n v="1"/>
    <n v="0"/>
    <n v="0"/>
    <n v="0"/>
    <n v="0"/>
    <n v="0"/>
    <n v="0"/>
    <n v="0"/>
    <n v="0"/>
    <n v="0"/>
    <x v="0"/>
    <x v="0"/>
    <x v="1"/>
    <n v="11"/>
    <n v="-1"/>
    <m/>
    <m/>
    <m/>
    <m/>
    <m/>
    <m/>
    <m/>
    <m/>
    <m/>
    <m/>
    <m/>
    <m/>
    <m/>
    <m/>
    <m/>
    <m/>
    <m/>
    <m/>
    <m/>
    <n v="0"/>
    <n v="0"/>
  </r>
  <r>
    <n v="7013"/>
    <x v="0"/>
    <s v="2018/4073"/>
    <s v="162 Trevelyan Road"/>
    <s v=""/>
    <n v="527613"/>
    <n v="170775"/>
    <x v="3"/>
    <d v="2020-09-01T00:00:00"/>
    <d v="2022-05-19T00:00:00"/>
    <n v="1"/>
    <n v="1"/>
    <n v="0"/>
    <n v="1"/>
    <n v="0"/>
    <x v="1"/>
    <s v="Demolition of the existing  property. Erection of a two-storey (plus basement and roof levels) 4-bedroom terraced house."/>
    <s v="PF"/>
    <d v="2018-08-22T00:00:00"/>
    <d v="2018-10-19T00:00:00"/>
    <x v="0"/>
    <s v="Nil"/>
    <m/>
    <s v="BF"/>
    <s v="NB"/>
    <x v="2"/>
    <x v="1"/>
    <n v="2.7E-2"/>
    <d v="2020-09-01T00:00:00"/>
    <x v="0"/>
    <d v="2022-05-19T00:00:00"/>
    <x v="2"/>
    <s v="M"/>
    <s v=""/>
    <m/>
    <n v="0"/>
    <m/>
    <n v="0"/>
    <m/>
    <n v="0"/>
    <n v="0"/>
    <n v="0"/>
    <n v="0"/>
    <n v="-1"/>
    <n v="1"/>
    <n v="0"/>
    <n v="0"/>
    <n v="0"/>
    <n v="0"/>
    <n v="0"/>
    <n v="0"/>
    <n v="0"/>
    <n v="0"/>
    <n v="0"/>
    <n v="0"/>
    <n v="0"/>
    <n v="0"/>
    <n v="-1"/>
    <n v="1"/>
    <n v="0"/>
    <n v="0"/>
    <n v="0"/>
    <n v="0"/>
    <n v="0"/>
    <n v="0"/>
    <n v="0"/>
    <n v="0"/>
    <x v="0"/>
    <x v="0"/>
    <x v="1"/>
    <n v="1"/>
    <n v="0"/>
    <m/>
    <m/>
    <m/>
    <m/>
    <m/>
    <m/>
    <m/>
    <m/>
    <m/>
    <m/>
    <m/>
    <m/>
    <m/>
    <m/>
    <m/>
    <m/>
    <m/>
    <m/>
    <m/>
    <n v="0"/>
    <n v="0"/>
  </r>
  <r>
    <n v="6858"/>
    <x v="0"/>
    <s v="2019/2340"/>
    <s v="24 Romberg Road"/>
    <s v=""/>
    <n v="528202"/>
    <n v="172108"/>
    <x v="9"/>
    <d v="2021-01-25T00:00:00"/>
    <d v="2023-03-31T00:00:00"/>
    <n v="0"/>
    <n v="1"/>
    <n v="1"/>
    <n v="1"/>
    <n v="1"/>
    <x v="1"/>
    <s v="Demolition of single storey rear extension and garage, and erection of 1 x 1-bedroom two-storey dwellinghouse with associated refuse and cycle storage."/>
    <s v="PF"/>
    <d v="2019-08-21T00:00:00"/>
    <d v="2019-10-02T00:00:00"/>
    <x v="0"/>
    <s v="Nil"/>
    <m/>
    <s v="BF"/>
    <s v="NB"/>
    <x v="2"/>
    <x v="1"/>
    <n v="3.0000000000000001E-3"/>
    <d v="2021-01-25T00:00:00"/>
    <x v="0"/>
    <d v="2023-03-31T00:00:00"/>
    <x v="2"/>
    <s v="M"/>
    <s v=""/>
    <m/>
    <n v="0"/>
    <m/>
    <n v="0"/>
    <m/>
    <n v="0"/>
    <n v="1"/>
    <n v="0"/>
    <n v="0"/>
    <n v="0"/>
    <n v="0"/>
    <n v="0"/>
    <n v="0"/>
    <n v="0"/>
    <n v="0"/>
    <n v="0"/>
    <n v="0"/>
    <n v="0"/>
    <n v="0"/>
    <n v="0"/>
    <n v="1"/>
    <n v="0"/>
    <n v="0"/>
    <n v="0"/>
    <n v="0"/>
    <n v="0"/>
    <n v="0"/>
    <n v="0"/>
    <n v="0"/>
    <n v="0"/>
    <n v="0"/>
    <n v="0"/>
    <n v="0"/>
    <x v="0"/>
    <x v="0"/>
    <x v="1"/>
    <n v="1"/>
    <n v="1"/>
    <m/>
    <m/>
    <m/>
    <m/>
    <m/>
    <m/>
    <m/>
    <m/>
    <m/>
    <m/>
    <m/>
    <m/>
    <m/>
    <m/>
    <m/>
    <m/>
    <m/>
    <m/>
    <m/>
    <n v="0"/>
    <n v="0"/>
  </r>
  <r>
    <n v="1147"/>
    <x v="0"/>
    <s v="2019/3361"/>
    <s v="Ground floor, 186 Trinity Road"/>
    <s v=""/>
    <n v="527527"/>
    <n v="173093"/>
    <x v="4"/>
    <d v="2022-03-31T00:00:00"/>
    <d v="2023-01-23T00:00:00"/>
    <n v="0"/>
    <n v="1"/>
    <n v="1"/>
    <n v="1"/>
    <n v="1"/>
    <x v="1"/>
    <s v="Removal of existing shopfront, installation of 2 x windows at front elevation, replacement of windows at rear elevation and erection of 1m high metal railings to front boundary, in connection with change of use of shop (Class A1) to 1 x 1 bedroom flat (Class C3)."/>
    <s v="PF"/>
    <d v="2019-09-17T00:00:00"/>
    <d v="2019-11-15T00:00:00"/>
    <x v="0"/>
    <s v="Nil"/>
    <m/>
    <s v="BF"/>
    <s v="COU"/>
    <x v="2"/>
    <x v="4"/>
    <n v="5.0000000000000001E-3"/>
    <d v="2022-03-31T00:00:00"/>
    <x v="0"/>
    <d v="2023-01-23T00:00:00"/>
    <x v="2"/>
    <s v="M"/>
    <s v=""/>
    <m/>
    <n v="0"/>
    <m/>
    <n v="0"/>
    <m/>
    <n v="0"/>
    <n v="1"/>
    <n v="0"/>
    <n v="0"/>
    <n v="0"/>
    <n v="0"/>
    <n v="0"/>
    <n v="0"/>
    <n v="1"/>
    <n v="0"/>
    <n v="0"/>
    <n v="0"/>
    <n v="0"/>
    <n v="0"/>
    <n v="0"/>
    <n v="0"/>
    <n v="0"/>
    <n v="0"/>
    <n v="0"/>
    <n v="0"/>
    <n v="0"/>
    <n v="0"/>
    <n v="0"/>
    <n v="0"/>
    <n v="0"/>
    <n v="0"/>
    <n v="0"/>
    <n v="0"/>
    <x v="0"/>
    <x v="0"/>
    <x v="1"/>
    <n v="11"/>
    <n v="1"/>
    <m/>
    <m/>
    <m/>
    <m/>
    <m/>
    <m/>
    <m/>
    <m/>
    <m/>
    <m/>
    <m/>
    <m/>
    <m/>
    <m/>
    <m/>
    <m/>
    <m/>
    <m/>
    <m/>
    <n v="0"/>
    <n v="0"/>
  </r>
  <r>
    <n v="6809"/>
    <x v="0"/>
    <s v="2019/3481"/>
    <s v="116 Mitcham Lane"/>
    <s v=""/>
    <n v="529284"/>
    <n v="171134"/>
    <x v="13"/>
    <d v="2021-04-01T00:00:00"/>
    <d v="2022-11-11T00:00:00"/>
    <n v="0"/>
    <n v="1"/>
    <n v="1"/>
    <n v="1"/>
    <n v="1"/>
    <x v="1"/>
    <s v="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
    <s v="PF"/>
    <d v="2019-08-20T00:00:00"/>
    <d v="2019-10-02T00:00:00"/>
    <x v="0"/>
    <s v="Nil"/>
    <m/>
    <s v="BF"/>
    <s v="EXT"/>
    <x v="2"/>
    <x v="2"/>
    <n v="3.0000000000000001E-3"/>
    <d v="2021-04-01T00:00:00"/>
    <x v="0"/>
    <d v="2022-11-11T00:00:00"/>
    <x v="2"/>
    <s v="M"/>
    <s v=""/>
    <m/>
    <n v="0"/>
    <m/>
    <n v="0"/>
    <m/>
    <n v="0"/>
    <n v="1"/>
    <n v="0"/>
    <n v="0"/>
    <n v="0"/>
    <n v="0"/>
    <n v="0"/>
    <n v="0"/>
    <n v="1"/>
    <n v="0"/>
    <n v="0"/>
    <n v="0"/>
    <n v="0"/>
    <n v="0"/>
    <n v="0"/>
    <n v="0"/>
    <n v="0"/>
    <n v="0"/>
    <n v="0"/>
    <n v="0"/>
    <n v="0"/>
    <n v="0"/>
    <n v="0"/>
    <n v="0"/>
    <n v="0"/>
    <n v="0"/>
    <n v="0"/>
    <n v="0"/>
    <x v="0"/>
    <x v="0"/>
    <x v="1"/>
    <n v="11"/>
    <n v="1"/>
    <m/>
    <m/>
    <m/>
    <m/>
    <m/>
    <m/>
    <m/>
    <m/>
    <m/>
    <m/>
    <m/>
    <m/>
    <m/>
    <m/>
    <m/>
    <m/>
    <m/>
    <m/>
    <m/>
    <n v="0"/>
    <n v="0"/>
  </r>
  <r>
    <n v="5232"/>
    <x v="0"/>
    <s v="2019/4262"/>
    <s v="134/134a Battersea High Street"/>
    <s v=""/>
    <n v="527007"/>
    <n v="176205"/>
    <x v="5"/>
    <d v="2020-07-13T00:00:00"/>
    <d v="2022-10-06T00:00:00"/>
    <n v="0"/>
    <n v="1"/>
    <n v="1"/>
    <n v="9"/>
    <n v="8"/>
    <x v="1"/>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x v="0"/>
    <s v="Nil"/>
    <m/>
    <s v="BF"/>
    <s v="NB"/>
    <x v="2"/>
    <x v="1"/>
    <n v="4.0000000000000001E-3"/>
    <d v="2020-07-13T00:00:00"/>
    <x v="0"/>
    <d v="2022-10-06T00:00:00"/>
    <x v="2"/>
    <s v="M"/>
    <s v=""/>
    <m/>
    <n v="0"/>
    <m/>
    <n v="0"/>
    <m/>
    <n v="0"/>
    <n v="0"/>
    <n v="1"/>
    <n v="0"/>
    <n v="0"/>
    <n v="0"/>
    <n v="0"/>
    <n v="0"/>
    <n v="0"/>
    <n v="0"/>
    <n v="0"/>
    <n v="0"/>
    <n v="0"/>
    <n v="0"/>
    <n v="0"/>
    <n v="0"/>
    <n v="1"/>
    <n v="0"/>
    <n v="0"/>
    <n v="0"/>
    <n v="0"/>
    <n v="0"/>
    <n v="0"/>
    <n v="0"/>
    <n v="0"/>
    <n v="0"/>
    <n v="0"/>
    <n v="0"/>
    <x v="0"/>
    <x v="0"/>
    <x v="1"/>
    <n v="1"/>
    <n v="1"/>
    <m/>
    <m/>
    <m/>
    <m/>
    <m/>
    <m/>
    <m/>
    <m/>
    <m/>
    <m/>
    <m/>
    <m/>
    <m/>
    <m/>
    <m/>
    <m/>
    <m/>
    <m/>
    <m/>
    <n v="0"/>
    <n v="0"/>
  </r>
  <r>
    <n v="2411"/>
    <x v="0"/>
    <s v="2021/0138"/>
    <s v="South Lambeth Goods Depot, Cringle St./Battersea Park Rd., Kirtling Street (Battersea Power Station)"/>
    <s v="Phase 3Aii (PP1 &amp; PP2, RS-4)"/>
    <n v="528934"/>
    <n v="177496"/>
    <x v="15"/>
    <d v="2016-05-16T00:00:00"/>
    <m/>
    <n v="0"/>
    <n v="13"/>
    <n v="13"/>
    <n v="2027"/>
    <n v="2027"/>
    <x v="0"/>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x v="0"/>
    <s v="Nil"/>
    <m/>
    <s v="BF"/>
    <s v="NB"/>
    <x v="0"/>
    <x v="0"/>
    <n v="1.2999999999999999E-2"/>
    <d v="2016-05-16T00:00:00"/>
    <x v="0"/>
    <d v="2022-04-01T00:00:00"/>
    <x v="2"/>
    <s v="M"/>
    <s v="2.1.1"/>
    <m/>
    <n v="13"/>
    <m/>
    <n v="1"/>
    <m/>
    <n v="0"/>
    <n v="0"/>
    <n v="0"/>
    <n v="0"/>
    <n v="3"/>
    <n v="10"/>
    <n v="0"/>
    <n v="0"/>
    <n v="0"/>
    <n v="0"/>
    <n v="0"/>
    <n v="3"/>
    <n v="10"/>
    <n v="0"/>
    <n v="0"/>
    <n v="0"/>
    <n v="0"/>
    <n v="0"/>
    <n v="0"/>
    <n v="0"/>
    <n v="0"/>
    <n v="0"/>
    <n v="0"/>
    <n v="0"/>
    <n v="0"/>
    <n v="0"/>
    <n v="0"/>
    <n v="0"/>
    <x v="0"/>
    <x v="1"/>
    <x v="7"/>
    <n v="1"/>
    <n v="13"/>
    <m/>
    <m/>
    <m/>
    <m/>
    <m/>
    <m/>
    <m/>
    <m/>
    <m/>
    <m/>
    <m/>
    <m/>
    <m/>
    <m/>
    <m/>
    <m/>
    <m/>
    <m/>
    <m/>
    <n v="0"/>
    <n v="0"/>
  </r>
  <r>
    <n v="3704"/>
    <x v="0"/>
    <s v="2019/4763"/>
    <s v="67 Blakenham Road"/>
    <s v=""/>
    <n v="527795"/>
    <n v="171699"/>
    <x v="9"/>
    <d v="2017-10-03T00:00:00"/>
    <d v="2023-01-06T00:00:00"/>
    <n v="0"/>
    <n v="1"/>
    <n v="1"/>
    <n v="1"/>
    <n v="1"/>
    <x v="1"/>
    <s v="Demolition of existing building and erection of a two-storey (plus basement) 2-bedroom dwelling (retrospective)."/>
    <s v="PF"/>
    <d v="2019-12-10T00:00:00"/>
    <d v="2020-02-11T00:00:00"/>
    <x v="0"/>
    <s v="Nil"/>
    <m/>
    <s v="BF"/>
    <s v="NB"/>
    <x v="2"/>
    <x v="1"/>
    <n v="4.0000000000000001E-3"/>
    <d v="2017-10-03T00:00:00"/>
    <x v="0"/>
    <d v="2023-01-06T00:00:00"/>
    <x v="2"/>
    <s v="M"/>
    <s v=""/>
    <m/>
    <n v="0"/>
    <m/>
    <n v="0"/>
    <m/>
    <n v="0"/>
    <n v="0"/>
    <n v="1"/>
    <n v="0"/>
    <n v="0"/>
    <n v="0"/>
    <n v="0"/>
    <n v="0"/>
    <n v="0"/>
    <n v="0"/>
    <n v="0"/>
    <n v="0"/>
    <n v="0"/>
    <n v="0"/>
    <n v="0"/>
    <n v="0"/>
    <n v="1"/>
    <n v="0"/>
    <n v="0"/>
    <n v="0"/>
    <n v="0"/>
    <n v="0"/>
    <n v="0"/>
    <n v="0"/>
    <n v="0"/>
    <n v="0"/>
    <n v="0"/>
    <n v="0"/>
    <x v="0"/>
    <x v="0"/>
    <x v="1"/>
    <n v="1"/>
    <n v="1"/>
    <m/>
    <m/>
    <m/>
    <m/>
    <m/>
    <m/>
    <m/>
    <m/>
    <m/>
    <m/>
    <m/>
    <m/>
    <m/>
    <m/>
    <m/>
    <m/>
    <m/>
    <m/>
    <m/>
    <n v="0"/>
    <n v="0"/>
  </r>
  <r>
    <n v="6743"/>
    <x v="0"/>
    <s v="2019/4852"/>
    <s v="Garages South Of, 100 Lucien Road"/>
    <s v=""/>
    <n v="528375"/>
    <n v="171419"/>
    <x v="9"/>
    <d v="2020-04-01T00:00:00"/>
    <d v="2022-12-19T00:00:00"/>
    <n v="0"/>
    <n v="1"/>
    <n v="1"/>
    <n v="1"/>
    <n v="1"/>
    <x v="1"/>
    <s v="Demolition of existing garage and erection of two-storey 1-bedroom house with associated bin storage."/>
    <s v="PF"/>
    <d v="2019-12-09T00:00:00"/>
    <d v="2020-01-03T00:00:00"/>
    <x v="0"/>
    <s v="Nil"/>
    <m/>
    <s v="BF"/>
    <s v="NB"/>
    <x v="2"/>
    <x v="1"/>
    <n v="7.0000000000000001E-3"/>
    <d v="2020-04-01T00:00:00"/>
    <x v="0"/>
    <d v="2022-12-19T00:00:00"/>
    <x v="2"/>
    <s v="M"/>
    <s v=""/>
    <m/>
    <n v="0"/>
    <m/>
    <n v="0"/>
    <m/>
    <n v="0"/>
    <n v="1"/>
    <n v="0"/>
    <n v="0"/>
    <n v="0"/>
    <n v="0"/>
    <n v="0"/>
    <n v="0"/>
    <n v="0"/>
    <n v="0"/>
    <n v="0"/>
    <n v="0"/>
    <n v="0"/>
    <n v="0"/>
    <n v="0"/>
    <n v="1"/>
    <n v="0"/>
    <n v="0"/>
    <n v="0"/>
    <n v="0"/>
    <n v="0"/>
    <n v="0"/>
    <n v="0"/>
    <n v="0"/>
    <n v="0"/>
    <n v="0"/>
    <n v="0"/>
    <n v="0"/>
    <x v="0"/>
    <x v="0"/>
    <x v="1"/>
    <n v="1"/>
    <n v="1"/>
    <m/>
    <m/>
    <m/>
    <m/>
    <m/>
    <m/>
    <m/>
    <m/>
    <m/>
    <m/>
    <m/>
    <m/>
    <m/>
    <m/>
    <m/>
    <m/>
    <m/>
    <m/>
    <m/>
    <n v="0"/>
    <n v="0"/>
  </r>
  <r>
    <n v="2776"/>
    <x v="0"/>
    <s v="2019/5025"/>
    <s v="30 Roehampton Gate"/>
    <s v=""/>
    <n v="521212"/>
    <n v="174400"/>
    <x v="16"/>
    <d v="2021-03-01T00:00:00"/>
    <d v="2023-03-03T00:00:00"/>
    <n v="1"/>
    <n v="1"/>
    <n v="0"/>
    <n v="1"/>
    <n v="0"/>
    <x v="1"/>
    <s v="Demolition of existing dwelling and erection of a three-storey plus basement 4-bedroom house."/>
    <s v="PF"/>
    <d v="2019-12-10T00:00:00"/>
    <d v="2020-01-17T00:00:00"/>
    <x v="0"/>
    <s v="Nil"/>
    <m/>
    <s v="BF"/>
    <s v="NB"/>
    <x v="2"/>
    <x v="1"/>
    <n v="6.6000000000000003E-2"/>
    <d v="2021-03-01T00:00:00"/>
    <x v="0"/>
    <d v="2023-03-03T00:00:00"/>
    <x v="2"/>
    <s v="M"/>
    <s v=""/>
    <m/>
    <n v="0"/>
    <m/>
    <n v="0"/>
    <m/>
    <n v="0"/>
    <n v="0"/>
    <n v="0"/>
    <n v="0"/>
    <n v="1"/>
    <n v="-1"/>
    <n v="0"/>
    <n v="0"/>
    <n v="0"/>
    <n v="0"/>
    <n v="0"/>
    <n v="0"/>
    <n v="0"/>
    <n v="0"/>
    <n v="0"/>
    <n v="0"/>
    <n v="0"/>
    <n v="0"/>
    <n v="1"/>
    <n v="-1"/>
    <n v="0"/>
    <n v="0"/>
    <n v="0"/>
    <n v="0"/>
    <n v="0"/>
    <n v="0"/>
    <n v="0"/>
    <n v="0"/>
    <x v="0"/>
    <x v="0"/>
    <x v="1"/>
    <n v="1"/>
    <n v="0"/>
    <m/>
    <m/>
    <m/>
    <m/>
    <m/>
    <m/>
    <m/>
    <m/>
    <m/>
    <m/>
    <m/>
    <m/>
    <m/>
    <m/>
    <m/>
    <m/>
    <m/>
    <m/>
    <m/>
    <n v="0"/>
    <n v="0"/>
  </r>
  <r>
    <n v="7406"/>
    <x v="0"/>
    <s v="2019/5099"/>
    <s v="1 Langside Avenue"/>
    <s v=""/>
    <n v="522257"/>
    <n v="175281"/>
    <x v="16"/>
    <d v="2020-09-01T00:00:00"/>
    <d v="2022-05-03T00:00:00"/>
    <n v="3"/>
    <n v="1"/>
    <n v="-2"/>
    <n v="1"/>
    <n v="-2"/>
    <x v="1"/>
    <s v="Alterations including erection of a roof extension to main rear roof, two-storey rear extension, single storey rear/side extension,  formation of a roof terrace at rear first floor level, circular window, new front door, rooflights to front elevation and main roof slope, alterations to side elevation windows, new render in connection with use of the property as a single dwelling."/>
    <s v="PF"/>
    <d v="2020-02-27T00:00:00"/>
    <d v="2020-04-23T00:00:00"/>
    <x v="0"/>
    <s v="Nil"/>
    <m/>
    <s v="BF"/>
    <s v="CON"/>
    <x v="2"/>
    <x v="8"/>
    <n v="4.4999999999999998E-2"/>
    <d v="2020-09-01T00:00:00"/>
    <x v="0"/>
    <d v="2022-05-03T00:00:00"/>
    <x v="2"/>
    <s v="M"/>
    <s v=""/>
    <m/>
    <n v="0"/>
    <m/>
    <n v="0"/>
    <m/>
    <n v="0"/>
    <n v="0"/>
    <n v="-3"/>
    <n v="0"/>
    <n v="0"/>
    <n v="1"/>
    <n v="0"/>
    <n v="0"/>
    <n v="0"/>
    <n v="-3"/>
    <n v="0"/>
    <n v="0"/>
    <n v="0"/>
    <n v="0"/>
    <n v="0"/>
    <n v="0"/>
    <n v="0"/>
    <n v="0"/>
    <n v="0"/>
    <n v="1"/>
    <n v="0"/>
    <n v="0"/>
    <n v="0"/>
    <n v="0"/>
    <n v="0"/>
    <n v="0"/>
    <n v="0"/>
    <n v="0"/>
    <x v="0"/>
    <x v="0"/>
    <x v="1"/>
    <n v="11"/>
    <n v="-2"/>
    <m/>
    <m/>
    <m/>
    <m/>
    <m/>
    <m/>
    <m/>
    <m/>
    <m/>
    <m/>
    <m/>
    <m/>
    <m/>
    <m/>
    <m/>
    <m/>
    <m/>
    <m/>
    <m/>
    <n v="0"/>
    <n v="0"/>
  </r>
  <r>
    <n v="7329"/>
    <x v="0"/>
    <s v="2020/0009"/>
    <s v="Lower ground floor and ground floor, 75a &amp; b Nightingale Lane"/>
    <s v=""/>
    <n v="528208"/>
    <n v="173978"/>
    <x v="2"/>
    <d v="2021-04-01T00:00:00"/>
    <d v="2022-05-20T00:00:00"/>
    <n v="2"/>
    <n v="1"/>
    <n v="-1"/>
    <n v="1"/>
    <n v="-1"/>
    <x v="1"/>
    <s v="Conversion of flats 75A and 75B into one x 3-bedroom flat."/>
    <s v="PF"/>
    <d v="2020-01-29T00:00:00"/>
    <d v="2020-03-20T00:00:00"/>
    <x v="0"/>
    <s v="Nil"/>
    <m/>
    <s v="BF"/>
    <s v="CON"/>
    <x v="2"/>
    <x v="9"/>
    <n v="1.9E-2"/>
    <d v="2021-04-01T00:00:00"/>
    <x v="0"/>
    <d v="2022-05-20T00:00:00"/>
    <x v="2"/>
    <s v="M"/>
    <s v=""/>
    <m/>
    <n v="0"/>
    <m/>
    <n v="0"/>
    <m/>
    <n v="0"/>
    <n v="-1"/>
    <n v="-1"/>
    <n v="1"/>
    <n v="0"/>
    <n v="0"/>
    <n v="0"/>
    <n v="0"/>
    <n v="-1"/>
    <n v="-1"/>
    <n v="1"/>
    <n v="0"/>
    <n v="0"/>
    <n v="0"/>
    <n v="0"/>
    <n v="0"/>
    <n v="0"/>
    <n v="0"/>
    <n v="0"/>
    <n v="0"/>
    <n v="0"/>
    <n v="0"/>
    <n v="0"/>
    <n v="0"/>
    <n v="0"/>
    <n v="0"/>
    <n v="0"/>
    <n v="0"/>
    <x v="0"/>
    <x v="0"/>
    <x v="1"/>
    <n v="11"/>
    <n v="-1"/>
    <m/>
    <m/>
    <m/>
    <m/>
    <m/>
    <m/>
    <m/>
    <m/>
    <m/>
    <m/>
    <m/>
    <m/>
    <m/>
    <m/>
    <m/>
    <m/>
    <m/>
    <m/>
    <m/>
    <n v="0"/>
    <n v="0"/>
  </r>
  <r>
    <n v="330"/>
    <x v="0"/>
    <s v="2020/0389"/>
    <s v="165 Upper Richmond Road"/>
    <s v=""/>
    <n v="523924"/>
    <n v="175043"/>
    <x v="18"/>
    <d v="2021-04-01T00:00:00"/>
    <d v="2023-01-10T00:00:00"/>
    <n v="0"/>
    <n v="1"/>
    <n v="1"/>
    <n v="2"/>
    <n v="1"/>
    <x v="1"/>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x v="0"/>
    <s v="Nil"/>
    <m/>
    <s v="BF"/>
    <s v="MIX"/>
    <x v="2"/>
    <x v="2"/>
    <n v="5.0000000000000001E-3"/>
    <d v="2021-04-01T00:00:00"/>
    <x v="0"/>
    <d v="2023-01-10T00:00:00"/>
    <x v="2"/>
    <s v="M"/>
    <s v=""/>
    <m/>
    <n v="0"/>
    <m/>
    <n v="0"/>
    <m/>
    <n v="0"/>
    <n v="0"/>
    <n v="1"/>
    <n v="0"/>
    <n v="0"/>
    <n v="0"/>
    <n v="0"/>
    <n v="0"/>
    <n v="0"/>
    <n v="1"/>
    <n v="0"/>
    <n v="0"/>
    <n v="0"/>
    <n v="0"/>
    <n v="0"/>
    <n v="0"/>
    <n v="0"/>
    <n v="0"/>
    <n v="0"/>
    <n v="0"/>
    <n v="0"/>
    <n v="0"/>
    <n v="0"/>
    <n v="0"/>
    <n v="0"/>
    <n v="0"/>
    <n v="0"/>
    <n v="0"/>
    <x v="4"/>
    <x v="0"/>
    <x v="4"/>
    <n v="11"/>
    <n v="1"/>
    <m/>
    <m/>
    <m/>
    <m/>
    <m/>
    <m/>
    <m/>
    <m/>
    <m/>
    <m/>
    <m/>
    <m/>
    <m/>
    <m/>
    <m/>
    <m/>
    <m/>
    <m/>
    <m/>
    <n v="0"/>
    <n v="0"/>
  </r>
  <r>
    <n v="330"/>
    <x v="0"/>
    <s v="2020/0389"/>
    <s v="165 Upper Richmond Road"/>
    <s v=""/>
    <n v="523924"/>
    <n v="175043"/>
    <x v="18"/>
    <d v="2021-04-01T00:00:00"/>
    <d v="2023-01-10T00:00:00"/>
    <n v="1"/>
    <n v="1"/>
    <n v="0"/>
    <n v="2"/>
    <n v="1"/>
    <x v="1"/>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x v="0"/>
    <s v="Nil"/>
    <m/>
    <s v="BF"/>
    <s v="MIX"/>
    <x v="2"/>
    <x v="7"/>
    <n v="4.0000000000000001E-3"/>
    <d v="2021-04-01T00:00:00"/>
    <x v="0"/>
    <d v="2023-01-10T00:00:00"/>
    <x v="2"/>
    <s v="M"/>
    <s v=""/>
    <m/>
    <n v="0"/>
    <m/>
    <n v="0"/>
    <m/>
    <n v="0"/>
    <n v="1"/>
    <n v="0"/>
    <n v="-1"/>
    <n v="0"/>
    <n v="0"/>
    <n v="0"/>
    <n v="0"/>
    <n v="1"/>
    <n v="0"/>
    <n v="-1"/>
    <n v="0"/>
    <n v="0"/>
    <n v="0"/>
    <n v="0"/>
    <n v="0"/>
    <n v="0"/>
    <n v="0"/>
    <n v="0"/>
    <n v="0"/>
    <n v="0"/>
    <n v="0"/>
    <n v="0"/>
    <n v="0"/>
    <n v="0"/>
    <n v="0"/>
    <n v="0"/>
    <n v="0"/>
    <x v="4"/>
    <x v="0"/>
    <x v="4"/>
    <n v="11"/>
    <n v="0"/>
    <m/>
    <m/>
    <m/>
    <m/>
    <m/>
    <m/>
    <m/>
    <m/>
    <m/>
    <m/>
    <m/>
    <m/>
    <m/>
    <m/>
    <m/>
    <m/>
    <m/>
    <m/>
    <m/>
    <n v="0"/>
    <n v="0"/>
  </r>
  <r>
    <n v="7339"/>
    <x v="0"/>
    <s v="2020/0452"/>
    <s v="11 Grandison Road"/>
    <s v=""/>
    <n v="527876"/>
    <n v="174963"/>
    <x v="14"/>
    <d v="2021-04-01T00:00:00"/>
    <d v="2022-11-18T00:00:00"/>
    <n v="2"/>
    <n v="1"/>
    <n v="-1"/>
    <n v="1"/>
    <n v="-1"/>
    <x v="1"/>
    <s v="Alterations to include the erection of single-storey rear/side extension in connection with conversion of 2 x existing self-contained flats into a single dwellinghouse."/>
    <s v="PF"/>
    <d v="2020-02-14T00:00:00"/>
    <d v="2020-11-30T00:00:00"/>
    <x v="0"/>
    <s v="Nil"/>
    <m/>
    <s v="BF"/>
    <s v="CON"/>
    <x v="2"/>
    <x v="8"/>
    <n v="1.4999999999999999E-2"/>
    <d v="2021-04-01T00:00:00"/>
    <x v="0"/>
    <d v="2022-11-18T00:00:00"/>
    <x v="2"/>
    <s v="M"/>
    <s v=""/>
    <m/>
    <n v="0"/>
    <m/>
    <n v="0"/>
    <m/>
    <n v="0"/>
    <n v="-1"/>
    <n v="-1"/>
    <n v="0"/>
    <n v="1"/>
    <n v="0"/>
    <n v="0"/>
    <n v="0"/>
    <n v="-1"/>
    <n v="-1"/>
    <n v="0"/>
    <n v="0"/>
    <n v="0"/>
    <n v="0"/>
    <n v="0"/>
    <n v="0"/>
    <n v="0"/>
    <n v="0"/>
    <n v="1"/>
    <n v="0"/>
    <n v="0"/>
    <n v="0"/>
    <n v="0"/>
    <n v="0"/>
    <n v="0"/>
    <n v="0"/>
    <n v="0"/>
    <n v="0"/>
    <x v="0"/>
    <x v="0"/>
    <x v="1"/>
    <n v="11"/>
    <n v="-1"/>
    <m/>
    <m/>
    <m/>
    <m/>
    <m/>
    <m/>
    <m/>
    <m/>
    <m/>
    <m/>
    <m/>
    <m/>
    <m/>
    <m/>
    <m/>
    <m/>
    <m/>
    <m/>
    <m/>
    <n v="0"/>
    <n v="0"/>
  </r>
  <r>
    <n v="6106"/>
    <x v="0"/>
    <s v="2020/0722"/>
    <s v="13 Henderson Road"/>
    <s v=""/>
    <n v="527089"/>
    <n v="173917"/>
    <x v="10"/>
    <d v="2020-09-08T00:00:00"/>
    <d v="2023-03-13T00:00:00"/>
    <n v="2"/>
    <n v="1"/>
    <n v="-1"/>
    <n v="1"/>
    <n v="-1"/>
    <x v="1"/>
    <s v="Alterations including erection of front dormer, front portico, part single part three storey rear/side extension;  excavation to create basement including formation of front and rear lightwells with grille over in connection with use as a single dwelling house; the removal of two trees to the rear (Amended Description)."/>
    <s v="PF"/>
    <d v="2020-03-04T00:00:00"/>
    <d v="2020-05-26T00:00:00"/>
    <x v="0"/>
    <s v="Nil"/>
    <m/>
    <s v="BF"/>
    <s v="CON"/>
    <x v="2"/>
    <x v="8"/>
    <n v="3.2000000000000001E-2"/>
    <d v="2020-09-08T00:00:00"/>
    <x v="0"/>
    <d v="2023-03-13T00:00:00"/>
    <x v="2"/>
    <s v="M"/>
    <s v=""/>
    <m/>
    <n v="0"/>
    <m/>
    <n v="0"/>
    <m/>
    <n v="0"/>
    <n v="-1"/>
    <n v="-1"/>
    <n v="0"/>
    <n v="0"/>
    <n v="1"/>
    <n v="0"/>
    <n v="0"/>
    <n v="-1"/>
    <n v="-1"/>
    <n v="0"/>
    <n v="0"/>
    <n v="0"/>
    <n v="0"/>
    <n v="0"/>
    <n v="0"/>
    <n v="0"/>
    <n v="0"/>
    <n v="0"/>
    <n v="1"/>
    <n v="0"/>
    <n v="0"/>
    <n v="0"/>
    <n v="0"/>
    <n v="0"/>
    <n v="0"/>
    <n v="0"/>
    <n v="0"/>
    <x v="0"/>
    <x v="0"/>
    <x v="1"/>
    <n v="11"/>
    <n v="-1"/>
    <m/>
    <m/>
    <m/>
    <m/>
    <m/>
    <m/>
    <m/>
    <m/>
    <m/>
    <m/>
    <m/>
    <m/>
    <m/>
    <m/>
    <m/>
    <m/>
    <m/>
    <m/>
    <m/>
    <n v="0"/>
    <n v="0"/>
  </r>
  <r>
    <n v="7405"/>
    <x v="0"/>
    <s v="2020/0777"/>
    <s v="41 St James Drive"/>
    <s v=""/>
    <n v="527642"/>
    <n v="173034"/>
    <x v="4"/>
    <d v="2020-11-25T00:00:00"/>
    <d v="2022-09-14T00:00:00"/>
    <n v="3"/>
    <n v="1"/>
    <n v="-2"/>
    <n v="1"/>
    <n v="-2"/>
    <x v="1"/>
    <s v="Change of use of property from 3 x self-contained flats (Class C3) into a single dwellinghouse (Class C3)."/>
    <s v="PF"/>
    <d v="2020-03-02T00:00:00"/>
    <d v="2020-04-24T00:00:00"/>
    <x v="0"/>
    <s v="Nil"/>
    <m/>
    <s v="BF"/>
    <s v="CON"/>
    <x v="2"/>
    <x v="8"/>
    <n v="7.2999999999999995E-2"/>
    <d v="2020-11-25T00:00:00"/>
    <x v="0"/>
    <d v="2022-09-14T00:00:00"/>
    <x v="2"/>
    <s v="M"/>
    <s v=""/>
    <m/>
    <n v="0"/>
    <m/>
    <n v="0"/>
    <m/>
    <n v="0"/>
    <n v="-2"/>
    <n v="0"/>
    <n v="0"/>
    <n v="-1"/>
    <n v="1"/>
    <n v="0"/>
    <n v="0"/>
    <n v="-2"/>
    <n v="0"/>
    <n v="0"/>
    <n v="-1"/>
    <n v="0"/>
    <n v="0"/>
    <n v="0"/>
    <n v="0"/>
    <n v="0"/>
    <n v="0"/>
    <n v="0"/>
    <n v="1"/>
    <n v="0"/>
    <n v="0"/>
    <n v="0"/>
    <n v="0"/>
    <n v="0"/>
    <n v="0"/>
    <n v="0"/>
    <n v="0"/>
    <x v="0"/>
    <x v="0"/>
    <x v="1"/>
    <n v="11"/>
    <n v="-2"/>
    <m/>
    <m/>
    <m/>
    <m/>
    <m/>
    <m/>
    <m/>
    <m/>
    <m/>
    <m/>
    <m/>
    <m/>
    <m/>
    <m/>
    <m/>
    <m/>
    <m/>
    <m/>
    <m/>
    <n v="0"/>
    <n v="0"/>
  </r>
  <r>
    <n v="7389"/>
    <x v="0"/>
    <s v="2020/1354"/>
    <s v="18-21 Denton Street"/>
    <s v=""/>
    <n v="525894"/>
    <n v="174375"/>
    <x v="6"/>
    <d v="2022-02-28T00:00:00"/>
    <d v="2022-09-23T00:00:00"/>
    <n v="0"/>
    <n v="1"/>
    <n v="1"/>
    <n v="1"/>
    <n v="1"/>
    <x v="1"/>
    <s v="Alterations including raising the ridge by 350mm, erection of mansard roof extension to main rear roof and roof extension above part of two storey back addition in connection with formation of 1 x 2-bedroom flat."/>
    <s v="PF"/>
    <d v="2020-04-15T00:00:00"/>
    <d v="2020-07-23T00:00:00"/>
    <x v="0"/>
    <s v="Nil"/>
    <m/>
    <s v="BF"/>
    <s v="EXT"/>
    <x v="2"/>
    <x v="2"/>
    <n v="3.0000000000000001E-3"/>
    <d v="2022-02-28T00:00:00"/>
    <x v="0"/>
    <d v="2022-09-23T00:00:00"/>
    <x v="2"/>
    <s v="M"/>
    <s v=""/>
    <m/>
    <n v="0"/>
    <m/>
    <n v="0"/>
    <m/>
    <n v="0"/>
    <n v="0"/>
    <n v="1"/>
    <n v="0"/>
    <n v="0"/>
    <n v="0"/>
    <n v="0"/>
    <n v="0"/>
    <n v="0"/>
    <n v="1"/>
    <n v="0"/>
    <n v="0"/>
    <n v="0"/>
    <n v="0"/>
    <n v="0"/>
    <n v="0"/>
    <n v="0"/>
    <n v="0"/>
    <n v="0"/>
    <n v="0"/>
    <n v="0"/>
    <n v="0"/>
    <n v="0"/>
    <n v="0"/>
    <n v="0"/>
    <n v="0"/>
    <n v="0"/>
    <n v="0"/>
    <x v="0"/>
    <x v="0"/>
    <x v="0"/>
    <n v="11"/>
    <n v="1"/>
    <m/>
    <m/>
    <m/>
    <m/>
    <m/>
    <m/>
    <m/>
    <m/>
    <m/>
    <m/>
    <m/>
    <m/>
    <m/>
    <m/>
    <m/>
    <m/>
    <m/>
    <m/>
    <m/>
    <n v="0"/>
    <n v="0"/>
  </r>
  <r>
    <n v="6860"/>
    <x v="0"/>
    <s v="2020/1605"/>
    <s v="116 Tooting High Street"/>
    <s v=""/>
    <n v="527312"/>
    <n v="171270"/>
    <x v="3"/>
    <d v="2020-09-01T00:00:00"/>
    <m/>
    <n v="0"/>
    <n v="1"/>
    <n v="1"/>
    <n v="1"/>
    <n v="1"/>
    <x v="1"/>
    <s v="Part change of use of ground floor take away (Class A5) to residential use (Class C3) and erection of single-storey rear extension, removal of ground floor rear door and installation of side windows to create 1 x studio flat."/>
    <s v="PF"/>
    <d v="2020-11-11T00:00:00"/>
    <d v="2021-01-06T00:00:00"/>
    <x v="0"/>
    <s v="Nil"/>
    <m/>
    <s v="BF"/>
    <s v="COU"/>
    <x v="2"/>
    <x v="3"/>
    <n v="2E-3"/>
    <d v="2020-09-01T00:00:00"/>
    <x v="0"/>
    <d v="2022-04-03T00:00:00"/>
    <x v="2"/>
    <s v="M"/>
    <s v=""/>
    <m/>
    <n v="0"/>
    <m/>
    <n v="0"/>
    <m/>
    <n v="1"/>
    <n v="0"/>
    <n v="0"/>
    <n v="0"/>
    <n v="0"/>
    <n v="0"/>
    <n v="0"/>
    <n v="1"/>
    <n v="0"/>
    <n v="0"/>
    <n v="0"/>
    <n v="0"/>
    <n v="0"/>
    <n v="0"/>
    <n v="0"/>
    <n v="0"/>
    <n v="0"/>
    <n v="0"/>
    <n v="0"/>
    <n v="0"/>
    <n v="0"/>
    <n v="0"/>
    <n v="0"/>
    <n v="0"/>
    <n v="0"/>
    <n v="0"/>
    <n v="0"/>
    <n v="0"/>
    <x v="0"/>
    <x v="0"/>
    <x v="3"/>
    <n v="11"/>
    <n v="1"/>
    <m/>
    <m/>
    <m/>
    <m/>
    <m/>
    <m/>
    <m/>
    <m/>
    <m/>
    <m/>
    <m/>
    <m/>
    <m/>
    <m/>
    <m/>
    <m/>
    <m/>
    <m/>
    <m/>
    <n v="0"/>
    <n v="0"/>
  </r>
  <r>
    <n v="6684"/>
    <x v="0"/>
    <s v="2020/2128"/>
    <s v="Land to the rear of, 168 Bedford Hill (113 Ritherdon Road)"/>
    <s v=""/>
    <n v="528833"/>
    <n v="172628"/>
    <x v="8"/>
    <d v="2020-09-11T00:00:00"/>
    <d v="2022-04-01T00:00:00"/>
    <n v="0"/>
    <n v="1"/>
    <n v="1"/>
    <n v="1"/>
    <n v="1"/>
    <x v="1"/>
    <s v="Demolition of existing garage and erection of a one-storey (plus two-storey basement) 1-bedroom house."/>
    <s v="PF"/>
    <d v="2020-07-10T00:00:00"/>
    <d v="2020-09-11T00:00:00"/>
    <x v="0"/>
    <s v="Nil"/>
    <m/>
    <s v="BF"/>
    <s v="NB"/>
    <x v="2"/>
    <x v="1"/>
    <n v="5.0000000000000001E-3"/>
    <d v="2020-09-11T00:00:00"/>
    <x v="0"/>
    <d v="2022-04-01T00:00:00"/>
    <x v="2"/>
    <s v="M"/>
    <s v=""/>
    <m/>
    <n v="0"/>
    <m/>
    <n v="0"/>
    <m/>
    <n v="0"/>
    <n v="1"/>
    <n v="0"/>
    <n v="0"/>
    <n v="0"/>
    <n v="0"/>
    <n v="0"/>
    <n v="0"/>
    <n v="0"/>
    <n v="0"/>
    <n v="0"/>
    <n v="0"/>
    <n v="0"/>
    <n v="0"/>
    <n v="0"/>
    <n v="1"/>
    <n v="0"/>
    <n v="0"/>
    <n v="0"/>
    <n v="0"/>
    <n v="0"/>
    <n v="0"/>
    <n v="0"/>
    <n v="0"/>
    <n v="0"/>
    <n v="0"/>
    <n v="0"/>
    <n v="0"/>
    <x v="0"/>
    <x v="0"/>
    <x v="1"/>
    <n v="1"/>
    <n v="1"/>
    <m/>
    <m/>
    <m/>
    <m/>
    <m/>
    <m/>
    <m/>
    <m/>
    <m/>
    <m/>
    <m/>
    <m/>
    <m/>
    <m/>
    <m/>
    <m/>
    <m/>
    <m/>
    <m/>
    <n v="0"/>
    <n v="0"/>
  </r>
  <r>
    <n v="7444"/>
    <x v="0"/>
    <s v="2020/2670"/>
    <s v="Rear of, 795 Garratt Lane"/>
    <s v=""/>
    <n v="526343"/>
    <n v="172064"/>
    <x v="10"/>
    <d v="2022-02-02T00:00:00"/>
    <d v="2023-01-03T00:00:00"/>
    <n v="0"/>
    <n v="1"/>
    <n v="1"/>
    <n v="1"/>
    <n v="1"/>
    <x v="1"/>
    <s v="Redevelopment to provide a two-storey 2 bedroom dwelling (Class C3)."/>
    <s v="PF"/>
    <d v="2020-07-24T00:00:00"/>
    <d v="2020-11-18T00:00:00"/>
    <x v="0"/>
    <s v="Nil"/>
    <m/>
    <s v="BF"/>
    <s v="NB"/>
    <x v="2"/>
    <x v="1"/>
    <n v="2E-3"/>
    <d v="2022-02-02T00:00:00"/>
    <x v="0"/>
    <d v="2023-01-03T00:00:00"/>
    <x v="2"/>
    <s v="M"/>
    <s v=""/>
    <m/>
    <n v="0"/>
    <m/>
    <n v="0"/>
    <m/>
    <n v="0"/>
    <n v="0"/>
    <n v="1"/>
    <n v="0"/>
    <n v="0"/>
    <n v="0"/>
    <n v="0"/>
    <n v="0"/>
    <n v="0"/>
    <n v="0"/>
    <n v="0"/>
    <n v="0"/>
    <n v="0"/>
    <n v="0"/>
    <n v="0"/>
    <n v="0"/>
    <n v="1"/>
    <n v="0"/>
    <n v="0"/>
    <n v="0"/>
    <n v="0"/>
    <n v="0"/>
    <n v="0"/>
    <n v="0"/>
    <n v="0"/>
    <n v="0"/>
    <n v="0"/>
    <n v="0"/>
    <x v="0"/>
    <x v="0"/>
    <x v="1"/>
    <n v="1"/>
    <n v="1"/>
    <m/>
    <m/>
    <m/>
    <m/>
    <m/>
    <m/>
    <m/>
    <m/>
    <m/>
    <m/>
    <m/>
    <m/>
    <m/>
    <m/>
    <m/>
    <m/>
    <m/>
    <m/>
    <m/>
    <n v="0"/>
    <n v="0"/>
  </r>
  <r>
    <n v="7446"/>
    <x v="0"/>
    <s v="2020/2743"/>
    <s v="44 Bickley Street"/>
    <s v=""/>
    <n v="527524"/>
    <n v="171254"/>
    <x v="3"/>
    <d v="2021-03-08T00:00:00"/>
    <d v="2022-09-06T00:00:00"/>
    <n v="0"/>
    <n v="1"/>
    <n v="1"/>
    <n v="1"/>
    <n v="1"/>
    <x v="1"/>
    <s v="Alterations including erection of mansard roof extensions to main rear roof and above part of two storey back addition, formation of roof terrace with screen surround above two storey back addition in connection with the creation of 1 x 1-bedroom 1-person flat."/>
    <s v="PF"/>
    <d v="2020-07-28T00:00:00"/>
    <d v="2020-09-22T00:00:00"/>
    <x v="0"/>
    <s v="Nil"/>
    <m/>
    <s v="BF"/>
    <s v="EXT"/>
    <x v="2"/>
    <x v="2"/>
    <n v="6.0000000000000001E-3"/>
    <d v="2021-03-08T00:00:00"/>
    <x v="0"/>
    <d v="2022-09-06T00:00:00"/>
    <x v="2"/>
    <s v="M"/>
    <s v=""/>
    <m/>
    <n v="0"/>
    <m/>
    <n v="0"/>
    <m/>
    <n v="0"/>
    <n v="1"/>
    <n v="0"/>
    <n v="0"/>
    <n v="0"/>
    <n v="0"/>
    <n v="0"/>
    <n v="0"/>
    <n v="1"/>
    <n v="0"/>
    <n v="0"/>
    <n v="0"/>
    <n v="0"/>
    <n v="0"/>
    <n v="0"/>
    <n v="0"/>
    <n v="0"/>
    <n v="0"/>
    <n v="0"/>
    <n v="0"/>
    <n v="0"/>
    <n v="0"/>
    <n v="0"/>
    <n v="0"/>
    <n v="0"/>
    <n v="0"/>
    <n v="0"/>
    <n v="0"/>
    <x v="0"/>
    <x v="0"/>
    <x v="3"/>
    <n v="11"/>
    <n v="1"/>
    <m/>
    <m/>
    <m/>
    <m/>
    <m/>
    <m/>
    <m/>
    <m/>
    <m/>
    <m/>
    <m/>
    <m/>
    <m/>
    <m/>
    <m/>
    <m/>
    <m/>
    <m/>
    <m/>
    <n v="0"/>
    <n v="0"/>
  </r>
  <r>
    <n v="7425"/>
    <x v="0"/>
    <s v="2020/2753"/>
    <s v="22-25 Denton Street"/>
    <s v=""/>
    <n v="525886"/>
    <n v="174370"/>
    <x v="6"/>
    <d v="2022-02-28T00:00:00"/>
    <d v="2022-09-23T00:00:00"/>
    <n v="0"/>
    <n v="1"/>
    <n v="1"/>
    <n v="1"/>
    <n v="1"/>
    <x v="1"/>
    <s v="Alterations including  erection of mansard roof extension to main rear roof including raising the ridge by 350mm and roof extension above part of two storey back addition in connection with formation of 1 x 2-bedroom flat."/>
    <s v="PF"/>
    <d v="2020-07-29T00:00:00"/>
    <d v="2020-09-23T00:00:00"/>
    <x v="0"/>
    <s v="Nil"/>
    <m/>
    <s v="BF"/>
    <s v="EXT"/>
    <x v="2"/>
    <x v="2"/>
    <n v="3.0000000000000001E-3"/>
    <d v="2022-02-28T00:00:00"/>
    <x v="0"/>
    <d v="2022-09-23T00:00:00"/>
    <x v="2"/>
    <s v="M"/>
    <s v=""/>
    <m/>
    <n v="0"/>
    <m/>
    <n v="0"/>
    <m/>
    <n v="0"/>
    <n v="0"/>
    <n v="1"/>
    <n v="0"/>
    <n v="0"/>
    <n v="0"/>
    <n v="0"/>
    <n v="0"/>
    <n v="0"/>
    <n v="1"/>
    <n v="0"/>
    <n v="0"/>
    <n v="0"/>
    <n v="0"/>
    <n v="0"/>
    <n v="0"/>
    <n v="0"/>
    <n v="0"/>
    <n v="0"/>
    <n v="0"/>
    <n v="0"/>
    <n v="0"/>
    <n v="0"/>
    <n v="0"/>
    <n v="0"/>
    <n v="0"/>
    <n v="0"/>
    <n v="0"/>
    <x v="0"/>
    <x v="0"/>
    <x v="0"/>
    <n v="11"/>
    <n v="1"/>
    <m/>
    <m/>
    <m/>
    <m/>
    <m/>
    <m/>
    <m/>
    <m/>
    <m/>
    <m/>
    <m/>
    <m/>
    <m/>
    <m/>
    <m/>
    <m/>
    <m/>
    <m/>
    <m/>
    <n v="0"/>
    <n v="0"/>
  </r>
  <r>
    <n v="7430"/>
    <x v="0"/>
    <s v="2020/2801"/>
    <s v="55 and 55a, Oakmead Road"/>
    <s v=""/>
    <n v="528521"/>
    <n v="173085"/>
    <x v="8"/>
    <d v="2022-02-02T00:00:00"/>
    <d v="2023-03-22T00:00:00"/>
    <n v="0"/>
    <n v="1"/>
    <n v="1"/>
    <n v="1"/>
    <n v="1"/>
    <x v="1"/>
    <s v="Erection of a mansard roof extension on the main rear roof slope and above  part of two-storey rear addition to form new 1-bedroom flat with the formation of a roof terrace with 1.7m obscured glazed screen.  Erection of ground floor rear/side extension to ground floor flat. Installation of new rear windows to first floor flat and external stair modification. Erection of new bin stores."/>
    <s v="PF"/>
    <d v="2020-07-31T00:00:00"/>
    <d v="2020-10-27T00:00:00"/>
    <x v="0"/>
    <s v="Nil"/>
    <m/>
    <s v="BF"/>
    <s v="EXT"/>
    <x v="2"/>
    <x v="2"/>
    <n v="4.0000000000000001E-3"/>
    <d v="2022-02-02T00:00:00"/>
    <x v="0"/>
    <d v="2023-03-22T00:00:00"/>
    <x v="2"/>
    <s v="M"/>
    <s v=""/>
    <m/>
    <n v="0"/>
    <m/>
    <n v="0"/>
    <m/>
    <n v="0"/>
    <n v="1"/>
    <n v="0"/>
    <n v="0"/>
    <n v="0"/>
    <n v="0"/>
    <n v="0"/>
    <n v="0"/>
    <n v="1"/>
    <n v="0"/>
    <n v="0"/>
    <n v="0"/>
    <n v="0"/>
    <n v="0"/>
    <n v="0"/>
    <n v="0"/>
    <n v="0"/>
    <n v="0"/>
    <n v="0"/>
    <n v="0"/>
    <n v="0"/>
    <n v="0"/>
    <n v="0"/>
    <n v="0"/>
    <n v="0"/>
    <n v="0"/>
    <n v="0"/>
    <n v="0"/>
    <x v="0"/>
    <x v="0"/>
    <x v="1"/>
    <n v="11"/>
    <n v="1"/>
    <m/>
    <m/>
    <m/>
    <m/>
    <m/>
    <m/>
    <m/>
    <m/>
    <m/>
    <m/>
    <m/>
    <m/>
    <m/>
    <m/>
    <m/>
    <m/>
    <m/>
    <m/>
    <m/>
    <n v="0"/>
    <n v="0"/>
  </r>
  <r>
    <n v="7473"/>
    <x v="0"/>
    <s v="2020/3308"/>
    <s v="30 Ellerton Road"/>
    <s v=""/>
    <n v="526733"/>
    <n v="173319"/>
    <x v="10"/>
    <d v="2020-11-23T00:00:00"/>
    <d v="2022-04-01T00:00:00"/>
    <n v="1"/>
    <n v="1"/>
    <n v="0"/>
    <n v="1"/>
    <n v="0"/>
    <x v="1"/>
    <s v="Excavation of basement, erection of two storey side and rear extension, single storey rear extension, two dormer roof extensions with rooflights to front and side roof slope. Erection of outbuilding and A/C condenser and acoustic enclosure. Changes to fenestration and new front boundary treatment"/>
    <s v="PF"/>
    <d v="2020-09-22T00:00:00"/>
    <d v="2020-11-18T00:00:00"/>
    <x v="0"/>
    <s v="Nil"/>
    <m/>
    <s v="BF"/>
    <s v="NB"/>
    <x v="2"/>
    <x v="1"/>
    <n v="4.2999999999999997E-2"/>
    <d v="2020-11-23T00:00:00"/>
    <x v="0"/>
    <d v="2022-04-01T00:00:00"/>
    <x v="2"/>
    <s v="M"/>
    <s v=""/>
    <m/>
    <n v="0"/>
    <m/>
    <n v="0"/>
    <m/>
    <n v="0"/>
    <n v="0"/>
    <n v="0"/>
    <n v="-1"/>
    <n v="1"/>
    <n v="0"/>
    <n v="0"/>
    <n v="0"/>
    <n v="0"/>
    <n v="0"/>
    <n v="0"/>
    <n v="0"/>
    <n v="0"/>
    <n v="0"/>
    <n v="0"/>
    <n v="0"/>
    <n v="0"/>
    <n v="-1"/>
    <n v="1"/>
    <n v="0"/>
    <n v="0"/>
    <n v="0"/>
    <n v="0"/>
    <n v="0"/>
    <n v="0"/>
    <n v="0"/>
    <n v="0"/>
    <n v="0"/>
    <x v="0"/>
    <x v="0"/>
    <x v="1"/>
    <n v="1"/>
    <n v="0"/>
    <m/>
    <m/>
    <m/>
    <m/>
    <m/>
    <m/>
    <m/>
    <m/>
    <m/>
    <m/>
    <m/>
    <m/>
    <m/>
    <m/>
    <m/>
    <m/>
    <m/>
    <m/>
    <m/>
    <n v="0"/>
    <n v="0"/>
  </r>
  <r>
    <n v="7475"/>
    <x v="0"/>
    <s v="2020/3493"/>
    <s v="23 Tantallon Road"/>
    <s v=""/>
    <n v="528243"/>
    <n v="173440"/>
    <x v="2"/>
    <d v="2022-03-31T00:00:00"/>
    <d v="2022-09-19T00:00:00"/>
    <n v="2"/>
    <n v="1"/>
    <n v="-1"/>
    <n v="1"/>
    <n v="-1"/>
    <x v="1"/>
    <s v="Conversion of the property from two flats into a single dwellinghouse."/>
    <s v="PF"/>
    <d v="2020-09-18T00:00:00"/>
    <d v="2020-11-13T00:00:00"/>
    <x v="0"/>
    <s v="Nil"/>
    <m/>
    <s v="BF"/>
    <s v="CON"/>
    <x v="2"/>
    <x v="8"/>
    <n v="1.4E-2"/>
    <d v="2022-03-31T00:00:00"/>
    <x v="0"/>
    <d v="2022-09-19T00:00:00"/>
    <x v="2"/>
    <s v="M"/>
    <s v=""/>
    <m/>
    <n v="0"/>
    <m/>
    <n v="0"/>
    <m/>
    <n v="0"/>
    <n v="-1"/>
    <n v="-1"/>
    <n v="0"/>
    <n v="1"/>
    <n v="0"/>
    <n v="0"/>
    <n v="0"/>
    <n v="-1"/>
    <n v="-1"/>
    <n v="0"/>
    <n v="0"/>
    <n v="0"/>
    <n v="0"/>
    <n v="0"/>
    <n v="0"/>
    <n v="0"/>
    <n v="0"/>
    <n v="1"/>
    <n v="0"/>
    <n v="0"/>
    <n v="0"/>
    <n v="0"/>
    <n v="0"/>
    <n v="0"/>
    <n v="0"/>
    <n v="0"/>
    <n v="0"/>
    <x v="0"/>
    <x v="0"/>
    <x v="1"/>
    <n v="11"/>
    <n v="-1"/>
    <m/>
    <m/>
    <m/>
    <m/>
    <m/>
    <m/>
    <m/>
    <m/>
    <m/>
    <m/>
    <m/>
    <m/>
    <m/>
    <m/>
    <m/>
    <m/>
    <m/>
    <m/>
    <m/>
    <n v="0"/>
    <n v="0"/>
  </r>
  <r>
    <n v="5857"/>
    <x v="0"/>
    <s v="2020/3651"/>
    <s v="26 Roedean Crescent"/>
    <s v=""/>
    <n v="521107"/>
    <n v="174480"/>
    <x v="16"/>
    <d v="2021-04-27T00:00:00"/>
    <d v="2022-10-08T00:00:00"/>
    <n v="1"/>
    <n v="1"/>
    <n v="0"/>
    <n v="1"/>
    <n v="0"/>
    <x v="1"/>
    <s v="Demolition of existing house and erection of a two-storey 5- bedroom house (with external roof terraces to the rear)."/>
    <s v="PF"/>
    <d v="2020-09-30T00:00:00"/>
    <d v="2020-11-24T00:00:00"/>
    <x v="0"/>
    <s v="Nil"/>
    <m/>
    <s v="BF"/>
    <s v="NB"/>
    <x v="2"/>
    <x v="1"/>
    <n v="0.125"/>
    <d v="2021-04-27T00:00:00"/>
    <x v="0"/>
    <d v="2022-10-08T00:00:00"/>
    <x v="2"/>
    <s v="M"/>
    <s v=""/>
    <m/>
    <n v="0"/>
    <m/>
    <n v="0"/>
    <m/>
    <n v="0"/>
    <n v="0"/>
    <n v="0"/>
    <n v="0"/>
    <n v="-1"/>
    <n v="1"/>
    <n v="0"/>
    <n v="0"/>
    <n v="0"/>
    <n v="0"/>
    <n v="0"/>
    <n v="0"/>
    <n v="0"/>
    <n v="0"/>
    <n v="0"/>
    <n v="0"/>
    <n v="0"/>
    <n v="0"/>
    <n v="-1"/>
    <n v="1"/>
    <n v="0"/>
    <n v="0"/>
    <n v="0"/>
    <n v="0"/>
    <n v="0"/>
    <n v="0"/>
    <n v="0"/>
    <n v="0"/>
    <x v="0"/>
    <x v="0"/>
    <x v="1"/>
    <n v="1"/>
    <n v="0"/>
    <m/>
    <m/>
    <m/>
    <m/>
    <m/>
    <m/>
    <m/>
    <m/>
    <m/>
    <m/>
    <m/>
    <m/>
    <m/>
    <m/>
    <m/>
    <m/>
    <m/>
    <m/>
    <m/>
    <n v="0"/>
    <n v="0"/>
  </r>
  <r>
    <n v="7214"/>
    <x v="0"/>
    <s v="2020/3903"/>
    <s v="39 Balham Hill"/>
    <s v=""/>
    <n v="528816"/>
    <n v="174167"/>
    <x v="2"/>
    <d v="2021-07-12T00:00:00"/>
    <d v="2023-03-31T00:00:00"/>
    <n v="0"/>
    <n v="1"/>
    <n v="1"/>
    <n v="1"/>
    <n v="1"/>
    <x v="1"/>
    <s v="Alterations including erection of roof extension to form additional storey of accommodation with terrace and screen surround to create a studio flat. New side entrance door to street and internal staircase."/>
    <s v="PF"/>
    <d v="2021-03-19T00:00:00"/>
    <d v="2021-05-12T00:00:00"/>
    <x v="0"/>
    <s v="Nil"/>
    <m/>
    <s v="BF"/>
    <s v="EXT"/>
    <x v="2"/>
    <x v="2"/>
    <n v="2E-3"/>
    <d v="2021-07-12T00:00:00"/>
    <x v="0"/>
    <d v="2023-03-31T00:00:00"/>
    <x v="2"/>
    <s v="M"/>
    <s v=""/>
    <m/>
    <n v="0"/>
    <m/>
    <n v="0"/>
    <m/>
    <n v="1"/>
    <n v="0"/>
    <n v="0"/>
    <n v="0"/>
    <n v="0"/>
    <n v="0"/>
    <n v="0"/>
    <n v="1"/>
    <n v="0"/>
    <n v="0"/>
    <n v="0"/>
    <n v="0"/>
    <n v="0"/>
    <n v="0"/>
    <n v="0"/>
    <n v="0"/>
    <n v="0"/>
    <n v="0"/>
    <n v="0"/>
    <n v="0"/>
    <n v="0"/>
    <n v="0"/>
    <n v="0"/>
    <n v="0"/>
    <n v="0"/>
    <n v="0"/>
    <n v="0"/>
    <n v="0"/>
    <x v="0"/>
    <x v="0"/>
    <x v="1"/>
    <n v="11"/>
    <n v="1"/>
    <m/>
    <m/>
    <m/>
    <m/>
    <m/>
    <m/>
    <m/>
    <m/>
    <m/>
    <m/>
    <m/>
    <m/>
    <m/>
    <m/>
    <m/>
    <m/>
    <m/>
    <m/>
    <m/>
    <n v="0"/>
    <n v="0"/>
  </r>
  <r>
    <n v="7481"/>
    <x v="0"/>
    <s v="2020/4007"/>
    <s v="11 Bellamy Street"/>
    <s v=""/>
    <n v="528564"/>
    <n v="173815"/>
    <x v="2"/>
    <d v="2021-04-01T00:00:00"/>
    <d v="2022-10-03T00:00:00"/>
    <n v="1"/>
    <n v="1"/>
    <n v="0"/>
    <n v="1"/>
    <n v="0"/>
    <x v="1"/>
    <s v="Demolition of existing dwelling (with retention of front facade) and construction of a replacement two-storey dwellinghouse with attic accommodation and basement level."/>
    <s v="PF"/>
    <d v="2020-10-23T00:00:00"/>
    <d v="2021-03-01T00:00:00"/>
    <x v="0"/>
    <s v="Nil"/>
    <m/>
    <s v="BF"/>
    <s v="NB"/>
    <x v="2"/>
    <x v="1"/>
    <n v="1.9E-2"/>
    <d v="2021-04-01T00:00:00"/>
    <x v="0"/>
    <d v="2022-10-03T00:00:00"/>
    <x v="2"/>
    <s v="M"/>
    <s v=""/>
    <m/>
    <n v="0"/>
    <m/>
    <n v="0"/>
    <m/>
    <n v="0"/>
    <n v="0"/>
    <n v="0"/>
    <n v="-1"/>
    <n v="1"/>
    <n v="0"/>
    <n v="0"/>
    <n v="0"/>
    <n v="0"/>
    <n v="0"/>
    <n v="0"/>
    <n v="0"/>
    <n v="0"/>
    <n v="0"/>
    <n v="0"/>
    <n v="0"/>
    <n v="0"/>
    <n v="-1"/>
    <n v="1"/>
    <n v="0"/>
    <n v="0"/>
    <n v="0"/>
    <n v="0"/>
    <n v="0"/>
    <n v="0"/>
    <n v="0"/>
    <n v="0"/>
    <n v="0"/>
    <x v="0"/>
    <x v="0"/>
    <x v="1"/>
    <n v="1"/>
    <n v="0"/>
    <m/>
    <m/>
    <m/>
    <m/>
    <m/>
    <m/>
    <m/>
    <m/>
    <m/>
    <m/>
    <m/>
    <m/>
    <m/>
    <m/>
    <m/>
    <m/>
    <m/>
    <m/>
    <m/>
    <n v="0"/>
    <n v="0"/>
  </r>
  <r>
    <n v="7500"/>
    <x v="0"/>
    <s v="2020/4293"/>
    <s v="17a Trinity Road"/>
    <s v=""/>
    <n v="527951"/>
    <n v="172380"/>
    <x v="9"/>
    <d v="2021-03-30T00:00:00"/>
    <d v="2023-03-30T00:00:00"/>
    <n v="0"/>
    <n v="1"/>
    <n v="1"/>
    <n v="1"/>
    <n v="1"/>
    <x v="1"/>
    <s v="Alterations including erection of mansard roof extension to main rear roof (with french doors and safety railings), roof extension over two storey back addtion, and installation of french doors and railings to rear elevation of back addition,  in connection with conversion of existing flat into 1 x 3-bedroom and 1 x 1-bedroom flats."/>
    <s v="PF"/>
    <d v="2020-11-11T00:00:00"/>
    <d v="2021-01-08T00:00:00"/>
    <x v="0"/>
    <s v="Nil"/>
    <m/>
    <s v="BF"/>
    <s v="EXT"/>
    <x v="2"/>
    <x v="2"/>
    <n v="4.0000000000000001E-3"/>
    <d v="2021-03-30T00:00:00"/>
    <x v="0"/>
    <d v="2023-03-30T00:00:00"/>
    <x v="2"/>
    <s v="M"/>
    <s v=""/>
    <m/>
    <n v="0"/>
    <m/>
    <n v="0"/>
    <m/>
    <n v="0"/>
    <n v="1"/>
    <n v="0"/>
    <n v="0"/>
    <n v="0"/>
    <n v="0"/>
    <n v="0"/>
    <n v="0"/>
    <n v="1"/>
    <n v="0"/>
    <n v="0"/>
    <n v="0"/>
    <n v="0"/>
    <n v="0"/>
    <n v="0"/>
    <n v="0"/>
    <n v="0"/>
    <n v="0"/>
    <n v="0"/>
    <n v="0"/>
    <n v="0"/>
    <n v="0"/>
    <n v="0"/>
    <n v="0"/>
    <n v="0"/>
    <n v="0"/>
    <n v="0"/>
    <n v="0"/>
    <x v="0"/>
    <x v="0"/>
    <x v="1"/>
    <n v="11"/>
    <n v="1"/>
    <m/>
    <m/>
    <m/>
    <m/>
    <m/>
    <m/>
    <m/>
    <m/>
    <m/>
    <m/>
    <m/>
    <m/>
    <m/>
    <m/>
    <m/>
    <m/>
    <m/>
    <m/>
    <m/>
    <n v="0"/>
    <n v="0"/>
  </r>
  <r>
    <n v="7486"/>
    <x v="0"/>
    <s v="2020/4366"/>
    <s v="92 Rossiter Road"/>
    <s v=""/>
    <n v="529024"/>
    <n v="173175"/>
    <x v="2"/>
    <d v="2022-03-31T00:00:00"/>
    <d v="2022-04-01T00:00:00"/>
    <n v="0"/>
    <n v="1"/>
    <n v="1"/>
    <n v="1"/>
    <n v="1"/>
    <x v="1"/>
    <s v="Alterations to lower ground floor and removal of external staircase to provide rear/side courtyard, in connection with the formation of a one bedroom flat at lower ground floor level."/>
    <s v="PF"/>
    <d v="2020-11-16T00:00:00"/>
    <d v="2021-01-06T00:00:00"/>
    <x v="0"/>
    <s v="Nil"/>
    <m/>
    <s v="BF"/>
    <s v="CON"/>
    <x v="2"/>
    <x v="10"/>
    <n v="7.0000000000000001E-3"/>
    <d v="2022-03-31T00:00:00"/>
    <x v="0"/>
    <d v="2022-04-01T00:00:00"/>
    <x v="2"/>
    <s v="M"/>
    <s v=""/>
    <m/>
    <n v="0"/>
    <m/>
    <n v="0"/>
    <m/>
    <n v="0"/>
    <n v="1"/>
    <n v="0"/>
    <n v="0"/>
    <n v="0"/>
    <n v="0"/>
    <n v="0"/>
    <n v="0"/>
    <n v="1"/>
    <n v="0"/>
    <n v="0"/>
    <n v="0"/>
    <n v="0"/>
    <n v="0"/>
    <n v="0"/>
    <n v="0"/>
    <n v="0"/>
    <n v="0"/>
    <n v="0"/>
    <n v="0"/>
    <n v="0"/>
    <n v="0"/>
    <n v="0"/>
    <n v="0"/>
    <n v="0"/>
    <n v="0"/>
    <n v="0"/>
    <n v="0"/>
    <x v="0"/>
    <x v="0"/>
    <x v="1"/>
    <n v="11"/>
    <n v="1"/>
    <m/>
    <m/>
    <m/>
    <m/>
    <m/>
    <m/>
    <m/>
    <m/>
    <m/>
    <m/>
    <m/>
    <m/>
    <m/>
    <m/>
    <m/>
    <m/>
    <m/>
    <m/>
    <m/>
    <n v="0"/>
    <n v="0"/>
  </r>
  <r>
    <n v="6568"/>
    <x v="0"/>
    <s v="2020/4413"/>
    <s v="1 Abberley Mews"/>
    <s v=""/>
    <n v="528547"/>
    <n v="175730"/>
    <x v="12"/>
    <d v="2022-02-07T00:00:00"/>
    <d v="2022-11-25T00:00:00"/>
    <n v="0"/>
    <n v="1"/>
    <n v="1"/>
    <n v="1"/>
    <n v="1"/>
    <x v="1"/>
    <s v="Alterations including erection of single-storey extension and installation of windows to south elevation in connection of conversion of garage to form a studio flat.  Alterations to the front wall to accommodate new refuse servicing. Formation of car turntable to front of property."/>
    <s v="PF"/>
    <d v="2020-11-18T00:00:00"/>
    <d v="2021-03-24T00:00:00"/>
    <x v="0"/>
    <s v="Nil"/>
    <m/>
    <s v="BF"/>
    <s v="CON"/>
    <x v="2"/>
    <x v="11"/>
    <n v="3.7000000000000002E-3"/>
    <d v="2022-02-07T00:00:00"/>
    <x v="0"/>
    <d v="2022-11-25T00:00:00"/>
    <x v="2"/>
    <s v="M"/>
    <s v=""/>
    <m/>
    <n v="0"/>
    <m/>
    <n v="0"/>
    <m/>
    <n v="1"/>
    <n v="0"/>
    <n v="0"/>
    <n v="0"/>
    <n v="0"/>
    <n v="0"/>
    <n v="0"/>
    <n v="1"/>
    <n v="0"/>
    <n v="0"/>
    <n v="0"/>
    <n v="0"/>
    <n v="0"/>
    <n v="0"/>
    <n v="0"/>
    <n v="0"/>
    <n v="0"/>
    <n v="0"/>
    <n v="0"/>
    <n v="0"/>
    <n v="0"/>
    <n v="0"/>
    <n v="0"/>
    <n v="0"/>
    <n v="0"/>
    <n v="0"/>
    <n v="0"/>
    <n v="0"/>
    <x v="0"/>
    <x v="0"/>
    <x v="1"/>
    <n v="11"/>
    <n v="1"/>
    <m/>
    <m/>
    <m/>
    <m/>
    <m/>
    <m/>
    <m/>
    <m/>
    <m/>
    <m/>
    <m/>
    <m/>
    <m/>
    <m/>
    <m/>
    <m/>
    <m/>
    <m/>
    <m/>
    <n v="0"/>
    <n v="0"/>
  </r>
  <r>
    <n v="7492"/>
    <x v="0"/>
    <s v="2020/4547"/>
    <s v="Nightingale Mansions, 42-44 Nightingale Lane"/>
    <s v=""/>
    <n v="528284"/>
    <n v="174101"/>
    <x v="2"/>
    <d v="2022-03-23T00:00:00"/>
    <d v="2023-02-17T00:00:00"/>
    <n v="0"/>
    <n v="1"/>
    <n v="1"/>
    <n v="1"/>
    <n v="1"/>
    <x v="1"/>
    <s v="Revised Scheme: _x000a_Alterations including erection of  2 x rear dormers, 3 x side rooflights and a rear rooflight to roof in connection with creation of a 1 x 1-bed/studio flat."/>
    <s v="PF"/>
    <d v="2021-02-24T00:00:00"/>
    <d v="2021-05-28T00:00:00"/>
    <x v="0"/>
    <s v="Nil"/>
    <m/>
    <s v="BF"/>
    <s v="EXT"/>
    <x v="2"/>
    <x v="2"/>
    <n v="8.0000000000000002E-3"/>
    <d v="2022-03-23T00:00:00"/>
    <x v="0"/>
    <d v="2023-02-17T00:00:00"/>
    <x v="2"/>
    <s v="M"/>
    <s v=""/>
    <m/>
    <n v="0"/>
    <m/>
    <n v="0"/>
    <m/>
    <n v="0"/>
    <n v="1"/>
    <n v="0"/>
    <n v="0"/>
    <n v="0"/>
    <n v="0"/>
    <n v="0"/>
    <n v="0"/>
    <n v="1"/>
    <n v="0"/>
    <n v="0"/>
    <n v="0"/>
    <n v="0"/>
    <n v="0"/>
    <n v="0"/>
    <n v="0"/>
    <n v="0"/>
    <n v="0"/>
    <n v="0"/>
    <n v="0"/>
    <n v="0"/>
    <n v="0"/>
    <n v="0"/>
    <n v="0"/>
    <n v="0"/>
    <n v="0"/>
    <n v="0"/>
    <n v="0"/>
    <x v="0"/>
    <x v="0"/>
    <x v="1"/>
    <n v="11"/>
    <n v="1"/>
    <m/>
    <m/>
    <m/>
    <m/>
    <m/>
    <m/>
    <m/>
    <m/>
    <m/>
    <m/>
    <m/>
    <m/>
    <m/>
    <m/>
    <m/>
    <m/>
    <m/>
    <m/>
    <m/>
    <n v="0"/>
    <n v="0"/>
  </r>
  <r>
    <n v="7517"/>
    <x v="0"/>
    <s v="2021/1109"/>
    <s v="11a Renmuir Street"/>
    <s v=""/>
    <n v="527906"/>
    <n v="170675"/>
    <x v="3"/>
    <d v="2021-09-20T00:00:00"/>
    <d v="2023-03-31T00:00:00"/>
    <n v="0"/>
    <n v="1"/>
    <n v="1"/>
    <n v="1"/>
    <n v="1"/>
    <x v="1"/>
    <s v="Alterations including erection of mansard roof extension to main rear roof (with French doors and safety railings) and extension above part of two-storey back addition; formation of roof terrace above two-storey back addition with 1.7m high screen surround in connection with the creation of 1 x 1 bedroom flat."/>
    <s v="PF"/>
    <d v="2021-03-08T00:00:00"/>
    <d v="2021-05-17T00:00:00"/>
    <x v="0"/>
    <s v="Nil"/>
    <m/>
    <s v="BF"/>
    <s v="EXT"/>
    <x v="2"/>
    <x v="2"/>
    <n v="5.0000000000000001E-3"/>
    <d v="2021-09-20T00:00:00"/>
    <x v="0"/>
    <d v="2023-03-31T00:00:00"/>
    <x v="2"/>
    <s v="M"/>
    <s v=""/>
    <m/>
    <n v="0"/>
    <m/>
    <n v="0"/>
    <m/>
    <n v="0"/>
    <n v="1"/>
    <n v="0"/>
    <n v="0"/>
    <n v="0"/>
    <n v="0"/>
    <n v="0"/>
    <n v="0"/>
    <n v="1"/>
    <n v="0"/>
    <n v="0"/>
    <n v="0"/>
    <n v="0"/>
    <n v="0"/>
    <n v="0"/>
    <n v="0"/>
    <n v="0"/>
    <n v="0"/>
    <n v="0"/>
    <n v="0"/>
    <n v="0"/>
    <n v="0"/>
    <n v="0"/>
    <n v="0"/>
    <n v="0"/>
    <n v="0"/>
    <n v="0"/>
    <n v="0"/>
    <x v="0"/>
    <x v="0"/>
    <x v="1"/>
    <n v="11"/>
    <n v="1"/>
    <m/>
    <m/>
    <m/>
    <m/>
    <m/>
    <m/>
    <m/>
    <m/>
    <m/>
    <m/>
    <m/>
    <m/>
    <m/>
    <m/>
    <m/>
    <m/>
    <m/>
    <m/>
    <m/>
    <n v="0"/>
    <n v="0"/>
  </r>
  <r>
    <n v="4799"/>
    <x v="0"/>
    <s v="2021/1311"/>
    <s v="259-263 Wimbledon Park Road"/>
    <s v=""/>
    <n v="524716"/>
    <n v="173221"/>
    <x v="19"/>
    <d v="2022-03-31T00:00:00"/>
    <d v="2022-09-11T00:00:00"/>
    <n v="0"/>
    <n v="1"/>
    <n v="1"/>
    <n v="1"/>
    <n v="1"/>
    <x v="1"/>
    <s v="Erection of a single storey (ground floor and mezzanine) rear extension to provide 1x1 bedroom flat with rear roof terrace. Enlargement of rear balconies to all upper floors."/>
    <s v="PF"/>
    <d v="2021-03-26T00:00:00"/>
    <d v="2021-05-12T00:00:00"/>
    <x v="0"/>
    <s v="Nil"/>
    <m/>
    <s v="BF"/>
    <s v="EXT"/>
    <x v="2"/>
    <x v="2"/>
    <n v="0.01"/>
    <d v="2022-03-31T00:00:00"/>
    <x v="0"/>
    <d v="2022-09-11T00:00:00"/>
    <x v="2"/>
    <s v="M"/>
    <s v=""/>
    <m/>
    <n v="0"/>
    <m/>
    <n v="0"/>
    <m/>
    <n v="0"/>
    <n v="1"/>
    <n v="0"/>
    <n v="0"/>
    <n v="0"/>
    <n v="0"/>
    <n v="0"/>
    <n v="0"/>
    <n v="1"/>
    <n v="0"/>
    <n v="0"/>
    <n v="0"/>
    <n v="0"/>
    <n v="0"/>
    <n v="0"/>
    <n v="0"/>
    <n v="0"/>
    <n v="0"/>
    <n v="0"/>
    <n v="0"/>
    <n v="0"/>
    <n v="0"/>
    <n v="0"/>
    <n v="0"/>
    <n v="0"/>
    <n v="0"/>
    <n v="0"/>
    <n v="0"/>
    <x v="0"/>
    <x v="0"/>
    <x v="1"/>
    <n v="11"/>
    <n v="1"/>
    <m/>
    <m/>
    <m/>
    <m/>
    <m/>
    <m/>
    <m/>
    <m/>
    <m/>
    <m/>
    <m/>
    <m/>
    <m/>
    <m/>
    <m/>
    <m/>
    <m/>
    <m/>
    <m/>
    <n v="0"/>
    <n v="0"/>
  </r>
  <r>
    <n v="5877"/>
    <x v="0"/>
    <s v="2021/1819"/>
    <s v="rear of /49 &amp; r/o The Studio, Ferndale and Killinhchy, Culverden Road (Land adjacent Fontenoy Road)"/>
    <s v=""/>
    <n v="529014"/>
    <n v="172572"/>
    <x v="8"/>
    <d v="2018-03-31T00:00:00"/>
    <d v="2022-08-23T00:00:00"/>
    <n v="0"/>
    <n v="1"/>
    <n v="1"/>
    <n v="1"/>
    <n v="1"/>
    <x v="1"/>
    <s v="Erection of single-storey (plus basement and roof accommodation) detached 3-bedroom dwelling  (amendment to planning permission ref 2016/1630)."/>
    <s v="PF"/>
    <d v="2021-05-13T00:00:00"/>
    <d v="2021-06-17T00:00:00"/>
    <x v="0"/>
    <s v="Nil"/>
    <m/>
    <s v="BF"/>
    <s v="NB"/>
    <x v="2"/>
    <x v="1"/>
    <n v="7.0000000000000001E-3"/>
    <d v="2018-03-31T00:00:00"/>
    <x v="0"/>
    <d v="2022-08-23T00:00:00"/>
    <x v="2"/>
    <s v="M"/>
    <s v=""/>
    <m/>
    <n v="0"/>
    <m/>
    <n v="0"/>
    <m/>
    <n v="0"/>
    <n v="0"/>
    <n v="0"/>
    <n v="1"/>
    <n v="0"/>
    <n v="0"/>
    <n v="0"/>
    <n v="0"/>
    <n v="0"/>
    <n v="0"/>
    <n v="0"/>
    <n v="0"/>
    <n v="0"/>
    <n v="0"/>
    <n v="0"/>
    <n v="0"/>
    <n v="0"/>
    <n v="1"/>
    <n v="0"/>
    <n v="0"/>
    <n v="0"/>
    <n v="0"/>
    <n v="0"/>
    <n v="0"/>
    <n v="0"/>
    <n v="0"/>
    <n v="0"/>
    <n v="0"/>
    <x v="0"/>
    <x v="0"/>
    <x v="1"/>
    <n v="1"/>
    <n v="1"/>
    <m/>
    <m/>
    <m/>
    <m/>
    <m/>
    <m/>
    <m/>
    <m/>
    <m/>
    <m/>
    <m/>
    <m/>
    <m/>
    <m/>
    <m/>
    <m/>
    <m/>
    <m/>
    <m/>
    <n v="0"/>
    <n v="0"/>
  </r>
  <r>
    <n v="7710"/>
    <x v="0"/>
    <s v="2021/2175"/>
    <s v="31 Montserrat Road"/>
    <s v=""/>
    <n v="524144"/>
    <n v="175268"/>
    <x v="0"/>
    <d v="2021-11-01T00:00:00"/>
    <d v="2023-03-31T00:00:00"/>
    <n v="2"/>
    <n v="1"/>
    <n v="-1"/>
    <n v="1"/>
    <n v="-1"/>
    <x v="1"/>
    <s v="Alterations including partial rebuilding following fire damage and erection of dormer roof extensions to main rear roof (with French doors and safety railings) and above three-storey back addition; erection of replacement single-storey rear/side extension. Change of use from two flats to single family dwelling."/>
    <s v="PF"/>
    <d v="2021-07-26T00:00:00"/>
    <d v="2021-09-07T00:00:00"/>
    <x v="0"/>
    <s v="Nil"/>
    <m/>
    <s v="BF"/>
    <s v="MIX"/>
    <x v="2"/>
    <x v="8"/>
    <n v="8.3333000000000001E-3"/>
    <d v="2021-11-01T00:00:00"/>
    <x v="0"/>
    <d v="2023-03-31T00:00:00"/>
    <x v="2"/>
    <s v="M"/>
    <s v=""/>
    <m/>
    <n v="0"/>
    <m/>
    <n v="0"/>
    <m/>
    <n v="0"/>
    <n v="-1"/>
    <n v="0"/>
    <n v="-1"/>
    <n v="1"/>
    <n v="0"/>
    <n v="0"/>
    <n v="0"/>
    <n v="-1"/>
    <n v="0"/>
    <n v="-1"/>
    <n v="0"/>
    <n v="0"/>
    <n v="0"/>
    <n v="0"/>
    <n v="0"/>
    <n v="0"/>
    <n v="0"/>
    <n v="1"/>
    <n v="0"/>
    <n v="0"/>
    <n v="0"/>
    <n v="0"/>
    <n v="0"/>
    <n v="0"/>
    <n v="0"/>
    <n v="0"/>
    <n v="0"/>
    <x v="0"/>
    <x v="0"/>
    <x v="4"/>
    <n v="11"/>
    <n v="-1"/>
    <m/>
    <m/>
    <m/>
    <m/>
    <m/>
    <m/>
    <m/>
    <m/>
    <m/>
    <m/>
    <m/>
    <m/>
    <m/>
    <m/>
    <m/>
    <m/>
    <m/>
    <m/>
    <m/>
    <n v="0"/>
    <n v="0"/>
  </r>
  <r>
    <n v="7671"/>
    <x v="0"/>
    <s v="2021/2423"/>
    <s v="76 Brookwood Road"/>
    <s v=""/>
    <n v="525053"/>
    <n v="173143"/>
    <x v="20"/>
    <d v="2021-09-21T00:00:00"/>
    <d v="2022-12-15T00:00:00"/>
    <n v="0"/>
    <n v="1"/>
    <n v="1"/>
    <n v="1"/>
    <n v="1"/>
    <x v="1"/>
    <s v="Determination as to whether prior approval is required for change of use from retail (Class E) to 1 x 1-bedroom flat (Class C3)."/>
    <s v="PAG"/>
    <d v="2021-05-28T00:00:00"/>
    <d v="2021-07-21T00:00:00"/>
    <x v="0"/>
    <s v="Nil"/>
    <m/>
    <s v="BF"/>
    <s v="COU"/>
    <x v="2"/>
    <x v="4"/>
    <n v="2E-3"/>
    <d v="2021-09-21T00:00:00"/>
    <x v="0"/>
    <d v="2022-12-15T00:00:00"/>
    <x v="2"/>
    <s v="M"/>
    <s v=""/>
    <m/>
    <n v="0"/>
    <m/>
    <n v="0"/>
    <m/>
    <n v="0"/>
    <n v="1"/>
    <n v="0"/>
    <n v="0"/>
    <n v="0"/>
    <n v="0"/>
    <n v="0"/>
    <n v="0"/>
    <n v="1"/>
    <n v="0"/>
    <n v="0"/>
    <n v="0"/>
    <n v="0"/>
    <n v="0"/>
    <n v="0"/>
    <n v="0"/>
    <n v="0"/>
    <n v="0"/>
    <n v="0"/>
    <n v="0"/>
    <n v="0"/>
    <n v="0"/>
    <n v="0"/>
    <n v="0"/>
    <n v="0"/>
    <n v="0"/>
    <n v="0"/>
    <n v="0"/>
    <x v="0"/>
    <x v="0"/>
    <x v="1"/>
    <n v="11"/>
    <n v="1"/>
    <m/>
    <m/>
    <m/>
    <m/>
    <m/>
    <m/>
    <m/>
    <m/>
    <m/>
    <m/>
    <m/>
    <m/>
    <m/>
    <m/>
    <m/>
    <m/>
    <m/>
    <m/>
    <m/>
    <n v="0"/>
    <n v="0"/>
  </r>
  <r>
    <n v="1344"/>
    <x v="0"/>
    <s v="2021/2939"/>
    <s v="156 Battersea Park Road"/>
    <s v=""/>
    <n v="527910"/>
    <n v="176603"/>
    <x v="17"/>
    <d v="2021-09-16T00:00:00"/>
    <d v="2022-11-03T00:00:00"/>
    <n v="0"/>
    <n v="1"/>
    <n v="1"/>
    <n v="1"/>
    <n v="1"/>
    <x v="1"/>
    <s v="Determination as to whether prior approval is required for change of use from retail (Class A1) to 1 x 1 bedroom, 1 person flat (Class C3)."/>
    <s v="PAG"/>
    <d v="2021-06-23T00:00:00"/>
    <d v="2021-08-18T00:00:00"/>
    <x v="0"/>
    <s v="Nil"/>
    <m/>
    <s v="BF"/>
    <s v="COU"/>
    <x v="2"/>
    <x v="4"/>
    <n v="1E-3"/>
    <d v="2021-09-16T00:00:00"/>
    <x v="0"/>
    <d v="2022-11-03T00:00:00"/>
    <x v="2"/>
    <s v="M"/>
    <s v=""/>
    <m/>
    <n v="0"/>
    <m/>
    <n v="0"/>
    <m/>
    <n v="0"/>
    <n v="1"/>
    <n v="0"/>
    <n v="0"/>
    <n v="0"/>
    <n v="0"/>
    <n v="0"/>
    <n v="0"/>
    <n v="1"/>
    <n v="0"/>
    <n v="0"/>
    <n v="0"/>
    <n v="0"/>
    <n v="0"/>
    <n v="0"/>
    <n v="0"/>
    <n v="0"/>
    <n v="0"/>
    <n v="0"/>
    <n v="0"/>
    <n v="0"/>
    <n v="0"/>
    <n v="0"/>
    <n v="0"/>
    <n v="0"/>
    <n v="0"/>
    <n v="0"/>
    <n v="0"/>
    <x v="0"/>
    <x v="0"/>
    <x v="1"/>
    <n v="11"/>
    <n v="1"/>
    <m/>
    <m/>
    <m/>
    <m/>
    <m/>
    <m/>
    <m/>
    <m/>
    <m/>
    <m/>
    <m/>
    <m/>
    <m/>
    <m/>
    <m/>
    <m/>
    <m/>
    <m/>
    <m/>
    <n v="0"/>
    <n v="0"/>
  </r>
  <r>
    <n v="7746"/>
    <x v="0"/>
    <s v="2021/3518"/>
    <s v="56 Canford Road"/>
    <s v=""/>
    <n v="528073"/>
    <n v="174786"/>
    <x v="14"/>
    <d v="2021-11-10T00:00:00"/>
    <d v="2023-03-17T00:00:00"/>
    <n v="1"/>
    <n v="1"/>
    <n v="0"/>
    <n v="1"/>
    <n v="0"/>
    <x v="1"/>
    <s v="Demolition of existing dwellinghouse except for front facade and erection of three-storey (plus basement) dwellinghouse."/>
    <s v="PF"/>
    <d v="2021-08-06T00:00:00"/>
    <d v="2021-10-18T00:00:00"/>
    <x v="0"/>
    <s v="Nil"/>
    <m/>
    <s v="BF"/>
    <s v="NB"/>
    <x v="2"/>
    <x v="1"/>
    <n v="6.0000000000000001E-3"/>
    <d v="2021-11-10T00:00:00"/>
    <x v="0"/>
    <d v="2023-03-17T00:00:00"/>
    <x v="2"/>
    <s v="M"/>
    <s v=""/>
    <m/>
    <n v="0"/>
    <m/>
    <n v="0"/>
    <m/>
    <n v="0"/>
    <n v="0"/>
    <n v="0"/>
    <n v="-1"/>
    <n v="0"/>
    <n v="1"/>
    <n v="0"/>
    <n v="0"/>
    <n v="0"/>
    <n v="0"/>
    <n v="0"/>
    <n v="0"/>
    <n v="0"/>
    <n v="0"/>
    <n v="0"/>
    <n v="0"/>
    <n v="0"/>
    <n v="-1"/>
    <n v="0"/>
    <n v="1"/>
    <n v="0"/>
    <n v="0"/>
    <n v="0"/>
    <n v="0"/>
    <n v="0"/>
    <n v="0"/>
    <n v="0"/>
    <n v="0"/>
    <x v="0"/>
    <x v="0"/>
    <x v="1"/>
    <n v="1"/>
    <n v="0"/>
    <m/>
    <m/>
    <m/>
    <m/>
    <m/>
    <m/>
    <m/>
    <m/>
    <m/>
    <m/>
    <m/>
    <m/>
    <m/>
    <m/>
    <m/>
    <m/>
    <m/>
    <m/>
    <m/>
    <n v="0"/>
    <n v="0"/>
  </r>
  <r>
    <n v="3943"/>
    <x v="0"/>
    <s v="2020/1167"/>
    <s v="Royal Mail Group Site, Ponton Road (Nine Elms Park)"/>
    <s v="Plot C1 - Block C"/>
    <n v="529575"/>
    <n v="177401"/>
    <x v="15"/>
    <d v="2019-11-29T00:00:00"/>
    <d v="2022-09-16T00:00:00"/>
    <n v="0"/>
    <n v="26"/>
    <n v="26"/>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0"/>
    <s v="Nil"/>
    <m/>
    <s v="BF"/>
    <s v="NB"/>
    <x v="0"/>
    <x v="0"/>
    <n v="2.8000000000000001E-2"/>
    <d v="2020-03-31T00:00:00"/>
    <x v="0"/>
    <d v="2022-09-09T00:00:00"/>
    <x v="0"/>
    <s v="ISO"/>
    <s v="2.1.18"/>
    <m/>
    <n v="0"/>
    <n v="23"/>
    <n v="0"/>
    <n v="3"/>
    <n v="0"/>
    <n v="8"/>
    <n v="18"/>
    <n v="0"/>
    <n v="0"/>
    <n v="0"/>
    <n v="0"/>
    <n v="0"/>
    <n v="8"/>
    <n v="18"/>
    <n v="0"/>
    <n v="0"/>
    <n v="0"/>
    <n v="0"/>
    <n v="0"/>
    <n v="0"/>
    <n v="0"/>
    <n v="0"/>
    <n v="0"/>
    <n v="0"/>
    <n v="0"/>
    <n v="0"/>
    <n v="0"/>
    <n v="0"/>
    <n v="0"/>
    <n v="0"/>
    <n v="0"/>
    <n v="0"/>
    <x v="0"/>
    <x v="1"/>
    <x v="7"/>
    <n v="1"/>
    <n v="26"/>
    <m/>
    <m/>
    <m/>
    <m/>
    <m/>
    <m/>
    <m/>
    <m/>
    <m/>
    <m/>
    <m/>
    <m/>
    <m/>
    <m/>
    <m/>
    <m/>
    <m/>
    <m/>
    <m/>
    <n v="0"/>
    <n v="0"/>
  </r>
  <r>
    <n v="3666"/>
    <x v="0"/>
    <s v="2022/5203"/>
    <s v="50 Lavender Hill"/>
    <s v=""/>
    <n v="528371"/>
    <n v="175760"/>
    <x v="1"/>
    <d v="2023-03-07T00:00:00"/>
    <d v="2023-03-07T00:00:00"/>
    <n v="3"/>
    <n v="6"/>
    <n v="3"/>
    <n v="6"/>
    <n v="3"/>
    <x v="1"/>
    <s v="Use of property as ground floor shop (Class E) and 6 flats (Class C)."/>
    <s v="LDC Exist"/>
    <d v="2022-12-20T00:00:00"/>
    <d v="2023-03-07T00:00:00"/>
    <x v="1"/>
    <s v="Nil"/>
    <m/>
    <s v="BF"/>
    <s v="COU"/>
    <x v="2"/>
    <x v="7"/>
    <n v="6.7666669999999996E-3"/>
    <d v="2023-03-07T00:00:00"/>
    <x v="1"/>
    <d v="2023-03-07T00:00:00"/>
    <x v="2"/>
    <s v="M"/>
    <s v=""/>
    <m/>
    <n v="0"/>
    <m/>
    <n v="0"/>
    <m/>
    <n v="0"/>
    <n v="-1"/>
    <n v="-2"/>
    <n v="0"/>
    <n v="0"/>
    <n v="0"/>
    <n v="6"/>
    <n v="0"/>
    <n v="-1"/>
    <n v="-2"/>
    <n v="0"/>
    <n v="0"/>
    <n v="0"/>
    <n v="6"/>
    <n v="0"/>
    <n v="0"/>
    <n v="0"/>
    <n v="0"/>
    <n v="0"/>
    <n v="0"/>
    <n v="0"/>
    <n v="0"/>
    <n v="0"/>
    <n v="0"/>
    <n v="0"/>
    <n v="0"/>
    <n v="0"/>
    <n v="0"/>
    <x v="0"/>
    <x v="0"/>
    <x v="1"/>
    <n v="11"/>
    <n v="3"/>
    <m/>
    <m/>
    <m/>
    <m/>
    <m/>
    <m/>
    <m/>
    <m/>
    <m/>
    <m/>
    <m/>
    <m/>
    <m/>
    <m/>
    <m/>
    <m/>
    <m/>
    <m/>
    <m/>
    <n v="0"/>
    <n v="0"/>
  </r>
  <r>
    <n v="7960"/>
    <x v="0"/>
    <s v="2022/5085"/>
    <s v="Land West Of, 1 Treville Street"/>
    <s v=""/>
    <n v="522588"/>
    <n v="173914"/>
    <x v="16"/>
    <d v="2023-01-27T00:00:00"/>
    <d v="2023-01-27T00:00:00"/>
    <n v="0"/>
    <n v="1"/>
    <n v="1"/>
    <n v="1"/>
    <n v="1"/>
    <x v="1"/>
    <s v="Continued use of outbuilding as residential dwelling."/>
    <s v="LDC Exist"/>
    <d v="2022-12-12T00:00:00"/>
    <d v="2023-01-27T00:00:00"/>
    <x v="1"/>
    <s v="Nil"/>
    <m/>
    <s v="BF"/>
    <s v="NB"/>
    <x v="2"/>
    <x v="1"/>
    <n v="2.0300000000000001E-3"/>
    <d v="2023-01-27T00:00:00"/>
    <x v="1"/>
    <d v="2023-01-27T00:00:00"/>
    <x v="2"/>
    <s v="MR"/>
    <s v=""/>
    <m/>
    <n v="0"/>
    <m/>
    <n v="0"/>
    <m/>
    <n v="0"/>
    <n v="1"/>
    <n v="0"/>
    <n v="0"/>
    <n v="0"/>
    <n v="0"/>
    <n v="0"/>
    <n v="0"/>
    <n v="1"/>
    <n v="0"/>
    <n v="0"/>
    <n v="0"/>
    <n v="0"/>
    <n v="0"/>
    <n v="0"/>
    <n v="0"/>
    <n v="0"/>
    <n v="0"/>
    <n v="0"/>
    <n v="0"/>
    <n v="0"/>
    <n v="0"/>
    <n v="0"/>
    <n v="0"/>
    <n v="0"/>
    <n v="0"/>
    <n v="0"/>
    <n v="0"/>
    <x v="0"/>
    <x v="0"/>
    <x v="1"/>
    <n v="1"/>
    <n v="1"/>
    <m/>
    <m/>
    <m/>
    <m/>
    <m/>
    <m/>
    <m/>
    <m/>
    <m/>
    <m/>
    <m/>
    <m/>
    <m/>
    <m/>
    <m/>
    <m/>
    <m/>
    <m/>
    <m/>
    <n v="0"/>
    <n v="0"/>
  </r>
  <r>
    <n v="2563"/>
    <x v="0"/>
    <s v="2022/4313"/>
    <s v="and land at rear, 35 Keswick Road"/>
    <s v=""/>
    <n v="524452"/>
    <n v="174443"/>
    <x v="7"/>
    <d v="2023-01-04T00:00:00"/>
    <d v="2023-01-04T00:00:00"/>
    <n v="0"/>
    <n v="1"/>
    <n v="1"/>
    <n v="1"/>
    <n v="1"/>
    <x v="1"/>
    <s v="Use of basement as one-bedroom self contained  flat."/>
    <s v="LDC Exist"/>
    <d v="2022-11-10T00:00:00"/>
    <d v="2023-01-04T00:00:00"/>
    <x v="1"/>
    <s v="Nil"/>
    <m/>
    <s v="BF"/>
    <s v="NB"/>
    <x v="2"/>
    <x v="1"/>
    <n v="4.0000000000000001E-3"/>
    <d v="2023-01-04T00:00:00"/>
    <x v="1"/>
    <d v="2023-01-04T00:00:00"/>
    <x v="2"/>
    <s v="M"/>
    <s v=""/>
    <m/>
    <n v="0"/>
    <m/>
    <n v="0"/>
    <m/>
    <n v="0"/>
    <n v="1"/>
    <n v="0"/>
    <n v="0"/>
    <n v="0"/>
    <n v="0"/>
    <n v="0"/>
    <n v="0"/>
    <n v="1"/>
    <n v="0"/>
    <n v="0"/>
    <n v="0"/>
    <n v="0"/>
    <n v="0"/>
    <n v="0"/>
    <n v="0"/>
    <n v="0"/>
    <n v="0"/>
    <n v="0"/>
    <n v="0"/>
    <n v="0"/>
    <n v="0"/>
    <n v="0"/>
    <n v="0"/>
    <n v="0"/>
    <n v="0"/>
    <n v="0"/>
    <n v="0"/>
    <x v="0"/>
    <x v="0"/>
    <x v="1"/>
    <n v="1"/>
    <n v="1"/>
    <m/>
    <m/>
    <m/>
    <m/>
    <m/>
    <m/>
    <m/>
    <m/>
    <m/>
    <m/>
    <m/>
    <m/>
    <m/>
    <m/>
    <m/>
    <m/>
    <m/>
    <m/>
    <m/>
    <n v="0"/>
    <n v="0"/>
  </r>
  <r>
    <n v="3792"/>
    <x v="0"/>
    <s v="2022/4763"/>
    <s v="30 Trinity Road"/>
    <s v=""/>
    <n v="527949"/>
    <n v="172431"/>
    <x v="4"/>
    <d v="2022-12-31T00:00:00"/>
    <d v="2023-03-31T00:00:00"/>
    <n v="0"/>
    <n v="1"/>
    <n v="1"/>
    <n v="1"/>
    <n v="1"/>
    <x v="1"/>
    <s v="Determination as to whether prior approval is required for change of use from retail (Class E) to 1 x 1-bedroom flat(Class C3)."/>
    <s v="PAG"/>
    <d v="2022-11-23T00:00:00"/>
    <d v="2023-01-12T00:00:00"/>
    <x v="1"/>
    <s v="Nil"/>
    <m/>
    <s v="BF"/>
    <s v="COU"/>
    <x v="2"/>
    <x v="4"/>
    <n v="4.0000000000000001E-3"/>
    <d v="2022-12-31T00:00:00"/>
    <x v="1"/>
    <d v="2023-03-31T00:00:00"/>
    <x v="2"/>
    <s v="M"/>
    <s v=""/>
    <m/>
    <n v="0"/>
    <m/>
    <n v="0"/>
    <m/>
    <n v="0"/>
    <n v="1"/>
    <n v="0"/>
    <n v="0"/>
    <n v="0"/>
    <n v="0"/>
    <n v="0"/>
    <n v="0"/>
    <n v="1"/>
    <n v="0"/>
    <n v="0"/>
    <n v="0"/>
    <n v="0"/>
    <n v="0"/>
    <n v="0"/>
    <n v="0"/>
    <n v="0"/>
    <n v="0"/>
    <n v="0"/>
    <n v="0"/>
    <n v="0"/>
    <n v="0"/>
    <n v="0"/>
    <n v="0"/>
    <n v="0"/>
    <n v="0"/>
    <n v="0"/>
    <n v="0"/>
    <x v="0"/>
    <x v="0"/>
    <x v="1"/>
    <n v="11"/>
    <n v="1"/>
    <m/>
    <m/>
    <m/>
    <m/>
    <m/>
    <m/>
    <m/>
    <m/>
    <m/>
    <m/>
    <m/>
    <m/>
    <m/>
    <m/>
    <m/>
    <m/>
    <m/>
    <m/>
    <m/>
    <n v="0"/>
    <n v="0"/>
  </r>
  <r>
    <n v="7899"/>
    <x v="0"/>
    <s v="2022/3895"/>
    <s v="15 Chartfield Avenue"/>
    <s v=""/>
    <n v="523433"/>
    <n v="174695"/>
    <x v="18"/>
    <d v="2022-12-06T00:00:00"/>
    <d v="2022-12-06T00:00:00"/>
    <n v="3"/>
    <n v="1"/>
    <n v="-2"/>
    <n v="1"/>
    <n v="-2"/>
    <x v="1"/>
    <s v="Continued use as a single dwelling."/>
    <s v="LDC Exist"/>
    <d v="2022-10-12T00:00:00"/>
    <d v="2022-12-06T00:00:00"/>
    <x v="1"/>
    <s v="Nil"/>
    <m/>
    <s v="BF"/>
    <s v="CON"/>
    <x v="2"/>
    <x v="8"/>
    <n v="0"/>
    <d v="2022-12-06T00:00:00"/>
    <x v="1"/>
    <d v="2022-12-06T00:00:00"/>
    <x v="2"/>
    <s v="M"/>
    <s v=""/>
    <m/>
    <n v="0"/>
    <m/>
    <n v="0"/>
    <m/>
    <n v="0"/>
    <n v="0"/>
    <n v="0"/>
    <n v="0"/>
    <n v="0"/>
    <n v="1"/>
    <n v="-3"/>
    <n v="0"/>
    <n v="0"/>
    <n v="0"/>
    <n v="0"/>
    <n v="0"/>
    <n v="0"/>
    <n v="-3"/>
    <n v="0"/>
    <n v="0"/>
    <n v="0"/>
    <n v="0"/>
    <n v="0"/>
    <n v="1"/>
    <n v="0"/>
    <n v="0"/>
    <n v="0"/>
    <n v="0"/>
    <n v="0"/>
    <n v="0"/>
    <n v="0"/>
    <n v="0"/>
    <x v="0"/>
    <x v="0"/>
    <x v="1"/>
    <n v="11"/>
    <n v="-2"/>
    <m/>
    <m/>
    <m/>
    <m/>
    <m/>
    <m/>
    <m/>
    <m/>
    <m/>
    <m/>
    <m/>
    <m/>
    <m/>
    <m/>
    <m/>
    <m/>
    <m/>
    <m/>
    <m/>
    <n v="0"/>
    <n v="0"/>
  </r>
  <r>
    <n v="3961"/>
    <x v="0"/>
    <s v="2022/3055"/>
    <s v="Dadu's Parade, 180-218 Upper Tooting Road"/>
    <s v=""/>
    <n v="527645"/>
    <n v="171873"/>
    <x v="9"/>
    <d v="2022-11-18T00:00:00"/>
    <d v="2022-11-18T00:00:00"/>
    <n v="0"/>
    <n v="32"/>
    <n v="32"/>
    <n v="41"/>
    <n v="41"/>
    <x v="0"/>
    <s v="Submission of details for the viability review mechanism pursuant to Schedule 3 of section 106 agreement dated 10th August 2018 related to planning permission ref 2017/4726 (as varied by 2020/2855 dated 02/12/2021) (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and to modify the s.106 legal agreement to remove obligations relating to affordable housing provision."/>
    <s v="S106"/>
    <d v="2022-07-21T00:00:00"/>
    <d v="2022-11-18T00:00:00"/>
    <x v="1"/>
    <s v="Nil"/>
    <m/>
    <s v="BF"/>
    <s v="CON"/>
    <x v="3"/>
    <x v="0"/>
    <n v="0.14599999999999999"/>
    <d v="2022-11-18T00:00:00"/>
    <x v="1"/>
    <d v="2022-11-18T00:00:00"/>
    <x v="2"/>
    <s v="MR"/>
    <s v="5.1"/>
    <m/>
    <n v="0"/>
    <m/>
    <n v="0"/>
    <m/>
    <n v="0"/>
    <n v="7"/>
    <n v="22"/>
    <n v="3"/>
    <n v="0"/>
    <n v="0"/>
    <n v="0"/>
    <n v="0"/>
    <n v="7"/>
    <n v="22"/>
    <n v="3"/>
    <n v="0"/>
    <n v="0"/>
    <n v="0"/>
    <n v="0"/>
    <n v="0"/>
    <n v="0"/>
    <n v="0"/>
    <n v="0"/>
    <n v="0"/>
    <n v="0"/>
    <n v="0"/>
    <n v="0"/>
    <n v="0"/>
    <n v="0"/>
    <n v="0"/>
    <n v="0"/>
    <n v="0"/>
    <x v="2"/>
    <x v="0"/>
    <x v="3"/>
    <n v="11"/>
    <n v="32"/>
    <m/>
    <m/>
    <m/>
    <m/>
    <m/>
    <m/>
    <m/>
    <m/>
    <m/>
    <m/>
    <m/>
    <m/>
    <m/>
    <m/>
    <m/>
    <m/>
    <m/>
    <m/>
    <m/>
    <n v="0"/>
    <n v="0"/>
  </r>
  <r>
    <n v="3961"/>
    <x v="0"/>
    <s v="2022/3055"/>
    <s v="Dadu's Parade, 180-218 Upper Tooting Road"/>
    <s v=""/>
    <n v="527645"/>
    <n v="171873"/>
    <x v="9"/>
    <d v="2022-11-18T00:00:00"/>
    <d v="2022-11-18T00:00:00"/>
    <n v="0"/>
    <n v="9"/>
    <n v="9"/>
    <n v="41"/>
    <n v="41"/>
    <x v="0"/>
    <s v="Submission of details for the viability review mechanism pursuant to Schedule 3 of section 106 agreement dated 10th August 2018 related to planning permission ref 2017/4726 (as varied by 2020/2855 dated 02/12/2021) (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and to modify the s.106 legal agreement to remove obligations relating to affordable housing provision."/>
    <s v="S106"/>
    <d v="2022-07-21T00:00:00"/>
    <d v="2022-11-18T00:00:00"/>
    <x v="1"/>
    <s v="Nil"/>
    <m/>
    <s v="BF"/>
    <s v="CON"/>
    <x v="3"/>
    <x v="0"/>
    <n v="0.06"/>
    <d v="2022-11-18T00:00:00"/>
    <x v="1"/>
    <d v="2022-11-18T00:00:00"/>
    <x v="2"/>
    <s v="MR"/>
    <s v="5.1"/>
    <m/>
    <n v="0"/>
    <m/>
    <n v="0"/>
    <m/>
    <n v="0"/>
    <n v="2"/>
    <n v="6"/>
    <n v="1"/>
    <n v="0"/>
    <n v="0"/>
    <n v="0"/>
    <n v="0"/>
    <n v="2"/>
    <n v="6"/>
    <n v="1"/>
    <n v="0"/>
    <n v="0"/>
    <n v="0"/>
    <n v="0"/>
    <n v="0"/>
    <n v="0"/>
    <n v="0"/>
    <n v="0"/>
    <n v="0"/>
    <n v="0"/>
    <n v="0"/>
    <n v="0"/>
    <n v="0"/>
    <n v="0"/>
    <n v="0"/>
    <n v="0"/>
    <n v="0"/>
    <x v="2"/>
    <x v="0"/>
    <x v="3"/>
    <n v="11"/>
    <n v="9"/>
    <m/>
    <m/>
    <m/>
    <m/>
    <m/>
    <m/>
    <m/>
    <m/>
    <m/>
    <m/>
    <m/>
    <m/>
    <m/>
    <m/>
    <m/>
    <m/>
    <m/>
    <m/>
    <m/>
    <n v="0"/>
    <n v="0"/>
  </r>
  <r>
    <n v="7883"/>
    <x v="0"/>
    <s v="2022/3357"/>
    <s v="91 Louisville Road"/>
    <s v=""/>
    <n v="528353"/>
    <n v="172255"/>
    <x v="8"/>
    <d v="2022-10-31T00:00:00"/>
    <d v="2022-10-31T00:00:00"/>
    <n v="2"/>
    <n v="1"/>
    <n v="-1"/>
    <n v="1"/>
    <n v="-1"/>
    <x v="1"/>
    <s v="Conversion from two flats into a single dwellinghouse."/>
    <s v="PF"/>
    <d v="2022-09-06T00:00:00"/>
    <d v="2022-10-31T00:00:00"/>
    <x v="1"/>
    <s v="Nil"/>
    <m/>
    <s v="BF"/>
    <s v="CON"/>
    <x v="2"/>
    <x v="8"/>
    <n v="8.0333330000000001E-3"/>
    <d v="2022-10-31T00:00:00"/>
    <x v="1"/>
    <d v="2022-10-31T00:00:00"/>
    <x v="2"/>
    <s v="M"/>
    <s v=""/>
    <m/>
    <n v="0"/>
    <m/>
    <n v="0"/>
    <m/>
    <n v="0"/>
    <n v="-1"/>
    <n v="0"/>
    <n v="0"/>
    <n v="-1"/>
    <n v="1"/>
    <n v="0"/>
    <n v="0"/>
    <n v="-1"/>
    <n v="0"/>
    <n v="0"/>
    <n v="-1"/>
    <n v="0"/>
    <n v="0"/>
    <n v="0"/>
    <n v="0"/>
    <n v="0"/>
    <n v="0"/>
    <n v="0"/>
    <n v="1"/>
    <n v="0"/>
    <n v="0"/>
    <n v="0"/>
    <n v="0"/>
    <n v="0"/>
    <n v="0"/>
    <n v="0"/>
    <n v="0"/>
    <x v="0"/>
    <x v="0"/>
    <x v="1"/>
    <n v="11"/>
    <n v="-1"/>
    <m/>
    <m/>
    <m/>
    <m/>
    <m/>
    <m/>
    <m/>
    <m/>
    <m/>
    <m/>
    <m/>
    <m/>
    <m/>
    <m/>
    <m/>
    <m/>
    <m/>
    <m/>
    <m/>
    <n v="0"/>
    <n v="0"/>
  </r>
  <r>
    <n v="7414"/>
    <x v="0"/>
    <s v="2020/1094"/>
    <s v="242 Queenstown Road"/>
    <s v=""/>
    <n v="528805"/>
    <n v="176803"/>
    <x v="1"/>
    <d v="2021-12-13T00:00:00"/>
    <d v="2023-02-08T00:00:00"/>
    <n v="1"/>
    <n v="2"/>
    <n v="1"/>
    <n v="2"/>
    <n v="1"/>
    <x v="1"/>
    <s v="Conversion of dwelling house into two apartments (1 x 3 bed and 1 x 1 bed), erection of single storey rear extension, roof extension including rear dormer, and creation of roof terrace at second floor level, together with associated refuse and cycle storage."/>
    <s v="PF"/>
    <d v="2020-04-17T00:00:00"/>
    <d v="2021-06-10T00:00:00"/>
    <x v="0"/>
    <s v="Nil"/>
    <m/>
    <s v="BF"/>
    <s v="CON"/>
    <x v="2"/>
    <x v="5"/>
    <n v="1.0999999999999999E-2"/>
    <d v="2021-12-13T00:00:00"/>
    <x v="0"/>
    <d v="2023-02-08T00:00:00"/>
    <x v="2"/>
    <s v="M"/>
    <s v=""/>
    <m/>
    <n v="0"/>
    <m/>
    <n v="0"/>
    <m/>
    <n v="0"/>
    <n v="1"/>
    <n v="0"/>
    <n v="0"/>
    <n v="0"/>
    <n v="0"/>
    <n v="0"/>
    <n v="0"/>
    <n v="1"/>
    <n v="0"/>
    <n v="1"/>
    <n v="0"/>
    <n v="0"/>
    <n v="0"/>
    <n v="0"/>
    <n v="0"/>
    <n v="0"/>
    <n v="-1"/>
    <n v="0"/>
    <n v="0"/>
    <n v="0"/>
    <n v="0"/>
    <n v="0"/>
    <n v="0"/>
    <n v="0"/>
    <n v="0"/>
    <n v="0"/>
    <n v="0"/>
    <x v="0"/>
    <x v="1"/>
    <x v="7"/>
    <n v="11"/>
    <n v="1"/>
    <m/>
    <m/>
    <m/>
    <m/>
    <m/>
    <m/>
    <m/>
    <m/>
    <m/>
    <m/>
    <m/>
    <m/>
    <m/>
    <m/>
    <m/>
    <m/>
    <m/>
    <m/>
    <m/>
    <n v="0"/>
    <n v="0"/>
  </r>
  <r>
    <n v="7690"/>
    <x v="0"/>
    <s v="2021/4834"/>
    <s v="12 Steerforth Street"/>
    <s v=""/>
    <n v="526059"/>
    <n v="172617"/>
    <x v="10"/>
    <d v="2022-10-11T00:00:00"/>
    <d v="2023-03-31T00:00:00"/>
    <n v="2"/>
    <n v="1"/>
    <n v="-1"/>
    <n v="1"/>
    <n v="-1"/>
    <x v="1"/>
    <s v="Alterations including erection of mansard roof extension including raising the ridge by 300mm, extension above two storey back addition, and the formation of roof terrace with 1.7m high screen surround, in connection with use as a single dwellinghouse."/>
    <s v="PF"/>
    <d v="2021-10-21T00:00:00"/>
    <d v="2021-12-20T00:00:00"/>
    <x v="0"/>
    <s v="Nil"/>
    <m/>
    <s v="BF"/>
    <s v="MIX"/>
    <x v="2"/>
    <x v="8"/>
    <n v="5.0000000000000001E-3"/>
    <d v="2022-10-11T00:00:00"/>
    <x v="1"/>
    <d v="2023-03-31T00:00:00"/>
    <x v="2"/>
    <s v="M"/>
    <s v=""/>
    <m/>
    <n v="0"/>
    <m/>
    <n v="0"/>
    <m/>
    <n v="0"/>
    <n v="-2"/>
    <n v="0"/>
    <n v="0"/>
    <n v="1"/>
    <n v="0"/>
    <n v="0"/>
    <n v="0"/>
    <n v="-2"/>
    <n v="0"/>
    <n v="0"/>
    <n v="0"/>
    <n v="0"/>
    <n v="0"/>
    <n v="0"/>
    <n v="0"/>
    <n v="0"/>
    <n v="0"/>
    <n v="1"/>
    <n v="0"/>
    <n v="0"/>
    <n v="0"/>
    <n v="0"/>
    <n v="0"/>
    <n v="0"/>
    <n v="0"/>
    <n v="0"/>
    <n v="0"/>
    <x v="0"/>
    <x v="0"/>
    <x v="6"/>
    <n v="11"/>
    <n v="-1"/>
    <m/>
    <m/>
    <m/>
    <m/>
    <m/>
    <m/>
    <m/>
    <m/>
    <m/>
    <m/>
    <m/>
    <m/>
    <m/>
    <m/>
    <m/>
    <m/>
    <m/>
    <m/>
    <m/>
    <n v="0"/>
    <n v="0"/>
  </r>
  <r>
    <n v="7836"/>
    <x v="0"/>
    <s v="2022/1701"/>
    <s v="4 West Hill"/>
    <s v=""/>
    <n v="525243"/>
    <n v="174663"/>
    <x v="7"/>
    <d v="2022-10-01T00:00:00"/>
    <d v="2023-02-16T00:00:00"/>
    <n v="1"/>
    <n v="3"/>
    <n v="2"/>
    <n v="3"/>
    <n v="2"/>
    <x v="1"/>
    <s v="Alterations including erection of mansard roof extension to main rear roof (with French doors and safety railings) and front dormer; extension above two storey back addition; with formation of a roof terrace with high screen surround; installation of french doors with safety railings to rear first floor of back addition, in connection with conversion of upper floors into 2 x 1 bedroom and 1 x studio flats."/>
    <s v="PF"/>
    <d v="2022-05-10T00:00:00"/>
    <d v="2022-07-04T00:00:00"/>
    <x v="1"/>
    <s v="Nil"/>
    <m/>
    <s v="BF"/>
    <s v="MIX"/>
    <x v="2"/>
    <x v="2"/>
    <n v="7.0400000000000003E-3"/>
    <d v="2022-10-01T00:00:00"/>
    <x v="1"/>
    <d v="2023-02-16T00:00:00"/>
    <x v="2"/>
    <s v="M"/>
    <s v=""/>
    <m/>
    <n v="0"/>
    <m/>
    <n v="0"/>
    <m/>
    <n v="1"/>
    <n v="2"/>
    <n v="0"/>
    <n v="-1"/>
    <n v="0"/>
    <n v="0"/>
    <n v="0"/>
    <n v="1"/>
    <n v="2"/>
    <n v="0"/>
    <n v="-1"/>
    <n v="0"/>
    <n v="0"/>
    <n v="0"/>
    <n v="0"/>
    <n v="0"/>
    <n v="0"/>
    <n v="0"/>
    <n v="0"/>
    <n v="0"/>
    <n v="0"/>
    <n v="0"/>
    <n v="0"/>
    <n v="0"/>
    <n v="0"/>
    <n v="0"/>
    <n v="0"/>
    <n v="0"/>
    <x v="0"/>
    <x v="0"/>
    <x v="0"/>
    <n v="11"/>
    <n v="2"/>
    <m/>
    <m/>
    <m/>
    <m/>
    <m/>
    <m/>
    <m/>
    <m/>
    <m/>
    <m/>
    <m/>
    <m/>
    <m/>
    <m/>
    <m/>
    <m/>
    <m/>
    <m/>
    <m/>
    <n v="0"/>
    <n v="0"/>
  </r>
  <r>
    <n v="7870"/>
    <x v="0"/>
    <s v="2022/2837"/>
    <s v="59 Byrne Road"/>
    <s v=""/>
    <n v="528923"/>
    <n v="173012"/>
    <x v="8"/>
    <d v="2022-08-31T00:00:00"/>
    <d v="2023-03-31T00:00:00"/>
    <n v="1"/>
    <n v="1"/>
    <n v="0"/>
    <n v="1"/>
    <n v="0"/>
    <x v="1"/>
    <s v="Change of use from HMO (Class C4) to residential dwelling house (Class C3)"/>
    <s v="LDC Prop"/>
    <d v="2022-07-06T00:00:00"/>
    <d v="2022-08-31T00:00:00"/>
    <x v="1"/>
    <s v="Nil"/>
    <m/>
    <s v="BF"/>
    <s v="CON"/>
    <x v="2"/>
    <x v="8"/>
    <n v="8.4499999999999992E-3"/>
    <d v="2022-08-31T00:00:00"/>
    <x v="1"/>
    <d v="2023-03-31T00:00:00"/>
    <x v="2"/>
    <s v="M"/>
    <s v=""/>
    <m/>
    <n v="0"/>
    <m/>
    <n v="0"/>
    <m/>
    <n v="0"/>
    <n v="0"/>
    <n v="0"/>
    <n v="0"/>
    <n v="0"/>
    <n v="0"/>
    <n v="0"/>
    <n v="0"/>
    <n v="0"/>
    <n v="0"/>
    <n v="0"/>
    <n v="0"/>
    <n v="0"/>
    <n v="0"/>
    <n v="0"/>
    <n v="0"/>
    <n v="0"/>
    <n v="0"/>
    <n v="0"/>
    <n v="0"/>
    <n v="0"/>
    <n v="0"/>
    <n v="0"/>
    <n v="0"/>
    <n v="0"/>
    <n v="0"/>
    <n v="0"/>
    <n v="0"/>
    <x v="0"/>
    <x v="0"/>
    <x v="1"/>
    <n v="11"/>
    <n v="0"/>
    <m/>
    <m/>
    <m/>
    <m/>
    <m/>
    <m/>
    <m/>
    <m/>
    <m/>
    <m/>
    <m/>
    <m/>
    <m/>
    <m/>
    <m/>
    <m/>
    <m/>
    <m/>
    <m/>
    <n v="0"/>
    <n v="0"/>
  </r>
  <r>
    <n v="7678"/>
    <x v="0"/>
    <s v="2022/1738"/>
    <s v="Station Parade, 10 Balham High Road"/>
    <s v=""/>
    <n v="528429"/>
    <n v="173088"/>
    <x v="8"/>
    <d v="2022-08-25T00:00:00"/>
    <d v="2022-12-16T00:00:00"/>
    <n v="0"/>
    <n v="8"/>
    <n v="8"/>
    <n v="8"/>
    <n v="8"/>
    <x v="1"/>
    <s v="Alterations and extensions including erection of ground, first and second floor rear extensions with rear terraces. Formation of a roof extension to main roof to form additional storey with front and rear terraces and internal/external alterations in connection with the partial conversion of the property into 8 flats (5 x studio/1-person and 3 x 1-bedroom flats) and 1 x commercial unit (Class E)."/>
    <s v="PF"/>
    <d v="2022-04-27T00:00:00"/>
    <d v="2022-08-25T00:00:00"/>
    <x v="1"/>
    <s v="Nil"/>
    <m/>
    <s v="BF"/>
    <s v="MIX"/>
    <x v="2"/>
    <x v="6"/>
    <n v="1.0375000000000001E-2"/>
    <d v="2022-08-25T00:00:00"/>
    <x v="1"/>
    <d v="2022-12-16T00:00:00"/>
    <x v="2"/>
    <s v="MR"/>
    <s v=""/>
    <m/>
    <n v="0"/>
    <m/>
    <n v="0"/>
    <m/>
    <n v="5"/>
    <n v="3"/>
    <n v="0"/>
    <n v="0"/>
    <n v="0"/>
    <n v="0"/>
    <n v="0"/>
    <n v="5"/>
    <n v="3"/>
    <n v="0"/>
    <n v="0"/>
    <n v="0"/>
    <n v="0"/>
    <n v="0"/>
    <n v="0"/>
    <n v="0"/>
    <n v="0"/>
    <n v="0"/>
    <n v="0"/>
    <n v="0"/>
    <n v="0"/>
    <n v="0"/>
    <n v="0"/>
    <n v="0"/>
    <n v="0"/>
    <n v="0"/>
    <n v="0"/>
    <n v="0"/>
    <x v="0"/>
    <x v="0"/>
    <x v="1"/>
    <n v="11"/>
    <n v="8"/>
    <m/>
    <m/>
    <m/>
    <m/>
    <m/>
    <m/>
    <m/>
    <m/>
    <m/>
    <m/>
    <m/>
    <m/>
    <m/>
    <m/>
    <m/>
    <m/>
    <m/>
    <m/>
    <m/>
    <n v="0"/>
    <n v="0"/>
  </r>
  <r>
    <n v="6556"/>
    <x v="0"/>
    <s v="2022/1944"/>
    <s v="49/49A, 49 Selkirk Road"/>
    <s v=""/>
    <n v="527369"/>
    <n v="171687"/>
    <x v="3"/>
    <d v="2022-08-25T00:00:00"/>
    <d v="2023-02-17T00:00:00"/>
    <n v="2"/>
    <n v="4"/>
    <n v="2"/>
    <n v="4"/>
    <n v="2"/>
    <x v="1"/>
    <s v="Variation of condition 2 pursuant to planning permission dated 31/08/2021ref 2021/2373 (Alterations including erection of a mansard roof extension to main rear roof slope, increase in height of front gable, alterations to windows on rear elevation, excavation of front and rear lightwells and extension of existing basement and conversion of property into 4 self-contained flats (2 x 3 bedroom, 1 x 2 bedroom 1 x 1 bedroom flats) with associated refuse and cycle storage.) to create additional garden space at ground floor, winter garden at first floor and terrace at second floor level resulting replacement of 1 x 3 bedroom with 1 x 2 bedroom and 1 x 2 bedroom with 1 x 1 bedroom flat."/>
    <s v="S73"/>
    <d v="2022-05-11T00:00:00"/>
    <d v="2022-08-25T00:00:00"/>
    <x v="1"/>
    <s v="Nil"/>
    <m/>
    <s v="BF"/>
    <s v="MIX"/>
    <x v="2"/>
    <x v="2"/>
    <n v="7.0000000000000001E-3"/>
    <d v="2022-08-25T00:00:00"/>
    <x v="1"/>
    <d v="2023-02-17T00:00:00"/>
    <x v="2"/>
    <s v="M"/>
    <s v=""/>
    <m/>
    <n v="0"/>
    <m/>
    <n v="0"/>
    <m/>
    <n v="0"/>
    <n v="1"/>
    <n v="1"/>
    <n v="1"/>
    <n v="-1"/>
    <n v="0"/>
    <n v="0"/>
    <n v="0"/>
    <n v="1"/>
    <n v="1"/>
    <n v="1"/>
    <n v="-1"/>
    <n v="0"/>
    <n v="0"/>
    <n v="0"/>
    <n v="0"/>
    <n v="0"/>
    <n v="0"/>
    <n v="0"/>
    <n v="0"/>
    <n v="0"/>
    <n v="0"/>
    <n v="0"/>
    <n v="0"/>
    <n v="0"/>
    <n v="0"/>
    <n v="0"/>
    <n v="0"/>
    <x v="0"/>
    <x v="0"/>
    <x v="1"/>
    <n v="11"/>
    <n v="2"/>
    <m/>
    <m/>
    <m/>
    <m/>
    <m/>
    <m/>
    <m/>
    <m/>
    <m/>
    <m/>
    <m/>
    <m/>
    <m/>
    <m/>
    <m/>
    <m/>
    <m/>
    <m/>
    <m/>
    <n v="0"/>
    <n v="0"/>
  </r>
  <r>
    <n v="3531"/>
    <x v="0"/>
    <s v="2022/2254"/>
    <s v="42 Ritherdon Road (Flats a, b &amp; c)"/>
    <s v=""/>
    <n v="528427"/>
    <n v="172621"/>
    <x v="8"/>
    <d v="2022-08-16T00:00:00"/>
    <d v="2022-08-16T00:00:00"/>
    <n v="3"/>
    <n v="1"/>
    <n v="-2"/>
    <n v="1"/>
    <n v="-2"/>
    <x v="1"/>
    <s v="Use of property as a four bedroom single dwelling house."/>
    <s v="LDC Exist"/>
    <d v="2022-06-21T00:00:00"/>
    <d v="2022-08-16T00:00:00"/>
    <x v="1"/>
    <s v="Nil"/>
    <m/>
    <s v="BF"/>
    <s v="COU"/>
    <x v="2"/>
    <x v="8"/>
    <n v="0.01"/>
    <d v="2022-08-16T00:00:00"/>
    <x v="1"/>
    <d v="2022-08-16T00:00:00"/>
    <x v="2"/>
    <s v="M"/>
    <s v=""/>
    <m/>
    <n v="0"/>
    <m/>
    <n v="0"/>
    <m/>
    <n v="0"/>
    <n v="-1"/>
    <n v="-1"/>
    <n v="-1"/>
    <n v="1"/>
    <n v="0"/>
    <n v="0"/>
    <n v="0"/>
    <n v="-1"/>
    <n v="-1"/>
    <n v="-1"/>
    <n v="0"/>
    <n v="0"/>
    <n v="0"/>
    <n v="0"/>
    <n v="0"/>
    <n v="0"/>
    <n v="0"/>
    <n v="1"/>
    <n v="0"/>
    <n v="0"/>
    <n v="0"/>
    <n v="0"/>
    <n v="0"/>
    <n v="0"/>
    <n v="0"/>
    <n v="0"/>
    <n v="0"/>
    <x v="0"/>
    <x v="0"/>
    <x v="1"/>
    <n v="11"/>
    <n v="-2"/>
    <m/>
    <m/>
    <m/>
    <m/>
    <m/>
    <m/>
    <m/>
    <m/>
    <m/>
    <m/>
    <m/>
    <m/>
    <m/>
    <m/>
    <m/>
    <m/>
    <m/>
    <m/>
    <m/>
    <n v="0"/>
    <n v="0"/>
  </r>
  <r>
    <n v="6984"/>
    <x v="0"/>
    <s v="2018/1510"/>
    <s v="Apts 2 &amp; 3 Centurian Building, 376 Queenstown Road (Chelsea Bridge Wharf)"/>
    <s v=""/>
    <n v="528629"/>
    <n v="177664"/>
    <x v="17"/>
    <d v="2021-04-01T00:00:00"/>
    <d v="2022-04-26T00:00:00"/>
    <n v="2"/>
    <n v="1"/>
    <n v="-1"/>
    <n v="1"/>
    <n v="-1"/>
    <x v="1"/>
    <s v="Conversion (without extension) of apartments 2 &amp; 3 Centurion building to form one self contained residential dwelling."/>
    <s v="PF"/>
    <d v="2018-05-16T00:00:00"/>
    <d v="2018-06-19T00:00:00"/>
    <x v="0"/>
    <s v="Nil"/>
    <m/>
    <s v="BF"/>
    <s v="CON"/>
    <x v="2"/>
    <x v="9"/>
    <n v="3.0000000000000001E-3"/>
    <d v="2021-04-01T00:00:00"/>
    <x v="0"/>
    <d v="2022-04-26T00:00:00"/>
    <x v="2"/>
    <s v="M"/>
    <s v=""/>
    <m/>
    <n v="0"/>
    <m/>
    <n v="0"/>
    <m/>
    <n v="0"/>
    <n v="-1"/>
    <n v="-1"/>
    <n v="1"/>
    <n v="0"/>
    <n v="0"/>
    <n v="0"/>
    <n v="0"/>
    <n v="-1"/>
    <n v="-1"/>
    <n v="1"/>
    <n v="0"/>
    <n v="0"/>
    <n v="0"/>
    <n v="0"/>
    <n v="0"/>
    <n v="0"/>
    <n v="0"/>
    <n v="0"/>
    <n v="0"/>
    <n v="0"/>
    <n v="0"/>
    <n v="0"/>
    <n v="0"/>
    <n v="0"/>
    <n v="0"/>
    <n v="0"/>
    <n v="0"/>
    <x v="0"/>
    <x v="1"/>
    <x v="7"/>
    <n v="11"/>
    <n v="-1"/>
    <m/>
    <m/>
    <m/>
    <m/>
    <m/>
    <m/>
    <m/>
    <m/>
    <m/>
    <m/>
    <m/>
    <m/>
    <m/>
    <m/>
    <m/>
    <m/>
    <m/>
    <m/>
    <m/>
    <n v="0"/>
    <n v="0"/>
  </r>
  <r>
    <n v="6273"/>
    <x v="0"/>
    <s v="2022/2885"/>
    <s v="162a, Mitcham road"/>
    <s v=""/>
    <n v="527811"/>
    <n v="171019"/>
    <x v="3"/>
    <d v="2022-07-27T00:00:00"/>
    <d v="2023-03-09T00:00:00"/>
    <n v="2"/>
    <n v="5"/>
    <n v="3"/>
    <n v="5"/>
    <n v="3"/>
    <x v="1"/>
    <s v="Alterations including erection of roof extension to provide additional floor of accommodation with rear roof terrace to create 2 x studio flats and erection of two-storey rear extension in connection with conversion of existing two flats into 2 x 2 bedroom and 1 x 1 bedroom flats. Reinstatement of side gable feature. Change of use part ground floor from commercial (Class E) to residential (Class C3)."/>
    <s v="PF"/>
    <d v="2022-07-08T00:00:00"/>
    <d v="2022-09-02T00:00:00"/>
    <x v="1"/>
    <s v="Nil"/>
    <m/>
    <s v="BF"/>
    <s v="MIX"/>
    <x v="2"/>
    <x v="2"/>
    <n v="1.0919999999999999E-2"/>
    <d v="2022-07-27T00:00:00"/>
    <x v="1"/>
    <d v="2023-03-09T00:00:00"/>
    <x v="2"/>
    <s v="M"/>
    <s v=""/>
    <m/>
    <n v="0"/>
    <m/>
    <n v="0"/>
    <m/>
    <n v="2"/>
    <n v="0"/>
    <n v="1"/>
    <n v="0"/>
    <n v="0"/>
    <n v="0"/>
    <n v="0"/>
    <n v="2"/>
    <n v="0"/>
    <n v="1"/>
    <n v="0"/>
    <n v="0"/>
    <n v="0"/>
    <n v="0"/>
    <n v="0"/>
    <n v="0"/>
    <n v="0"/>
    <n v="0"/>
    <n v="0"/>
    <n v="0"/>
    <n v="0"/>
    <n v="0"/>
    <n v="0"/>
    <n v="0"/>
    <n v="0"/>
    <n v="0"/>
    <n v="0"/>
    <n v="0"/>
    <x v="0"/>
    <x v="0"/>
    <x v="3"/>
    <n v="11"/>
    <n v="3"/>
    <m/>
    <m/>
    <m/>
    <m/>
    <m/>
    <m/>
    <m/>
    <m/>
    <m/>
    <m/>
    <m/>
    <m/>
    <m/>
    <m/>
    <m/>
    <m/>
    <m/>
    <m/>
    <m/>
    <n v="0"/>
    <n v="0"/>
  </r>
  <r>
    <n v="4280"/>
    <x v="0"/>
    <s v="2021/2914"/>
    <s v="62 West Hill"/>
    <s v=""/>
    <n v="524989"/>
    <n v="174632"/>
    <x v="7"/>
    <d v="2022-07-25T00:00:00"/>
    <d v="2023-03-14T00:00:00"/>
    <n v="0"/>
    <n v="1"/>
    <n v="1"/>
    <n v="1"/>
    <n v="1"/>
    <x v="1"/>
    <s v="Alterations including erection of a first floor extension in connection with change of use from an outbuilding (Class SG) to a 1 x 1 bed self contained dwelling (Class C3)."/>
    <s v="PF"/>
    <d v="2021-07-22T00:00:00"/>
    <d v="2021-09-15T00:00:00"/>
    <x v="0"/>
    <s v="Nil"/>
    <m/>
    <s v="BF"/>
    <s v="MIX"/>
    <x v="2"/>
    <x v="3"/>
    <n v="4.0000000000000001E-3"/>
    <d v="2022-07-25T00:00:00"/>
    <x v="1"/>
    <d v="2023-03-14T00:00:00"/>
    <x v="2"/>
    <s v="M"/>
    <s v=""/>
    <m/>
    <n v="0"/>
    <m/>
    <n v="0"/>
    <m/>
    <n v="0"/>
    <n v="1"/>
    <n v="0"/>
    <n v="0"/>
    <n v="0"/>
    <n v="0"/>
    <n v="0"/>
    <n v="0"/>
    <n v="1"/>
    <n v="0"/>
    <n v="0"/>
    <n v="0"/>
    <n v="0"/>
    <n v="0"/>
    <n v="0"/>
    <n v="0"/>
    <n v="0"/>
    <n v="0"/>
    <n v="0"/>
    <n v="0"/>
    <n v="0"/>
    <n v="0"/>
    <n v="0"/>
    <n v="0"/>
    <n v="0"/>
    <n v="0"/>
    <n v="0"/>
    <n v="0"/>
    <x v="0"/>
    <x v="0"/>
    <x v="1"/>
    <n v="11"/>
    <n v="1"/>
    <m/>
    <m/>
    <m/>
    <m/>
    <m/>
    <m/>
    <m/>
    <m/>
    <m/>
    <m/>
    <m/>
    <m/>
    <m/>
    <m/>
    <m/>
    <m/>
    <m/>
    <m/>
    <m/>
    <n v="0"/>
    <n v="0"/>
  </r>
  <r>
    <n v="7821"/>
    <x v="0"/>
    <s v="2022/1244"/>
    <s v="39 Letchworth Street"/>
    <s v=""/>
    <n v="527770"/>
    <n v="171746"/>
    <x v="9"/>
    <d v="2022-07-20T00:00:00"/>
    <d v="2022-07-20T00:00:00"/>
    <n v="1"/>
    <n v="4"/>
    <n v="3"/>
    <n v="4"/>
    <n v="3"/>
    <x v="1"/>
    <s v="Retention of existing use as 4 x studio flats (more than 4 years)."/>
    <s v="LDC Exist"/>
    <d v="2022-04-04T00:00:00"/>
    <d v="2022-07-20T00:00:00"/>
    <x v="1"/>
    <s v="Nil"/>
    <m/>
    <s v="BF"/>
    <s v="CON"/>
    <x v="2"/>
    <x v="5"/>
    <n v="6.0000000000000001E-3"/>
    <d v="2022-07-20T00:00:00"/>
    <x v="1"/>
    <d v="2022-07-20T00:00:00"/>
    <x v="2"/>
    <s v="MR"/>
    <s v=""/>
    <m/>
    <n v="0"/>
    <m/>
    <n v="0"/>
    <m/>
    <n v="4"/>
    <n v="0"/>
    <n v="0"/>
    <n v="-1"/>
    <n v="0"/>
    <n v="0"/>
    <n v="0"/>
    <n v="4"/>
    <n v="0"/>
    <n v="0"/>
    <n v="0"/>
    <n v="0"/>
    <n v="0"/>
    <n v="0"/>
    <n v="0"/>
    <n v="0"/>
    <n v="0"/>
    <n v="-1"/>
    <n v="0"/>
    <n v="0"/>
    <n v="0"/>
    <n v="0"/>
    <n v="0"/>
    <n v="0"/>
    <n v="0"/>
    <n v="0"/>
    <n v="0"/>
    <n v="0"/>
    <x v="0"/>
    <x v="0"/>
    <x v="1"/>
    <n v="11"/>
    <n v="3"/>
    <m/>
    <m/>
    <m/>
    <m/>
    <m/>
    <m/>
    <m/>
    <m/>
    <m/>
    <m/>
    <m/>
    <m/>
    <m/>
    <m/>
    <m/>
    <m/>
    <m/>
    <m/>
    <m/>
    <n v="0"/>
    <n v="0"/>
  </r>
  <r>
    <n v="3667"/>
    <x v="0"/>
    <s v="2021/3784"/>
    <s v="13 Parkgate Road"/>
    <s v=""/>
    <n v="527234"/>
    <n v="177107"/>
    <x v="17"/>
    <d v="2022-07-05T00:00:00"/>
    <d v="2023-03-31T00:00:00"/>
    <n v="1"/>
    <n v="3"/>
    <n v="2"/>
    <n v="3"/>
    <n v="2"/>
    <x v="1"/>
    <s v="Alterations including erection of mansard roof extension to provide an additional floor of residential accommodation and erection of a part single/ part two/ part three-storey rear extension with rear roof terrace at first floor level in connection with the provision of 3 self-contained flats (3 x 1-bedroom)."/>
    <s v="PF"/>
    <d v="2021-09-13T00:00:00"/>
    <d v="2021-11-08T00:00:00"/>
    <x v="0"/>
    <s v="Nil"/>
    <m/>
    <s v="BF"/>
    <s v="EXT"/>
    <x v="2"/>
    <x v="2"/>
    <n v="6.0000000000000001E-3"/>
    <d v="2022-07-05T00:00:00"/>
    <x v="1"/>
    <d v="2023-03-31T00:00:00"/>
    <x v="2"/>
    <s v="M"/>
    <s v=""/>
    <m/>
    <n v="0"/>
    <m/>
    <n v="0"/>
    <m/>
    <n v="0"/>
    <n v="3"/>
    <n v="-1"/>
    <n v="0"/>
    <n v="0"/>
    <n v="0"/>
    <n v="0"/>
    <n v="0"/>
    <n v="3"/>
    <n v="-1"/>
    <n v="0"/>
    <n v="0"/>
    <n v="0"/>
    <n v="0"/>
    <n v="0"/>
    <n v="0"/>
    <n v="0"/>
    <n v="0"/>
    <n v="0"/>
    <n v="0"/>
    <n v="0"/>
    <n v="0"/>
    <n v="0"/>
    <n v="0"/>
    <n v="0"/>
    <n v="0"/>
    <n v="0"/>
    <n v="0"/>
    <x v="0"/>
    <x v="0"/>
    <x v="8"/>
    <n v="11"/>
    <n v="2"/>
    <m/>
    <m/>
    <m/>
    <m/>
    <m/>
    <m/>
    <m/>
    <m/>
    <m/>
    <m/>
    <m/>
    <m/>
    <m/>
    <m/>
    <m/>
    <m/>
    <m/>
    <m/>
    <m/>
    <n v="0"/>
    <n v="0"/>
  </r>
  <r>
    <n v="6400"/>
    <x v="0"/>
    <s v="2021/3352"/>
    <s v="127 Mitcham Lane"/>
    <s v=""/>
    <n v="529268"/>
    <n v="171015"/>
    <x v="13"/>
    <d v="2022-07-04T00:00:00"/>
    <d v="2023-01-31T00:00:00"/>
    <n v="3"/>
    <n v="6"/>
    <n v="3"/>
    <n v="6"/>
    <n v="3"/>
    <x v="1"/>
    <s v="Alterations including three-storey side/rear extension with terrace above (on top the existing single storey side/rear addition), raising of roof to main building and rear dormer extensions, roof terraces and balconies at first, second and third floor level, and conversion of existing residential units in connection with formation of 6 residential units 4 x 1-bedroom and 2 x 2-bedroom flats (3 additional) with access from Blegborough Road and associated cycle and refuse storage."/>
    <s v="PF"/>
    <d v="2021-07-19T00:00:00"/>
    <d v="2021-09-13T00:00:00"/>
    <x v="0"/>
    <s v="Nil"/>
    <m/>
    <s v="BF"/>
    <s v="MIX"/>
    <x v="2"/>
    <x v="7"/>
    <n v="1.035E-2"/>
    <d v="2022-07-04T00:00:00"/>
    <x v="1"/>
    <d v="2023-01-31T00:00:00"/>
    <x v="2"/>
    <s v="MR"/>
    <s v=""/>
    <m/>
    <n v="0"/>
    <m/>
    <n v="0"/>
    <m/>
    <n v="2"/>
    <n v="2"/>
    <n v="0"/>
    <n v="-1"/>
    <n v="0"/>
    <n v="0"/>
    <n v="0"/>
    <n v="2"/>
    <n v="2"/>
    <n v="0"/>
    <n v="-1"/>
    <n v="0"/>
    <n v="0"/>
    <n v="0"/>
    <n v="0"/>
    <n v="0"/>
    <n v="0"/>
    <n v="0"/>
    <n v="0"/>
    <n v="0"/>
    <n v="0"/>
    <n v="0"/>
    <n v="0"/>
    <n v="0"/>
    <n v="0"/>
    <n v="0"/>
    <n v="0"/>
    <n v="0"/>
    <x v="0"/>
    <x v="0"/>
    <x v="1"/>
    <n v="11"/>
    <n v="3"/>
    <m/>
    <m/>
    <m/>
    <m/>
    <m/>
    <m/>
    <m/>
    <m/>
    <m/>
    <m/>
    <m/>
    <m/>
    <m/>
    <m/>
    <m/>
    <m/>
    <m/>
    <m/>
    <m/>
    <n v="0"/>
    <n v="0"/>
  </r>
  <r>
    <n v="6212"/>
    <x v="0"/>
    <s v="2020/1226"/>
    <s v="Land rear of, 117 Fernlea Road"/>
    <s v=""/>
    <n v="529084"/>
    <n v="173102"/>
    <x v="2"/>
    <d v="2022-07-01T00:00:00"/>
    <d v="2023-03-31T00:00:00"/>
    <n v="0"/>
    <n v="1"/>
    <n v="1"/>
    <n v="1"/>
    <n v="1"/>
    <x v="1"/>
    <s v="Demolition of existing garage and erection of two storey (and basement) 3 bedroom dwelling house with associated refuse and cycle storage."/>
    <s v="PF"/>
    <d v="2020-04-01T00:00:00"/>
    <d v="2020-08-10T00:00:00"/>
    <x v="0"/>
    <s v="Nil"/>
    <m/>
    <s v="Gdn"/>
    <s v="NB"/>
    <x v="2"/>
    <x v="1"/>
    <n v="8.9999999999999993E-3"/>
    <d v="2022-07-01T00:00:00"/>
    <x v="1"/>
    <d v="2023-03-31T00:00:00"/>
    <x v="2"/>
    <s v="M"/>
    <s v=""/>
    <m/>
    <n v="0"/>
    <m/>
    <n v="0"/>
    <m/>
    <n v="0"/>
    <n v="0"/>
    <n v="0"/>
    <n v="1"/>
    <n v="0"/>
    <n v="0"/>
    <n v="0"/>
    <n v="0"/>
    <n v="0"/>
    <n v="0"/>
    <n v="0"/>
    <n v="0"/>
    <n v="0"/>
    <n v="0"/>
    <n v="0"/>
    <n v="0"/>
    <n v="0"/>
    <n v="1"/>
    <n v="0"/>
    <n v="0"/>
    <n v="0"/>
    <n v="0"/>
    <n v="0"/>
    <n v="0"/>
    <n v="0"/>
    <n v="0"/>
    <n v="0"/>
    <n v="0"/>
    <x v="0"/>
    <x v="0"/>
    <x v="1"/>
    <n v="1"/>
    <n v="1"/>
    <m/>
    <m/>
    <m/>
    <m/>
    <m/>
    <m/>
    <m/>
    <m/>
    <m/>
    <m/>
    <m/>
    <m/>
    <m/>
    <m/>
    <m/>
    <m/>
    <m/>
    <m/>
    <m/>
    <n v="0"/>
    <n v="0"/>
  </r>
  <r>
    <n v="7143"/>
    <x v="0"/>
    <s v="2022/1714"/>
    <s v="Land rear of, 94 Bolingbroke Grove"/>
    <s v=""/>
    <n v="527274"/>
    <n v="174744"/>
    <x v="14"/>
    <d v="2022-06-24T00:00:00"/>
    <d v="2022-06-24T00:00:00"/>
    <n v="1"/>
    <n v="4"/>
    <n v="3"/>
    <n v="4"/>
    <n v="3"/>
    <x v="1"/>
    <s v="Retention of 4 x self-contained flats."/>
    <s v="LDC Exist"/>
    <d v="2022-05-01T00:00:00"/>
    <d v="2022-06-24T00:00:00"/>
    <x v="1"/>
    <s v="Nil"/>
    <m/>
    <s v="BF"/>
    <s v="CON"/>
    <x v="2"/>
    <x v="5"/>
    <n v="6.2500000000000003E-3"/>
    <d v="2022-06-24T00:00:00"/>
    <x v="1"/>
    <d v="2022-06-24T00:00:00"/>
    <x v="2"/>
    <s v="MR"/>
    <s v=""/>
    <m/>
    <n v="0"/>
    <m/>
    <n v="0"/>
    <m/>
    <n v="0"/>
    <n v="4"/>
    <n v="0"/>
    <n v="0"/>
    <n v="0"/>
    <n v="0"/>
    <n v="-1"/>
    <n v="0"/>
    <n v="4"/>
    <n v="0"/>
    <n v="0"/>
    <n v="0"/>
    <n v="0"/>
    <n v="0"/>
    <n v="0"/>
    <n v="0"/>
    <n v="0"/>
    <n v="0"/>
    <n v="0"/>
    <n v="0"/>
    <n v="-1"/>
    <n v="0"/>
    <n v="0"/>
    <n v="0"/>
    <n v="0"/>
    <n v="0"/>
    <n v="0"/>
    <n v="0"/>
    <x v="0"/>
    <x v="0"/>
    <x v="1"/>
    <n v="11"/>
    <n v="3"/>
    <m/>
    <m/>
    <m/>
    <m/>
    <m/>
    <m/>
    <m/>
    <m/>
    <m/>
    <m/>
    <m/>
    <m/>
    <m/>
    <m/>
    <m/>
    <m/>
    <m/>
    <m/>
    <m/>
    <n v="0"/>
    <n v="0"/>
  </r>
  <r>
    <n v="7770"/>
    <x v="0"/>
    <s v="2022/1739"/>
    <s v="32 Cornford Grove"/>
    <s v=""/>
    <n v="528885"/>
    <n v="172895"/>
    <x v="8"/>
    <d v="2022-06-22T00:00:00"/>
    <m/>
    <n v="1"/>
    <n v="2"/>
    <n v="1"/>
    <n v="2"/>
    <n v="1"/>
    <x v="1"/>
    <s v="Conversion of property into 2 x 3-bedroom flats, the erection of a single-storey rear/side ground floor extension and associated alterations."/>
    <s v="PF"/>
    <d v="2022-04-27T00:00:00"/>
    <d v="2022-06-22T00:00:00"/>
    <x v="1"/>
    <s v="Nil"/>
    <m/>
    <s v="BF"/>
    <s v="CON"/>
    <x v="2"/>
    <x v="5"/>
    <n v="7.7200000000000003E-3"/>
    <d v="2022-06-22T00:00:00"/>
    <x v="1"/>
    <d v="2022-06-22T00:00:00"/>
    <x v="2"/>
    <s v="M"/>
    <s v=""/>
    <m/>
    <n v="0"/>
    <m/>
    <n v="0"/>
    <m/>
    <n v="0"/>
    <n v="0"/>
    <n v="0"/>
    <n v="2"/>
    <n v="0"/>
    <n v="-1"/>
    <n v="0"/>
    <n v="0"/>
    <n v="0"/>
    <n v="0"/>
    <n v="2"/>
    <n v="0"/>
    <n v="0"/>
    <n v="0"/>
    <n v="0"/>
    <n v="0"/>
    <n v="0"/>
    <n v="0"/>
    <n v="0"/>
    <n v="-1"/>
    <n v="0"/>
    <n v="0"/>
    <n v="0"/>
    <n v="0"/>
    <n v="0"/>
    <n v="0"/>
    <n v="0"/>
    <n v="0"/>
    <x v="0"/>
    <x v="0"/>
    <x v="1"/>
    <n v="11"/>
    <n v="1"/>
    <m/>
    <m/>
    <m/>
    <m/>
    <m/>
    <m/>
    <m/>
    <m/>
    <m/>
    <m/>
    <m/>
    <m/>
    <m/>
    <m/>
    <m/>
    <m/>
    <m/>
    <m/>
    <m/>
    <n v="0"/>
    <n v="0"/>
  </r>
  <r>
    <n v="7834"/>
    <x v="0"/>
    <s v="2022/1677"/>
    <s v="84 Edencourt Road"/>
    <s v=""/>
    <n v="528754"/>
    <n v="170773"/>
    <x v="13"/>
    <d v="2022-06-17T00:00:00"/>
    <d v="2022-06-17T00:00:00"/>
    <n v="1"/>
    <n v="2"/>
    <n v="1"/>
    <n v="2"/>
    <n v="1"/>
    <x v="1"/>
    <s v="Use of property as 1 x 2 bedroom flat and 1 x 3-bedroom flat."/>
    <s v="LDC Exist"/>
    <d v="2022-04-22T00:00:00"/>
    <d v="2022-06-17T00:00:00"/>
    <x v="1"/>
    <s v="Nil"/>
    <m/>
    <s v="BF"/>
    <s v="CON"/>
    <x v="2"/>
    <x v="5"/>
    <n v="8.9999999999999993E-3"/>
    <d v="2022-06-17T00:00:00"/>
    <x v="1"/>
    <d v="2022-06-17T00:00:00"/>
    <x v="2"/>
    <s v="MR"/>
    <s v=""/>
    <m/>
    <n v="0"/>
    <m/>
    <n v="0"/>
    <m/>
    <n v="0"/>
    <n v="0"/>
    <n v="1"/>
    <n v="1"/>
    <n v="-1"/>
    <n v="0"/>
    <n v="0"/>
    <n v="0"/>
    <n v="0"/>
    <n v="1"/>
    <n v="1"/>
    <n v="0"/>
    <n v="0"/>
    <n v="0"/>
    <n v="0"/>
    <n v="0"/>
    <n v="0"/>
    <n v="0"/>
    <n v="-1"/>
    <n v="0"/>
    <n v="0"/>
    <n v="0"/>
    <n v="0"/>
    <n v="0"/>
    <n v="0"/>
    <n v="0"/>
    <n v="0"/>
    <n v="0"/>
    <x v="0"/>
    <x v="0"/>
    <x v="1"/>
    <n v="11"/>
    <n v="1"/>
    <m/>
    <m/>
    <m/>
    <m/>
    <m/>
    <m/>
    <m/>
    <m/>
    <m/>
    <m/>
    <m/>
    <m/>
    <m/>
    <m/>
    <m/>
    <m/>
    <m/>
    <m/>
    <m/>
    <n v="0"/>
    <n v="0"/>
  </r>
  <r>
    <n v="1164"/>
    <x v="0"/>
    <s v="2019/2633"/>
    <s v="165-167 Lavender Hill"/>
    <s v=""/>
    <n v="527684"/>
    <n v="175583"/>
    <x v="1"/>
    <d v="2022-06-16T00:00:00"/>
    <d v="2022-08-18T00:00:00"/>
    <n v="0"/>
    <n v="1"/>
    <n v="1"/>
    <n v="1"/>
    <n v="1"/>
    <x v="1"/>
    <s v="Alterations in connection with change of use of rear ground floor from retail (Class A1) to 1 x 1-bedroom flat (Class C3)."/>
    <s v="PF"/>
    <d v="2019-07-10T00:00:00"/>
    <d v="2019-08-14T00:00:00"/>
    <x v="0"/>
    <s v="Nil"/>
    <m/>
    <s v="BF"/>
    <s v="COU"/>
    <x v="2"/>
    <x v="4"/>
    <n v="6.0000000000000001E-3"/>
    <d v="2022-06-16T00:00:00"/>
    <x v="1"/>
    <d v="2022-08-18T00:00:00"/>
    <x v="2"/>
    <s v="M"/>
    <s v=""/>
    <m/>
    <n v="0"/>
    <m/>
    <n v="0"/>
    <m/>
    <n v="0"/>
    <n v="1"/>
    <n v="0"/>
    <n v="0"/>
    <n v="0"/>
    <n v="0"/>
    <n v="0"/>
    <n v="0"/>
    <n v="1"/>
    <n v="0"/>
    <n v="0"/>
    <n v="0"/>
    <n v="0"/>
    <n v="0"/>
    <n v="0"/>
    <n v="0"/>
    <n v="0"/>
    <n v="0"/>
    <n v="0"/>
    <n v="0"/>
    <n v="0"/>
    <n v="0"/>
    <n v="0"/>
    <n v="0"/>
    <n v="0"/>
    <n v="0"/>
    <n v="0"/>
    <n v="0"/>
    <x v="0"/>
    <x v="0"/>
    <x v="5"/>
    <n v="11"/>
    <n v="1"/>
    <m/>
    <m/>
    <m/>
    <m/>
    <m/>
    <m/>
    <m/>
    <m/>
    <m/>
    <m/>
    <m/>
    <m/>
    <m/>
    <m/>
    <m/>
    <m/>
    <m/>
    <m/>
    <m/>
    <n v="0"/>
    <n v="0"/>
  </r>
  <r>
    <n v="2811"/>
    <x v="0"/>
    <s v="2022/0542"/>
    <s v="59 Battersea Church Road"/>
    <s v=""/>
    <n v="527026"/>
    <n v="177039"/>
    <x v="5"/>
    <d v="2022-05-31T00:00:00"/>
    <d v="2022-05-31T00:00:00"/>
    <n v="0"/>
    <n v="1"/>
    <n v="1"/>
    <n v="1"/>
    <n v="1"/>
    <x v="1"/>
    <s v="Continued use of self contained studio flat at the rear."/>
    <s v="LDC Exist"/>
    <d v="2022-03-15T00:00:00"/>
    <d v="2022-05-31T00:00:00"/>
    <x v="1"/>
    <s v="Nil"/>
    <m/>
    <s v="BF"/>
    <s v="EXT"/>
    <x v="2"/>
    <x v="2"/>
    <n v="4.0000000000000001E-3"/>
    <d v="2022-05-31T00:00:00"/>
    <x v="1"/>
    <d v="2022-05-31T00:00:00"/>
    <x v="2"/>
    <s v="MR"/>
    <s v=""/>
    <m/>
    <n v="0"/>
    <m/>
    <n v="0"/>
    <m/>
    <n v="1"/>
    <n v="0"/>
    <n v="0"/>
    <n v="0"/>
    <n v="0"/>
    <n v="0"/>
    <n v="0"/>
    <n v="1"/>
    <n v="0"/>
    <n v="0"/>
    <n v="0"/>
    <n v="0"/>
    <n v="0"/>
    <n v="0"/>
    <n v="0"/>
    <n v="0"/>
    <n v="0"/>
    <n v="0"/>
    <n v="0"/>
    <n v="0"/>
    <n v="0"/>
    <n v="0"/>
    <n v="0"/>
    <n v="0"/>
    <n v="0"/>
    <n v="0"/>
    <n v="0"/>
    <n v="0"/>
    <x v="0"/>
    <x v="0"/>
    <x v="8"/>
    <n v="11"/>
    <n v="1"/>
    <m/>
    <m/>
    <m/>
    <m/>
    <m/>
    <m/>
    <m/>
    <m/>
    <m/>
    <m/>
    <m/>
    <m/>
    <m/>
    <m/>
    <m/>
    <m/>
    <m/>
    <m/>
    <m/>
    <n v="0"/>
    <n v="0"/>
  </r>
  <r>
    <n v="3868"/>
    <x v="0"/>
    <s v="2021/5244"/>
    <s v="Flats 43-48 Newlands Terrace, 159 Queenstown Road (48a)"/>
    <s v=""/>
    <n v="528630"/>
    <n v="176325"/>
    <x v="1"/>
    <d v="2022-05-26T00:00:00"/>
    <d v="2023-02-19T00:00:00"/>
    <n v="1"/>
    <n v="2"/>
    <n v="1"/>
    <n v="2"/>
    <n v="1"/>
    <x v="1"/>
    <s v="Alterations including erection of a mansard roof extension to main rear roof and extension above part of three storey back addition; Formation of a roof terrace above three storey back addition with 1.7m high screen surround, in connection with the reconfiguration of 1 x existing 1-bed flat and the creation of new 1 x 1-bedroom flat."/>
    <s v="PF"/>
    <d v="2021-11-29T00:00:00"/>
    <d v="2022-02-01T00:00:00"/>
    <x v="0"/>
    <s v="Nil"/>
    <m/>
    <s v="BF"/>
    <s v="EXT"/>
    <x v="2"/>
    <x v="2"/>
    <n v="2E-3"/>
    <d v="2022-05-26T00:00:00"/>
    <x v="1"/>
    <d v="2023-02-19T00:00:00"/>
    <x v="2"/>
    <s v="M"/>
    <s v=""/>
    <m/>
    <n v="0"/>
    <m/>
    <n v="0"/>
    <m/>
    <n v="0"/>
    <n v="1"/>
    <n v="0"/>
    <n v="0"/>
    <n v="0"/>
    <n v="0"/>
    <n v="0"/>
    <n v="0"/>
    <n v="1"/>
    <n v="0"/>
    <n v="0"/>
    <n v="0"/>
    <n v="0"/>
    <n v="0"/>
    <n v="0"/>
    <n v="0"/>
    <n v="0"/>
    <n v="0"/>
    <n v="0"/>
    <n v="0"/>
    <n v="0"/>
    <n v="0"/>
    <n v="0"/>
    <n v="0"/>
    <n v="0"/>
    <n v="0"/>
    <n v="0"/>
    <n v="0"/>
    <x v="0"/>
    <x v="0"/>
    <x v="1"/>
    <n v="11"/>
    <n v="1"/>
    <m/>
    <m/>
    <m/>
    <m/>
    <m/>
    <m/>
    <m/>
    <m/>
    <m/>
    <m/>
    <m/>
    <m/>
    <m/>
    <m/>
    <m/>
    <m/>
    <m/>
    <m/>
    <m/>
    <n v="0"/>
    <n v="0"/>
  </r>
  <r>
    <n v="4774"/>
    <x v="0"/>
    <s v="2022/0367"/>
    <s v="45 Trinity Road"/>
    <s v=""/>
    <n v="527896"/>
    <n v="172432"/>
    <x v="9"/>
    <d v="2022-05-26T00:00:00"/>
    <d v="2022-05-26T00:00:00"/>
    <n v="0"/>
    <n v="1"/>
    <n v="1"/>
    <n v="1"/>
    <n v="1"/>
    <x v="1"/>
    <s v="Continued use of the property as a self-contained studio apartment."/>
    <s v="LDC Exist"/>
    <d v="2022-02-08T00:00:00"/>
    <d v="2022-05-26T00:00:00"/>
    <x v="1"/>
    <s v="Nil"/>
    <m/>
    <s v="BF"/>
    <s v="CON"/>
    <x v="2"/>
    <x v="4"/>
    <n v="2.0999999999999999E-3"/>
    <d v="2022-05-26T00:00:00"/>
    <x v="1"/>
    <d v="2022-05-26T00:00:00"/>
    <x v="2"/>
    <s v="M"/>
    <s v=""/>
    <m/>
    <n v="0"/>
    <m/>
    <n v="0"/>
    <m/>
    <n v="1"/>
    <n v="0"/>
    <n v="0"/>
    <n v="0"/>
    <n v="0"/>
    <n v="0"/>
    <n v="0"/>
    <n v="1"/>
    <n v="0"/>
    <n v="0"/>
    <n v="0"/>
    <n v="0"/>
    <n v="0"/>
    <n v="0"/>
    <n v="0"/>
    <n v="0"/>
    <n v="0"/>
    <n v="0"/>
    <n v="0"/>
    <n v="0"/>
    <n v="0"/>
    <n v="0"/>
    <n v="0"/>
    <n v="0"/>
    <n v="0"/>
    <n v="0"/>
    <n v="0"/>
    <n v="0"/>
    <x v="0"/>
    <x v="0"/>
    <x v="1"/>
    <n v="11"/>
    <n v="1"/>
    <m/>
    <m/>
    <m/>
    <m/>
    <m/>
    <m/>
    <m/>
    <m/>
    <m/>
    <m/>
    <m/>
    <m/>
    <m/>
    <m/>
    <m/>
    <m/>
    <m/>
    <m/>
    <m/>
    <n v="0"/>
    <n v="0"/>
  </r>
  <r>
    <n v="7608"/>
    <x v="0"/>
    <s v="2021/4650"/>
    <s v="63 Queenstown Road"/>
    <s v=""/>
    <n v="528554"/>
    <n v="176020"/>
    <x v="1"/>
    <d v="2022-05-11T00:00:00"/>
    <d v="2023-03-31T00:00:00"/>
    <n v="1"/>
    <n v="1"/>
    <n v="0"/>
    <n v="1"/>
    <n v="0"/>
    <x v="1"/>
    <s v="Change of use from office (Class E) to part office (Class E) and part residential (Class C3) to provide 2-bedroom flat in conjunction with existing first floor accommodation."/>
    <s v="PF"/>
    <d v="2021-12-21T00:00:00"/>
    <d v="2022-02-15T00:00:00"/>
    <x v="0"/>
    <s v="Nil"/>
    <m/>
    <s v="BF"/>
    <s v="COU"/>
    <x v="2"/>
    <x v="6"/>
    <n v="5.0000000000000001E-3"/>
    <d v="2022-05-11T00:00:00"/>
    <x v="1"/>
    <d v="2023-03-31T00:00:00"/>
    <x v="2"/>
    <s v="M"/>
    <s v=""/>
    <m/>
    <n v="0"/>
    <m/>
    <n v="0"/>
    <m/>
    <n v="0"/>
    <n v="-1"/>
    <n v="1"/>
    <n v="0"/>
    <n v="0"/>
    <n v="0"/>
    <n v="0"/>
    <n v="0"/>
    <n v="-1"/>
    <n v="1"/>
    <n v="0"/>
    <n v="0"/>
    <n v="0"/>
    <n v="0"/>
    <n v="0"/>
    <n v="0"/>
    <n v="0"/>
    <n v="0"/>
    <n v="0"/>
    <n v="0"/>
    <n v="0"/>
    <n v="0"/>
    <n v="0"/>
    <n v="0"/>
    <n v="0"/>
    <n v="0"/>
    <n v="0"/>
    <n v="0"/>
    <x v="0"/>
    <x v="0"/>
    <x v="1"/>
    <n v="11"/>
    <n v="0"/>
    <m/>
    <m/>
    <m/>
    <m/>
    <m/>
    <m/>
    <m/>
    <m/>
    <m/>
    <m/>
    <m/>
    <m/>
    <m/>
    <m/>
    <m/>
    <m/>
    <m/>
    <m/>
    <m/>
    <n v="0"/>
    <n v="0"/>
  </r>
  <r>
    <n v="4916"/>
    <x v="0"/>
    <s v="2022/0851"/>
    <s v="113 Lavender Hill"/>
    <s v=""/>
    <n v="528199"/>
    <n v="175656"/>
    <x v="12"/>
    <d v="2022-04-25T00:00:00"/>
    <d v="2022-04-25T00:00:00"/>
    <n v="2"/>
    <n v="6"/>
    <n v="4"/>
    <n v="6"/>
    <n v="4"/>
    <x v="1"/>
    <s v="Use of the upper two-storyes as 6 x studio flats (Class C3)"/>
    <s v="LDC Exist"/>
    <d v="2022-02-28T00:00:00"/>
    <d v="2022-04-25T00:00:00"/>
    <x v="1"/>
    <s v="Nil"/>
    <m/>
    <s v="BF"/>
    <s v="CON"/>
    <x v="2"/>
    <x v="7"/>
    <n v="0"/>
    <d v="2022-04-25T00:00:00"/>
    <x v="1"/>
    <d v="2022-04-25T00:00:00"/>
    <x v="2"/>
    <s v="MR"/>
    <s v=""/>
    <m/>
    <n v="0"/>
    <m/>
    <n v="0"/>
    <m/>
    <n v="6"/>
    <n v="0"/>
    <n v="-2"/>
    <n v="0"/>
    <n v="0"/>
    <n v="0"/>
    <n v="0"/>
    <n v="6"/>
    <n v="0"/>
    <n v="-2"/>
    <n v="0"/>
    <n v="0"/>
    <n v="0"/>
    <n v="0"/>
    <n v="0"/>
    <n v="0"/>
    <n v="0"/>
    <n v="0"/>
    <n v="0"/>
    <n v="0"/>
    <n v="0"/>
    <n v="0"/>
    <n v="0"/>
    <n v="0"/>
    <n v="0"/>
    <n v="0"/>
    <n v="0"/>
    <n v="0"/>
    <x v="0"/>
    <x v="0"/>
    <x v="1"/>
    <n v="11"/>
    <n v="4"/>
    <m/>
    <m/>
    <m/>
    <m/>
    <m/>
    <m/>
    <m/>
    <m/>
    <m/>
    <m/>
    <m/>
    <m/>
    <m/>
    <m/>
    <m/>
    <m/>
    <m/>
    <m/>
    <m/>
    <n v="0"/>
    <n v="0"/>
  </r>
  <r>
    <n v="7506"/>
    <x v="0"/>
    <s v="2021/1025"/>
    <s v="17 Trinity Road"/>
    <s v=""/>
    <n v="527950"/>
    <n v="172380"/>
    <x v="9"/>
    <d v="2022-04-21T00:00:00"/>
    <d v="2023-03-30T00:00:00"/>
    <n v="0"/>
    <n v="1"/>
    <n v="1"/>
    <n v="1"/>
    <n v="1"/>
    <x v="1"/>
    <s v="Alterations to shopfront, erection of single-storey side and rear extension and change of use of ground floor from retail (Class E) to residential (Class C3) to provide a  1 x1-bedroom flat."/>
    <s v="PF"/>
    <d v="2021-03-03T00:00:00"/>
    <d v="2021-04-28T00:00:00"/>
    <x v="0"/>
    <s v="Nil"/>
    <m/>
    <s v="BF"/>
    <s v="MIX"/>
    <x v="2"/>
    <x v="4"/>
    <n v="6.0000000000000001E-3"/>
    <d v="2022-04-21T00:00:00"/>
    <x v="1"/>
    <d v="2023-03-30T00:00:00"/>
    <x v="2"/>
    <s v="M"/>
    <s v=""/>
    <m/>
    <n v="0"/>
    <m/>
    <n v="0"/>
    <m/>
    <n v="0"/>
    <n v="1"/>
    <n v="0"/>
    <n v="0"/>
    <n v="0"/>
    <n v="0"/>
    <n v="0"/>
    <n v="0"/>
    <n v="1"/>
    <n v="0"/>
    <n v="0"/>
    <n v="0"/>
    <n v="0"/>
    <n v="0"/>
    <n v="0"/>
    <n v="0"/>
    <n v="0"/>
    <n v="0"/>
    <n v="0"/>
    <n v="0"/>
    <n v="0"/>
    <n v="0"/>
    <n v="0"/>
    <n v="0"/>
    <n v="0"/>
    <n v="0"/>
    <n v="0"/>
    <n v="0"/>
    <x v="0"/>
    <x v="0"/>
    <x v="1"/>
    <n v="11"/>
    <n v="1"/>
    <m/>
    <m/>
    <m/>
    <m/>
    <m/>
    <m/>
    <m/>
    <m/>
    <m/>
    <m/>
    <m/>
    <m/>
    <m/>
    <m/>
    <m/>
    <m/>
    <m/>
    <m/>
    <m/>
    <n v="0"/>
    <n v="0"/>
  </r>
  <r>
    <n v="6098"/>
    <x v="0"/>
    <s v="2022/0725"/>
    <s v="72 Lower Richmond Road"/>
    <s v=""/>
    <n v="523682"/>
    <n v="175813"/>
    <x v="0"/>
    <d v="2022-04-20T00:00:00"/>
    <d v="2022-10-07T00:00:00"/>
    <n v="1"/>
    <n v="3"/>
    <n v="2"/>
    <n v="3"/>
    <n v="2"/>
    <x v="1"/>
    <s v="Alterations including erection of a mansard roof extension to the main rear roof and extension above part of the three-storey back addition including formation of a roof terrace with 1.7m high screen surround; erection of single storey rear and side extensions; enlargement of existing basement; works in connection with change of use of rear ground floor and part first floor to provide a 1 x 1 bed flat and conversion of the first and second floor flat into:1 x studio and 1 x 2 bed flat."/>
    <s v="PF"/>
    <d v="2022-02-09T00:00:00"/>
    <d v="2022-04-20T00:00:00"/>
    <x v="1"/>
    <s v="Nil"/>
    <m/>
    <s v="BF"/>
    <s v="MIX"/>
    <x v="2"/>
    <x v="7"/>
    <n v="3.0000000000000001E-3"/>
    <d v="2022-04-20T00:00:00"/>
    <x v="1"/>
    <d v="2022-10-07T00:00:00"/>
    <x v="2"/>
    <s v="M"/>
    <s v=""/>
    <m/>
    <n v="0"/>
    <m/>
    <n v="0"/>
    <m/>
    <n v="1"/>
    <n v="1"/>
    <n v="1"/>
    <n v="0"/>
    <n v="-1"/>
    <n v="0"/>
    <n v="0"/>
    <n v="1"/>
    <n v="1"/>
    <n v="1"/>
    <n v="0"/>
    <n v="-1"/>
    <n v="0"/>
    <n v="0"/>
    <n v="0"/>
    <n v="0"/>
    <n v="0"/>
    <n v="0"/>
    <n v="0"/>
    <n v="0"/>
    <n v="0"/>
    <n v="0"/>
    <n v="0"/>
    <n v="0"/>
    <n v="0"/>
    <n v="0"/>
    <n v="0"/>
    <n v="0"/>
    <x v="0"/>
    <x v="0"/>
    <x v="1"/>
    <n v="11"/>
    <n v="2"/>
    <m/>
    <m/>
    <m/>
    <m/>
    <m/>
    <m/>
    <m/>
    <m/>
    <m/>
    <m/>
    <m/>
    <m/>
    <m/>
    <m/>
    <m/>
    <m/>
    <m/>
    <m/>
    <m/>
    <n v="0"/>
    <n v="0"/>
  </r>
  <r>
    <n v="7426"/>
    <x v="0"/>
    <s v="2020/2756"/>
    <s v="14-17 Denton Street"/>
    <s v=""/>
    <n v="525903"/>
    <n v="174378"/>
    <x v="6"/>
    <d v="2022-04-19T00:00:00"/>
    <d v="2022-09-23T00:00:00"/>
    <n v="0"/>
    <n v="1"/>
    <n v="1"/>
    <n v="1"/>
    <n v="1"/>
    <x v="1"/>
    <s v="Erection of mansard roof extension to main rear roof and  extension above part of two-storey back addition and formation of roof terrace above part of two-storey back addition with 1.7m high screen surround in connection with creation of 1 x 2-bedroom flat. Alterations including raising the ridge by 350mm."/>
    <s v="PF"/>
    <d v="2020-07-29T00:00:00"/>
    <d v="2020-10-22T00:00:00"/>
    <x v="0"/>
    <s v="Nil"/>
    <m/>
    <s v="BF"/>
    <s v="EXT"/>
    <x v="2"/>
    <x v="2"/>
    <n v="3.0000000000000001E-3"/>
    <d v="2022-04-19T00:00:00"/>
    <x v="1"/>
    <d v="2022-09-23T00:00:00"/>
    <x v="2"/>
    <s v="M"/>
    <s v=""/>
    <m/>
    <n v="0"/>
    <m/>
    <n v="0"/>
    <m/>
    <n v="0"/>
    <n v="0"/>
    <n v="1"/>
    <n v="0"/>
    <n v="0"/>
    <n v="0"/>
    <n v="0"/>
    <n v="0"/>
    <n v="0"/>
    <n v="1"/>
    <n v="0"/>
    <n v="0"/>
    <n v="0"/>
    <n v="0"/>
    <n v="0"/>
    <n v="0"/>
    <n v="0"/>
    <n v="0"/>
    <n v="0"/>
    <n v="0"/>
    <n v="0"/>
    <n v="0"/>
    <n v="0"/>
    <n v="0"/>
    <n v="0"/>
    <n v="0"/>
    <n v="0"/>
    <n v="0"/>
    <x v="0"/>
    <x v="0"/>
    <x v="10"/>
    <n v="11"/>
    <n v="1"/>
    <m/>
    <m/>
    <m/>
    <m/>
    <m/>
    <m/>
    <m/>
    <m/>
    <m/>
    <m/>
    <m/>
    <m/>
    <m/>
    <m/>
    <m/>
    <m/>
    <m/>
    <m/>
    <m/>
    <n v="0"/>
    <n v="0"/>
  </r>
  <r>
    <n v="6053"/>
    <x v="0"/>
    <s v="2021/5536"/>
    <s v="Unit 1, 218-220 Garratt Lane"/>
    <s v=""/>
    <n v="525908"/>
    <n v="173523"/>
    <x v="11"/>
    <d v="2022-04-07T00:00:00"/>
    <d v="2022-04-07T00:00:00"/>
    <n v="0"/>
    <n v="2"/>
    <n v="2"/>
    <n v="2"/>
    <n v="2"/>
    <x v="1"/>
    <s v="Retention of former unit 1 (Use Class E) as 1 x 2 bed and 1 x 3 bed flats. (Use Class C3)"/>
    <s v="LDC Exist"/>
    <d v="2022-02-11T00:00:00"/>
    <d v="2022-04-07T00:00:00"/>
    <x v="1"/>
    <s v="Nil"/>
    <m/>
    <s v="BF"/>
    <s v="COU"/>
    <x v="2"/>
    <x v="6"/>
    <n v="4.0000000000000001E-3"/>
    <d v="2022-04-07T00:00:00"/>
    <x v="1"/>
    <d v="2022-04-07T00:00:00"/>
    <x v="2"/>
    <s v="M"/>
    <s v=""/>
    <m/>
    <n v="0"/>
    <m/>
    <n v="0"/>
    <m/>
    <n v="0"/>
    <n v="0"/>
    <n v="1"/>
    <n v="1"/>
    <n v="0"/>
    <n v="0"/>
    <n v="0"/>
    <n v="0"/>
    <n v="0"/>
    <n v="1"/>
    <n v="1"/>
    <n v="0"/>
    <n v="0"/>
    <n v="0"/>
    <n v="0"/>
    <n v="0"/>
    <n v="0"/>
    <n v="0"/>
    <n v="0"/>
    <n v="0"/>
    <n v="0"/>
    <n v="0"/>
    <n v="0"/>
    <n v="0"/>
    <n v="0"/>
    <n v="0"/>
    <n v="0"/>
    <n v="0"/>
    <x v="0"/>
    <x v="0"/>
    <x v="6"/>
    <n v="11"/>
    <n v="2"/>
    <m/>
    <m/>
    <m/>
    <m/>
    <m/>
    <m/>
    <m/>
    <m/>
    <m/>
    <m/>
    <m/>
    <m/>
    <m/>
    <m/>
    <m/>
    <m/>
    <m/>
    <m/>
    <m/>
    <n v="0"/>
    <n v="0"/>
  </r>
  <r>
    <n v="4204"/>
    <x v="0"/>
    <s v="2021/5537"/>
    <s v="Unit 2 Bendon Valley House, 218-220 Garratt Lane"/>
    <s v=""/>
    <n v="525908"/>
    <n v="173523"/>
    <x v="11"/>
    <d v="2022-04-07T00:00:00"/>
    <d v="2022-04-07T00:00:00"/>
    <n v="0"/>
    <n v="2"/>
    <n v="2"/>
    <n v="2"/>
    <n v="2"/>
    <x v="1"/>
    <s v="Retention of former unit 2a (Class Use E) as 1 x 1 bedroom flat (2a) and 1 x 4 bedroom flat (2b) (Use Class C3)"/>
    <s v="LDC Exist"/>
    <d v="2022-02-11T00:00:00"/>
    <d v="2022-04-07T00:00:00"/>
    <x v="1"/>
    <s v="Nil"/>
    <m/>
    <s v="BF"/>
    <s v="COU"/>
    <x v="2"/>
    <x v="6"/>
    <n v="2E-3"/>
    <d v="2022-04-07T00:00:00"/>
    <x v="1"/>
    <d v="2022-04-07T00:00:00"/>
    <x v="2"/>
    <s v="M"/>
    <s v=""/>
    <m/>
    <n v="0"/>
    <m/>
    <n v="0"/>
    <m/>
    <n v="0"/>
    <n v="1"/>
    <n v="0"/>
    <n v="0"/>
    <n v="1"/>
    <n v="0"/>
    <n v="0"/>
    <n v="0"/>
    <n v="1"/>
    <n v="0"/>
    <n v="0"/>
    <n v="1"/>
    <n v="0"/>
    <n v="0"/>
    <n v="0"/>
    <n v="0"/>
    <n v="0"/>
    <n v="0"/>
    <n v="0"/>
    <n v="0"/>
    <n v="0"/>
    <n v="0"/>
    <n v="0"/>
    <n v="0"/>
    <n v="0"/>
    <n v="0"/>
    <n v="0"/>
    <n v="0"/>
    <x v="0"/>
    <x v="0"/>
    <x v="6"/>
    <n v="11"/>
    <n v="2"/>
    <m/>
    <m/>
    <m/>
    <m/>
    <m/>
    <m/>
    <m/>
    <m/>
    <m/>
    <m/>
    <m/>
    <m/>
    <m/>
    <m/>
    <m/>
    <m/>
    <m/>
    <m/>
    <m/>
    <n v="0"/>
    <n v="0"/>
  </r>
  <r>
    <n v="5755"/>
    <x v="0"/>
    <s v="2021/5538"/>
    <s v="Unit 3 Bendon Valley, 218-220 Garratt Lane"/>
    <s v=""/>
    <n v="525908"/>
    <n v="173523"/>
    <x v="11"/>
    <d v="2022-04-07T00:00:00"/>
    <d v="2022-04-07T00:00:00"/>
    <n v="0"/>
    <n v="2"/>
    <n v="2"/>
    <n v="2"/>
    <n v="2"/>
    <x v="1"/>
    <s v="Retention of former unit 3 (Class Use E) as 1 x studio (3a) and 1 x3 bedroom flat (3b) (Class Use C3)"/>
    <s v="LDC Exist"/>
    <d v="2022-02-11T00:00:00"/>
    <d v="2022-04-07T00:00:00"/>
    <x v="1"/>
    <s v="Nil"/>
    <m/>
    <s v="BF"/>
    <s v="COU"/>
    <x v="2"/>
    <x v="6"/>
    <n v="3.0000000000000001E-3"/>
    <d v="2022-04-07T00:00:00"/>
    <x v="1"/>
    <d v="2022-04-07T00:00:00"/>
    <x v="2"/>
    <s v="M"/>
    <s v=""/>
    <m/>
    <n v="0"/>
    <m/>
    <n v="0"/>
    <m/>
    <n v="1"/>
    <n v="0"/>
    <n v="0"/>
    <n v="1"/>
    <n v="0"/>
    <n v="0"/>
    <n v="0"/>
    <n v="1"/>
    <n v="0"/>
    <n v="0"/>
    <n v="1"/>
    <n v="0"/>
    <n v="0"/>
    <n v="0"/>
    <n v="0"/>
    <n v="0"/>
    <n v="0"/>
    <n v="0"/>
    <n v="0"/>
    <n v="0"/>
    <n v="0"/>
    <n v="0"/>
    <n v="0"/>
    <n v="0"/>
    <n v="0"/>
    <n v="0"/>
    <n v="0"/>
    <n v="0"/>
    <x v="0"/>
    <x v="0"/>
    <x v="6"/>
    <n v="11"/>
    <n v="2"/>
    <m/>
    <m/>
    <m/>
    <m/>
    <m/>
    <m/>
    <m/>
    <m/>
    <m/>
    <m/>
    <m/>
    <m/>
    <m/>
    <m/>
    <m/>
    <m/>
    <m/>
    <m/>
    <m/>
    <n v="0"/>
    <n v="0"/>
  </r>
  <r>
    <n v="6809"/>
    <x v="0"/>
    <s v="2021/4716"/>
    <s v="116 Mitcham Lane"/>
    <s v=""/>
    <n v="529284"/>
    <n v="171134"/>
    <x v="13"/>
    <d v="2022-04-04T00:00:00"/>
    <d v="2022-11-11T00:00:00"/>
    <n v="0"/>
    <n v="1"/>
    <n v="1"/>
    <n v="1"/>
    <n v="1"/>
    <x v="1"/>
    <s v="Determination as to whether prior approval is required for change of use from retail (Class E) to 1 x studio flat (Class C3)."/>
    <s v="PAG"/>
    <d v="2021-12-09T00:00:00"/>
    <d v="2022-01-28T00:00:00"/>
    <x v="0"/>
    <s v="Nil"/>
    <m/>
    <s v="BF"/>
    <s v="CON"/>
    <x v="2"/>
    <x v="4"/>
    <n v="3.8899999999999998E-3"/>
    <d v="2022-04-04T00:00:00"/>
    <x v="1"/>
    <d v="2022-11-11T00:00:00"/>
    <x v="2"/>
    <s v="M"/>
    <s v=""/>
    <m/>
    <n v="0"/>
    <m/>
    <n v="0"/>
    <m/>
    <n v="1"/>
    <n v="0"/>
    <n v="0"/>
    <n v="0"/>
    <n v="0"/>
    <n v="0"/>
    <n v="0"/>
    <n v="1"/>
    <n v="0"/>
    <n v="0"/>
    <n v="0"/>
    <n v="0"/>
    <n v="0"/>
    <n v="0"/>
    <n v="0"/>
    <n v="0"/>
    <n v="0"/>
    <n v="0"/>
    <n v="0"/>
    <n v="0"/>
    <n v="0"/>
    <n v="0"/>
    <n v="0"/>
    <n v="0"/>
    <n v="0"/>
    <n v="0"/>
    <n v="0"/>
    <n v="0"/>
    <x v="0"/>
    <x v="0"/>
    <x v="1"/>
    <n v="11"/>
    <n v="1"/>
    <m/>
    <m/>
    <m/>
    <m/>
    <m/>
    <m/>
    <m/>
    <m/>
    <m/>
    <m/>
    <m/>
    <m/>
    <m/>
    <m/>
    <m/>
    <m/>
    <m/>
    <m/>
    <m/>
    <n v="0"/>
    <n v="0"/>
  </r>
  <r>
    <n v="4420"/>
    <x v="0"/>
    <s v="2021/2077"/>
    <s v="114 Putney High Street"/>
    <s v=""/>
    <n v="523999"/>
    <n v="175272"/>
    <x v="0"/>
    <d v="2022-04-01T00:00:00"/>
    <d v="2023-03-31T00:00:00"/>
    <n v="1"/>
    <n v="3"/>
    <n v="2"/>
    <n v="3"/>
    <n v="2"/>
    <x v="1"/>
    <s v="Alterations including erection of ground, first and second  floor extension in connection with creation of 2 x 2 bedroom flat and 1 x1 bedroom flat."/>
    <s v="PF"/>
    <d v="2021-06-10T00:00:00"/>
    <d v="2021-07-29T00:00:00"/>
    <x v="0"/>
    <s v="Nil"/>
    <m/>
    <s v="BF"/>
    <s v="CON"/>
    <x v="2"/>
    <x v="7"/>
    <n v="4.8225000000000004E-3"/>
    <d v="2022-04-01T00:00:00"/>
    <x v="1"/>
    <d v="2023-03-31T00:00:00"/>
    <x v="2"/>
    <s v="MR"/>
    <s v=""/>
    <m/>
    <n v="0"/>
    <m/>
    <n v="0"/>
    <m/>
    <n v="0"/>
    <n v="1"/>
    <n v="2"/>
    <n v="0"/>
    <n v="0"/>
    <n v="-1"/>
    <n v="0"/>
    <n v="0"/>
    <n v="1"/>
    <n v="2"/>
    <n v="0"/>
    <n v="0"/>
    <n v="-1"/>
    <n v="0"/>
    <n v="0"/>
    <n v="0"/>
    <n v="0"/>
    <n v="0"/>
    <n v="0"/>
    <n v="0"/>
    <n v="0"/>
    <n v="0"/>
    <n v="0"/>
    <n v="0"/>
    <n v="0"/>
    <n v="0"/>
    <n v="0"/>
    <n v="0"/>
    <x v="4"/>
    <x v="0"/>
    <x v="4"/>
    <n v="11"/>
    <n v="2"/>
    <m/>
    <m/>
    <m/>
    <m/>
    <m/>
    <m/>
    <m/>
    <m/>
    <m/>
    <m/>
    <m/>
    <m/>
    <m/>
    <m/>
    <m/>
    <m/>
    <m/>
    <m/>
    <m/>
    <n v="0"/>
    <n v="0"/>
  </r>
  <r>
    <n v="7489"/>
    <x v="0"/>
    <s v="2021/1534"/>
    <s v="15 Mantilla Road"/>
    <s v=""/>
    <n v="528355"/>
    <n v="171746"/>
    <x v="9"/>
    <d v="2022-04-01T00:00:00"/>
    <d v="2022-07-31T00:00:00"/>
    <n v="1"/>
    <n v="2"/>
    <n v="1"/>
    <n v="2"/>
    <n v="1"/>
    <x v="1"/>
    <s v="Alterations including the erection of mansard roof extension to main rear roof including raising ridge 300mm, erection of roof extension and formation of roof terrace with screen surround above two-storey back addition in connection with creation of 1 x 1-bedroom flat."/>
    <s v="PF"/>
    <d v="2021-03-31T00:00:00"/>
    <d v="2021-06-16T00:00:00"/>
    <x v="0"/>
    <s v="Nil"/>
    <m/>
    <s v="BF"/>
    <s v="EXT"/>
    <x v="2"/>
    <x v="2"/>
    <n v="6.0000000000000001E-3"/>
    <d v="2022-04-01T00:00:00"/>
    <x v="1"/>
    <d v="2022-07-31T00:00:00"/>
    <x v="2"/>
    <s v="M"/>
    <s v=""/>
    <m/>
    <n v="0"/>
    <m/>
    <n v="0"/>
    <m/>
    <n v="0"/>
    <n v="1"/>
    <n v="1"/>
    <n v="-1"/>
    <n v="0"/>
    <n v="0"/>
    <n v="0"/>
    <n v="0"/>
    <n v="1"/>
    <n v="1"/>
    <n v="0"/>
    <n v="0"/>
    <n v="0"/>
    <n v="0"/>
    <n v="0"/>
    <n v="0"/>
    <n v="0"/>
    <n v="-1"/>
    <n v="0"/>
    <n v="0"/>
    <n v="0"/>
    <n v="0"/>
    <n v="0"/>
    <n v="0"/>
    <n v="0"/>
    <n v="0"/>
    <n v="0"/>
    <n v="0"/>
    <x v="0"/>
    <x v="0"/>
    <x v="1"/>
    <n v="11"/>
    <n v="1"/>
    <m/>
    <m/>
    <m/>
    <m/>
    <m/>
    <m/>
    <m/>
    <m/>
    <m/>
    <m/>
    <m/>
    <m/>
    <m/>
    <m/>
    <m/>
    <m/>
    <m/>
    <m/>
    <m/>
    <n v="0"/>
    <n v="0"/>
  </r>
  <r>
    <n v="2807"/>
    <x v="0"/>
    <s v="2021/1874"/>
    <s v="45 Balham High Road"/>
    <s v=""/>
    <n v="528724"/>
    <n v="173597"/>
    <x v="2"/>
    <d v="2022-04-01T00:00:00"/>
    <d v="2022-12-20T00:00:00"/>
    <n v="1"/>
    <n v="2"/>
    <n v="1"/>
    <n v="2"/>
    <n v="1"/>
    <x v="1"/>
    <s v="Alterations including erection part single/part two storey rear extension at first and second floors in connection with creation of 1 x 2-bedroom, 1 x 1-bedroom flats. Replacement of windows."/>
    <s v="PF"/>
    <d v="2021-05-11T00:00:00"/>
    <d v="2021-11-19T00:00:00"/>
    <x v="0"/>
    <s v="Nil"/>
    <m/>
    <s v="BF"/>
    <s v="MIX"/>
    <x v="2"/>
    <x v="7"/>
    <n v="5.5500000000000002E-3"/>
    <d v="2022-04-01T00:00:00"/>
    <x v="1"/>
    <d v="2022-12-20T00:00:00"/>
    <x v="2"/>
    <s v="MR"/>
    <s v=""/>
    <m/>
    <n v="0"/>
    <m/>
    <n v="0"/>
    <m/>
    <n v="0"/>
    <n v="1"/>
    <n v="1"/>
    <n v="-1"/>
    <n v="0"/>
    <n v="0"/>
    <n v="0"/>
    <n v="0"/>
    <n v="1"/>
    <n v="1"/>
    <n v="-1"/>
    <n v="0"/>
    <n v="0"/>
    <n v="0"/>
    <n v="0"/>
    <n v="0"/>
    <n v="0"/>
    <n v="0"/>
    <n v="0"/>
    <n v="0"/>
    <n v="0"/>
    <n v="0"/>
    <n v="0"/>
    <n v="0"/>
    <n v="0"/>
    <n v="0"/>
    <n v="0"/>
    <n v="0"/>
    <x v="1"/>
    <x v="0"/>
    <x v="2"/>
    <n v="11"/>
    <n v="1"/>
    <m/>
    <m/>
    <m/>
    <m/>
    <m/>
    <m/>
    <m/>
    <m/>
    <m/>
    <m/>
    <m/>
    <m/>
    <m/>
    <m/>
    <m/>
    <m/>
    <m/>
    <m/>
    <m/>
    <n v="0"/>
    <n v="0"/>
  </r>
  <r>
    <n v="1535"/>
    <x v="0"/>
    <s v="2021/0309"/>
    <s v="14 Oxford Road"/>
    <s v=""/>
    <n v="524322"/>
    <n v="175262"/>
    <x v="0"/>
    <d v="2022-04-01T00:00:00"/>
    <d v="2022-04-01T00:00:00"/>
    <n v="2"/>
    <n v="1"/>
    <n v="-1"/>
    <n v="1"/>
    <n v="-1"/>
    <x v="1"/>
    <s v="Alterations including erection of front boundary wall, railings and gates and landscaping. Installation of replacement of replacement timber windows to side and rear lower ground floor elevations in connection with the change of use to a single dwelling."/>
    <s v="PF"/>
    <d v="2021-01-25T00:00:00"/>
    <d v="2021-04-08T00:00:00"/>
    <x v="0"/>
    <s v="Nil"/>
    <m/>
    <s v="BF"/>
    <s v="CON"/>
    <x v="2"/>
    <x v="8"/>
    <n v="2.9000000000000001E-2"/>
    <d v="2022-04-01T00:00:00"/>
    <x v="1"/>
    <d v="2022-04-01T00:00:00"/>
    <x v="2"/>
    <s v="M"/>
    <s v=""/>
    <m/>
    <n v="0"/>
    <m/>
    <n v="0"/>
    <m/>
    <n v="0"/>
    <n v="-1"/>
    <n v="0"/>
    <n v="0"/>
    <n v="-1"/>
    <n v="1"/>
    <n v="0"/>
    <n v="0"/>
    <n v="-1"/>
    <n v="0"/>
    <n v="0"/>
    <n v="-1"/>
    <n v="0"/>
    <n v="0"/>
    <n v="0"/>
    <n v="0"/>
    <n v="0"/>
    <n v="0"/>
    <n v="0"/>
    <n v="1"/>
    <n v="0"/>
    <n v="0"/>
    <n v="0"/>
    <n v="0"/>
    <n v="0"/>
    <n v="0"/>
    <n v="0"/>
    <n v="0"/>
    <x v="0"/>
    <x v="0"/>
    <x v="1"/>
    <n v="11"/>
    <n v="-1"/>
    <m/>
    <m/>
    <m/>
    <m/>
    <m/>
    <m/>
    <m/>
    <m/>
    <m/>
    <m/>
    <m/>
    <m/>
    <m/>
    <m/>
    <m/>
    <m/>
    <m/>
    <m/>
    <m/>
    <n v="0"/>
    <n v="0"/>
  </r>
  <r>
    <n v="7655"/>
    <x v="0"/>
    <s v="2021/2917"/>
    <s v="9a Luttrell Avenue"/>
    <s v=""/>
    <n v="522962"/>
    <n v="174883"/>
    <x v="18"/>
    <d v="2022-04-01T00:00:00"/>
    <d v="2023-02-21T00:00:00"/>
    <n v="1"/>
    <n v="1"/>
    <n v="0"/>
    <n v="1"/>
    <n v="0"/>
    <x v="1"/>
    <s v="Change of use from residential (Class C3) to HMO (Class C4)."/>
    <s v="LDC Prop"/>
    <d v="2021-08-03T00:00:00"/>
    <d v="2021-09-28T00:00:00"/>
    <x v="0"/>
    <s v="Nil"/>
    <m/>
    <s v="BF"/>
    <s v="COU"/>
    <x v="2"/>
    <x v="7"/>
    <n v="4.6499999999999996E-3"/>
    <d v="2022-04-01T00:00:00"/>
    <x v="1"/>
    <d v="2023-02-21T00:00:00"/>
    <x v="2"/>
    <s v="MR"/>
    <s v=""/>
    <m/>
    <n v="0"/>
    <m/>
    <n v="0"/>
    <m/>
    <n v="0"/>
    <n v="0"/>
    <n v="0"/>
    <n v="0"/>
    <n v="0"/>
    <n v="0"/>
    <n v="0"/>
    <n v="0"/>
    <n v="0"/>
    <n v="0"/>
    <n v="0"/>
    <n v="0"/>
    <n v="0"/>
    <n v="0"/>
    <n v="0"/>
    <n v="0"/>
    <n v="0"/>
    <n v="0"/>
    <n v="0"/>
    <n v="0"/>
    <n v="0"/>
    <n v="0"/>
    <n v="0"/>
    <n v="0"/>
    <n v="0"/>
    <n v="0"/>
    <n v="0"/>
    <n v="0"/>
    <x v="0"/>
    <x v="0"/>
    <x v="1"/>
    <n v="11"/>
    <n v="0"/>
    <m/>
    <m/>
    <m/>
    <m/>
    <m/>
    <m/>
    <m/>
    <m/>
    <m/>
    <m/>
    <m/>
    <m/>
    <m/>
    <m/>
    <m/>
    <m/>
    <m/>
    <m/>
    <m/>
    <n v="0"/>
    <n v="0"/>
  </r>
  <r>
    <n v="5956"/>
    <x v="0"/>
    <s v="2022/0208"/>
    <s v="48 &amp; 48A, 48 Lower Richmond Road"/>
    <s v=""/>
    <n v="523775"/>
    <n v="175783"/>
    <x v="0"/>
    <d v="2022-04-01T00:00:00"/>
    <d v="2023-03-31T00:00:00"/>
    <n v="1"/>
    <n v="1"/>
    <n v="0"/>
    <n v="1"/>
    <n v="0"/>
    <x v="1"/>
    <s v="Erection of part single, part three storey rear/side extension and rear dormer in connection with the use of property as 1 x 3-bedroom flat. forrmation of roof terrace at rear second floor level."/>
    <s v="PF"/>
    <d v="2022-02-02T00:00:00"/>
    <d v="2022-03-29T00:00:00"/>
    <x v="0"/>
    <s v="Nil"/>
    <m/>
    <s v="BF"/>
    <s v="EXT"/>
    <x v="2"/>
    <x v="2"/>
    <n v="4.0000000000000001E-3"/>
    <d v="2022-04-01T00:00:00"/>
    <x v="1"/>
    <d v="2023-03-31T00:00:00"/>
    <x v="2"/>
    <s v="M"/>
    <s v=""/>
    <m/>
    <n v="0"/>
    <m/>
    <n v="0"/>
    <m/>
    <n v="0"/>
    <n v="0"/>
    <n v="0"/>
    <n v="0"/>
    <n v="0"/>
    <n v="0"/>
    <n v="0"/>
    <n v="0"/>
    <n v="0"/>
    <n v="0"/>
    <n v="0"/>
    <n v="0"/>
    <n v="0"/>
    <n v="0"/>
    <n v="0"/>
    <n v="0"/>
    <n v="0"/>
    <n v="0"/>
    <n v="0"/>
    <n v="0"/>
    <n v="0"/>
    <n v="0"/>
    <n v="0"/>
    <n v="0"/>
    <n v="0"/>
    <n v="0"/>
    <n v="0"/>
    <n v="0"/>
    <x v="0"/>
    <x v="0"/>
    <x v="1"/>
    <n v="11"/>
    <n v="0"/>
    <m/>
    <m/>
    <m/>
    <m/>
    <m/>
    <m/>
    <m/>
    <m/>
    <m/>
    <m/>
    <m/>
    <m/>
    <m/>
    <m/>
    <m/>
    <m/>
    <m/>
    <m/>
    <m/>
    <n v="0"/>
    <n v="0"/>
  </r>
  <r>
    <n v="5381"/>
    <x v="0"/>
    <s v="2020/2369"/>
    <s v="Battersea Bar/The Chopper, 58-70 York Road"/>
    <s v="Market"/>
    <n v="526820"/>
    <n v="176155"/>
    <x v="5"/>
    <d v="2018-11-26T00:00:00"/>
    <m/>
    <n v="0"/>
    <n v="55"/>
    <n v="55"/>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0"/>
    <s v="Nil"/>
    <m/>
    <s v="BF"/>
    <s v="NB"/>
    <x v="0"/>
    <x v="0"/>
    <n v="5.0999999999999997E-2"/>
    <d v="2018-11-26T00:00:00"/>
    <x v="0"/>
    <d v="2023-03-31T00:00:00"/>
    <x v="2"/>
    <s v="M"/>
    <s v="10.14"/>
    <m/>
    <n v="0"/>
    <m/>
    <n v="0"/>
    <m/>
    <n v="1"/>
    <n v="15"/>
    <n v="33"/>
    <n v="6"/>
    <n v="0"/>
    <n v="0"/>
    <n v="0"/>
    <n v="1"/>
    <n v="15"/>
    <n v="33"/>
    <n v="6"/>
    <n v="0"/>
    <n v="0"/>
    <n v="0"/>
    <n v="0"/>
    <n v="0"/>
    <n v="0"/>
    <n v="0"/>
    <n v="0"/>
    <n v="0"/>
    <n v="0"/>
    <n v="0"/>
    <n v="0"/>
    <n v="0"/>
    <n v="0"/>
    <n v="0"/>
    <n v="0"/>
    <n v="0"/>
    <x v="0"/>
    <x v="0"/>
    <x v="8"/>
    <n v="1"/>
    <n v="55"/>
    <m/>
    <m/>
    <m/>
    <m/>
    <m/>
    <m/>
    <m/>
    <m/>
    <m/>
    <m/>
    <m/>
    <m/>
    <m/>
    <m/>
    <m/>
    <m/>
    <m/>
    <m/>
    <m/>
    <n v="0"/>
    <n v="0"/>
  </r>
  <r>
    <n v="5381"/>
    <x v="0"/>
    <s v="2020/2369"/>
    <s v="Battersea Bar/The Chopper, 58-70 York Road"/>
    <s v="ISL CO"/>
    <n v="526820"/>
    <n v="176155"/>
    <x v="5"/>
    <d v="2018-11-26T00:00:00"/>
    <m/>
    <n v="0"/>
    <n v="27"/>
    <n v="27"/>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0"/>
    <s v="Nil"/>
    <m/>
    <s v="BF"/>
    <s v="NB"/>
    <x v="0"/>
    <x v="0"/>
    <n v="2.5000000000000001E-2"/>
    <d v="2018-11-26T00:00:00"/>
    <x v="0"/>
    <d v="2023-03-31T00:00:00"/>
    <x v="0"/>
    <s v="ISL"/>
    <s v="10.14"/>
    <m/>
    <n v="0"/>
    <m/>
    <n v="0"/>
    <m/>
    <n v="0"/>
    <n v="13"/>
    <n v="12"/>
    <n v="2"/>
    <n v="0"/>
    <n v="0"/>
    <n v="0"/>
    <n v="0"/>
    <n v="13"/>
    <n v="12"/>
    <n v="2"/>
    <n v="0"/>
    <n v="0"/>
    <n v="0"/>
    <n v="0"/>
    <n v="0"/>
    <n v="0"/>
    <n v="0"/>
    <n v="0"/>
    <n v="0"/>
    <n v="0"/>
    <n v="0"/>
    <n v="0"/>
    <n v="0"/>
    <n v="0"/>
    <n v="0"/>
    <n v="0"/>
    <n v="0"/>
    <x v="0"/>
    <x v="0"/>
    <x v="8"/>
    <n v="1"/>
    <n v="27"/>
    <m/>
    <m/>
    <m/>
    <m/>
    <m/>
    <m/>
    <m/>
    <m/>
    <m/>
    <m/>
    <m/>
    <m/>
    <m/>
    <m/>
    <m/>
    <m/>
    <m/>
    <m/>
    <m/>
    <n v="0"/>
    <n v="0"/>
  </r>
  <r>
    <n v="7309"/>
    <x v="0"/>
    <s v="2019/4378"/>
    <s v="Apartments 5 &amp; 6, 2 Riverlight Quay (Riverlight)"/>
    <s v=""/>
    <n v="529462"/>
    <n v="177565"/>
    <x v="15"/>
    <d v="2021-04-01T00:00:00"/>
    <d v="2022-04-01T00:00:00"/>
    <n v="2"/>
    <n v="1"/>
    <n v="-1"/>
    <n v="1"/>
    <n v="-1"/>
    <x v="1"/>
    <s v="The amalgamation of two adjacent two-bed units to create one four-bed unit."/>
    <s v="PF"/>
    <d v="2019-12-20T00:00:00"/>
    <d v="2020-02-11T00:00:00"/>
    <x v="0"/>
    <s v="Nil"/>
    <m/>
    <s v="BF"/>
    <s v="CON"/>
    <x v="2"/>
    <x v="9"/>
    <n v="2E-3"/>
    <d v="2021-04-01T00:00:00"/>
    <x v="0"/>
    <d v="2022-04-01T00:00:00"/>
    <x v="2"/>
    <s v="M"/>
    <s v="2.1.9"/>
    <m/>
    <n v="0"/>
    <m/>
    <n v="0"/>
    <m/>
    <n v="0"/>
    <n v="0"/>
    <n v="-2"/>
    <n v="0"/>
    <n v="1"/>
    <n v="0"/>
    <n v="0"/>
    <n v="0"/>
    <n v="0"/>
    <n v="-2"/>
    <n v="0"/>
    <n v="1"/>
    <n v="0"/>
    <n v="0"/>
    <n v="0"/>
    <n v="0"/>
    <n v="0"/>
    <n v="0"/>
    <n v="0"/>
    <n v="0"/>
    <n v="0"/>
    <n v="0"/>
    <n v="0"/>
    <n v="0"/>
    <n v="0"/>
    <n v="0"/>
    <n v="0"/>
    <n v="0"/>
    <x v="0"/>
    <x v="1"/>
    <x v="7"/>
    <n v="11"/>
    <n v="-1"/>
    <m/>
    <m/>
    <m/>
    <m/>
    <m/>
    <m/>
    <m/>
    <m/>
    <m/>
    <m/>
    <m/>
    <m/>
    <m/>
    <m/>
    <m/>
    <m/>
    <m/>
    <m/>
    <m/>
    <n v="0"/>
    <n v="0"/>
  </r>
  <r>
    <n v="3745"/>
    <x v="0"/>
    <s v="2018/0210"/>
    <s v="Land rear of 4-24, Thrale Road (Land rear of Mitcham Lane)"/>
    <s v="Block B"/>
    <n v="529291"/>
    <n v="171210"/>
    <x v="13"/>
    <d v="2020-11-01T00:00:00"/>
    <m/>
    <n v="0"/>
    <n v="6"/>
    <n v="6"/>
    <n v="22"/>
    <n v="22"/>
    <x v="0"/>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x v="0"/>
    <s v="Nil"/>
    <m/>
    <s v="BF"/>
    <s v="NB"/>
    <x v="0"/>
    <x v="0"/>
    <n v="7.0999999999999994E-2"/>
    <d v="2020-11-01T00:00:00"/>
    <x v="0"/>
    <d v="2023-02-14T00:00:00"/>
    <x v="2"/>
    <s v="M"/>
    <s v=""/>
    <m/>
    <n v="0"/>
    <m/>
    <n v="0"/>
    <m/>
    <n v="0"/>
    <n v="0"/>
    <n v="0"/>
    <n v="6"/>
    <n v="0"/>
    <n v="0"/>
    <n v="0"/>
    <n v="0"/>
    <n v="0"/>
    <n v="0"/>
    <n v="0"/>
    <n v="0"/>
    <n v="0"/>
    <n v="0"/>
    <n v="0"/>
    <n v="0"/>
    <n v="0"/>
    <n v="6"/>
    <n v="0"/>
    <n v="0"/>
    <n v="0"/>
    <n v="0"/>
    <n v="0"/>
    <n v="0"/>
    <n v="0"/>
    <n v="0"/>
    <n v="0"/>
    <n v="0"/>
    <x v="0"/>
    <x v="0"/>
    <x v="1"/>
    <n v="1"/>
    <n v="6"/>
    <m/>
    <m/>
    <m/>
    <m/>
    <m/>
    <m/>
    <m/>
    <m/>
    <m/>
    <m/>
    <m/>
    <m/>
    <m/>
    <m/>
    <m/>
    <m/>
    <m/>
    <m/>
    <m/>
    <n v="0"/>
    <n v="0"/>
  </r>
  <r>
    <n v="3745"/>
    <x v="0"/>
    <s v="2018/0210"/>
    <s v="Land rear of 4-24, Thrale Road (Land rear of Mitcham Lane)"/>
    <s v="Block C"/>
    <n v="529291"/>
    <n v="171210"/>
    <x v="13"/>
    <d v="2020-11-01T00:00:00"/>
    <m/>
    <n v="0"/>
    <n v="10"/>
    <n v="10"/>
    <n v="22"/>
    <n v="22"/>
    <x v="0"/>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x v="0"/>
    <s v="Nil"/>
    <m/>
    <s v="BF"/>
    <s v="NB"/>
    <x v="0"/>
    <x v="0"/>
    <n v="0.08"/>
    <d v="2020-11-01T00:00:00"/>
    <x v="0"/>
    <d v="2022-12-09T00:00:00"/>
    <x v="2"/>
    <s v="M"/>
    <s v=""/>
    <m/>
    <n v="0"/>
    <m/>
    <n v="0"/>
    <m/>
    <n v="0"/>
    <n v="4"/>
    <n v="6"/>
    <n v="0"/>
    <n v="0"/>
    <n v="0"/>
    <n v="0"/>
    <n v="0"/>
    <n v="4"/>
    <n v="6"/>
    <n v="0"/>
    <n v="0"/>
    <n v="0"/>
    <n v="0"/>
    <n v="0"/>
    <n v="0"/>
    <n v="0"/>
    <n v="0"/>
    <n v="0"/>
    <n v="0"/>
    <n v="0"/>
    <n v="0"/>
    <n v="0"/>
    <n v="0"/>
    <n v="0"/>
    <n v="0"/>
    <n v="0"/>
    <n v="0"/>
    <x v="0"/>
    <x v="0"/>
    <x v="1"/>
    <n v="1"/>
    <n v="10"/>
    <m/>
    <m/>
    <m/>
    <m/>
    <m/>
    <m/>
    <m/>
    <m/>
    <m/>
    <m/>
    <m/>
    <m/>
    <m/>
    <m/>
    <m/>
    <m/>
    <m/>
    <m/>
    <m/>
    <n v="0"/>
    <n v="0"/>
  </r>
  <r>
    <n v="2589"/>
    <x v="0"/>
    <s v="2021/0652"/>
    <s v="24 Southolm Street"/>
    <s v=""/>
    <n v="528730"/>
    <n v="176714"/>
    <x v="1"/>
    <d v="2021-04-28T00:00:00"/>
    <d v="2022-06-13T00:00:00"/>
    <n v="1"/>
    <n v="0"/>
    <n v="-1"/>
    <n v="0"/>
    <n v="-1"/>
    <x v="1"/>
    <s v="Alterations including change of use from residential (Class C3) to 1 x 7-bedroom HMO (Class Sui Generis), replacement windows and bin store to front."/>
    <s v="PF"/>
    <d v="2021-03-11T00:00:00"/>
    <d v="2021-04-28T00:00:00"/>
    <x v="0"/>
    <s v="Nil"/>
    <m/>
    <s v="BF"/>
    <s v="COU"/>
    <x v="2"/>
    <x v="5"/>
    <n v="8.0000000000000002E-3"/>
    <d v="2021-04-28T00:00:00"/>
    <x v="0"/>
    <d v="2022-06-13T00:00:00"/>
    <x v="2"/>
    <s v="M"/>
    <s v=""/>
    <m/>
    <n v="0"/>
    <m/>
    <n v="0"/>
    <m/>
    <n v="0"/>
    <n v="0"/>
    <n v="0"/>
    <n v="-1"/>
    <n v="0"/>
    <n v="0"/>
    <n v="0"/>
    <n v="0"/>
    <n v="0"/>
    <n v="0"/>
    <n v="0"/>
    <n v="0"/>
    <n v="0"/>
    <n v="0"/>
    <n v="0"/>
    <n v="0"/>
    <n v="0"/>
    <n v="-1"/>
    <n v="0"/>
    <n v="0"/>
    <n v="0"/>
    <n v="0"/>
    <n v="0"/>
    <n v="0"/>
    <n v="0"/>
    <n v="0"/>
    <n v="0"/>
    <n v="0"/>
    <x v="0"/>
    <x v="1"/>
    <x v="7"/>
    <n v="11"/>
    <n v="-1"/>
    <m/>
    <m/>
    <m/>
    <m/>
    <m/>
    <m/>
    <m/>
    <m/>
    <m/>
    <m/>
    <m/>
    <m/>
    <m/>
    <m/>
    <m/>
    <m/>
    <m/>
    <m/>
    <m/>
    <n v="0"/>
    <n v="0"/>
  </r>
  <r>
    <n v="7289"/>
    <x v="0"/>
    <s v="2019/4774"/>
    <s v="62 Thrale Road"/>
    <s v="conv"/>
    <n v="529107"/>
    <n v="171539"/>
    <x v="13"/>
    <d v="2022-02-23T00:00:00"/>
    <d v="2023-01-04T00:00:00"/>
    <n v="4"/>
    <n v="4"/>
    <n v="0"/>
    <n v="6"/>
    <n v="2"/>
    <x v="1"/>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x v="0"/>
    <s v="Nil"/>
    <m/>
    <s v="BF"/>
    <s v="MIX"/>
    <x v="2"/>
    <x v="7"/>
    <n v="6.0999999999999999E-2"/>
    <d v="2022-02-23T00:00:00"/>
    <x v="0"/>
    <d v="2023-01-04T00:00:00"/>
    <x v="2"/>
    <s v="M"/>
    <s v=""/>
    <m/>
    <n v="0"/>
    <m/>
    <n v="0"/>
    <m/>
    <n v="0"/>
    <n v="-2"/>
    <n v="1"/>
    <n v="1"/>
    <n v="0"/>
    <n v="0"/>
    <n v="0"/>
    <n v="0"/>
    <n v="-2"/>
    <n v="1"/>
    <n v="1"/>
    <n v="0"/>
    <n v="0"/>
    <n v="0"/>
    <n v="0"/>
    <n v="0"/>
    <n v="0"/>
    <n v="0"/>
    <n v="0"/>
    <n v="0"/>
    <n v="0"/>
    <n v="0"/>
    <n v="0"/>
    <n v="0"/>
    <n v="0"/>
    <n v="0"/>
    <n v="0"/>
    <n v="0"/>
    <x v="0"/>
    <x v="0"/>
    <x v="1"/>
    <n v="11"/>
    <n v="0"/>
    <m/>
    <m/>
    <m/>
    <m/>
    <m/>
    <m/>
    <m/>
    <m/>
    <m/>
    <m/>
    <m/>
    <m/>
    <m/>
    <m/>
    <m/>
    <m/>
    <m/>
    <m/>
    <m/>
    <n v="0"/>
    <n v="0"/>
  </r>
  <r>
    <n v="7289"/>
    <x v="0"/>
    <s v="2019/4774"/>
    <s v="62 Thrale Road"/>
    <s v="extn"/>
    <n v="529107"/>
    <n v="171539"/>
    <x v="13"/>
    <d v="2022-02-23T00:00:00"/>
    <d v="2023-01-04T00:00:00"/>
    <n v="0"/>
    <n v="2"/>
    <n v="2"/>
    <n v="6"/>
    <n v="2"/>
    <x v="1"/>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x v="0"/>
    <s v="Nil"/>
    <m/>
    <s v="BF"/>
    <s v="MIX"/>
    <x v="2"/>
    <x v="2"/>
    <n v="2.5999999999999999E-2"/>
    <d v="2022-02-23T00:00:00"/>
    <x v="0"/>
    <d v="2023-01-04T00:00:00"/>
    <x v="2"/>
    <s v="M"/>
    <s v=""/>
    <m/>
    <n v="0"/>
    <m/>
    <n v="0"/>
    <m/>
    <n v="0"/>
    <n v="1"/>
    <n v="1"/>
    <n v="0"/>
    <n v="0"/>
    <n v="0"/>
    <n v="0"/>
    <n v="0"/>
    <n v="1"/>
    <n v="1"/>
    <n v="0"/>
    <n v="0"/>
    <n v="0"/>
    <n v="0"/>
    <n v="0"/>
    <n v="0"/>
    <n v="0"/>
    <n v="0"/>
    <n v="0"/>
    <n v="0"/>
    <n v="0"/>
    <n v="0"/>
    <n v="0"/>
    <n v="0"/>
    <n v="0"/>
    <n v="0"/>
    <n v="0"/>
    <n v="0"/>
    <x v="0"/>
    <x v="0"/>
    <x v="1"/>
    <n v="11"/>
    <n v="2"/>
    <m/>
    <m/>
    <m/>
    <m/>
    <m/>
    <m/>
    <m/>
    <m/>
    <m/>
    <m/>
    <m/>
    <m/>
    <m/>
    <m/>
    <m/>
    <m/>
    <m/>
    <m/>
    <m/>
    <n v="0"/>
    <n v="0"/>
  </r>
  <r>
    <n v="7619"/>
    <x v="0"/>
    <s v="2021/4546"/>
    <s v="4 Ellerton Road"/>
    <s v="house"/>
    <n v="526682"/>
    <n v="173430"/>
    <x v="10"/>
    <d v="2022-04-01T00:00:00"/>
    <d v="2022-12-07T00:00:00"/>
    <n v="2"/>
    <n v="1"/>
    <n v="-1"/>
    <n v="1"/>
    <n v="-1"/>
    <x v="1"/>
    <s v="Alterations in connection with the use of two flats as a single dwelling house."/>
    <s v="PF"/>
    <d v="2021-10-13T00:00:00"/>
    <d v="2021-11-30T00:00:00"/>
    <x v="0"/>
    <s v="Nil"/>
    <m/>
    <s v="BF"/>
    <s v="CON"/>
    <x v="2"/>
    <x v="8"/>
    <n v="6.7666599999999999E-3"/>
    <d v="2022-04-01T00:00:00"/>
    <x v="1"/>
    <d v="2022-12-07T00:00:00"/>
    <x v="2"/>
    <s v="M"/>
    <s v=""/>
    <m/>
    <n v="0"/>
    <m/>
    <n v="0"/>
    <m/>
    <n v="0"/>
    <n v="0"/>
    <n v="-1"/>
    <n v="0"/>
    <n v="-1"/>
    <n v="1"/>
    <n v="0"/>
    <n v="0"/>
    <n v="0"/>
    <n v="-1"/>
    <n v="0"/>
    <n v="-1"/>
    <n v="0"/>
    <n v="0"/>
    <n v="0"/>
    <n v="0"/>
    <n v="0"/>
    <n v="0"/>
    <n v="0"/>
    <n v="1"/>
    <n v="0"/>
    <n v="0"/>
    <n v="0"/>
    <n v="0"/>
    <n v="0"/>
    <n v="0"/>
    <n v="0"/>
    <n v="0"/>
    <x v="0"/>
    <x v="0"/>
    <x v="1"/>
    <n v="11"/>
    <n v="-1"/>
    <m/>
    <m/>
    <m/>
    <m/>
    <m/>
    <m/>
    <m/>
    <m/>
    <m/>
    <m/>
    <m/>
    <m/>
    <m/>
    <m/>
    <m/>
    <m/>
    <m/>
    <m/>
    <m/>
    <n v="0"/>
    <n v="0"/>
  </r>
  <r>
    <n v="7630"/>
    <x v="0"/>
    <s v="2021/1458"/>
    <s v="Apartments 82 &amp; 83 &amp; 84, 1 Riverlight Quay (Riverlight)"/>
    <s v=""/>
    <n v="529505"/>
    <n v="177593"/>
    <x v="15"/>
    <d v="2022-08-09T00:00:00"/>
    <d v="2022-08-09T00:00:00"/>
    <n v="2"/>
    <n v="1"/>
    <n v="-1"/>
    <n v="1"/>
    <n v="-1"/>
    <x v="1"/>
    <s v="The amalgamation of two adjacent two-bed units to create one threebed unit and extension of the unit to incorporate 2 sqm of the communal hallway"/>
    <s v="PF"/>
    <d v="2021-03-26T00:00:00"/>
    <d v="2021-09-02T00:00:00"/>
    <x v="0"/>
    <s v="Nil"/>
    <m/>
    <s v="BF"/>
    <s v="CON"/>
    <x v="2"/>
    <x v="9"/>
    <n v="1.89E-2"/>
    <d v="2022-08-09T00:00:00"/>
    <x v="1"/>
    <d v="2022-08-09T00:00:00"/>
    <x v="2"/>
    <s v="M"/>
    <s v="2.1.9"/>
    <m/>
    <n v="0"/>
    <m/>
    <n v="0"/>
    <m/>
    <n v="0"/>
    <n v="0"/>
    <n v="-2"/>
    <n v="1"/>
    <n v="0"/>
    <n v="0"/>
    <n v="0"/>
    <n v="0"/>
    <n v="0"/>
    <n v="-2"/>
    <n v="1"/>
    <n v="0"/>
    <n v="0"/>
    <n v="0"/>
    <n v="0"/>
    <n v="0"/>
    <n v="0"/>
    <n v="0"/>
    <n v="0"/>
    <n v="0"/>
    <n v="0"/>
    <n v="0"/>
    <n v="0"/>
    <n v="0"/>
    <n v="0"/>
    <n v="0"/>
    <n v="0"/>
    <n v="0"/>
    <x v="0"/>
    <x v="1"/>
    <x v="7"/>
    <n v="11"/>
    <n v="-1"/>
    <m/>
    <m/>
    <m/>
    <m/>
    <m/>
    <m/>
    <m/>
    <m/>
    <m/>
    <m/>
    <m/>
    <m/>
    <m/>
    <m/>
    <m/>
    <m/>
    <m/>
    <m/>
    <m/>
    <n v="0"/>
    <n v="0"/>
  </r>
  <r>
    <n v="5812"/>
    <x v="0"/>
    <s v="2015/4504"/>
    <s v="46 Ponton Road (Lexington Gardens)"/>
    <s v="Block A"/>
    <n v="529628"/>
    <n v="177338"/>
    <x v="15"/>
    <d v="2017-02-27T00:00:00"/>
    <m/>
    <n v="0"/>
    <n v="126"/>
    <n v="126"/>
    <n v="357"/>
    <n v="357"/>
    <x v="0"/>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0"/>
    <x v="0"/>
    <n v="0.2"/>
    <d v="2017-02-27T00:00:00"/>
    <x v="0"/>
    <d v="2022-04-01T00:00:00"/>
    <x v="2"/>
    <s v="M"/>
    <s v="2.1.20"/>
    <m/>
    <n v="126"/>
    <m/>
    <n v="12"/>
    <m/>
    <n v="9"/>
    <n v="12"/>
    <n v="97"/>
    <n v="8"/>
    <n v="0"/>
    <n v="0"/>
    <n v="0"/>
    <n v="9"/>
    <n v="12"/>
    <n v="97"/>
    <n v="8"/>
    <n v="0"/>
    <n v="0"/>
    <n v="0"/>
    <n v="0"/>
    <n v="0"/>
    <n v="0"/>
    <n v="0"/>
    <n v="0"/>
    <n v="0"/>
    <n v="0"/>
    <n v="0"/>
    <n v="0"/>
    <n v="0"/>
    <n v="0"/>
    <n v="0"/>
    <n v="0"/>
    <n v="0"/>
    <x v="0"/>
    <x v="1"/>
    <x v="7"/>
    <n v="1"/>
    <n v="126"/>
    <m/>
    <m/>
    <m/>
    <m/>
    <m/>
    <m/>
    <m/>
    <m/>
    <m/>
    <m/>
    <m/>
    <m/>
    <m/>
    <m/>
    <m/>
    <m/>
    <m/>
    <m/>
    <m/>
    <n v="0"/>
    <n v="0"/>
  </r>
  <r>
    <n v="6657"/>
    <x v="0"/>
    <s v="2021/1291"/>
    <s v="Brocklebank Health Centre, 249 Garratt Lane (and others), 229-247 Garratt Lane (Garratt Lane and Atheldene Regeneration Site)"/>
    <s v="Phase 1 (Houses) 2x replacement"/>
    <n v="525999"/>
    <n v="173647"/>
    <x v="11"/>
    <d v="2022-01-20T00:00:00"/>
    <m/>
    <n v="0"/>
    <n v="2"/>
    <n v="2"/>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2E-3"/>
    <d v="2022-01-20T00:00:00"/>
    <x v="0"/>
    <d v="2022-12-07T00:00:00"/>
    <x v="2"/>
    <s v="M"/>
    <s v=""/>
    <m/>
    <n v="0"/>
    <n v="2"/>
    <n v="0"/>
    <m/>
    <n v="0"/>
    <n v="0"/>
    <n v="0"/>
    <n v="2"/>
    <n v="0"/>
    <n v="0"/>
    <n v="0"/>
    <n v="0"/>
    <n v="0"/>
    <n v="0"/>
    <n v="0"/>
    <n v="0"/>
    <n v="0"/>
    <n v="0"/>
    <n v="0"/>
    <n v="0"/>
    <n v="0"/>
    <n v="2"/>
    <n v="0"/>
    <n v="0"/>
    <n v="0"/>
    <n v="0"/>
    <n v="0"/>
    <n v="0"/>
    <n v="0"/>
    <n v="0"/>
    <n v="0"/>
    <n v="0"/>
    <x v="0"/>
    <x v="0"/>
    <x v="1"/>
    <n v="1"/>
    <n v="2"/>
    <m/>
    <m/>
    <m/>
    <m/>
    <m/>
    <m/>
    <m/>
    <m/>
    <m/>
    <m/>
    <m/>
    <m/>
    <m/>
    <m/>
    <m/>
    <m/>
    <m/>
    <m/>
    <m/>
    <n v="0"/>
    <n v="0"/>
  </r>
  <r>
    <n v="3521"/>
    <x v="0"/>
    <s v="2021/5678"/>
    <s v="Peabody Estate, St Johns Hill"/>
    <s v="Phase 1 [Tenure Change to Existing]"/>
    <n v="527156"/>
    <n v="175243"/>
    <x v="12"/>
    <d v="2022-11-03T00:00:00"/>
    <m/>
    <n v="8"/>
    <n v="8"/>
    <n v="0"/>
    <n v="315"/>
    <n v="307"/>
    <x v="0"/>
    <s v="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_x000a_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
    <s v="S73"/>
    <d v="2021-12-17T00:00:00"/>
    <d v="2022-11-03T00:00:00"/>
    <x v="1"/>
    <s v="Nil"/>
    <m/>
    <s v="BF"/>
    <s v="MIX"/>
    <x v="4"/>
    <x v="0"/>
    <n v="0"/>
    <d v="2022-11-03T00:00:00"/>
    <x v="1"/>
    <d v="2022-11-03T00:00:00"/>
    <x v="0"/>
    <s v="ISO"/>
    <s v="4.1.5"/>
    <m/>
    <n v="0"/>
    <m/>
    <n v="0"/>
    <m/>
    <n v="0"/>
    <n v="0"/>
    <n v="0"/>
    <n v="0"/>
    <n v="0"/>
    <n v="0"/>
    <n v="0"/>
    <n v="0"/>
    <n v="0"/>
    <n v="0"/>
    <n v="0"/>
    <n v="0"/>
    <n v="0"/>
    <n v="0"/>
    <n v="0"/>
    <n v="0"/>
    <n v="0"/>
    <n v="0"/>
    <n v="0"/>
    <n v="0"/>
    <n v="0"/>
    <n v="0"/>
    <n v="0"/>
    <n v="0"/>
    <n v="0"/>
    <n v="0"/>
    <n v="0"/>
    <n v="0"/>
    <x v="0"/>
    <x v="0"/>
    <x v="5"/>
    <n v="11"/>
    <n v="0"/>
    <m/>
    <m/>
    <m/>
    <m/>
    <m/>
    <m/>
    <m/>
    <m/>
    <m/>
    <m/>
    <m/>
    <m/>
    <m/>
    <m/>
    <m/>
    <m/>
    <m/>
    <m/>
    <m/>
    <n v="0"/>
    <n v="0"/>
  </r>
  <r>
    <n v="3521"/>
    <x v="0"/>
    <s v="2017/5837"/>
    <s v="Peabody Estate, St Johns Hill"/>
    <s v="Phase 2"/>
    <n v="527156"/>
    <n v="175243"/>
    <x v="12"/>
    <d v="2020-02-01T00:00:00"/>
    <m/>
    <n v="0"/>
    <n v="109"/>
    <n v="109"/>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0.54500000000000004"/>
    <d v="2020-02-01T00:00:00"/>
    <x v="0"/>
    <d v="2023-03-31T00:00:00"/>
    <x v="1"/>
    <s v="AS"/>
    <s v="4.1.5"/>
    <m/>
    <n v="109"/>
    <m/>
    <n v="0"/>
    <m/>
    <n v="0"/>
    <n v="31"/>
    <n v="52"/>
    <n v="25"/>
    <n v="1"/>
    <n v="0"/>
    <n v="0"/>
    <n v="0"/>
    <n v="31"/>
    <n v="52"/>
    <n v="25"/>
    <n v="1"/>
    <n v="0"/>
    <n v="0"/>
    <n v="0"/>
    <n v="0"/>
    <n v="0"/>
    <n v="0"/>
    <n v="0"/>
    <n v="0"/>
    <n v="0"/>
    <n v="0"/>
    <n v="0"/>
    <n v="0"/>
    <n v="0"/>
    <n v="0"/>
    <n v="0"/>
    <n v="0"/>
    <x v="0"/>
    <x v="0"/>
    <x v="5"/>
    <n v="1"/>
    <n v="109"/>
    <m/>
    <m/>
    <m/>
    <m/>
    <m/>
    <m/>
    <m/>
    <m/>
    <m/>
    <m/>
    <m/>
    <m/>
    <m/>
    <m/>
    <m/>
    <m/>
    <m/>
    <m/>
    <m/>
    <n v="0"/>
    <n v="0"/>
  </r>
  <r>
    <n v="3521"/>
    <x v="0"/>
    <s v="2017/5837"/>
    <s v="Peabody Estate, St Johns Hill"/>
    <s v="Phase 2"/>
    <n v="527156"/>
    <n v="175243"/>
    <x v="12"/>
    <d v="2020-02-01T00:00:00"/>
    <m/>
    <n v="0"/>
    <n v="54"/>
    <n v="54"/>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0.27"/>
    <d v="2020-02-01T00:00:00"/>
    <x v="0"/>
    <d v="2023-03-31T00:00:00"/>
    <x v="1"/>
    <s v="AS"/>
    <s v="4.1.5"/>
    <m/>
    <n v="54"/>
    <m/>
    <n v="0"/>
    <m/>
    <n v="0"/>
    <n v="54"/>
    <n v="0"/>
    <n v="0"/>
    <n v="0"/>
    <n v="0"/>
    <n v="0"/>
    <n v="0"/>
    <n v="54"/>
    <n v="0"/>
    <n v="0"/>
    <n v="0"/>
    <n v="0"/>
    <n v="0"/>
    <n v="0"/>
    <n v="0"/>
    <n v="0"/>
    <n v="0"/>
    <n v="0"/>
    <n v="0"/>
    <n v="0"/>
    <n v="0"/>
    <n v="0"/>
    <n v="0"/>
    <n v="0"/>
    <n v="0"/>
    <n v="0"/>
    <n v="0"/>
    <x v="0"/>
    <x v="0"/>
    <x v="5"/>
    <n v="1"/>
    <n v="54"/>
    <m/>
    <m/>
    <m/>
    <m/>
    <m/>
    <m/>
    <m/>
    <m/>
    <m/>
    <m/>
    <m/>
    <m/>
    <m/>
    <m/>
    <m/>
    <m/>
    <m/>
    <m/>
    <m/>
    <n v="0"/>
    <n v="0"/>
  </r>
  <r>
    <n v="3521"/>
    <x v="0"/>
    <s v="2017/5837"/>
    <s v="Peabody Estate, St Johns Hill"/>
    <s v="Phase 2"/>
    <n v="527156"/>
    <n v="175243"/>
    <x v="12"/>
    <d v="2020-02-01T00:00:00"/>
    <m/>
    <n v="0"/>
    <n v="35"/>
    <n v="35"/>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0.17499999999999999"/>
    <d v="2020-02-01T00:00:00"/>
    <x v="0"/>
    <d v="2023-03-31T00:00:00"/>
    <x v="0"/>
    <s v="IR"/>
    <s v="4.1.5"/>
    <m/>
    <n v="35"/>
    <m/>
    <n v="0"/>
    <m/>
    <n v="0"/>
    <n v="18"/>
    <n v="13"/>
    <n v="4"/>
    <n v="0"/>
    <n v="0"/>
    <n v="0"/>
    <n v="0"/>
    <n v="18"/>
    <n v="13"/>
    <n v="4"/>
    <n v="0"/>
    <n v="0"/>
    <n v="0"/>
    <n v="0"/>
    <n v="0"/>
    <n v="0"/>
    <n v="0"/>
    <n v="0"/>
    <n v="0"/>
    <n v="0"/>
    <n v="0"/>
    <n v="0"/>
    <n v="0"/>
    <n v="0"/>
    <n v="0"/>
    <n v="0"/>
    <n v="0"/>
    <x v="0"/>
    <x v="0"/>
    <x v="5"/>
    <n v="1"/>
    <n v="35"/>
    <m/>
    <m/>
    <m/>
    <m/>
    <m/>
    <m/>
    <m/>
    <m/>
    <m/>
    <m/>
    <m/>
    <m/>
    <m/>
    <m/>
    <m/>
    <m/>
    <m/>
    <m/>
    <m/>
    <n v="0"/>
    <n v="0"/>
  </r>
  <r>
    <n v="3521"/>
    <x v="0"/>
    <s v="2017/5837"/>
    <s v="Peabody Estate, St Johns Hill"/>
    <s v="Phase 2"/>
    <n v="527156"/>
    <n v="175243"/>
    <x v="12"/>
    <d v="2020-02-01T00:00:00"/>
    <m/>
    <n v="97"/>
    <n v="0"/>
    <n v="-97"/>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0"/>
    <d v="2020-02-01T00:00:00"/>
    <x v="0"/>
    <d v="2023-03-31T00:00:00"/>
    <x v="1"/>
    <s v="AS"/>
    <s v="4.1.5"/>
    <m/>
    <n v="0"/>
    <m/>
    <n v="0"/>
    <m/>
    <n v="-2"/>
    <n v="-31"/>
    <n v="-39"/>
    <n v="-25"/>
    <n v="0"/>
    <n v="0"/>
    <n v="0"/>
    <n v="-2"/>
    <n v="-31"/>
    <n v="-39"/>
    <n v="-25"/>
    <n v="0"/>
    <n v="0"/>
    <n v="0"/>
    <n v="0"/>
    <n v="0"/>
    <n v="0"/>
    <n v="0"/>
    <n v="0"/>
    <n v="0"/>
    <n v="0"/>
    <n v="0"/>
    <n v="0"/>
    <n v="0"/>
    <n v="0"/>
    <n v="0"/>
    <n v="0"/>
    <n v="0"/>
    <x v="0"/>
    <x v="0"/>
    <x v="5"/>
    <n v="1"/>
    <n v="-97"/>
    <m/>
    <m/>
    <m/>
    <m/>
    <m/>
    <m/>
    <m/>
    <m/>
    <m/>
    <m/>
    <m/>
    <m/>
    <m/>
    <m/>
    <m/>
    <m/>
    <m/>
    <m/>
    <m/>
    <n v="0"/>
    <n v="0"/>
  </r>
  <r>
    <n v="3521"/>
    <x v="0"/>
    <s v="2017/5837"/>
    <s v="Peabody Estate, St Johns Hill"/>
    <s v="Phase 2"/>
    <n v="527156"/>
    <n v="175243"/>
    <x v="12"/>
    <d v="2020-02-01T00:00:00"/>
    <m/>
    <n v="61"/>
    <n v="0"/>
    <n v="-61"/>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0"/>
    <d v="2020-02-01T00:00:00"/>
    <x v="0"/>
    <d v="2023-03-31T00:00:00"/>
    <x v="2"/>
    <s v="M"/>
    <s v="4.1.5"/>
    <m/>
    <n v="0"/>
    <m/>
    <n v="0"/>
    <m/>
    <n v="-1"/>
    <n v="-26"/>
    <n v="-26"/>
    <n v="-7"/>
    <n v="-1"/>
    <n v="0"/>
    <n v="0"/>
    <n v="-1"/>
    <n v="-26"/>
    <n v="-26"/>
    <n v="-7"/>
    <n v="-1"/>
    <n v="0"/>
    <n v="0"/>
    <n v="0"/>
    <n v="0"/>
    <n v="0"/>
    <n v="0"/>
    <n v="0"/>
    <n v="0"/>
    <n v="0"/>
    <n v="0"/>
    <n v="0"/>
    <n v="0"/>
    <n v="0"/>
    <n v="0"/>
    <n v="0"/>
    <n v="0"/>
    <x v="0"/>
    <x v="0"/>
    <x v="5"/>
    <n v="1"/>
    <n v="-61"/>
    <m/>
    <m/>
    <m/>
    <m/>
    <m/>
    <m/>
    <m/>
    <m/>
    <m/>
    <m/>
    <m/>
    <m/>
    <m/>
    <m/>
    <m/>
    <m/>
    <m/>
    <m/>
    <m/>
    <n v="0"/>
    <n v="0"/>
  </r>
  <r>
    <n v="3514"/>
    <x v="0"/>
    <s v="2016/6417"/>
    <s v="Battersea Gasholder, 101 Prince of Wales Drive"/>
    <s v="Block C-ii"/>
    <n v="528809"/>
    <n v="177181"/>
    <x v="15"/>
    <d v="2016-10-19T00:00:00"/>
    <m/>
    <n v="0"/>
    <n v="27"/>
    <n v="27"/>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4.7E-2"/>
    <d v="2016-10-19T00:00:00"/>
    <x v="0"/>
    <d v="2022-06-19T00:00:00"/>
    <x v="2"/>
    <s v="M"/>
    <s v="2.1.4"/>
    <m/>
    <n v="27"/>
    <m/>
    <n v="2"/>
    <m/>
    <n v="0"/>
    <n v="0"/>
    <n v="17"/>
    <n v="10"/>
    <n v="0"/>
    <n v="0"/>
    <n v="0"/>
    <n v="0"/>
    <n v="0"/>
    <n v="17"/>
    <n v="10"/>
    <n v="0"/>
    <n v="0"/>
    <n v="0"/>
    <n v="0"/>
    <n v="0"/>
    <n v="0"/>
    <n v="0"/>
    <n v="0"/>
    <n v="0"/>
    <n v="0"/>
    <n v="0"/>
    <n v="0"/>
    <n v="0"/>
    <n v="0"/>
    <n v="0"/>
    <n v="0"/>
    <n v="0"/>
    <x v="0"/>
    <x v="1"/>
    <x v="7"/>
    <n v="1"/>
    <n v="27"/>
    <m/>
    <m/>
    <m/>
    <m/>
    <m/>
    <m/>
    <m/>
    <m/>
    <m/>
    <m/>
    <m/>
    <m/>
    <m/>
    <m/>
    <m/>
    <m/>
    <m/>
    <m/>
    <m/>
    <n v="0"/>
    <n v="0"/>
  </r>
  <r>
    <n v="3511"/>
    <x v="1"/>
    <s v="2023/0176"/>
    <s v="New Covent Garden Market, Nine Elms Lane (Combined Main Market, Entrance site and Thessaly College site)"/>
    <s v="Apex 1"/>
    <n v="529369"/>
    <n v="177317"/>
    <x v="15"/>
    <d v="2017-03-31T00:00:00"/>
    <m/>
    <n v="0"/>
    <n v="201"/>
    <n v="201"/>
    <n v="201"/>
    <n v="201"/>
    <x v="0"/>
    <s v="Application under Section 96a of the Town and Country Planning Act 1990 for &quot;non-material&quot; amendments to Condition 1 (revised drawings with design amendments to introduce a second staircore with consequential amendments to unit layouts, mix and elevations) of Reserved Matters application ref. 2021/5032 dated 4th March 2022."/>
    <s v="PF"/>
    <d v="2023-01-17T00:00:00"/>
    <d v="2023-02-06T00:00:00"/>
    <x v="1"/>
    <s v="Nil"/>
    <m/>
    <s v="BF"/>
    <s v="NB"/>
    <x v="0"/>
    <x v="0"/>
    <n v="6.5383999999999998E-2"/>
    <m/>
    <x v="0"/>
    <m/>
    <x v="2"/>
    <s v="M"/>
    <s v="2.1.27"/>
    <m/>
    <n v="0"/>
    <n v="181"/>
    <n v="0"/>
    <n v="20"/>
    <n v="34"/>
    <n v="70"/>
    <n v="87"/>
    <n v="10"/>
    <n v="0"/>
    <n v="0"/>
    <n v="0"/>
    <n v="34"/>
    <n v="70"/>
    <n v="87"/>
    <n v="10"/>
    <n v="0"/>
    <n v="0"/>
    <n v="0"/>
    <n v="0"/>
    <n v="0"/>
    <n v="0"/>
    <n v="0"/>
    <n v="0"/>
    <n v="0"/>
    <n v="0"/>
    <n v="0"/>
    <n v="0"/>
    <n v="0"/>
    <n v="0"/>
    <n v="0"/>
    <n v="0"/>
    <n v="0"/>
    <x v="0"/>
    <x v="1"/>
    <x v="7"/>
    <n v="8"/>
    <m/>
    <m/>
    <m/>
    <m/>
    <n v="201"/>
    <m/>
    <m/>
    <m/>
    <m/>
    <m/>
    <m/>
    <m/>
    <m/>
    <m/>
    <m/>
    <m/>
    <m/>
    <m/>
    <m/>
    <m/>
    <n v="201"/>
    <n v="201"/>
  </r>
  <r>
    <n v="2502"/>
    <x v="0"/>
    <s v="2020/1779"/>
    <s v="Springfield Hospital site, 61 Glenburnie Road"/>
    <s v="Phase 5A - Block B1A"/>
    <n v="527221"/>
    <n v="172443"/>
    <x v="10"/>
    <d v="2021-03-31T00:00:00"/>
    <m/>
    <n v="0"/>
    <n v="14"/>
    <n v="1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0.13500000000000001"/>
    <d v="2021-03-31T00:00:00"/>
    <x v="0"/>
    <d v="2023-03-31T00:00:00"/>
    <x v="1"/>
    <s v="AA"/>
    <s v="9.1"/>
    <m/>
    <n v="0"/>
    <m/>
    <n v="0"/>
    <m/>
    <n v="0"/>
    <n v="4"/>
    <n v="4"/>
    <n v="6"/>
    <n v="0"/>
    <n v="0"/>
    <n v="0"/>
    <n v="0"/>
    <n v="4"/>
    <n v="4"/>
    <n v="6"/>
    <n v="0"/>
    <n v="0"/>
    <n v="0"/>
    <n v="0"/>
    <n v="0"/>
    <n v="0"/>
    <n v="0"/>
    <n v="0"/>
    <n v="0"/>
    <n v="0"/>
    <n v="0"/>
    <n v="0"/>
    <n v="0"/>
    <n v="0"/>
    <n v="0"/>
    <n v="0"/>
    <n v="0"/>
    <x v="0"/>
    <x v="0"/>
    <x v="1"/>
    <n v="1"/>
    <n v="14"/>
    <m/>
    <m/>
    <m/>
    <m/>
    <m/>
    <m/>
    <m/>
    <m/>
    <m/>
    <m/>
    <m/>
    <m/>
    <m/>
    <m/>
    <m/>
    <m/>
    <m/>
    <m/>
    <m/>
    <n v="0"/>
    <n v="0"/>
  </r>
  <r>
    <n v="2502"/>
    <x v="0"/>
    <s v="2020/1779"/>
    <s v="Springfield Hospital site, 61 Glenburnie Road"/>
    <s v="Phase 5A - Block B1B"/>
    <n v="527221"/>
    <n v="172443"/>
    <x v="10"/>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3.9E-2"/>
    <d v="2021-03-31T00:00:00"/>
    <x v="0"/>
    <d v="2023-03-31T00:00:00"/>
    <x v="1"/>
    <s v="AA"/>
    <s v="9.1"/>
    <m/>
    <n v="0"/>
    <m/>
    <n v="0"/>
    <m/>
    <n v="0"/>
    <n v="0"/>
    <n v="1"/>
    <n v="3"/>
    <n v="0"/>
    <n v="0"/>
    <n v="0"/>
    <n v="0"/>
    <n v="0"/>
    <n v="0"/>
    <n v="0"/>
    <n v="0"/>
    <n v="0"/>
    <n v="0"/>
    <n v="0"/>
    <n v="0"/>
    <n v="1"/>
    <n v="3"/>
    <n v="0"/>
    <n v="0"/>
    <n v="0"/>
    <n v="0"/>
    <n v="0"/>
    <n v="0"/>
    <n v="0"/>
    <n v="0"/>
    <n v="0"/>
    <n v="0"/>
    <x v="0"/>
    <x v="0"/>
    <x v="1"/>
    <n v="1"/>
    <n v="4"/>
    <m/>
    <m/>
    <m/>
    <m/>
    <m/>
    <m/>
    <m/>
    <m/>
    <m/>
    <m/>
    <m/>
    <m/>
    <m/>
    <m/>
    <m/>
    <m/>
    <m/>
    <m/>
    <m/>
    <n v="0"/>
    <n v="0"/>
  </r>
  <r>
    <n v="2502"/>
    <x v="0"/>
    <s v="2020/1779"/>
    <s v="Springfield Hospital site, 61 Glenburnie Road"/>
    <s v="Phase 5A - Block B1C"/>
    <n v="527221"/>
    <n v="172443"/>
    <x v="10"/>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3.9E-2"/>
    <d v="2021-03-31T00:00:00"/>
    <x v="0"/>
    <d v="2023-03-31T00:00:00"/>
    <x v="1"/>
    <s v="AA"/>
    <s v="9.1"/>
    <m/>
    <n v="0"/>
    <m/>
    <n v="0"/>
    <m/>
    <n v="0"/>
    <n v="0"/>
    <n v="1"/>
    <n v="3"/>
    <n v="0"/>
    <n v="0"/>
    <n v="0"/>
    <n v="0"/>
    <n v="0"/>
    <n v="0"/>
    <n v="0"/>
    <n v="0"/>
    <n v="0"/>
    <n v="0"/>
    <n v="0"/>
    <n v="0"/>
    <n v="1"/>
    <n v="3"/>
    <n v="0"/>
    <n v="0"/>
    <n v="0"/>
    <n v="0"/>
    <n v="0"/>
    <n v="0"/>
    <n v="0"/>
    <n v="0"/>
    <n v="0"/>
    <n v="0"/>
    <x v="0"/>
    <x v="0"/>
    <x v="1"/>
    <n v="1"/>
    <n v="4"/>
    <m/>
    <m/>
    <m/>
    <m/>
    <m/>
    <m/>
    <m/>
    <m/>
    <m/>
    <m/>
    <m/>
    <m/>
    <m/>
    <m/>
    <m/>
    <m/>
    <m/>
    <m/>
    <m/>
    <n v="0"/>
    <n v="0"/>
  </r>
  <r>
    <n v="2502"/>
    <x v="0"/>
    <s v="2020/1779"/>
    <s v="Springfield Hospital site, 61 Glenburnie Road"/>
    <s v="Phase 5A - Block C2A"/>
    <n v="527221"/>
    <n v="172443"/>
    <x v="10"/>
    <d v="2021-03-31T00:00:00"/>
    <m/>
    <n v="0"/>
    <n v="18"/>
    <n v="1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0.17399999999999999"/>
    <d v="2021-03-31T00:00:00"/>
    <x v="0"/>
    <d v="2023-03-31T00:00:00"/>
    <x v="2"/>
    <s v="M"/>
    <s v="9.1"/>
    <m/>
    <n v="0"/>
    <m/>
    <n v="18"/>
    <m/>
    <n v="0"/>
    <n v="6"/>
    <n v="3"/>
    <n v="9"/>
    <n v="0"/>
    <n v="0"/>
    <n v="0"/>
    <n v="0"/>
    <n v="6"/>
    <n v="3"/>
    <n v="9"/>
    <n v="0"/>
    <n v="0"/>
    <n v="0"/>
    <n v="0"/>
    <n v="0"/>
    <n v="0"/>
    <n v="0"/>
    <n v="0"/>
    <n v="0"/>
    <n v="0"/>
    <n v="0"/>
    <n v="0"/>
    <n v="0"/>
    <n v="0"/>
    <n v="0"/>
    <n v="0"/>
    <n v="0"/>
    <x v="0"/>
    <x v="0"/>
    <x v="1"/>
    <n v="1"/>
    <n v="18"/>
    <m/>
    <m/>
    <m/>
    <m/>
    <m/>
    <m/>
    <m/>
    <m/>
    <m/>
    <m/>
    <m/>
    <m/>
    <m/>
    <m/>
    <m/>
    <m/>
    <m/>
    <m/>
    <m/>
    <n v="0"/>
    <n v="0"/>
  </r>
  <r>
    <n v="2502"/>
    <x v="0"/>
    <s v="2020/1779"/>
    <s v="Springfield Hospital site, 61 Glenburnie Road"/>
    <s v="Phase 5A - Block C2A"/>
    <n v="527221"/>
    <n v="172443"/>
    <x v="10"/>
    <d v="2021-03-31T00:00:00"/>
    <m/>
    <n v="0"/>
    <n v="2"/>
    <n v="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1.9E-2"/>
    <d v="2021-03-31T00:00:00"/>
    <x v="0"/>
    <d v="2023-03-31T00:00:00"/>
    <x v="0"/>
    <s v="ISO"/>
    <s v="9.1"/>
    <m/>
    <n v="0"/>
    <m/>
    <n v="1"/>
    <m/>
    <n v="0"/>
    <n v="0"/>
    <n v="2"/>
    <n v="0"/>
    <n v="0"/>
    <n v="0"/>
    <n v="0"/>
    <n v="0"/>
    <n v="0"/>
    <n v="2"/>
    <n v="0"/>
    <n v="0"/>
    <n v="0"/>
    <n v="0"/>
    <n v="0"/>
    <n v="0"/>
    <n v="0"/>
    <n v="0"/>
    <n v="0"/>
    <n v="0"/>
    <n v="0"/>
    <n v="0"/>
    <n v="0"/>
    <n v="0"/>
    <n v="0"/>
    <n v="0"/>
    <n v="0"/>
    <n v="0"/>
    <x v="0"/>
    <x v="0"/>
    <x v="1"/>
    <n v="1"/>
    <n v="2"/>
    <m/>
    <m/>
    <m/>
    <m/>
    <m/>
    <m/>
    <m/>
    <m/>
    <m/>
    <m/>
    <m/>
    <m/>
    <m/>
    <m/>
    <m/>
    <m/>
    <m/>
    <m/>
    <m/>
    <n v="0"/>
    <n v="0"/>
  </r>
  <r>
    <n v="2502"/>
    <x v="0"/>
    <s v="2020/1780"/>
    <s v="Springfield Hospital site, 61 Glenburnie Road"/>
    <s v="Phase 5B - Block L"/>
    <n v="527221"/>
    <n v="172443"/>
    <x v="10"/>
    <d v="2021-03-31T00:00:00"/>
    <d v="2023-03-31T00:00:00"/>
    <n v="0"/>
    <n v="49"/>
    <n v="49"/>
    <n v="71"/>
    <n v="71"/>
    <x v="0"/>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x v="0"/>
    <s v="Nil"/>
    <m/>
    <s v="BF"/>
    <s v="NB"/>
    <x v="0"/>
    <x v="0"/>
    <n v="0.33500000000000002"/>
    <d v="2021-03-31T00:00:00"/>
    <x v="0"/>
    <d v="2023-03-31T00:00:00"/>
    <x v="2"/>
    <s v="M"/>
    <s v="9.1"/>
    <m/>
    <n v="0"/>
    <m/>
    <n v="0"/>
    <m/>
    <n v="0"/>
    <n v="20"/>
    <n v="29"/>
    <n v="0"/>
    <n v="0"/>
    <n v="0"/>
    <n v="0"/>
    <n v="0"/>
    <n v="20"/>
    <n v="29"/>
    <n v="0"/>
    <n v="0"/>
    <n v="0"/>
    <n v="0"/>
    <n v="0"/>
    <n v="0"/>
    <n v="0"/>
    <n v="0"/>
    <n v="0"/>
    <n v="0"/>
    <n v="0"/>
    <n v="0"/>
    <n v="0"/>
    <n v="0"/>
    <n v="0"/>
    <n v="0"/>
    <n v="0"/>
    <n v="0"/>
    <x v="0"/>
    <x v="0"/>
    <x v="1"/>
    <n v="1"/>
    <n v="49"/>
    <m/>
    <m/>
    <m/>
    <m/>
    <m/>
    <m/>
    <m/>
    <m/>
    <m/>
    <m/>
    <m/>
    <m/>
    <m/>
    <m/>
    <m/>
    <m/>
    <m/>
    <m/>
    <m/>
    <n v="0"/>
    <n v="0"/>
  </r>
  <r>
    <n v="2502"/>
    <x v="0"/>
    <s v="2020/1780"/>
    <s v="Springfield Hospital site, 61 Glenburnie Road"/>
    <s v="Phase 5B - Block M"/>
    <n v="527221"/>
    <n v="172443"/>
    <x v="10"/>
    <d v="2021-03-31T00:00:00"/>
    <d v="2023-03-31T00:00:00"/>
    <n v="0"/>
    <n v="22"/>
    <n v="22"/>
    <n v="71"/>
    <n v="71"/>
    <x v="0"/>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x v="0"/>
    <s v="Nil"/>
    <m/>
    <s v="BF"/>
    <s v="NB"/>
    <x v="0"/>
    <x v="0"/>
    <n v="0.14899999999999999"/>
    <d v="2021-03-31T00:00:00"/>
    <x v="0"/>
    <d v="2023-03-31T00:00:00"/>
    <x v="2"/>
    <s v="M"/>
    <s v="9.1"/>
    <m/>
    <n v="0"/>
    <m/>
    <n v="0"/>
    <m/>
    <n v="0"/>
    <n v="9"/>
    <n v="13"/>
    <n v="0"/>
    <n v="0"/>
    <n v="0"/>
    <n v="0"/>
    <n v="0"/>
    <n v="9"/>
    <n v="13"/>
    <n v="0"/>
    <n v="0"/>
    <n v="0"/>
    <n v="0"/>
    <n v="0"/>
    <n v="0"/>
    <n v="0"/>
    <n v="0"/>
    <n v="0"/>
    <n v="0"/>
    <n v="0"/>
    <n v="0"/>
    <n v="0"/>
    <n v="0"/>
    <n v="0"/>
    <n v="0"/>
    <n v="0"/>
    <n v="0"/>
    <x v="0"/>
    <x v="0"/>
    <x v="1"/>
    <n v="1"/>
    <n v="22"/>
    <m/>
    <m/>
    <m/>
    <m/>
    <m/>
    <m/>
    <m/>
    <m/>
    <m/>
    <m/>
    <m/>
    <m/>
    <m/>
    <m/>
    <m/>
    <m/>
    <m/>
    <m/>
    <m/>
    <n v="0"/>
    <n v="0"/>
  </r>
  <r>
    <n v="2502"/>
    <x v="0"/>
    <s v="2020/1490"/>
    <s v="Springfield Hospital site, 61 Glenburnie Road"/>
    <s v="Phase 6A - Block S completed"/>
    <n v="527221"/>
    <n v="172443"/>
    <x v="10"/>
    <d v="2021-03-31T00:00:00"/>
    <m/>
    <n v="0"/>
    <n v="43"/>
    <n v="43"/>
    <n v="72"/>
    <n v="72"/>
    <x v="0"/>
    <s v="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0-04-27T00:00:00"/>
    <d v="2020-07-27T00:00:00"/>
    <x v="0"/>
    <s v="Nil"/>
    <m/>
    <s v="BF"/>
    <s v="COU"/>
    <x v="5"/>
    <x v="0"/>
    <n v="1.3"/>
    <d v="2021-03-31T00:00:00"/>
    <x v="0"/>
    <d v="2023-03-31T00:00:00"/>
    <x v="2"/>
    <s v="M"/>
    <s v="9.1"/>
    <m/>
    <n v="0"/>
    <m/>
    <n v="0"/>
    <m/>
    <n v="0"/>
    <n v="0"/>
    <n v="37"/>
    <n v="6"/>
    <n v="0"/>
    <n v="0"/>
    <n v="0"/>
    <n v="0"/>
    <n v="0"/>
    <n v="37"/>
    <n v="6"/>
    <n v="0"/>
    <n v="0"/>
    <n v="0"/>
    <n v="0"/>
    <n v="0"/>
    <n v="0"/>
    <n v="0"/>
    <n v="0"/>
    <n v="0"/>
    <n v="0"/>
    <n v="0"/>
    <n v="0"/>
    <n v="0"/>
    <n v="0"/>
    <n v="0"/>
    <n v="0"/>
    <n v="0"/>
    <x v="0"/>
    <x v="0"/>
    <x v="1"/>
    <n v="11"/>
    <n v="43"/>
    <m/>
    <m/>
    <m/>
    <m/>
    <m/>
    <m/>
    <m/>
    <m/>
    <m/>
    <m/>
    <m/>
    <m/>
    <m/>
    <m/>
    <m/>
    <m/>
    <m/>
    <m/>
    <m/>
    <n v="0"/>
    <n v="0"/>
  </r>
  <r>
    <n v="3511"/>
    <x v="1"/>
    <s v="2014/2810"/>
    <s v="New Covent Garden Market, Nine Elms Lane (Combined Main Market, Entrance site and Thessaly College site)"/>
    <s v="Apex Site - A2"/>
    <n v="529369"/>
    <n v="177317"/>
    <x v="15"/>
    <d v="2017-03-31T00:00:00"/>
    <m/>
    <n v="0"/>
    <n v="136"/>
    <n v="13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82099999999999995"/>
    <m/>
    <x v="0"/>
    <m/>
    <x v="2"/>
    <s v="M"/>
    <s v="2.1.27"/>
    <m/>
    <n v="0"/>
    <n v="122"/>
    <n v="0"/>
    <n v="14"/>
    <n v="17"/>
    <n v="27"/>
    <n v="82"/>
    <n v="10"/>
    <n v="0"/>
    <n v="0"/>
    <n v="0"/>
    <n v="17"/>
    <n v="27"/>
    <n v="82"/>
    <n v="10"/>
    <n v="0"/>
    <n v="0"/>
    <n v="0"/>
    <n v="0"/>
    <n v="0"/>
    <n v="0"/>
    <n v="0"/>
    <n v="0"/>
    <n v="0"/>
    <n v="0"/>
    <n v="0"/>
    <n v="0"/>
    <n v="0"/>
    <n v="0"/>
    <n v="0"/>
    <n v="0"/>
    <n v="0"/>
    <x v="0"/>
    <x v="1"/>
    <x v="7"/>
    <n v="8"/>
    <m/>
    <m/>
    <m/>
    <m/>
    <m/>
    <m/>
    <m/>
    <m/>
    <n v="136"/>
    <m/>
    <m/>
    <m/>
    <m/>
    <m/>
    <m/>
    <m/>
    <m/>
    <m/>
    <m/>
    <m/>
    <n v="0"/>
    <n v="136"/>
  </r>
  <r>
    <n v="2411"/>
    <x v="2"/>
    <s v="2021/0138"/>
    <s v="South Lambeth Goods Depot, Cringle St./Battersea Park Rd., Kirtling Street (Battersea Power Station)"/>
    <s v="Phase 3 (rest of RS-4 + O1)"/>
    <n v="528934"/>
    <n v="177496"/>
    <x v="15"/>
    <d v="2016-05-16T00:00:00"/>
    <m/>
    <n v="0"/>
    <n v="836"/>
    <n v="836"/>
    <n v="2027"/>
    <n v="2027"/>
    <x v="0"/>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x v="0"/>
    <s v="Nil"/>
    <m/>
    <s v="BF"/>
    <s v="NB"/>
    <x v="0"/>
    <x v="0"/>
    <n v="1.4490000000000001"/>
    <d v="2016-05-16T00:00:00"/>
    <x v="0"/>
    <m/>
    <x v="2"/>
    <s v="M"/>
    <s v="2.1.1"/>
    <m/>
    <n v="836"/>
    <m/>
    <n v="84"/>
    <m/>
    <n v="148"/>
    <n v="149"/>
    <n v="406"/>
    <n v="87"/>
    <n v="11"/>
    <n v="35"/>
    <n v="0"/>
    <n v="148"/>
    <n v="149"/>
    <n v="406"/>
    <n v="87"/>
    <n v="11"/>
    <n v="35"/>
    <n v="0"/>
    <n v="0"/>
    <n v="0"/>
    <n v="0"/>
    <n v="0"/>
    <n v="0"/>
    <n v="0"/>
    <n v="0"/>
    <n v="0"/>
    <n v="0"/>
    <n v="0"/>
    <n v="0"/>
    <n v="0"/>
    <n v="0"/>
    <n v="0"/>
    <x v="0"/>
    <x v="1"/>
    <x v="7"/>
    <n v="6"/>
    <m/>
    <m/>
    <n v="209"/>
    <n v="209"/>
    <n v="209"/>
    <n v="209"/>
    <m/>
    <m/>
    <m/>
    <m/>
    <m/>
    <m/>
    <m/>
    <m/>
    <m/>
    <m/>
    <m/>
    <m/>
    <m/>
    <m/>
    <n v="836"/>
    <n v="836"/>
  </r>
  <r>
    <n v="3943"/>
    <x v="0"/>
    <s v="2020/1167"/>
    <s v="Royal Mail Group Site, Ponton Road (Nine Elms Park)"/>
    <s v="Plot C1 - Block A"/>
    <n v="529575"/>
    <n v="177401"/>
    <x v="15"/>
    <d v="2019-11-29T00:00:00"/>
    <d v="2022-09-16T00:00:00"/>
    <n v="0"/>
    <n v="96"/>
    <n v="96"/>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0"/>
    <s v="Nil"/>
    <m/>
    <s v="BF"/>
    <s v="NB"/>
    <x v="0"/>
    <x v="0"/>
    <n v="0.104"/>
    <d v="2020-03-31T00:00:00"/>
    <x v="0"/>
    <d v="2022-09-16T00:00:00"/>
    <x v="2"/>
    <s v="M"/>
    <s v="2.1.18"/>
    <m/>
    <n v="0"/>
    <n v="86"/>
    <n v="0"/>
    <n v="10"/>
    <n v="0"/>
    <n v="32"/>
    <n v="43"/>
    <n v="21"/>
    <n v="0"/>
    <n v="0"/>
    <n v="0"/>
    <n v="0"/>
    <n v="32"/>
    <n v="43"/>
    <n v="21"/>
    <n v="0"/>
    <n v="0"/>
    <n v="0"/>
    <n v="0"/>
    <n v="0"/>
    <n v="0"/>
    <n v="0"/>
    <n v="0"/>
    <n v="0"/>
    <n v="0"/>
    <n v="0"/>
    <n v="0"/>
    <n v="0"/>
    <n v="0"/>
    <n v="0"/>
    <n v="0"/>
    <n v="0"/>
    <x v="0"/>
    <x v="1"/>
    <x v="7"/>
    <n v="1"/>
    <n v="96"/>
    <m/>
    <m/>
    <m/>
    <m/>
    <m/>
    <m/>
    <m/>
    <m/>
    <m/>
    <m/>
    <m/>
    <m/>
    <m/>
    <m/>
    <m/>
    <m/>
    <m/>
    <m/>
    <m/>
    <n v="0"/>
    <n v="0"/>
  </r>
  <r>
    <n v="3943"/>
    <x v="0"/>
    <s v="2020/1167"/>
    <s v="Royal Mail Group Site, Ponton Road (Nine Elms Park)"/>
    <s v="Plot C1 - Block B"/>
    <n v="529575"/>
    <n v="177401"/>
    <x v="15"/>
    <d v="2019-11-29T00:00:00"/>
    <d v="2022-09-16T00:00:00"/>
    <n v="0"/>
    <n v="99"/>
    <n v="99"/>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0"/>
    <s v="Nil"/>
    <m/>
    <s v="BF"/>
    <s v="NB"/>
    <x v="0"/>
    <x v="0"/>
    <n v="0.108"/>
    <d v="2020-03-31T00:00:00"/>
    <x v="0"/>
    <d v="2022-09-13T00:00:00"/>
    <x v="2"/>
    <s v="M"/>
    <s v="2.1.18"/>
    <m/>
    <n v="0"/>
    <n v="90"/>
    <n v="0"/>
    <n v="9"/>
    <n v="0"/>
    <n v="31"/>
    <n v="67"/>
    <n v="1"/>
    <n v="0"/>
    <n v="0"/>
    <n v="0"/>
    <n v="0"/>
    <n v="31"/>
    <n v="67"/>
    <n v="1"/>
    <n v="0"/>
    <n v="0"/>
    <n v="0"/>
    <n v="0"/>
    <n v="0"/>
    <n v="0"/>
    <n v="0"/>
    <n v="0"/>
    <n v="0"/>
    <n v="0"/>
    <n v="0"/>
    <n v="0"/>
    <n v="0"/>
    <n v="0"/>
    <n v="0"/>
    <n v="0"/>
    <n v="0"/>
    <x v="0"/>
    <x v="1"/>
    <x v="7"/>
    <n v="1"/>
    <n v="99"/>
    <m/>
    <m/>
    <m/>
    <m/>
    <m/>
    <m/>
    <m/>
    <m/>
    <m/>
    <m/>
    <m/>
    <m/>
    <m/>
    <m/>
    <m/>
    <m/>
    <m/>
    <m/>
    <m/>
    <n v="0"/>
    <n v="0"/>
  </r>
  <r>
    <n v="1116"/>
    <x v="0"/>
    <s v="2022/3187"/>
    <s v="229 Queenstown Road"/>
    <s v=""/>
    <n v="528677"/>
    <n v="176511"/>
    <x v="1"/>
    <d v="2022-10-19T00:00:00"/>
    <d v="2022-10-19T00:00:00"/>
    <n v="3"/>
    <n v="12"/>
    <n v="9"/>
    <n v="12"/>
    <n v="9"/>
    <x v="0"/>
    <s v="Use as 12 x self-contained flats."/>
    <s v="LDC Exist"/>
    <d v="2022-08-22T00:00:00"/>
    <d v="2022-10-19T00:00:00"/>
    <x v="1"/>
    <s v="Nil"/>
    <m/>
    <s v="BF"/>
    <s v="CON"/>
    <x v="4"/>
    <x v="0"/>
    <n v="8.7500000000000008E-3"/>
    <d v="2022-10-19T00:00:00"/>
    <x v="1"/>
    <d v="2022-10-19T00:00:00"/>
    <x v="2"/>
    <s v="MR"/>
    <s v=""/>
    <m/>
    <n v="0"/>
    <m/>
    <n v="0"/>
    <m/>
    <n v="0"/>
    <n v="-1"/>
    <n v="-2"/>
    <n v="0"/>
    <n v="0"/>
    <n v="0"/>
    <n v="12"/>
    <n v="0"/>
    <n v="-1"/>
    <n v="-2"/>
    <n v="0"/>
    <n v="0"/>
    <n v="0"/>
    <n v="12"/>
    <n v="0"/>
    <n v="0"/>
    <n v="0"/>
    <n v="0"/>
    <n v="0"/>
    <n v="0"/>
    <n v="0"/>
    <n v="0"/>
    <n v="0"/>
    <n v="0"/>
    <n v="0"/>
    <n v="0"/>
    <n v="0"/>
    <n v="0"/>
    <x v="0"/>
    <x v="1"/>
    <x v="7"/>
    <n v="11"/>
    <n v="9"/>
    <m/>
    <m/>
    <m/>
    <m/>
    <m/>
    <m/>
    <m/>
    <m/>
    <m/>
    <m/>
    <m/>
    <m/>
    <m/>
    <m/>
    <m/>
    <m/>
    <m/>
    <m/>
    <m/>
    <n v="0"/>
    <n v="0"/>
  </r>
  <r>
    <n v="3943"/>
    <x v="0"/>
    <s v="2017/6764"/>
    <s v="Royal Mail Group Site, Ponton Road (Nine Elms Park)"/>
    <s v="Plot D1"/>
    <n v="529575"/>
    <n v="177401"/>
    <x v="15"/>
    <d v="2019-09-03T00:00:00"/>
    <m/>
    <n v="0"/>
    <n v="111"/>
    <n v="111"/>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0"/>
    <s v="Nil"/>
    <m/>
    <s v="BF"/>
    <s v="NB"/>
    <x v="0"/>
    <x v="0"/>
    <n v="0.108"/>
    <d v="2019-09-03T00:00:00"/>
    <x v="0"/>
    <d v="2023-01-06T00:00:00"/>
    <x v="2"/>
    <s v="MR"/>
    <s v="2.1.18"/>
    <m/>
    <n v="0"/>
    <n v="100"/>
    <n v="0"/>
    <n v="11"/>
    <n v="16"/>
    <n v="42"/>
    <n v="41"/>
    <n v="12"/>
    <n v="0"/>
    <n v="0"/>
    <n v="0"/>
    <n v="16"/>
    <n v="42"/>
    <n v="41"/>
    <n v="12"/>
    <n v="0"/>
    <n v="0"/>
    <n v="0"/>
    <n v="0"/>
    <n v="0"/>
    <n v="0"/>
    <n v="0"/>
    <n v="0"/>
    <n v="0"/>
    <n v="0"/>
    <n v="0"/>
    <n v="0"/>
    <n v="0"/>
    <n v="0"/>
    <n v="0"/>
    <n v="0"/>
    <n v="0"/>
    <x v="0"/>
    <x v="1"/>
    <x v="7"/>
    <n v="1"/>
    <n v="111"/>
    <m/>
    <m/>
    <m/>
    <m/>
    <m/>
    <m/>
    <m/>
    <m/>
    <m/>
    <m/>
    <m/>
    <m/>
    <m/>
    <m/>
    <m/>
    <m/>
    <m/>
    <m/>
    <m/>
    <n v="0"/>
    <n v="0"/>
  </r>
  <r>
    <n v="7464"/>
    <x v="0"/>
    <s v="2020/3080"/>
    <s v="Garages and Land @, 5 Fishponds Road"/>
    <s v="Unit A"/>
    <n v="527725"/>
    <n v="172227"/>
    <x v="9"/>
    <d v="2021-07-21T00:00:00"/>
    <d v="2022-10-21T00:00:00"/>
    <n v="0"/>
    <n v="1"/>
    <n v="1"/>
    <n v="2"/>
    <n v="2"/>
    <x v="1"/>
    <s v="Demolition of existing garages and construction of 2 x two-storey houses."/>
    <s v="PF"/>
    <d v="2020-09-01T00:00:00"/>
    <d v="2020-11-26T00:00:00"/>
    <x v="0"/>
    <s v="Nil"/>
    <m/>
    <s v="BF"/>
    <s v="NB"/>
    <x v="2"/>
    <x v="1"/>
    <n v="1.0999999999999999E-2"/>
    <d v="2021-07-21T00:00:00"/>
    <x v="0"/>
    <d v="2022-10-21T00:00:00"/>
    <x v="2"/>
    <s v="M"/>
    <s v=""/>
    <m/>
    <n v="0"/>
    <m/>
    <n v="0"/>
    <m/>
    <n v="0"/>
    <n v="0"/>
    <n v="0"/>
    <n v="1"/>
    <n v="0"/>
    <n v="0"/>
    <n v="0"/>
    <n v="0"/>
    <n v="0"/>
    <n v="0"/>
    <n v="0"/>
    <n v="0"/>
    <n v="0"/>
    <n v="0"/>
    <n v="0"/>
    <n v="0"/>
    <n v="0"/>
    <n v="1"/>
    <n v="0"/>
    <n v="0"/>
    <n v="0"/>
    <n v="0"/>
    <n v="0"/>
    <n v="0"/>
    <n v="0"/>
    <n v="0"/>
    <n v="0"/>
    <n v="0"/>
    <x v="0"/>
    <x v="0"/>
    <x v="1"/>
    <n v="1"/>
    <n v="1"/>
    <m/>
    <m/>
    <m/>
    <m/>
    <m/>
    <m/>
    <m/>
    <m/>
    <m/>
    <m/>
    <m/>
    <m/>
    <m/>
    <m/>
    <m/>
    <m/>
    <m/>
    <m/>
    <m/>
    <n v="0"/>
    <n v="0"/>
  </r>
  <r>
    <n v="7464"/>
    <x v="0"/>
    <s v="2020/3080"/>
    <s v="Garages and Land @, 5 Fishponds Road"/>
    <s v="Unit B"/>
    <n v="527725"/>
    <n v="172227"/>
    <x v="9"/>
    <d v="2021-07-21T00:00:00"/>
    <d v="2022-10-21T00:00:00"/>
    <n v="0"/>
    <n v="1"/>
    <n v="1"/>
    <n v="2"/>
    <n v="2"/>
    <x v="1"/>
    <s v="Demolition of existing garages and construction of 2 x two-storey houses."/>
    <s v="PF"/>
    <d v="2020-09-01T00:00:00"/>
    <d v="2020-11-26T00:00:00"/>
    <x v="0"/>
    <s v="Nil"/>
    <m/>
    <s v="BF"/>
    <s v="NB"/>
    <x v="2"/>
    <x v="1"/>
    <n v="7.0000000000000001E-3"/>
    <d v="2021-07-21T00:00:00"/>
    <x v="0"/>
    <d v="2022-10-21T00:00:00"/>
    <x v="2"/>
    <s v="M"/>
    <s v=""/>
    <m/>
    <n v="0"/>
    <m/>
    <n v="0"/>
    <m/>
    <n v="0"/>
    <n v="0"/>
    <n v="1"/>
    <n v="0"/>
    <n v="0"/>
    <n v="0"/>
    <n v="0"/>
    <n v="0"/>
    <n v="0"/>
    <n v="0"/>
    <n v="0"/>
    <n v="0"/>
    <n v="0"/>
    <n v="0"/>
    <n v="0"/>
    <n v="0"/>
    <n v="1"/>
    <n v="0"/>
    <n v="0"/>
    <n v="0"/>
    <n v="0"/>
    <n v="0"/>
    <n v="0"/>
    <n v="0"/>
    <n v="0"/>
    <n v="0"/>
    <n v="0"/>
    <n v="0"/>
    <x v="0"/>
    <x v="0"/>
    <x v="1"/>
    <n v="1"/>
    <n v="1"/>
    <m/>
    <m/>
    <m/>
    <m/>
    <m/>
    <m/>
    <m/>
    <m/>
    <m/>
    <m/>
    <m/>
    <m/>
    <m/>
    <m/>
    <m/>
    <m/>
    <m/>
    <m/>
    <m/>
    <n v="0"/>
    <n v="0"/>
  </r>
  <r>
    <n v="6302"/>
    <x v="0"/>
    <s v="2019/1427"/>
    <s v="150a-170 &amp; 2-8 Thornsett Road, Penwith Road"/>
    <s v="Level 2/3"/>
    <n v="525938"/>
    <n v="173047"/>
    <x v="11"/>
    <d v="2021-07-12T00:00:00"/>
    <m/>
    <n v="0"/>
    <n v="9"/>
    <n v="9"/>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0"/>
    <s v="APG"/>
    <d v="2020-10-30T00:00:00"/>
    <s v="BF"/>
    <s v="NB"/>
    <x v="0"/>
    <x v="0"/>
    <n v="0.03"/>
    <d v="2021-07-12T00:00:00"/>
    <x v="0"/>
    <d v="2023-03-31T00:00:00"/>
    <x v="2"/>
    <s v="M"/>
    <s v=""/>
    <m/>
    <n v="0"/>
    <m/>
    <n v="0"/>
    <m/>
    <n v="0"/>
    <n v="3"/>
    <n v="5"/>
    <n v="1"/>
    <n v="0"/>
    <n v="0"/>
    <n v="0"/>
    <n v="0"/>
    <n v="3"/>
    <n v="5"/>
    <n v="1"/>
    <n v="0"/>
    <n v="0"/>
    <n v="0"/>
    <n v="0"/>
    <n v="0"/>
    <n v="0"/>
    <n v="0"/>
    <n v="0"/>
    <n v="0"/>
    <n v="0"/>
    <n v="0"/>
    <n v="0"/>
    <n v="0"/>
    <n v="0"/>
    <n v="0"/>
    <n v="0"/>
    <n v="0"/>
    <x v="0"/>
    <x v="0"/>
    <x v="6"/>
    <n v="1"/>
    <n v="9"/>
    <m/>
    <m/>
    <m/>
    <m/>
    <m/>
    <m/>
    <m/>
    <m/>
    <m/>
    <m/>
    <m/>
    <m/>
    <m/>
    <m/>
    <m/>
    <m/>
    <m/>
    <m/>
    <m/>
    <n v="0"/>
    <n v="0"/>
  </r>
  <r>
    <n v="365"/>
    <x v="2"/>
    <s v="2015/5942"/>
    <s v="Market Towers, 1 Nine Elms Lane (One Nine Elms)"/>
    <s v=""/>
    <n v="530104"/>
    <n v="177808"/>
    <x v="15"/>
    <d v="2015-08-12T00:00:00"/>
    <m/>
    <n v="0"/>
    <n v="437"/>
    <n v="437"/>
    <n v="437"/>
    <n v="437"/>
    <x v="0"/>
    <s v="Non Material Amendment to planning application 2014/0871 dated 26 August 2014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
    <s v="S96A"/>
    <d v="2016-06-15T00:00:00"/>
    <d v="2016-06-21T00:00:00"/>
    <x v="0"/>
    <s v="Nil"/>
    <m/>
    <s v="BF"/>
    <s v="NB"/>
    <x v="0"/>
    <x v="0"/>
    <n v="0.252"/>
    <d v="2015-08-12T00:00:00"/>
    <x v="0"/>
    <m/>
    <x v="2"/>
    <s v="M"/>
    <s v="2.1.12"/>
    <m/>
    <n v="0"/>
    <n v="44"/>
    <n v="0"/>
    <n v="395"/>
    <n v="0"/>
    <n v="117"/>
    <n v="181"/>
    <n v="129"/>
    <n v="10"/>
    <n v="0"/>
    <n v="0"/>
    <n v="0"/>
    <n v="117"/>
    <n v="181"/>
    <n v="129"/>
    <n v="10"/>
    <n v="0"/>
    <n v="0"/>
    <n v="0"/>
    <n v="0"/>
    <n v="0"/>
    <n v="0"/>
    <n v="0"/>
    <n v="0"/>
    <n v="0"/>
    <n v="0"/>
    <n v="0"/>
    <n v="0"/>
    <n v="0"/>
    <n v="0"/>
    <n v="0"/>
    <n v="0"/>
    <x v="0"/>
    <x v="1"/>
    <x v="7"/>
    <n v="5"/>
    <m/>
    <n v="437"/>
    <m/>
    <m/>
    <m/>
    <m/>
    <m/>
    <m/>
    <m/>
    <m/>
    <m/>
    <m/>
    <m/>
    <m/>
    <m/>
    <m/>
    <m/>
    <m/>
    <m/>
    <m/>
    <n v="437"/>
    <n v="437"/>
  </r>
  <r>
    <n v="7100"/>
    <x v="2"/>
    <s v="2021/0208"/>
    <s v="190-194 St Anns Hill"/>
    <s v=""/>
    <n v="525939"/>
    <n v="174515"/>
    <x v="6"/>
    <d v="2020-12-10T00:00:00"/>
    <m/>
    <n v="0"/>
    <n v="20"/>
    <n v="20"/>
    <n v="22"/>
    <n v="22"/>
    <x v="0"/>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x v="0"/>
    <s v="Nil"/>
    <m/>
    <s v="BF"/>
    <s v="MIX"/>
    <x v="0"/>
    <x v="0"/>
    <n v="5.8999999999999997E-2"/>
    <d v="2020-12-10T00:00:00"/>
    <x v="0"/>
    <m/>
    <x v="2"/>
    <s v="M"/>
    <s v=""/>
    <m/>
    <n v="0"/>
    <m/>
    <n v="0"/>
    <m/>
    <n v="0"/>
    <n v="12"/>
    <n v="6"/>
    <n v="2"/>
    <n v="0"/>
    <n v="0"/>
    <n v="0"/>
    <n v="0"/>
    <n v="12"/>
    <n v="6"/>
    <n v="2"/>
    <n v="0"/>
    <n v="0"/>
    <n v="0"/>
    <n v="0"/>
    <n v="0"/>
    <n v="0"/>
    <n v="0"/>
    <n v="0"/>
    <n v="0"/>
    <n v="0"/>
    <n v="0"/>
    <n v="0"/>
    <n v="0"/>
    <n v="0"/>
    <n v="0"/>
    <n v="0"/>
    <n v="0"/>
    <x v="0"/>
    <x v="0"/>
    <x v="0"/>
    <n v="13"/>
    <m/>
    <n v="20"/>
    <m/>
    <m/>
    <m/>
    <m/>
    <m/>
    <m/>
    <m/>
    <m/>
    <m/>
    <m/>
    <m/>
    <m/>
    <m/>
    <m/>
    <m/>
    <m/>
    <m/>
    <m/>
    <n v="20"/>
    <n v="20"/>
  </r>
  <r>
    <n v="6501"/>
    <x v="2"/>
    <s v="2019/0866"/>
    <s v="1023-1025 Garratt Lane"/>
    <s v=""/>
    <n v="527304"/>
    <n v="171639"/>
    <x v="3"/>
    <d v="2022-09-08T00:00:00"/>
    <m/>
    <n v="0"/>
    <n v="17"/>
    <n v="17"/>
    <n v="17"/>
    <n v="17"/>
    <x v="0"/>
    <s v="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
    <s v="S73"/>
    <d v="2019-03-15T00:00:00"/>
    <d v="2019-11-14T00:00:00"/>
    <x v="0"/>
    <s v="Nil"/>
    <m/>
    <s v="BF"/>
    <s v="NB"/>
    <x v="0"/>
    <x v="0"/>
    <n v="0.156"/>
    <d v="2022-09-08T00:00:00"/>
    <x v="1"/>
    <m/>
    <x v="2"/>
    <s v="M"/>
    <s v=""/>
    <m/>
    <n v="0"/>
    <n v="15"/>
    <n v="0"/>
    <n v="2"/>
    <n v="0"/>
    <n v="4"/>
    <n v="10"/>
    <n v="3"/>
    <n v="0"/>
    <n v="0"/>
    <n v="0"/>
    <n v="0"/>
    <n v="4"/>
    <n v="10"/>
    <n v="3"/>
    <n v="0"/>
    <n v="0"/>
    <n v="0"/>
    <n v="0"/>
    <n v="0"/>
    <n v="0"/>
    <n v="0"/>
    <n v="0"/>
    <n v="0"/>
    <n v="0"/>
    <n v="0"/>
    <n v="0"/>
    <n v="0"/>
    <n v="0"/>
    <n v="0"/>
    <n v="0"/>
    <n v="0"/>
    <x v="0"/>
    <x v="0"/>
    <x v="3"/>
    <n v="3"/>
    <m/>
    <n v="17"/>
    <m/>
    <m/>
    <m/>
    <m/>
    <m/>
    <m/>
    <m/>
    <m/>
    <m/>
    <m/>
    <m/>
    <m/>
    <m/>
    <m/>
    <m/>
    <m/>
    <m/>
    <m/>
    <n v="17"/>
    <n v="17"/>
  </r>
  <r>
    <n v="5589"/>
    <x v="2"/>
    <s v="2018/4579"/>
    <s v="Chatfield Court, 56 Chatfield Road"/>
    <s v=""/>
    <n v="526329"/>
    <n v="175625"/>
    <x v="5"/>
    <d v="2020-04-01T00:00:00"/>
    <m/>
    <n v="0"/>
    <n v="14"/>
    <n v="14"/>
    <n v="14"/>
    <n v="14"/>
    <x v="0"/>
    <s v="Determination as to whether prior approval is required for change of use from office (Class B1a) to residential (Class C3) to provide 13 x 1-bedroom and 1 x 2-bedroom flats."/>
    <s v="PAG"/>
    <d v="2018-10-01T00:00:00"/>
    <d v="2018-11-22T00:00:00"/>
    <x v="0"/>
    <s v="Nil"/>
    <m/>
    <s v="BF"/>
    <s v="COU"/>
    <x v="6"/>
    <x v="0"/>
    <n v="4.3999999999999997E-2"/>
    <d v="2020-04-01T00:00:00"/>
    <x v="0"/>
    <m/>
    <x v="2"/>
    <s v="M"/>
    <s v=""/>
    <m/>
    <n v="0"/>
    <m/>
    <n v="0"/>
    <m/>
    <n v="0"/>
    <n v="13"/>
    <n v="1"/>
    <n v="0"/>
    <n v="0"/>
    <n v="0"/>
    <n v="0"/>
    <n v="0"/>
    <n v="13"/>
    <n v="1"/>
    <n v="0"/>
    <n v="0"/>
    <n v="0"/>
    <n v="0"/>
    <n v="0"/>
    <n v="0"/>
    <n v="0"/>
    <n v="0"/>
    <n v="0"/>
    <n v="0"/>
    <n v="0"/>
    <n v="0"/>
    <n v="0"/>
    <n v="0"/>
    <n v="0"/>
    <n v="0"/>
    <n v="0"/>
    <n v="0"/>
    <x v="0"/>
    <x v="0"/>
    <x v="8"/>
    <n v="13"/>
    <m/>
    <n v="14"/>
    <m/>
    <m/>
    <m/>
    <m/>
    <m/>
    <m/>
    <m/>
    <m/>
    <m/>
    <m/>
    <m/>
    <m/>
    <m/>
    <m/>
    <m/>
    <m/>
    <m/>
    <m/>
    <n v="14"/>
    <n v="14"/>
  </r>
  <r>
    <n v="4474"/>
    <x v="2"/>
    <s v="2014/5383"/>
    <s v="19-21 Mitcham Road"/>
    <s v=""/>
    <n v="527533"/>
    <n v="171477"/>
    <x v="3"/>
    <d v="2019-08-06T00:00:00"/>
    <m/>
    <n v="0"/>
    <n v="13"/>
    <n v="13"/>
    <n v="19"/>
    <n v="19"/>
    <x v="0"/>
    <s v="Conversion of existing building at first, second, and third floor levels into 19 self contained apartments."/>
    <s v="PFLA"/>
    <d v="2014-09-09T00:00:00"/>
    <d v="2016-08-12T00:00:00"/>
    <x v="0"/>
    <s v="Nil"/>
    <m/>
    <s v="BF"/>
    <s v="COU"/>
    <x v="5"/>
    <x v="0"/>
    <n v="0.1"/>
    <d v="2019-08-06T00:00:00"/>
    <x v="0"/>
    <m/>
    <x v="2"/>
    <s v="MR"/>
    <s v="5.2"/>
    <m/>
    <n v="9"/>
    <m/>
    <n v="2"/>
    <m/>
    <n v="1"/>
    <n v="1"/>
    <n v="11"/>
    <n v="0"/>
    <n v="0"/>
    <n v="0"/>
    <n v="0"/>
    <n v="1"/>
    <n v="1"/>
    <n v="11"/>
    <n v="0"/>
    <n v="0"/>
    <n v="0"/>
    <n v="0"/>
    <n v="0"/>
    <n v="0"/>
    <n v="0"/>
    <n v="0"/>
    <n v="0"/>
    <n v="0"/>
    <n v="0"/>
    <n v="0"/>
    <n v="0"/>
    <n v="0"/>
    <n v="0"/>
    <n v="0"/>
    <n v="0"/>
    <n v="0"/>
    <x v="2"/>
    <x v="0"/>
    <x v="3"/>
    <n v="12"/>
    <m/>
    <n v="13"/>
    <m/>
    <m/>
    <m/>
    <m/>
    <m/>
    <m/>
    <m/>
    <m/>
    <m/>
    <m/>
    <m/>
    <m/>
    <m/>
    <m/>
    <m/>
    <m/>
    <m/>
    <m/>
    <n v="13"/>
    <n v="13"/>
  </r>
  <r>
    <n v="536"/>
    <x v="2"/>
    <s v="2021/4727"/>
    <s v="Argylle House, 1a All Saints Passage"/>
    <s v=""/>
    <n v="525441"/>
    <n v="174750"/>
    <x v="6"/>
    <d v="2022-02-03T00:00:00"/>
    <m/>
    <n v="4"/>
    <n v="16"/>
    <n v="12"/>
    <n v="17"/>
    <n v="13"/>
    <x v="0"/>
    <s v="Variation of conditions 2 (in accordance with drawings) and 3 (materials) pursuant to planning permission dated 30/01/2020 ref 2016/7216 (Demolition of the existing building and construction of a part 4 part 5 storey building providing 17 residential units and 106sqm flexible B1 commercial floorspace with communal external amenity space at fourth floor level) to allow minor changes to the appearance of the building, layout of commercial waste and cycle stores and to change the wording of Condition 3 to include compliance trigger instead of pre-commencement."/>
    <s v="PFLA"/>
    <d v="2021-10-14T00:00:00"/>
    <d v="2022-06-21T00:00:00"/>
    <x v="1"/>
    <s v="Nil"/>
    <m/>
    <s v="BF"/>
    <s v="NB"/>
    <x v="0"/>
    <x v="0"/>
    <n v="4.3999999999999997E-2"/>
    <d v="2022-02-03T00:00:00"/>
    <x v="0"/>
    <m/>
    <x v="2"/>
    <s v="M"/>
    <s v=""/>
    <m/>
    <n v="16"/>
    <m/>
    <n v="1"/>
    <m/>
    <n v="2"/>
    <n v="2"/>
    <n v="7"/>
    <n v="1"/>
    <n v="0"/>
    <n v="0"/>
    <n v="0"/>
    <n v="2"/>
    <n v="2"/>
    <n v="7"/>
    <n v="1"/>
    <n v="0"/>
    <n v="0"/>
    <n v="0"/>
    <n v="0"/>
    <n v="0"/>
    <n v="0"/>
    <n v="0"/>
    <n v="0"/>
    <n v="0"/>
    <n v="0"/>
    <n v="0"/>
    <n v="0"/>
    <n v="0"/>
    <n v="0"/>
    <n v="0"/>
    <n v="0"/>
    <n v="0"/>
    <x v="3"/>
    <x v="0"/>
    <x v="0"/>
    <n v="2"/>
    <m/>
    <n v="12"/>
    <m/>
    <m/>
    <m/>
    <m/>
    <m/>
    <m/>
    <m/>
    <m/>
    <m/>
    <m/>
    <m/>
    <m/>
    <m/>
    <m/>
    <m/>
    <m/>
    <m/>
    <m/>
    <n v="12"/>
    <n v="12"/>
  </r>
  <r>
    <n v="5589"/>
    <x v="2"/>
    <s v="2016/3838"/>
    <s v="Chatfield Court, 56 Chatfield Road"/>
    <s v=""/>
    <n v="526329"/>
    <n v="175625"/>
    <x v="5"/>
    <d v="2020-04-01T00:00:00"/>
    <m/>
    <n v="0"/>
    <n v="9"/>
    <n v="9"/>
    <n v="9"/>
    <n v="9"/>
    <x v="1"/>
    <s v="Demolition of existing roof structure and erection of four-storey extension (to create fourth, fifth, sixth and seventh floors) to provide 2 x 1-bedroom, 5 x 2-bedroom and  2 x 3-bedroom residential units, creation of balconies and roof terraces, and external alterations."/>
    <s v="PF"/>
    <d v="2016-06-30T00:00:00"/>
    <d v="2016-11-28T00:00:00"/>
    <x v="0"/>
    <s v="Nil"/>
    <m/>
    <s v="BF"/>
    <s v="EXT"/>
    <x v="2"/>
    <x v="2"/>
    <n v="2.7E-2"/>
    <d v="2020-04-01T00:00:00"/>
    <x v="0"/>
    <m/>
    <x v="2"/>
    <s v="M"/>
    <s v=""/>
    <m/>
    <n v="9"/>
    <m/>
    <n v="0"/>
    <m/>
    <n v="0"/>
    <n v="2"/>
    <n v="5"/>
    <n v="2"/>
    <n v="0"/>
    <n v="0"/>
    <n v="0"/>
    <n v="0"/>
    <n v="2"/>
    <n v="5"/>
    <n v="2"/>
    <n v="0"/>
    <n v="0"/>
    <n v="0"/>
    <n v="0"/>
    <n v="0"/>
    <n v="0"/>
    <n v="0"/>
    <n v="0"/>
    <n v="0"/>
    <n v="0"/>
    <n v="0"/>
    <n v="0"/>
    <n v="0"/>
    <n v="0"/>
    <n v="0"/>
    <n v="0"/>
    <n v="0"/>
    <x v="0"/>
    <x v="0"/>
    <x v="8"/>
    <n v="13"/>
    <m/>
    <n v="9"/>
    <m/>
    <m/>
    <m/>
    <m/>
    <m/>
    <m/>
    <m/>
    <m/>
    <m/>
    <m/>
    <m/>
    <m/>
    <m/>
    <m/>
    <m/>
    <m/>
    <m/>
    <m/>
    <n v="9"/>
    <n v="9"/>
  </r>
  <r>
    <n v="6841"/>
    <x v="2"/>
    <s v="2020/5124"/>
    <s v="Garages south of 156-232, 156-232 Whitlock Drive"/>
    <s v=""/>
    <n v="524290"/>
    <n v="173418"/>
    <x v="19"/>
    <d v="2022-08-30T00:00:00"/>
    <m/>
    <n v="0"/>
    <n v="9"/>
    <n v="9"/>
    <n v="9"/>
    <n v="9"/>
    <x v="1"/>
    <s v="Demolition of existing garages and erection of three-storey (plus basement) residential building comprising 1 x 1-bed, 6 x 2-bed and 2 x 3-bed flats with associated landscaping, underground parking, refuse and cycle storage."/>
    <s v="PF"/>
    <d v="2020-12-24T00:00:00"/>
    <d v="2021-04-22T00:00:00"/>
    <x v="0"/>
    <s v="Nil"/>
    <m/>
    <s v="BF"/>
    <s v="NB"/>
    <x v="2"/>
    <x v="1"/>
    <n v="0.125"/>
    <d v="2022-08-30T00:00:00"/>
    <x v="1"/>
    <m/>
    <x v="1"/>
    <s v="AS"/>
    <s v=""/>
    <m/>
    <n v="0"/>
    <m/>
    <n v="0"/>
    <m/>
    <n v="0"/>
    <n v="1"/>
    <n v="6"/>
    <n v="2"/>
    <n v="0"/>
    <n v="0"/>
    <n v="0"/>
    <n v="0"/>
    <n v="1"/>
    <n v="6"/>
    <n v="2"/>
    <n v="0"/>
    <n v="0"/>
    <n v="0"/>
    <n v="0"/>
    <n v="0"/>
    <n v="0"/>
    <n v="0"/>
    <n v="0"/>
    <n v="0"/>
    <n v="0"/>
    <n v="0"/>
    <n v="0"/>
    <n v="0"/>
    <n v="0"/>
    <n v="0"/>
    <n v="0"/>
    <n v="0"/>
    <x v="0"/>
    <x v="0"/>
    <x v="1"/>
    <n v="2"/>
    <m/>
    <n v="9"/>
    <m/>
    <m/>
    <m/>
    <m/>
    <m/>
    <m/>
    <m/>
    <m/>
    <m/>
    <m/>
    <m/>
    <m/>
    <m/>
    <m/>
    <m/>
    <m/>
    <m/>
    <m/>
    <n v="9"/>
    <n v="9"/>
  </r>
  <r>
    <n v="7715"/>
    <x v="2"/>
    <s v="2021/3550"/>
    <s v="Silverdale House, 98-100 Wandsworth High Street"/>
    <s v=""/>
    <n v="525439"/>
    <n v="174719"/>
    <x v="6"/>
    <d v="2022-09-05T00:00:00"/>
    <m/>
    <n v="0"/>
    <n v="9"/>
    <n v="9"/>
    <n v="9"/>
    <n v="9"/>
    <x v="1"/>
    <s v="Erection of six storey building in connection with creation of 2 x 3-bedroom, 1 x 2-bedroom and 6 x 1-bedroom flats with associated refuse and cycle storage."/>
    <s v="PF"/>
    <d v="2021-07-28T00:00:00"/>
    <d v="2022-04-27T00:00:00"/>
    <x v="1"/>
    <s v="Nil"/>
    <m/>
    <s v="BF"/>
    <s v="NB"/>
    <x v="2"/>
    <x v="1"/>
    <n v="1.2999999999999999E-2"/>
    <d v="2022-09-05T00:00:00"/>
    <x v="1"/>
    <m/>
    <x v="2"/>
    <s v="M"/>
    <s v=""/>
    <m/>
    <n v="0"/>
    <m/>
    <n v="0"/>
    <m/>
    <n v="0"/>
    <n v="6"/>
    <n v="1"/>
    <n v="2"/>
    <n v="0"/>
    <n v="0"/>
    <n v="0"/>
    <n v="0"/>
    <n v="6"/>
    <n v="1"/>
    <n v="2"/>
    <n v="0"/>
    <n v="0"/>
    <n v="0"/>
    <n v="0"/>
    <n v="0"/>
    <n v="0"/>
    <n v="0"/>
    <n v="0"/>
    <n v="0"/>
    <n v="0"/>
    <n v="0"/>
    <n v="0"/>
    <n v="0"/>
    <n v="0"/>
    <n v="0"/>
    <n v="0"/>
    <n v="0"/>
    <x v="3"/>
    <x v="0"/>
    <x v="0"/>
    <n v="3"/>
    <m/>
    <n v="9"/>
    <m/>
    <m/>
    <m/>
    <m/>
    <m/>
    <m/>
    <m/>
    <m/>
    <m/>
    <m/>
    <m/>
    <m/>
    <m/>
    <m/>
    <m/>
    <m/>
    <m/>
    <m/>
    <n v="9"/>
    <n v="9"/>
  </r>
  <r>
    <n v="6765"/>
    <x v="2"/>
    <s v="2017/6846"/>
    <s v="Garages north of Fordyce House, Colson way"/>
    <s v=""/>
    <n v="529291"/>
    <n v="171713"/>
    <x v="13"/>
    <d v="2021-11-26T00:00:00"/>
    <m/>
    <n v="0"/>
    <n v="8"/>
    <n v="8"/>
    <n v="8"/>
    <n v="8"/>
    <x v="1"/>
    <s v="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
    <s v="PF"/>
    <d v="2017-12-21T00:00:00"/>
    <d v="2018-11-23T00:00:00"/>
    <x v="0"/>
    <s v="Nil"/>
    <m/>
    <s v="BF"/>
    <s v="NB"/>
    <x v="2"/>
    <x v="1"/>
    <n v="3.6999999999999998E-2"/>
    <d v="2021-11-26T00:00:00"/>
    <x v="0"/>
    <m/>
    <x v="1"/>
    <s v="AC"/>
    <s v=""/>
    <m/>
    <n v="0"/>
    <m/>
    <n v="0"/>
    <m/>
    <n v="0"/>
    <n v="8"/>
    <n v="0"/>
    <n v="0"/>
    <n v="0"/>
    <n v="0"/>
    <n v="0"/>
    <n v="0"/>
    <n v="8"/>
    <n v="0"/>
    <n v="0"/>
    <n v="0"/>
    <n v="0"/>
    <n v="0"/>
    <n v="0"/>
    <n v="0"/>
    <n v="0"/>
    <n v="0"/>
    <n v="0"/>
    <n v="0"/>
    <n v="0"/>
    <n v="0"/>
    <n v="0"/>
    <n v="0"/>
    <n v="0"/>
    <n v="0"/>
    <n v="0"/>
    <n v="0"/>
    <x v="0"/>
    <x v="0"/>
    <x v="1"/>
    <n v="2"/>
    <m/>
    <n v="8"/>
    <m/>
    <m/>
    <m/>
    <m/>
    <m/>
    <m/>
    <m/>
    <m/>
    <m/>
    <m/>
    <m/>
    <m/>
    <m/>
    <m/>
    <m/>
    <m/>
    <m/>
    <m/>
    <n v="8"/>
    <n v="8"/>
  </r>
  <r>
    <n v="7498"/>
    <x v="2"/>
    <s v="2021/0831"/>
    <s v="142 Trinity Road"/>
    <s v=""/>
    <n v="527633"/>
    <n v="172951"/>
    <x v="4"/>
    <d v="2022-03-31T00:00:00"/>
    <m/>
    <n v="1"/>
    <n v="8"/>
    <n v="7"/>
    <n v="8"/>
    <n v="7"/>
    <x v="1"/>
    <s v="Alterations including demolition of existing garage, erection of dormer roof extensions to main rear roof, two-storey rear and side extension plus roof level extensions above, excavation to enlarge basement including formation of front and rear lightwells, alterations to fenestration in connection with conversion and creation of 2 x 3-bedroom, 5 x 2-bedroom and 1 x 1-bed/studio flats with associated boundary treatment, landscaping, cycle and refuse storage."/>
    <s v="PF"/>
    <d v="2021-02-22T00:00:00"/>
    <d v="2021-06-22T00:00:00"/>
    <x v="0"/>
    <s v="Nil"/>
    <m/>
    <s v="BF"/>
    <s v="MIX"/>
    <x v="2"/>
    <x v="5"/>
    <n v="6.2E-2"/>
    <d v="2022-07-03T00:00:00"/>
    <x v="1"/>
    <m/>
    <x v="2"/>
    <s v="M"/>
    <s v=""/>
    <m/>
    <n v="0"/>
    <m/>
    <n v="0"/>
    <m/>
    <n v="0"/>
    <n v="1"/>
    <n v="5"/>
    <n v="2"/>
    <n v="0"/>
    <n v="-1"/>
    <n v="0"/>
    <n v="0"/>
    <n v="1"/>
    <n v="5"/>
    <n v="2"/>
    <n v="0"/>
    <n v="0"/>
    <n v="0"/>
    <n v="0"/>
    <n v="0"/>
    <n v="0"/>
    <n v="0"/>
    <n v="0"/>
    <n v="-1"/>
    <n v="0"/>
    <n v="0"/>
    <n v="0"/>
    <n v="0"/>
    <n v="0"/>
    <n v="0"/>
    <n v="0"/>
    <n v="0"/>
    <x v="0"/>
    <x v="0"/>
    <x v="1"/>
    <n v="13"/>
    <m/>
    <n v="7"/>
    <m/>
    <m/>
    <m/>
    <m/>
    <m/>
    <m/>
    <m/>
    <m/>
    <m/>
    <m/>
    <m/>
    <m/>
    <m/>
    <m/>
    <m/>
    <m/>
    <m/>
    <m/>
    <n v="7"/>
    <n v="7"/>
  </r>
  <r>
    <n v="6490"/>
    <x v="2"/>
    <s v="2019/3275"/>
    <s v="153-159 Putney High Street"/>
    <s v=""/>
    <n v="523997"/>
    <n v="175115"/>
    <x v="0"/>
    <d v="2021-03-08T00:00:00"/>
    <m/>
    <n v="0"/>
    <n v="7"/>
    <n v="7"/>
    <n v="9"/>
    <n v="9"/>
    <x v="1"/>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0"/>
    <s v="Nil"/>
    <m/>
    <s v="BF"/>
    <s v="MIX"/>
    <x v="2"/>
    <x v="1"/>
    <n v="1.2E-2"/>
    <d v="2021-03-08T00:00:00"/>
    <x v="0"/>
    <m/>
    <x v="2"/>
    <s v="M"/>
    <s v=""/>
    <m/>
    <n v="0"/>
    <m/>
    <n v="0"/>
    <m/>
    <n v="0"/>
    <n v="0"/>
    <n v="6"/>
    <n v="1"/>
    <n v="0"/>
    <n v="0"/>
    <n v="0"/>
    <n v="0"/>
    <n v="0"/>
    <n v="6"/>
    <n v="1"/>
    <n v="0"/>
    <n v="0"/>
    <n v="0"/>
    <n v="0"/>
    <n v="0"/>
    <n v="0"/>
    <n v="0"/>
    <n v="0"/>
    <n v="0"/>
    <n v="0"/>
    <n v="0"/>
    <n v="0"/>
    <n v="0"/>
    <n v="0"/>
    <n v="0"/>
    <n v="0"/>
    <n v="0"/>
    <x v="4"/>
    <x v="0"/>
    <x v="4"/>
    <n v="12"/>
    <m/>
    <n v="7"/>
    <m/>
    <m/>
    <m/>
    <m/>
    <m/>
    <m/>
    <m/>
    <m/>
    <m/>
    <m/>
    <m/>
    <m/>
    <m/>
    <m/>
    <m/>
    <m/>
    <m/>
    <m/>
    <n v="7"/>
    <n v="7"/>
  </r>
  <r>
    <n v="6988"/>
    <x v="2"/>
    <s v="2021/1729"/>
    <s v="73 Earlsfield Road"/>
    <s v=""/>
    <n v="526452"/>
    <n v="173866"/>
    <x v="11"/>
    <d v="2022-06-28T00:00:00"/>
    <m/>
    <n v="1"/>
    <n v="8"/>
    <n v="7"/>
    <n v="8"/>
    <n v="7"/>
    <x v="1"/>
    <s v="Alterations including erection of rear mansard roof extension to main rear roof slope and above existing two-storey side extension; extension above part of two-storey rear addition with installation of 1.7m high obscure glazed balustrade to form roof terrace; erection of single-storey rear extension to create full width ground floor rear extension, excavation to enlarge existing basement with stairs up to rear garden. alterations to front fenestration and replacement of all windows and doors in association with conversion of single-family dwelling house into 8 self-contained flats (3 x 3 bed, 2 x 2 bed, 3 x 1 bed) with associated outside amenity space, secure refuse and cycle storage and off-street parking."/>
    <s v="PF"/>
    <d v="2021-04-12T00:00:00"/>
    <d v="2021-07-27T00:00:00"/>
    <x v="0"/>
    <s v="Nil"/>
    <m/>
    <s v="BF"/>
    <s v="MIX"/>
    <x v="2"/>
    <x v="5"/>
    <n v="1.6199999999999999E-2"/>
    <d v="2022-06-28T00:00:00"/>
    <x v="1"/>
    <m/>
    <x v="2"/>
    <s v="M"/>
    <s v=""/>
    <m/>
    <n v="0"/>
    <m/>
    <n v="0"/>
    <m/>
    <n v="0"/>
    <n v="3"/>
    <n v="2"/>
    <n v="3"/>
    <n v="0"/>
    <n v="-1"/>
    <n v="0"/>
    <n v="0"/>
    <n v="3"/>
    <n v="2"/>
    <n v="3"/>
    <n v="0"/>
    <n v="0"/>
    <n v="0"/>
    <n v="0"/>
    <n v="0"/>
    <n v="0"/>
    <n v="0"/>
    <n v="0"/>
    <n v="-1"/>
    <n v="0"/>
    <n v="0"/>
    <n v="0"/>
    <n v="0"/>
    <n v="0"/>
    <n v="0"/>
    <n v="0"/>
    <n v="0"/>
    <x v="0"/>
    <x v="0"/>
    <x v="1"/>
    <n v="13"/>
    <m/>
    <n v="7"/>
    <m/>
    <m/>
    <m/>
    <m/>
    <m/>
    <m/>
    <m/>
    <m/>
    <m/>
    <m/>
    <m/>
    <m/>
    <m/>
    <m/>
    <m/>
    <m/>
    <m/>
    <m/>
    <n v="7"/>
    <n v="7"/>
  </r>
  <r>
    <n v="2304"/>
    <x v="2"/>
    <s v="2015/5875"/>
    <s v="Chelsea Bridge Wharf (southern site), Queenstown Road (Phase 5, Residential Blocks F &amp; G (Lanson House &amp; Burnelli House))"/>
    <s v=""/>
    <n v="528666"/>
    <n v="177450"/>
    <x v="17"/>
    <d v="2019-03-31T00:00:00"/>
    <m/>
    <n v="0"/>
    <n v="7"/>
    <n v="7"/>
    <n v="7"/>
    <n v="7"/>
    <x v="1"/>
    <s v="Change of use from &quot;flexible commercial space&quot; to provide 7 residential apartments with associated screening and landscaping"/>
    <s v="PFLA"/>
    <d v="2015-10-19T00:00:00"/>
    <d v="2016-04-05T00:00:00"/>
    <x v="0"/>
    <s v="Nil"/>
    <m/>
    <s v="BF"/>
    <s v="COU"/>
    <x v="2"/>
    <x v="6"/>
    <n v="5.8999999999999997E-2"/>
    <d v="2019-03-31T00:00:00"/>
    <x v="0"/>
    <m/>
    <x v="2"/>
    <s v="M"/>
    <s v=""/>
    <m/>
    <n v="7"/>
    <m/>
    <n v="0"/>
    <m/>
    <n v="0"/>
    <n v="3"/>
    <n v="4"/>
    <n v="0"/>
    <n v="0"/>
    <n v="0"/>
    <n v="0"/>
    <n v="0"/>
    <n v="3"/>
    <n v="4"/>
    <n v="0"/>
    <n v="0"/>
    <n v="0"/>
    <n v="0"/>
    <n v="0"/>
    <n v="0"/>
    <n v="0"/>
    <n v="0"/>
    <n v="0"/>
    <n v="0"/>
    <n v="0"/>
    <n v="0"/>
    <n v="0"/>
    <n v="0"/>
    <n v="0"/>
    <n v="0"/>
    <n v="0"/>
    <n v="0"/>
    <x v="0"/>
    <x v="1"/>
    <x v="7"/>
    <n v="13"/>
    <m/>
    <n v="7"/>
    <m/>
    <m/>
    <m/>
    <m/>
    <m/>
    <m/>
    <m/>
    <m/>
    <m/>
    <m/>
    <m/>
    <m/>
    <m/>
    <m/>
    <m/>
    <m/>
    <m/>
    <m/>
    <n v="7"/>
    <n v="7"/>
  </r>
  <r>
    <n v="6955"/>
    <x v="2"/>
    <s v="2019/2186"/>
    <s v="1 East Hill"/>
    <s v=""/>
    <n v="526542"/>
    <n v="174943"/>
    <x v="6"/>
    <d v="2021-12-23T00:00:00"/>
    <m/>
    <n v="0"/>
    <n v="8"/>
    <n v="8"/>
    <n v="8"/>
    <n v="8"/>
    <x v="1"/>
    <s v="New 4 storey building with 2 new commercial units (Class A1, A2, A3 and B1) and 8 x residential self-contained flats (Class C3), comprising 2 x 1 bed units; and 5 x 2 bed units and 1 x 3 bed units."/>
    <s v="PF"/>
    <d v="2019-05-20T00:00:00"/>
    <d v="2019-08-23T00:00:00"/>
    <x v="0"/>
    <s v="Nil"/>
    <m/>
    <s v="BF"/>
    <s v="NB"/>
    <x v="2"/>
    <x v="1"/>
    <n v="2.5000000000000001E-2"/>
    <d v="2021-12-23T00:00:00"/>
    <x v="0"/>
    <m/>
    <x v="2"/>
    <s v="M"/>
    <s v=""/>
    <m/>
    <n v="0"/>
    <m/>
    <n v="0"/>
    <m/>
    <n v="0"/>
    <n v="2"/>
    <n v="5"/>
    <n v="1"/>
    <n v="0"/>
    <n v="0"/>
    <n v="0"/>
    <n v="0"/>
    <n v="2"/>
    <n v="5"/>
    <n v="1"/>
    <n v="0"/>
    <n v="0"/>
    <n v="0"/>
    <n v="0"/>
    <n v="0"/>
    <n v="0"/>
    <n v="0"/>
    <n v="0"/>
    <n v="0"/>
    <n v="0"/>
    <n v="0"/>
    <n v="0"/>
    <n v="0"/>
    <n v="0"/>
    <n v="0"/>
    <n v="0"/>
    <n v="0"/>
    <x v="0"/>
    <x v="0"/>
    <x v="1"/>
    <n v="2"/>
    <m/>
    <m/>
    <n v="8"/>
    <m/>
    <m/>
    <m/>
    <m/>
    <m/>
    <m/>
    <m/>
    <m/>
    <m/>
    <m/>
    <m/>
    <m/>
    <m/>
    <m/>
    <m/>
    <m/>
    <m/>
    <n v="8"/>
    <n v="8"/>
  </r>
  <r>
    <n v="4474"/>
    <x v="2"/>
    <s v="2014/5383"/>
    <s v="19-21 Mitcham Road"/>
    <s v=""/>
    <n v="527533"/>
    <n v="171477"/>
    <x v="3"/>
    <d v="2019-08-06T00:00:00"/>
    <m/>
    <n v="0"/>
    <n v="6"/>
    <n v="6"/>
    <n v="19"/>
    <n v="19"/>
    <x v="0"/>
    <s v="Conversion of existing building at first, second, and third floor levels into 19 self contained apartments."/>
    <s v="PFLA"/>
    <d v="2014-09-09T00:00:00"/>
    <d v="2016-08-12T00:00:00"/>
    <x v="0"/>
    <s v="Nil"/>
    <m/>
    <s v="BF"/>
    <s v="COU"/>
    <x v="5"/>
    <x v="0"/>
    <n v="4.2999999999999997E-2"/>
    <d v="2019-08-06T00:00:00"/>
    <x v="0"/>
    <m/>
    <x v="0"/>
    <s v="IR"/>
    <s v="5.2"/>
    <m/>
    <n v="0"/>
    <m/>
    <n v="0"/>
    <m/>
    <n v="0"/>
    <n v="3"/>
    <n v="3"/>
    <n v="0"/>
    <n v="0"/>
    <n v="0"/>
    <n v="0"/>
    <n v="0"/>
    <n v="3"/>
    <n v="3"/>
    <n v="0"/>
    <n v="0"/>
    <n v="0"/>
    <n v="0"/>
    <n v="0"/>
    <n v="0"/>
    <n v="0"/>
    <n v="0"/>
    <n v="0"/>
    <n v="0"/>
    <n v="0"/>
    <n v="0"/>
    <n v="0"/>
    <n v="0"/>
    <n v="0"/>
    <n v="0"/>
    <n v="0"/>
    <n v="0"/>
    <x v="2"/>
    <x v="0"/>
    <x v="3"/>
    <n v="12"/>
    <m/>
    <n v="6"/>
    <m/>
    <m/>
    <m/>
    <m/>
    <m/>
    <m/>
    <m/>
    <m/>
    <m/>
    <m/>
    <m/>
    <m/>
    <m/>
    <m/>
    <m/>
    <m/>
    <m/>
    <m/>
    <n v="6"/>
    <n v="6"/>
  </r>
  <r>
    <n v="7364"/>
    <x v="2"/>
    <s v="2021/0408"/>
    <s v="5 Parma Crescent"/>
    <s v=""/>
    <n v="527592"/>
    <n v="175427"/>
    <x v="12"/>
    <d v="2022-04-01T00:00:00"/>
    <m/>
    <n v="1"/>
    <n v="7"/>
    <n v="6"/>
    <n v="7"/>
    <n v="6"/>
    <x v="1"/>
    <s v="Demolition of existing building and erection of a part 2-storey, part 3-storey building (with basement) to provide 7 flats (2 x 3-bed, 4 x 2-bed, 1 x 1-bed flats) with associated refuse and cycle storage."/>
    <s v="PF"/>
    <d v="2021-01-29T00:00:00"/>
    <d v="2021-05-28T00:00:00"/>
    <x v="0"/>
    <s v="Nil"/>
    <m/>
    <s v="BF"/>
    <s v="NB"/>
    <x v="2"/>
    <x v="1"/>
    <n v="3.2000000000000001E-2"/>
    <d v="2022-04-01T00:00:00"/>
    <x v="1"/>
    <m/>
    <x v="2"/>
    <s v="M"/>
    <s v=""/>
    <m/>
    <n v="0"/>
    <m/>
    <n v="0"/>
    <m/>
    <n v="0"/>
    <n v="1"/>
    <n v="4"/>
    <n v="1"/>
    <n v="0"/>
    <n v="0"/>
    <n v="0"/>
    <n v="0"/>
    <n v="1"/>
    <n v="4"/>
    <n v="2"/>
    <n v="0"/>
    <n v="0"/>
    <n v="0"/>
    <n v="0"/>
    <n v="0"/>
    <n v="0"/>
    <n v="-1"/>
    <n v="0"/>
    <n v="0"/>
    <n v="0"/>
    <n v="0"/>
    <n v="0"/>
    <n v="0"/>
    <n v="0"/>
    <n v="0"/>
    <n v="0"/>
    <n v="0"/>
    <x v="0"/>
    <x v="0"/>
    <x v="5"/>
    <n v="3"/>
    <m/>
    <n v="6"/>
    <m/>
    <m/>
    <m/>
    <m/>
    <m/>
    <m/>
    <m/>
    <m/>
    <m/>
    <m/>
    <m/>
    <m/>
    <m/>
    <m/>
    <m/>
    <m/>
    <m/>
    <m/>
    <n v="6"/>
    <n v="6"/>
  </r>
  <r>
    <n v="7299"/>
    <x v="2"/>
    <s v="2019/4665"/>
    <s v="2 Replingham Road"/>
    <s v=""/>
    <n v="524756"/>
    <n v="173258"/>
    <x v="20"/>
    <d v="2020-11-11T00:00:00"/>
    <m/>
    <n v="0"/>
    <n v="5"/>
    <n v="5"/>
    <n v="5"/>
    <n v="5"/>
    <x v="1"/>
    <s v="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
    <s v="PF"/>
    <d v="2019-11-21T00:00:00"/>
    <d v="2020-04-28T00:00:00"/>
    <x v="0"/>
    <s v="Nil"/>
    <m/>
    <s v="BF"/>
    <s v="COU"/>
    <x v="2"/>
    <x v="6"/>
    <n v="1.4E-2"/>
    <d v="2020-11-11T00:00:00"/>
    <x v="0"/>
    <m/>
    <x v="2"/>
    <s v="M"/>
    <s v=""/>
    <m/>
    <n v="0"/>
    <m/>
    <n v="0"/>
    <m/>
    <n v="1"/>
    <n v="1"/>
    <n v="2"/>
    <n v="1"/>
    <n v="0"/>
    <n v="0"/>
    <n v="0"/>
    <n v="1"/>
    <n v="1"/>
    <n v="2"/>
    <n v="1"/>
    <n v="0"/>
    <n v="0"/>
    <n v="0"/>
    <n v="0"/>
    <n v="0"/>
    <n v="0"/>
    <n v="0"/>
    <n v="0"/>
    <n v="0"/>
    <n v="0"/>
    <n v="0"/>
    <n v="0"/>
    <n v="0"/>
    <n v="0"/>
    <n v="0"/>
    <n v="0"/>
    <n v="0"/>
    <x v="0"/>
    <x v="0"/>
    <x v="1"/>
    <n v="13"/>
    <m/>
    <n v="5"/>
    <m/>
    <m/>
    <m/>
    <m/>
    <m/>
    <m/>
    <m/>
    <m/>
    <m/>
    <m/>
    <m/>
    <m/>
    <m/>
    <m/>
    <m/>
    <m/>
    <m/>
    <m/>
    <n v="5"/>
    <n v="5"/>
  </r>
  <r>
    <n v="3066"/>
    <x v="2"/>
    <s v="2021/2382"/>
    <s v="336 Upper Richmond Road"/>
    <s v=""/>
    <n v="523512"/>
    <n v="175269"/>
    <x v="18"/>
    <d v="2022-03-31T00:00:00"/>
    <m/>
    <n v="2"/>
    <n v="7"/>
    <n v="5"/>
    <n v="7"/>
    <n v="5"/>
    <x v="1"/>
    <s v="Variation of condition 2 (Approved Drawings) and 13 (Unit mix) of planning permission dated 20/08/2020 ref 2020/1463 (Erection of replacement single-storey rear/side extensions, erection of dormer extension to main rear and side roof slopes, and formation of a basement with front and rear lightwells in connection with a change of use from Dental Surgery (Class D1) to residential (Class C3) to provide flats with associated amenity space, refuse and bicycle storage.) to allow the changes to the approved drawings to allow alterations to the fenestration; bridges over basement lightwell; door to flat 4; flank walls to lightwells; addition of two first floor balconies to flats 6 and 7 with obscured glazed screening; increase in ground floor extension height; new window on north flank at first floor level and roof light added in flat 5; change of unit mix to 3 x 1 bedroom  3 x 2 bedroom and 1 x 3 bedroom flats."/>
    <s v="PF"/>
    <d v="2021-06-15T00:00:00"/>
    <d v="2021-08-31T00:00:00"/>
    <x v="0"/>
    <s v="Nil"/>
    <m/>
    <s v="BF"/>
    <s v="MIX"/>
    <x v="2"/>
    <x v="3"/>
    <n v="6.6000000000000003E-2"/>
    <d v="2022-03-31T00:00:00"/>
    <x v="0"/>
    <m/>
    <x v="2"/>
    <s v="M"/>
    <s v=""/>
    <m/>
    <n v="0"/>
    <m/>
    <n v="0"/>
    <m/>
    <n v="0"/>
    <n v="3"/>
    <n v="1"/>
    <n v="1"/>
    <n v="0"/>
    <n v="0"/>
    <n v="0"/>
    <n v="0"/>
    <n v="3"/>
    <n v="1"/>
    <n v="1"/>
    <n v="0"/>
    <n v="0"/>
    <n v="0"/>
    <n v="0"/>
    <n v="0"/>
    <n v="0"/>
    <n v="0"/>
    <n v="0"/>
    <n v="0"/>
    <n v="0"/>
    <n v="0"/>
    <n v="0"/>
    <n v="0"/>
    <n v="0"/>
    <n v="0"/>
    <n v="0"/>
    <n v="0"/>
    <x v="0"/>
    <x v="0"/>
    <x v="1"/>
    <n v="13"/>
    <m/>
    <n v="5"/>
    <m/>
    <m/>
    <m/>
    <m/>
    <m/>
    <m/>
    <m/>
    <m/>
    <m/>
    <m/>
    <m/>
    <m/>
    <m/>
    <m/>
    <m/>
    <m/>
    <m/>
    <m/>
    <n v="5"/>
    <n v="5"/>
  </r>
  <r>
    <n v="6188"/>
    <x v="2"/>
    <s v="2021/3023"/>
    <s v="Earlsfield House, 1 Swaffield Road"/>
    <s v=""/>
    <n v="525924"/>
    <n v="173800"/>
    <x v="11"/>
    <d v="2022-03-31T00:00:00"/>
    <m/>
    <n v="0"/>
    <n v="5"/>
    <n v="5"/>
    <n v="5"/>
    <n v="5"/>
    <x v="1"/>
    <s v="Erection of a side extension with alterations as part of the change of use of Earlsfield House to provide 5 x 2-bedroom residential apartments."/>
    <s v="PF"/>
    <d v="2021-06-23T00:00:00"/>
    <d v="2021-08-31T00:00:00"/>
    <x v="0"/>
    <s v="Nil"/>
    <m/>
    <s v="BF"/>
    <s v="MIX"/>
    <x v="2"/>
    <x v="6"/>
    <n v="8.0000000000000002E-3"/>
    <d v="2022-03-31T00:00:00"/>
    <x v="0"/>
    <m/>
    <x v="2"/>
    <s v="M"/>
    <s v=""/>
    <m/>
    <n v="0"/>
    <m/>
    <n v="0"/>
    <m/>
    <n v="0"/>
    <n v="1"/>
    <n v="4"/>
    <n v="0"/>
    <n v="0"/>
    <n v="0"/>
    <n v="0"/>
    <n v="0"/>
    <n v="1"/>
    <n v="4"/>
    <n v="0"/>
    <n v="0"/>
    <n v="0"/>
    <n v="0"/>
    <n v="0"/>
    <n v="0"/>
    <n v="0"/>
    <n v="0"/>
    <n v="0"/>
    <n v="0"/>
    <n v="0"/>
    <n v="0"/>
    <n v="0"/>
    <n v="0"/>
    <n v="0"/>
    <n v="0"/>
    <n v="0"/>
    <n v="0"/>
    <x v="0"/>
    <x v="0"/>
    <x v="6"/>
    <n v="13"/>
    <m/>
    <n v="5"/>
    <m/>
    <m/>
    <m/>
    <m/>
    <m/>
    <m/>
    <m/>
    <m/>
    <m/>
    <m/>
    <m/>
    <m/>
    <m/>
    <m/>
    <m/>
    <m/>
    <m/>
    <m/>
    <n v="5"/>
    <n v="5"/>
  </r>
  <r>
    <n v="7653"/>
    <x v="2"/>
    <s v="2021/2344"/>
    <s v="Garages Rear of, 88 Longley Road"/>
    <s v=""/>
    <n v="527507"/>
    <n v="170721"/>
    <x v="3"/>
    <d v="2022-07-01T00:00:00"/>
    <m/>
    <n v="0"/>
    <n v="5"/>
    <n v="5"/>
    <n v="5"/>
    <n v="5"/>
    <x v="1"/>
    <s v="Demolition of existing garage/storage facilities and erection of twostorey building to provide 3 x 1-bedroom and 2 x 2-bedroom flats with_x000a_associated terraces, provision of refuse and cycle storage."/>
    <s v="PF"/>
    <d v="2021-06-14T00:00:00"/>
    <d v="2021-11-23T00:00:00"/>
    <x v="0"/>
    <s v="Nil"/>
    <m/>
    <s v="BF"/>
    <s v="NB"/>
    <x v="2"/>
    <x v="1"/>
    <n v="1.4999999999999999E-2"/>
    <d v="2022-07-01T00:00:00"/>
    <x v="1"/>
    <m/>
    <x v="2"/>
    <s v="M"/>
    <s v=""/>
    <m/>
    <n v="0"/>
    <m/>
    <n v="0"/>
    <m/>
    <n v="0"/>
    <n v="3"/>
    <n v="2"/>
    <n v="0"/>
    <n v="0"/>
    <n v="0"/>
    <n v="0"/>
    <n v="0"/>
    <n v="3"/>
    <n v="2"/>
    <n v="0"/>
    <n v="0"/>
    <n v="0"/>
    <n v="0"/>
    <n v="0"/>
    <n v="0"/>
    <n v="0"/>
    <n v="0"/>
    <n v="0"/>
    <n v="0"/>
    <n v="0"/>
    <n v="0"/>
    <n v="0"/>
    <n v="0"/>
    <n v="0"/>
    <n v="0"/>
    <n v="0"/>
    <n v="0"/>
    <x v="0"/>
    <x v="0"/>
    <x v="1"/>
    <n v="3"/>
    <m/>
    <n v="5"/>
    <m/>
    <m/>
    <m/>
    <m/>
    <m/>
    <m/>
    <m/>
    <m/>
    <m/>
    <m/>
    <m/>
    <m/>
    <m/>
    <m/>
    <m/>
    <m/>
    <m/>
    <m/>
    <n v="5"/>
    <n v="5"/>
  </r>
  <r>
    <n v="7679"/>
    <x v="2"/>
    <s v="2021/3012"/>
    <s v="82-84 Mitcham Lane"/>
    <s v=""/>
    <n v="529371"/>
    <n v="171218"/>
    <x v="13"/>
    <d v="2022-11-04T00:00:00"/>
    <m/>
    <n v="0"/>
    <n v="9"/>
    <n v="9"/>
    <n v="9"/>
    <n v="9"/>
    <x v="1"/>
    <s v="Determination as to whether prior approval is required for demolition of existing workshop and erection of part 2/part 4-storey building to provide 8 x 1-bedroom and 1 x 2-bedroom flats."/>
    <s v="PAG"/>
    <d v="2021-06-29T00:00:00"/>
    <d v="2021-09-08T00:00:00"/>
    <x v="0"/>
    <s v="Nil"/>
    <m/>
    <s v="BF"/>
    <s v="NB"/>
    <x v="2"/>
    <x v="1"/>
    <n v="1.6E-2"/>
    <d v="2022-11-04T00:00:00"/>
    <x v="1"/>
    <m/>
    <x v="2"/>
    <s v="M"/>
    <s v=""/>
    <m/>
    <n v="0"/>
    <m/>
    <n v="0"/>
    <m/>
    <n v="0"/>
    <n v="8"/>
    <n v="1"/>
    <n v="0"/>
    <n v="0"/>
    <n v="0"/>
    <n v="0"/>
    <n v="0"/>
    <n v="8"/>
    <n v="1"/>
    <n v="0"/>
    <n v="0"/>
    <n v="0"/>
    <n v="0"/>
    <n v="0"/>
    <n v="0"/>
    <n v="0"/>
    <n v="0"/>
    <n v="0"/>
    <n v="0"/>
    <n v="0"/>
    <n v="0"/>
    <n v="0"/>
    <n v="0"/>
    <n v="0"/>
    <n v="0"/>
    <n v="0"/>
    <n v="0"/>
    <x v="0"/>
    <x v="0"/>
    <x v="1"/>
    <n v="4"/>
    <m/>
    <n v="4.5"/>
    <n v="4.5"/>
    <m/>
    <m/>
    <m/>
    <m/>
    <m/>
    <m/>
    <m/>
    <m/>
    <m/>
    <m/>
    <m/>
    <m/>
    <m/>
    <m/>
    <m/>
    <m/>
    <m/>
    <n v="9"/>
    <n v="9"/>
  </r>
  <r>
    <n v="6318"/>
    <x v="2"/>
    <s v="2017/3137"/>
    <s v="37 Oldridge Road"/>
    <s v=""/>
    <n v="528567"/>
    <n v="173770"/>
    <x v="2"/>
    <d v="2022-04-01T00:00:00"/>
    <m/>
    <n v="1"/>
    <n v="5"/>
    <n v="4"/>
    <n v="5"/>
    <n v="4"/>
    <x v="1"/>
    <s v="Demolition of existing building and erection of a four-storey building to provide 1 x studio, 1 x 1-bedroom and 2 x 2 bedroom flats, the erection of  a single-storey (plus basement) 1-bedroom house; associated cycle and refuse storage."/>
    <s v="PF"/>
    <d v="2017-06-05T00:00:00"/>
    <d v="2017-10-24T00:00:00"/>
    <x v="0"/>
    <s v="Nil"/>
    <m/>
    <s v="BF"/>
    <s v="NB"/>
    <x v="2"/>
    <x v="1"/>
    <n v="0.01"/>
    <d v="2022-04-01T00:00:00"/>
    <x v="1"/>
    <m/>
    <x v="2"/>
    <s v="M"/>
    <s v=""/>
    <m/>
    <n v="0"/>
    <m/>
    <n v="0"/>
    <m/>
    <n v="1"/>
    <n v="2"/>
    <n v="1"/>
    <n v="0"/>
    <n v="0"/>
    <n v="0"/>
    <n v="0"/>
    <n v="1"/>
    <n v="1"/>
    <n v="2"/>
    <n v="0"/>
    <n v="0"/>
    <n v="0"/>
    <n v="0"/>
    <n v="0"/>
    <n v="1"/>
    <n v="-1"/>
    <n v="0"/>
    <n v="0"/>
    <n v="0"/>
    <n v="0"/>
    <n v="0"/>
    <n v="0"/>
    <n v="0"/>
    <n v="0"/>
    <n v="0"/>
    <n v="0"/>
    <n v="0"/>
    <x v="0"/>
    <x v="0"/>
    <x v="1"/>
    <n v="3"/>
    <m/>
    <n v="4"/>
    <m/>
    <m/>
    <m/>
    <m/>
    <m/>
    <m/>
    <m/>
    <m/>
    <m/>
    <m/>
    <m/>
    <m/>
    <m/>
    <m/>
    <m/>
    <m/>
    <m/>
    <m/>
    <n v="4"/>
    <n v="4"/>
  </r>
  <r>
    <n v="5142"/>
    <x v="2"/>
    <s v="2017/6879"/>
    <s v="5 Laitwood Road"/>
    <s v=""/>
    <n v="528703"/>
    <n v="173473"/>
    <x v="2"/>
    <d v="2022-04-01T00:00:00"/>
    <m/>
    <n v="1"/>
    <n v="5"/>
    <n v="4"/>
    <n v="5"/>
    <n v="4"/>
    <x v="1"/>
    <s v="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
    <s v="PF"/>
    <d v="2017-12-15T00:00:00"/>
    <d v="2018-02-09T00:00:00"/>
    <x v="0"/>
    <s v="Nil"/>
    <m/>
    <s v="BF"/>
    <s v="MIX"/>
    <x v="2"/>
    <x v="5"/>
    <n v="3.6999999999999998E-2"/>
    <d v="2022-04-01T00:00:00"/>
    <x v="1"/>
    <m/>
    <x v="2"/>
    <s v="M"/>
    <s v=""/>
    <m/>
    <n v="0"/>
    <m/>
    <n v="0"/>
    <m/>
    <n v="0"/>
    <n v="1"/>
    <n v="2"/>
    <n v="2"/>
    <n v="0"/>
    <n v="-1"/>
    <n v="0"/>
    <n v="0"/>
    <n v="1"/>
    <n v="2"/>
    <n v="2"/>
    <n v="0"/>
    <n v="0"/>
    <n v="0"/>
    <n v="0"/>
    <n v="0"/>
    <n v="0"/>
    <n v="0"/>
    <n v="0"/>
    <n v="-1"/>
    <n v="0"/>
    <n v="0"/>
    <n v="0"/>
    <n v="0"/>
    <n v="0"/>
    <n v="0"/>
    <n v="0"/>
    <n v="0"/>
    <x v="0"/>
    <x v="0"/>
    <x v="2"/>
    <n v="13"/>
    <m/>
    <n v="4"/>
    <m/>
    <m/>
    <m/>
    <m/>
    <m/>
    <m/>
    <m/>
    <m/>
    <m/>
    <m/>
    <m/>
    <m/>
    <m/>
    <m/>
    <m/>
    <m/>
    <m/>
    <m/>
    <n v="4"/>
    <n v="4"/>
  </r>
  <r>
    <n v="7093"/>
    <x v="2"/>
    <s v="2020/3861"/>
    <s v="58 Selkirk Road"/>
    <s v=""/>
    <n v="527391"/>
    <n v="171716"/>
    <x v="9"/>
    <d v="2022-07-11T00:00:00"/>
    <m/>
    <n v="1"/>
    <n v="5"/>
    <n v="4"/>
    <n v="5"/>
    <n v="4"/>
    <x v="1"/>
    <s v="Demolition of existing building and erection of two-storey with roof addition and basement building to provide accommodation consisting of 2 x 3-bedroom self-contained flats with media rooms, 3 x 1-bedroom one person self-contained flats with associated refuse and cycle storage."/>
    <s v="PF"/>
    <d v="2020-10-13T00:00:00"/>
    <d v="2021-03-01T00:00:00"/>
    <x v="0"/>
    <s v="Nil"/>
    <m/>
    <s v="BF"/>
    <s v="NB"/>
    <x v="2"/>
    <x v="1"/>
    <n v="0.02"/>
    <d v="2022-07-11T00:00:00"/>
    <x v="1"/>
    <m/>
    <x v="2"/>
    <s v="M"/>
    <s v=""/>
    <m/>
    <n v="0"/>
    <m/>
    <n v="0"/>
    <m/>
    <n v="0"/>
    <n v="3"/>
    <n v="0"/>
    <n v="2"/>
    <n v="-1"/>
    <n v="0"/>
    <n v="0"/>
    <n v="0"/>
    <n v="3"/>
    <n v="0"/>
    <n v="2"/>
    <n v="0"/>
    <n v="0"/>
    <n v="0"/>
    <n v="0"/>
    <n v="0"/>
    <n v="0"/>
    <n v="0"/>
    <n v="-1"/>
    <n v="0"/>
    <n v="0"/>
    <n v="0"/>
    <n v="0"/>
    <n v="0"/>
    <n v="0"/>
    <n v="0"/>
    <n v="0"/>
    <n v="0"/>
    <x v="0"/>
    <x v="0"/>
    <x v="1"/>
    <n v="3"/>
    <m/>
    <n v="4"/>
    <m/>
    <m/>
    <m/>
    <m/>
    <m/>
    <m/>
    <m/>
    <m/>
    <m/>
    <m/>
    <m/>
    <m/>
    <m/>
    <m/>
    <m/>
    <m/>
    <m/>
    <m/>
    <n v="4"/>
    <n v="4"/>
  </r>
  <r>
    <n v="7679"/>
    <x v="2"/>
    <s v="2022/0538"/>
    <s v="82-84 Mitcham Lane"/>
    <s v=""/>
    <n v="529371"/>
    <n v="171218"/>
    <x v="13"/>
    <d v="2022-11-04T00:00:00"/>
    <m/>
    <n v="0"/>
    <n v="8"/>
    <n v="8"/>
    <n v="8"/>
    <n v="8"/>
    <x v="1"/>
    <s v="Erection of four-storey side and rear extensions, conversion of rear part of ground floor to residential with retention of front part as commercial (Class E) use in connection with conversion of building into 8 residential units 1 x 3 bedroom, 6 x 2 bedroom and 1 x 1-bedroom units with associated bin and bike storage and landscaping."/>
    <s v="PF"/>
    <d v="2022-03-07T00:00:00"/>
    <d v="2022-06-30T00:00:00"/>
    <x v="1"/>
    <s v="Nil"/>
    <m/>
    <s v="BF"/>
    <s v="MIX"/>
    <x v="2"/>
    <x v="4"/>
    <n v="1.7649999999999999E-2"/>
    <d v="2022-11-04T00:00:00"/>
    <x v="1"/>
    <m/>
    <x v="2"/>
    <s v="M"/>
    <s v=""/>
    <m/>
    <n v="0"/>
    <m/>
    <n v="0"/>
    <m/>
    <n v="0"/>
    <n v="1"/>
    <n v="6"/>
    <n v="1"/>
    <n v="0"/>
    <n v="0"/>
    <n v="0"/>
    <n v="0"/>
    <n v="1"/>
    <n v="6"/>
    <n v="1"/>
    <n v="0"/>
    <n v="0"/>
    <n v="0"/>
    <n v="0"/>
    <n v="0"/>
    <n v="0"/>
    <n v="0"/>
    <n v="0"/>
    <n v="0"/>
    <n v="0"/>
    <n v="0"/>
    <n v="0"/>
    <n v="0"/>
    <n v="0"/>
    <n v="0"/>
    <n v="0"/>
    <n v="0"/>
    <x v="0"/>
    <x v="0"/>
    <x v="1"/>
    <n v="14"/>
    <m/>
    <n v="4"/>
    <n v="4"/>
    <m/>
    <m/>
    <m/>
    <m/>
    <m/>
    <m/>
    <m/>
    <m/>
    <m/>
    <m/>
    <m/>
    <m/>
    <m/>
    <m/>
    <m/>
    <m/>
    <m/>
    <n v="8"/>
    <n v="8"/>
  </r>
  <r>
    <n v="6317"/>
    <x v="2"/>
    <s v="2018/3122"/>
    <s v="Garages rear of 21, Granard Avenue"/>
    <s v=""/>
    <n v="522879"/>
    <n v="174549"/>
    <x v="18"/>
    <d v="2021-09-13T00:00:00"/>
    <m/>
    <n v="0"/>
    <n v="4"/>
    <n v="4"/>
    <n v="4"/>
    <n v="4"/>
    <x v="1"/>
    <s v="Demolition of existing garages and construction of 4 x 2-bedroom houses ground and first floors with part basement."/>
    <s v="PF"/>
    <d v="2018-06-25T00:00:00"/>
    <d v="2018-10-23T00:00:00"/>
    <x v="0"/>
    <s v="Nil"/>
    <m/>
    <s v="BF"/>
    <s v="NB"/>
    <x v="2"/>
    <x v="1"/>
    <n v="5.6000000000000001E-2"/>
    <d v="2021-09-13T00:00:00"/>
    <x v="0"/>
    <m/>
    <x v="2"/>
    <s v="M"/>
    <s v=""/>
    <m/>
    <n v="0"/>
    <m/>
    <n v="0"/>
    <m/>
    <n v="0"/>
    <n v="0"/>
    <n v="4"/>
    <n v="0"/>
    <n v="0"/>
    <n v="0"/>
    <n v="0"/>
    <n v="0"/>
    <n v="0"/>
    <n v="0"/>
    <n v="0"/>
    <n v="0"/>
    <n v="0"/>
    <n v="0"/>
    <n v="0"/>
    <n v="0"/>
    <n v="4"/>
    <n v="0"/>
    <n v="0"/>
    <n v="0"/>
    <n v="0"/>
    <n v="0"/>
    <n v="0"/>
    <n v="0"/>
    <n v="0"/>
    <n v="0"/>
    <n v="0"/>
    <n v="0"/>
    <x v="0"/>
    <x v="0"/>
    <x v="1"/>
    <n v="3"/>
    <m/>
    <n v="4"/>
    <m/>
    <m/>
    <m/>
    <m/>
    <m/>
    <m/>
    <m/>
    <m/>
    <m/>
    <m/>
    <m/>
    <m/>
    <m/>
    <m/>
    <m/>
    <m/>
    <m/>
    <m/>
    <n v="4"/>
    <n v="4"/>
  </r>
  <r>
    <n v="2154"/>
    <x v="2"/>
    <s v="2014/1622"/>
    <s v="Mission Church development site, 22-24 Kellino Street (Tooting Boys' Club)"/>
    <s v=""/>
    <n v="527691"/>
    <n v="171695"/>
    <x v="9"/>
    <d v="2017-09-11T00:00:00"/>
    <m/>
    <n v="0"/>
    <n v="4"/>
    <n v="4"/>
    <n v="4"/>
    <n v="4"/>
    <x v="1"/>
    <s v="Change of use of the existing building from former community building (Class D1) to create four self-contained residential units comprising internal and external alterations (including terraces) and extensions."/>
    <s v="PF"/>
    <d v="2014-05-06T00:00:00"/>
    <d v="2014-07-18T00:00:00"/>
    <x v="0"/>
    <s v="Nil"/>
    <m/>
    <s v="BF"/>
    <s v="MIX"/>
    <x v="2"/>
    <x v="1"/>
    <n v="1.9E-2"/>
    <d v="2017-09-11T00:00:00"/>
    <x v="0"/>
    <m/>
    <x v="2"/>
    <s v="M"/>
    <s v=""/>
    <m/>
    <n v="0"/>
    <m/>
    <n v="0"/>
    <m/>
    <n v="0"/>
    <n v="0"/>
    <n v="2"/>
    <n v="2"/>
    <n v="0"/>
    <n v="0"/>
    <n v="0"/>
    <n v="0"/>
    <n v="0"/>
    <n v="2"/>
    <n v="2"/>
    <n v="0"/>
    <n v="0"/>
    <n v="0"/>
    <n v="0"/>
    <n v="0"/>
    <n v="0"/>
    <n v="0"/>
    <n v="0"/>
    <n v="0"/>
    <n v="0"/>
    <n v="0"/>
    <n v="0"/>
    <n v="0"/>
    <n v="0"/>
    <n v="0"/>
    <n v="0"/>
    <n v="0"/>
    <x v="0"/>
    <x v="0"/>
    <x v="3"/>
    <n v="13"/>
    <m/>
    <n v="4"/>
    <m/>
    <m/>
    <m/>
    <m/>
    <m/>
    <m/>
    <m/>
    <m/>
    <m/>
    <m/>
    <m/>
    <m/>
    <m/>
    <m/>
    <m/>
    <m/>
    <m/>
    <m/>
    <n v="4"/>
    <n v="4"/>
  </r>
  <r>
    <n v="1188"/>
    <x v="2"/>
    <s v="2019/0014"/>
    <s v="113 St Johns Hill"/>
    <s v=""/>
    <n v="526940"/>
    <n v="175148"/>
    <x v="6"/>
    <d v="2022-04-01T00:00:00"/>
    <m/>
    <n v="0"/>
    <n v="3"/>
    <n v="3"/>
    <n v="3"/>
    <n v="3"/>
    <x v="1"/>
    <s v="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
    <s v="PF"/>
    <d v="2019-01-03T00:00:00"/>
    <d v="2019-06-28T00:00:00"/>
    <x v="0"/>
    <s v="Nil"/>
    <m/>
    <s v="BF"/>
    <s v="MIX"/>
    <x v="2"/>
    <x v="1"/>
    <n v="7.0000000000000001E-3"/>
    <d v="2022-04-01T00:00:00"/>
    <x v="1"/>
    <m/>
    <x v="2"/>
    <s v="M"/>
    <s v=""/>
    <m/>
    <n v="0"/>
    <m/>
    <n v="0"/>
    <m/>
    <n v="0"/>
    <n v="0"/>
    <n v="3"/>
    <n v="0"/>
    <n v="0"/>
    <n v="0"/>
    <n v="0"/>
    <n v="0"/>
    <n v="0"/>
    <n v="3"/>
    <n v="0"/>
    <n v="0"/>
    <n v="0"/>
    <n v="0"/>
    <n v="0"/>
    <n v="0"/>
    <n v="0"/>
    <n v="0"/>
    <n v="0"/>
    <n v="0"/>
    <n v="0"/>
    <n v="0"/>
    <n v="0"/>
    <n v="0"/>
    <n v="0"/>
    <n v="0"/>
    <n v="0"/>
    <n v="0"/>
    <x v="0"/>
    <x v="0"/>
    <x v="1"/>
    <n v="13"/>
    <m/>
    <n v="3"/>
    <m/>
    <m/>
    <m/>
    <m/>
    <m/>
    <m/>
    <m/>
    <m/>
    <m/>
    <m/>
    <m/>
    <m/>
    <m/>
    <m/>
    <m/>
    <m/>
    <m/>
    <m/>
    <n v="3"/>
    <n v="3"/>
  </r>
  <r>
    <n v="4260"/>
    <x v="2"/>
    <s v="2013/5264"/>
    <s v="155 Burntwood Lane"/>
    <s v=""/>
    <n v="526461"/>
    <n v="172543"/>
    <x v="10"/>
    <d v="2018-03-31T00:00:00"/>
    <m/>
    <n v="0"/>
    <n v="3"/>
    <n v="3"/>
    <n v="3"/>
    <n v="3"/>
    <x v="1"/>
    <s v="Demolition of rear addition and alterations including erection of part single part two-storey front, side, rear extensions to rear addition, alterations to front and side ground floor elevations and enclosure of front and side forecourt in connection with use as three flats."/>
    <s v="PF"/>
    <d v="2013-10-21T00:00:00"/>
    <d v="2013-10-21T00:00:00"/>
    <x v="0"/>
    <s v="Nil"/>
    <m/>
    <s v="BF"/>
    <s v="MIX"/>
    <x v="2"/>
    <x v="4"/>
    <n v="3.4000000000000002E-2"/>
    <d v="2018-03-31T00:00:00"/>
    <x v="0"/>
    <m/>
    <x v="2"/>
    <s v="M"/>
    <s v=""/>
    <m/>
    <n v="0"/>
    <m/>
    <n v="0"/>
    <m/>
    <n v="0"/>
    <n v="0"/>
    <n v="2"/>
    <n v="1"/>
    <n v="0"/>
    <n v="0"/>
    <n v="0"/>
    <n v="0"/>
    <n v="0"/>
    <n v="2"/>
    <n v="1"/>
    <n v="0"/>
    <n v="0"/>
    <n v="0"/>
    <n v="0"/>
    <n v="0"/>
    <n v="0"/>
    <n v="0"/>
    <n v="0"/>
    <n v="0"/>
    <n v="0"/>
    <n v="0"/>
    <n v="0"/>
    <n v="0"/>
    <n v="0"/>
    <n v="0"/>
    <n v="0"/>
    <n v="0"/>
    <x v="0"/>
    <x v="0"/>
    <x v="1"/>
    <n v="13"/>
    <m/>
    <n v="3"/>
    <m/>
    <m/>
    <m/>
    <m/>
    <m/>
    <m/>
    <m/>
    <m/>
    <m/>
    <m/>
    <m/>
    <m/>
    <m/>
    <m/>
    <m/>
    <m/>
    <m/>
    <m/>
    <n v="3"/>
    <n v="3"/>
  </r>
  <r>
    <n v="7781"/>
    <x v="2"/>
    <s v="2021/4551"/>
    <s v="178 Lavender Hill"/>
    <s v=""/>
    <n v="527713"/>
    <n v="175549"/>
    <x v="1"/>
    <d v="2022-04-01T00:00:00"/>
    <m/>
    <n v="1"/>
    <n v="4"/>
    <n v="3"/>
    <n v="4"/>
    <n v="3"/>
    <x v="1"/>
    <s v="Alterations including erection of a dormer extension to side and rear roof; two-storey extension above two-storey back addition and part-single/part-two-storey rear extension to back-addition; Formation of a roof terraces/balconies at first, second, third and fourth floors; Partial change of use of basement and ground floor from commercial use class E to residential use class C3 in connection with the creation of 2 x 1 bedroom and 2 x 2 bedroom flats."/>
    <s v="PF"/>
    <d v="2021-10-25T00:00:00"/>
    <d v="2022-03-03T00:00:00"/>
    <x v="0"/>
    <s v="Nil"/>
    <m/>
    <s v="BF"/>
    <s v="MIX"/>
    <x v="2"/>
    <x v="9"/>
    <n v="5.3499999999999997E-3"/>
    <d v="2022-04-01T00:00:00"/>
    <x v="1"/>
    <m/>
    <x v="2"/>
    <s v="M"/>
    <s v=""/>
    <m/>
    <n v="0"/>
    <m/>
    <n v="0"/>
    <m/>
    <n v="0"/>
    <n v="2"/>
    <n v="2"/>
    <n v="0"/>
    <n v="0"/>
    <n v="-1"/>
    <n v="0"/>
    <n v="0"/>
    <n v="2"/>
    <n v="2"/>
    <n v="0"/>
    <n v="0"/>
    <n v="-1"/>
    <n v="0"/>
    <n v="0"/>
    <n v="0"/>
    <n v="0"/>
    <n v="0"/>
    <n v="0"/>
    <n v="0"/>
    <n v="0"/>
    <n v="0"/>
    <n v="0"/>
    <n v="0"/>
    <n v="0"/>
    <n v="0"/>
    <n v="0"/>
    <n v="0"/>
    <x v="5"/>
    <x v="0"/>
    <x v="5"/>
    <n v="13"/>
    <m/>
    <n v="3"/>
    <m/>
    <m/>
    <m/>
    <m/>
    <m/>
    <m/>
    <m/>
    <m/>
    <m/>
    <m/>
    <m/>
    <m/>
    <m/>
    <m/>
    <m/>
    <m/>
    <m/>
    <m/>
    <n v="3"/>
    <n v="3"/>
  </r>
  <r>
    <n v="4693"/>
    <x v="2"/>
    <s v="2020/4959"/>
    <s v="22 Upper Richmond Road"/>
    <s v=""/>
    <n v="524887"/>
    <n v="174632"/>
    <x v="7"/>
    <d v="2022-04-01T00:00:00"/>
    <m/>
    <n v="0"/>
    <n v="3"/>
    <n v="3"/>
    <n v="3"/>
    <n v="3"/>
    <x v="1"/>
    <s v="Alterations including erection of part single, part three-storey rear/side extension in connection with the creation of 1 x 1 bedroom flat and 2 x studio flats. Creation of roof-terrace at second floor level."/>
    <s v="PF"/>
    <d v="2020-12-21T00:00:00"/>
    <d v="2021-03-09T00:00:00"/>
    <x v="0"/>
    <s v="Nil"/>
    <m/>
    <s v="BF"/>
    <s v="MIX"/>
    <x v="2"/>
    <x v="1"/>
    <n v="5.0000000000000001E-3"/>
    <d v="2022-04-01T00:00:00"/>
    <x v="1"/>
    <m/>
    <x v="2"/>
    <s v="M"/>
    <s v=""/>
    <m/>
    <n v="0"/>
    <m/>
    <n v="0"/>
    <m/>
    <n v="2"/>
    <n v="1"/>
    <n v="0"/>
    <n v="0"/>
    <n v="0"/>
    <n v="0"/>
    <n v="0"/>
    <n v="2"/>
    <n v="1"/>
    <n v="0"/>
    <n v="0"/>
    <n v="0"/>
    <n v="0"/>
    <n v="0"/>
    <n v="0"/>
    <n v="0"/>
    <n v="0"/>
    <n v="0"/>
    <n v="0"/>
    <n v="0"/>
    <n v="0"/>
    <n v="0"/>
    <n v="0"/>
    <n v="0"/>
    <n v="0"/>
    <n v="0"/>
    <n v="0"/>
    <n v="0"/>
    <x v="0"/>
    <x v="0"/>
    <x v="1"/>
    <n v="13"/>
    <m/>
    <n v="3"/>
    <m/>
    <m/>
    <m/>
    <m/>
    <m/>
    <m/>
    <m/>
    <m/>
    <m/>
    <m/>
    <m/>
    <m/>
    <m/>
    <m/>
    <m/>
    <m/>
    <m/>
    <m/>
    <n v="3"/>
    <n v="3"/>
  </r>
  <r>
    <n v="6767"/>
    <x v="2"/>
    <s v="2021/2952"/>
    <s v="24 Bellevue Road"/>
    <s v=""/>
    <n v="527493"/>
    <n v="173327"/>
    <x v="4"/>
    <d v="2021-04-01T00:00:00"/>
    <m/>
    <n v="1"/>
    <n v="4"/>
    <n v="3"/>
    <n v="4"/>
    <n v="3"/>
    <x v="1"/>
    <s v="Excavation to create a basement including formation of front and rear lightwells, erection of dormer roof extensions to front and rear roof. Erection of part single/ part two-storey rear extension and single storey outbuilding  in connection with conversion of property to 2 x 3-bedroom, 1 x 2-bedroom and 1 x 1-bedroom flats with associated cycle and refuse storage."/>
    <s v="PF"/>
    <d v="2021-06-21T00:00:00"/>
    <d v="2022-07-01T00:00:00"/>
    <x v="1"/>
    <s v="Nil"/>
    <m/>
    <s v="BF"/>
    <s v="MIX"/>
    <x v="2"/>
    <x v="2"/>
    <n v="7.0000000000000001E-3"/>
    <d v="2021-04-01T00:00:00"/>
    <x v="0"/>
    <m/>
    <x v="2"/>
    <s v="M"/>
    <s v=""/>
    <m/>
    <n v="0"/>
    <m/>
    <n v="0"/>
    <m/>
    <n v="0"/>
    <n v="1"/>
    <n v="1"/>
    <n v="2"/>
    <n v="-1"/>
    <n v="0"/>
    <n v="0"/>
    <n v="0"/>
    <n v="1"/>
    <n v="1"/>
    <n v="2"/>
    <n v="0"/>
    <n v="0"/>
    <n v="0"/>
    <n v="0"/>
    <n v="0"/>
    <n v="0"/>
    <n v="0"/>
    <n v="-1"/>
    <n v="0"/>
    <n v="0"/>
    <n v="0"/>
    <n v="0"/>
    <n v="0"/>
    <n v="0"/>
    <n v="0"/>
    <n v="0"/>
    <n v="0"/>
    <x v="0"/>
    <x v="0"/>
    <x v="1"/>
    <n v="13"/>
    <m/>
    <n v="3"/>
    <m/>
    <m/>
    <m/>
    <m/>
    <m/>
    <m/>
    <m/>
    <m/>
    <m/>
    <m/>
    <m/>
    <m/>
    <m/>
    <m/>
    <m/>
    <m/>
    <m/>
    <m/>
    <n v="3"/>
    <n v="3"/>
  </r>
  <r>
    <n v="7593"/>
    <x v="2"/>
    <s v="2021/4567"/>
    <s v="285-287 Putney Bridge Road"/>
    <s v=""/>
    <n v="524313"/>
    <n v="175351"/>
    <x v="0"/>
    <d v="2022-03-31T00:00:00"/>
    <m/>
    <n v="0"/>
    <n v="3"/>
    <n v="3"/>
    <n v="3"/>
    <n v="3"/>
    <x v="1"/>
    <s v="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
    <s v="PF"/>
    <d v="2021-10-05T00:00:00"/>
    <d v="2021-12-23T00:00:00"/>
    <x v="0"/>
    <s v="Nil"/>
    <m/>
    <s v="BF"/>
    <s v="MIX"/>
    <x v="2"/>
    <x v="4"/>
    <n v="2.8000000000000001E-2"/>
    <d v="2022-03-31T00:00:00"/>
    <x v="0"/>
    <m/>
    <x v="2"/>
    <s v="M"/>
    <s v=""/>
    <m/>
    <n v="0"/>
    <m/>
    <n v="0"/>
    <m/>
    <n v="0"/>
    <n v="0"/>
    <n v="2"/>
    <n v="1"/>
    <n v="0"/>
    <n v="0"/>
    <n v="0"/>
    <n v="0"/>
    <n v="0"/>
    <n v="2"/>
    <n v="1"/>
    <n v="0"/>
    <n v="0"/>
    <n v="0"/>
    <n v="0"/>
    <n v="0"/>
    <n v="0"/>
    <n v="0"/>
    <n v="0"/>
    <n v="0"/>
    <n v="0"/>
    <n v="0"/>
    <n v="0"/>
    <n v="0"/>
    <n v="0"/>
    <n v="0"/>
    <n v="0"/>
    <n v="0"/>
    <x v="0"/>
    <x v="0"/>
    <x v="1"/>
    <n v="13"/>
    <m/>
    <n v="3"/>
    <m/>
    <m/>
    <m/>
    <m/>
    <m/>
    <m/>
    <m/>
    <m/>
    <m/>
    <m/>
    <m/>
    <m/>
    <m/>
    <m/>
    <m/>
    <m/>
    <m/>
    <m/>
    <n v="3"/>
    <n v="3"/>
  </r>
  <r>
    <n v="6305"/>
    <x v="2"/>
    <s v="2020/4436"/>
    <s v="29 Roehampton Lane"/>
    <s v=""/>
    <n v="522122"/>
    <n v="175335"/>
    <x v="16"/>
    <d v="2022-06-01T00:00:00"/>
    <m/>
    <n v="1"/>
    <n v="4"/>
    <n v="3"/>
    <n v="4"/>
    <n v="3"/>
    <x v="1"/>
    <s v="Alterations including installation of side dormer and rear dormer (with french doors and safety railing) and excavation to create basement with front and rear lightwells with grille over in connection with creation of 4 flats with associated bin and cycle storage."/>
    <s v="PF"/>
    <d v="2020-11-19T00:00:00"/>
    <d v="2021-02-01T00:00:00"/>
    <x v="0"/>
    <s v="Nil"/>
    <m/>
    <s v="BF"/>
    <s v="CON"/>
    <x v="2"/>
    <x v="5"/>
    <n v="4.3999999999999997E-2"/>
    <d v="2022-06-01T00:00:00"/>
    <x v="1"/>
    <m/>
    <x v="2"/>
    <s v="M"/>
    <s v=""/>
    <m/>
    <n v="0"/>
    <m/>
    <n v="0"/>
    <m/>
    <n v="0"/>
    <n v="1"/>
    <n v="3"/>
    <n v="0"/>
    <n v="0"/>
    <n v="-1"/>
    <n v="0"/>
    <n v="0"/>
    <n v="1"/>
    <n v="3"/>
    <n v="0"/>
    <n v="0"/>
    <n v="0"/>
    <n v="0"/>
    <n v="0"/>
    <n v="0"/>
    <n v="0"/>
    <n v="0"/>
    <n v="0"/>
    <n v="-1"/>
    <n v="0"/>
    <n v="0"/>
    <n v="0"/>
    <n v="0"/>
    <n v="0"/>
    <n v="0"/>
    <n v="0"/>
    <n v="0"/>
    <x v="0"/>
    <x v="0"/>
    <x v="1"/>
    <n v="13"/>
    <m/>
    <n v="3"/>
    <m/>
    <m/>
    <m/>
    <m/>
    <m/>
    <m/>
    <m/>
    <m/>
    <m/>
    <m/>
    <m/>
    <m/>
    <m/>
    <m/>
    <m/>
    <m/>
    <m/>
    <m/>
    <n v="3"/>
    <n v="3"/>
  </r>
  <r>
    <n v="7733"/>
    <x v="2"/>
    <s v="2021/5139"/>
    <s v="43-45 Northcote Road"/>
    <s v=""/>
    <n v="527503"/>
    <n v="174993"/>
    <x v="12"/>
    <d v="2022-04-01T00:00:00"/>
    <m/>
    <n v="2"/>
    <n v="5"/>
    <n v="3"/>
    <n v="5"/>
    <n v="3"/>
    <x v="1"/>
    <s v="Demolition of existing three storey building and erection of five storey building  to provide 5 residential units (1 x 1-bed, 3 x 2-bed and 1 x 3-bed units) and use of ground floor as Class E floorspace with associated access, cycle and refuse storage, private amenity space and plant enclosure to rear."/>
    <s v="PF"/>
    <d v="2021-11-09T00:00:00"/>
    <d v="2022-03-28T00:00:00"/>
    <x v="0"/>
    <s v="Nil"/>
    <m/>
    <s v="BF"/>
    <s v="NB"/>
    <x v="2"/>
    <x v="1"/>
    <n v="1.1730000000000001E-2"/>
    <d v="2022-04-01T00:00:00"/>
    <x v="1"/>
    <m/>
    <x v="2"/>
    <s v="M"/>
    <s v=""/>
    <m/>
    <n v="0"/>
    <m/>
    <n v="0"/>
    <m/>
    <n v="0"/>
    <n v="1"/>
    <n v="3"/>
    <n v="-1"/>
    <n v="0"/>
    <n v="0"/>
    <n v="0"/>
    <n v="0"/>
    <n v="1"/>
    <n v="3"/>
    <n v="-1"/>
    <n v="0"/>
    <n v="0"/>
    <n v="0"/>
    <n v="0"/>
    <n v="0"/>
    <n v="0"/>
    <n v="0"/>
    <n v="0"/>
    <n v="0"/>
    <n v="0"/>
    <n v="0"/>
    <n v="0"/>
    <n v="0"/>
    <n v="0"/>
    <n v="0"/>
    <n v="0"/>
    <n v="0"/>
    <x v="5"/>
    <x v="0"/>
    <x v="5"/>
    <n v="3"/>
    <m/>
    <n v="3"/>
    <m/>
    <m/>
    <m/>
    <m/>
    <m/>
    <m/>
    <m/>
    <m/>
    <m/>
    <m/>
    <m/>
    <m/>
    <m/>
    <m/>
    <m/>
    <m/>
    <m/>
    <m/>
    <n v="3"/>
    <n v="3"/>
  </r>
  <r>
    <n v="7291"/>
    <x v="2"/>
    <s v="2020/5053"/>
    <s v="Bank House, 250 Wimbledon Park Road"/>
    <s v=""/>
    <n v="524705"/>
    <n v="173268"/>
    <x v="19"/>
    <d v="2022-07-01T00:00:00"/>
    <m/>
    <n v="0"/>
    <n v="3"/>
    <n v="3"/>
    <n v="3"/>
    <n v="3"/>
    <x v="1"/>
    <s v="Alterations including erection of two storey rear and side extensions at the rear and side (plus roof), and alterations at second floor level fronting Augustus Road in connection with change of use of part of the first and second floors from office (Class E) to 3 x 1-bedroom flats (Class C3) with associated cycle and refuse storage"/>
    <s v="PF"/>
    <d v="2020-12-24T00:00:00"/>
    <d v="2021-03-15T00:00:00"/>
    <x v="0"/>
    <s v="Nil"/>
    <m/>
    <s v="BF"/>
    <s v="MIX"/>
    <x v="2"/>
    <x v="2"/>
    <n v="7.0000000000000001E-3"/>
    <d v="2022-07-01T00:00:00"/>
    <x v="1"/>
    <m/>
    <x v="2"/>
    <s v="M"/>
    <s v=""/>
    <m/>
    <n v="0"/>
    <m/>
    <n v="0"/>
    <m/>
    <n v="0"/>
    <n v="3"/>
    <n v="0"/>
    <n v="0"/>
    <n v="0"/>
    <n v="0"/>
    <n v="0"/>
    <n v="0"/>
    <n v="3"/>
    <n v="0"/>
    <n v="0"/>
    <n v="0"/>
    <n v="0"/>
    <n v="0"/>
    <n v="0"/>
    <n v="0"/>
    <n v="0"/>
    <n v="0"/>
    <n v="0"/>
    <n v="0"/>
    <n v="0"/>
    <n v="0"/>
    <n v="0"/>
    <n v="0"/>
    <n v="0"/>
    <n v="0"/>
    <n v="0"/>
    <n v="0"/>
    <x v="0"/>
    <x v="0"/>
    <x v="1"/>
    <n v="13"/>
    <m/>
    <n v="3"/>
    <m/>
    <m/>
    <m/>
    <m/>
    <m/>
    <m/>
    <m/>
    <m/>
    <m/>
    <m/>
    <m/>
    <m/>
    <m/>
    <m/>
    <m/>
    <m/>
    <m/>
    <m/>
    <n v="3"/>
    <n v="3"/>
  </r>
  <r>
    <n v="7488"/>
    <x v="2"/>
    <s v="2020/4252"/>
    <s v="121 Earlsfield Road"/>
    <s v=""/>
    <n v="526356"/>
    <n v="173676"/>
    <x v="11"/>
    <d v="2021-04-20T00:00:00"/>
    <m/>
    <n v="0"/>
    <n v="2"/>
    <n v="2"/>
    <n v="4"/>
    <n v="3"/>
    <x v="1"/>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x v="0"/>
    <s v="Nil"/>
    <m/>
    <s v="BF"/>
    <s v="CON"/>
    <x v="2"/>
    <x v="2"/>
    <n v="1.6E-2"/>
    <d v="2021-04-20T00:00:00"/>
    <x v="0"/>
    <m/>
    <x v="2"/>
    <s v="M"/>
    <s v=""/>
    <m/>
    <n v="0"/>
    <m/>
    <n v="0"/>
    <m/>
    <n v="0"/>
    <n v="1"/>
    <n v="0"/>
    <n v="1"/>
    <n v="0"/>
    <n v="0"/>
    <n v="0"/>
    <n v="0"/>
    <n v="1"/>
    <n v="0"/>
    <n v="1"/>
    <n v="0"/>
    <n v="0"/>
    <n v="0"/>
    <n v="0"/>
    <n v="0"/>
    <n v="0"/>
    <n v="0"/>
    <n v="0"/>
    <n v="0"/>
    <n v="0"/>
    <n v="0"/>
    <n v="0"/>
    <n v="0"/>
    <n v="0"/>
    <n v="0"/>
    <n v="0"/>
    <n v="0"/>
    <x v="0"/>
    <x v="0"/>
    <x v="1"/>
    <n v="13"/>
    <m/>
    <n v="2"/>
    <m/>
    <m/>
    <m/>
    <m/>
    <m/>
    <m/>
    <m/>
    <m/>
    <m/>
    <m/>
    <m/>
    <m/>
    <m/>
    <m/>
    <m/>
    <m/>
    <m/>
    <m/>
    <n v="2"/>
    <n v="2"/>
  </r>
  <r>
    <n v="6490"/>
    <x v="2"/>
    <s v="2019/3275"/>
    <s v="153-159 Putney High Street"/>
    <s v=""/>
    <n v="523997"/>
    <n v="175115"/>
    <x v="0"/>
    <d v="2021-03-08T00:00:00"/>
    <m/>
    <n v="0"/>
    <n v="2"/>
    <n v="2"/>
    <n v="9"/>
    <n v="9"/>
    <x v="1"/>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0"/>
    <s v="Nil"/>
    <m/>
    <s v="BF"/>
    <s v="MIX"/>
    <x v="2"/>
    <x v="6"/>
    <n v="3.0000000000000001E-3"/>
    <d v="2021-03-08T00:00:00"/>
    <x v="0"/>
    <m/>
    <x v="2"/>
    <s v="M"/>
    <s v=""/>
    <m/>
    <n v="0"/>
    <m/>
    <n v="0"/>
    <m/>
    <n v="0"/>
    <n v="2"/>
    <n v="0"/>
    <n v="0"/>
    <n v="0"/>
    <n v="0"/>
    <n v="0"/>
    <n v="0"/>
    <n v="2"/>
    <n v="0"/>
    <n v="0"/>
    <n v="0"/>
    <n v="0"/>
    <n v="0"/>
    <n v="0"/>
    <n v="0"/>
    <n v="0"/>
    <n v="0"/>
    <n v="0"/>
    <n v="0"/>
    <n v="0"/>
    <n v="0"/>
    <n v="0"/>
    <n v="0"/>
    <n v="0"/>
    <n v="0"/>
    <n v="0"/>
    <n v="0"/>
    <x v="4"/>
    <x v="0"/>
    <x v="4"/>
    <n v="12"/>
    <m/>
    <n v="2"/>
    <m/>
    <m/>
    <m/>
    <m/>
    <m/>
    <m/>
    <m/>
    <m/>
    <m/>
    <m/>
    <m/>
    <m/>
    <m/>
    <m/>
    <m/>
    <m/>
    <m/>
    <m/>
    <n v="2"/>
    <n v="2"/>
  </r>
  <r>
    <n v="7693"/>
    <x v="2"/>
    <s v="2021/5482"/>
    <s v="17 Haldon Road"/>
    <s v=""/>
    <n v="524931"/>
    <n v="174479"/>
    <x v="7"/>
    <d v="2022-03-31T00:00:00"/>
    <m/>
    <n v="1"/>
    <n v="3"/>
    <n v="2"/>
    <n v="3"/>
    <n v="2"/>
    <x v="1"/>
    <s v="Alterations including erection of hip to gable roof extension and rear mansard extension with rear dormer (with french doors and safety railings), erection of roof extension above part of two storey back addition, and single storey side and rear extension. Works in connection with conversion of dwellinghouse into 2 x 3-bedroom and 1 x 1-bedroom flats; refuse and cycle storage proposed for front garden."/>
    <s v="PF"/>
    <d v="2021-12-06T00:00:00"/>
    <d v="2022-01-31T00:00:00"/>
    <x v="0"/>
    <s v="Nil"/>
    <m/>
    <s v="BF"/>
    <s v="MIX"/>
    <x v="2"/>
    <x v="5"/>
    <n v="5.0000000000000001E-3"/>
    <d v="2022-03-31T00:00:00"/>
    <x v="0"/>
    <m/>
    <x v="2"/>
    <s v="M"/>
    <s v=""/>
    <m/>
    <n v="0"/>
    <m/>
    <n v="0"/>
    <m/>
    <n v="0"/>
    <n v="1"/>
    <n v="0"/>
    <n v="2"/>
    <n v="0"/>
    <n v="-1"/>
    <n v="0"/>
    <n v="0"/>
    <n v="1"/>
    <n v="0"/>
    <n v="2"/>
    <n v="0"/>
    <n v="0"/>
    <n v="0"/>
    <n v="0"/>
    <n v="0"/>
    <n v="0"/>
    <n v="0"/>
    <n v="0"/>
    <n v="-1"/>
    <n v="0"/>
    <n v="0"/>
    <n v="0"/>
    <n v="0"/>
    <n v="0"/>
    <n v="0"/>
    <n v="0"/>
    <n v="0"/>
    <x v="0"/>
    <x v="0"/>
    <x v="1"/>
    <n v="13"/>
    <m/>
    <n v="2"/>
    <m/>
    <m/>
    <m/>
    <m/>
    <m/>
    <m/>
    <m/>
    <m/>
    <m/>
    <m/>
    <m/>
    <m/>
    <m/>
    <m/>
    <m/>
    <m/>
    <m/>
    <m/>
    <n v="2"/>
    <n v="2"/>
  </r>
  <r>
    <n v="7100"/>
    <x v="2"/>
    <s v="2021/0208"/>
    <s v="190-194 St Anns Hill"/>
    <s v=""/>
    <n v="525939"/>
    <n v="174515"/>
    <x v="6"/>
    <d v="2020-12-10T00:00:00"/>
    <m/>
    <n v="0"/>
    <n v="2"/>
    <n v="2"/>
    <n v="22"/>
    <n v="22"/>
    <x v="0"/>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x v="0"/>
    <s v="Nil"/>
    <m/>
    <s v="BF"/>
    <s v="MIX"/>
    <x v="0"/>
    <x v="0"/>
    <n v="5.8999999999999999E-3"/>
    <d v="2020-12-10T00:00:00"/>
    <x v="0"/>
    <m/>
    <x v="0"/>
    <s v="ISL"/>
    <s v=""/>
    <m/>
    <n v="0"/>
    <m/>
    <n v="0"/>
    <m/>
    <n v="0"/>
    <n v="1"/>
    <n v="1"/>
    <n v="0"/>
    <n v="0"/>
    <n v="0"/>
    <n v="0"/>
    <n v="0"/>
    <n v="1"/>
    <n v="1"/>
    <n v="0"/>
    <n v="0"/>
    <n v="0"/>
    <n v="0"/>
    <n v="0"/>
    <n v="0"/>
    <n v="0"/>
    <n v="0"/>
    <n v="0"/>
    <n v="0"/>
    <n v="0"/>
    <n v="0"/>
    <n v="0"/>
    <n v="0"/>
    <n v="0"/>
    <n v="0"/>
    <n v="0"/>
    <n v="0"/>
    <x v="0"/>
    <x v="0"/>
    <x v="0"/>
    <n v="13"/>
    <m/>
    <n v="2"/>
    <m/>
    <m/>
    <m/>
    <m/>
    <m/>
    <m/>
    <m/>
    <m/>
    <m/>
    <m/>
    <m/>
    <m/>
    <m/>
    <m/>
    <m/>
    <m/>
    <m/>
    <m/>
    <n v="2"/>
    <n v="2"/>
  </r>
  <r>
    <n v="6032"/>
    <x v="2"/>
    <s v="2020/0614"/>
    <s v="259 Putney Bridge Road"/>
    <s v=""/>
    <n v="524386"/>
    <n v="175298"/>
    <x v="0"/>
    <d v="2021-01-12T00:00:00"/>
    <m/>
    <n v="0"/>
    <n v="2"/>
    <n v="2"/>
    <n v="4"/>
    <n v="3"/>
    <x v="1"/>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x v="0"/>
    <s v="Nil"/>
    <m/>
    <s v="BF"/>
    <s v="COU"/>
    <x v="2"/>
    <x v="4"/>
    <n v="5.0000000000000001E-3"/>
    <d v="2021-01-12T00:00:00"/>
    <x v="0"/>
    <m/>
    <x v="2"/>
    <s v="M"/>
    <s v=""/>
    <m/>
    <n v="0"/>
    <m/>
    <n v="0"/>
    <m/>
    <n v="1"/>
    <n v="1"/>
    <n v="0"/>
    <n v="0"/>
    <n v="0"/>
    <n v="0"/>
    <n v="0"/>
    <n v="1"/>
    <n v="1"/>
    <n v="0"/>
    <n v="0"/>
    <n v="0"/>
    <n v="0"/>
    <n v="0"/>
    <n v="0"/>
    <n v="0"/>
    <n v="0"/>
    <n v="0"/>
    <n v="0"/>
    <n v="0"/>
    <n v="0"/>
    <n v="0"/>
    <n v="0"/>
    <n v="0"/>
    <n v="0"/>
    <n v="0"/>
    <n v="0"/>
    <n v="0"/>
    <x v="0"/>
    <x v="0"/>
    <x v="1"/>
    <n v="13"/>
    <m/>
    <n v="2"/>
    <m/>
    <m/>
    <m/>
    <m/>
    <m/>
    <m/>
    <m/>
    <m/>
    <m/>
    <m/>
    <m/>
    <m/>
    <m/>
    <m/>
    <m/>
    <m/>
    <m/>
    <m/>
    <n v="2"/>
    <n v="2"/>
  </r>
  <r>
    <n v="5561"/>
    <x v="2"/>
    <s v="2018/0001"/>
    <s v="27 Sainfoin Road"/>
    <s v=""/>
    <n v="528467"/>
    <n v="172710"/>
    <x v="8"/>
    <d v="2021-02-08T00:00:00"/>
    <m/>
    <n v="1"/>
    <n v="3"/>
    <n v="2"/>
    <n v="3"/>
    <n v="2"/>
    <x v="1"/>
    <s v="Erection of mansard extension to main rear roof (with French doors and safety railings) and single storey rear/side extension, in connection with conversion of property into 1 x 3-bedroom and 2 x 2-bedroom flats."/>
    <s v="PF"/>
    <d v="2018-01-02T00:00:00"/>
    <d v="2018-02-27T00:00:00"/>
    <x v="0"/>
    <s v="Nil"/>
    <m/>
    <s v="BF"/>
    <s v="MIX"/>
    <x v="2"/>
    <x v="5"/>
    <n v="1.7000000000000001E-2"/>
    <d v="2021-02-08T00:00:00"/>
    <x v="0"/>
    <m/>
    <x v="2"/>
    <s v="M"/>
    <s v=""/>
    <m/>
    <n v="0"/>
    <m/>
    <n v="0"/>
    <m/>
    <n v="0"/>
    <n v="0"/>
    <n v="2"/>
    <n v="1"/>
    <n v="-1"/>
    <n v="0"/>
    <n v="0"/>
    <n v="0"/>
    <n v="0"/>
    <n v="2"/>
    <n v="1"/>
    <n v="0"/>
    <n v="0"/>
    <n v="0"/>
    <n v="0"/>
    <n v="0"/>
    <n v="0"/>
    <n v="0"/>
    <n v="-1"/>
    <n v="0"/>
    <n v="0"/>
    <n v="0"/>
    <n v="0"/>
    <n v="0"/>
    <n v="0"/>
    <n v="0"/>
    <n v="0"/>
    <n v="0"/>
    <x v="0"/>
    <x v="0"/>
    <x v="1"/>
    <n v="13"/>
    <m/>
    <n v="2"/>
    <m/>
    <m/>
    <m/>
    <m/>
    <m/>
    <m/>
    <m/>
    <m/>
    <m/>
    <m/>
    <m/>
    <m/>
    <m/>
    <m/>
    <m/>
    <m/>
    <m/>
    <m/>
    <n v="2"/>
    <n v="2"/>
  </r>
  <r>
    <n v="5377"/>
    <x v="2"/>
    <s v="2016/4349"/>
    <s v="28 Tooting Bec Road"/>
    <s v=""/>
    <n v="528146"/>
    <n v="172290"/>
    <x v="9"/>
    <d v="2018-03-31T00:00:00"/>
    <m/>
    <n v="1"/>
    <n v="3"/>
    <n v="2"/>
    <n v="3"/>
    <n v="2"/>
    <x v="1"/>
    <s v="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
    <s v="PF"/>
    <d v="2016-08-05T00:00:00"/>
    <d v="2016-10-24T00:00:00"/>
    <x v="0"/>
    <s v="Nil"/>
    <m/>
    <s v="BF"/>
    <s v="MIX"/>
    <x v="2"/>
    <x v="7"/>
    <n v="7.0000000000000001E-3"/>
    <d v="2018-03-31T00:00:00"/>
    <x v="0"/>
    <m/>
    <x v="2"/>
    <s v="M"/>
    <s v=""/>
    <m/>
    <n v="0"/>
    <m/>
    <n v="0"/>
    <m/>
    <n v="0"/>
    <n v="2"/>
    <n v="1"/>
    <n v="-1"/>
    <n v="0"/>
    <n v="0"/>
    <n v="0"/>
    <n v="0"/>
    <n v="2"/>
    <n v="1"/>
    <n v="-1"/>
    <n v="0"/>
    <n v="0"/>
    <n v="0"/>
    <n v="0"/>
    <n v="0"/>
    <n v="0"/>
    <n v="0"/>
    <n v="0"/>
    <n v="0"/>
    <n v="0"/>
    <n v="0"/>
    <n v="0"/>
    <n v="0"/>
    <n v="0"/>
    <n v="0"/>
    <n v="0"/>
    <n v="0"/>
    <x v="0"/>
    <x v="0"/>
    <x v="1"/>
    <n v="13"/>
    <m/>
    <n v="2"/>
    <m/>
    <m/>
    <m/>
    <m/>
    <m/>
    <m/>
    <m/>
    <m/>
    <m/>
    <m/>
    <m/>
    <m/>
    <m/>
    <m/>
    <m/>
    <m/>
    <m/>
    <m/>
    <n v="2"/>
    <n v="2"/>
  </r>
  <r>
    <n v="7276"/>
    <x v="2"/>
    <s v="2020/1405"/>
    <s v="46 Longley Road"/>
    <s v=""/>
    <n v="527309"/>
    <n v="170807"/>
    <x v="3"/>
    <d v="2023-02-22T00:00:00"/>
    <m/>
    <n v="1"/>
    <n v="5"/>
    <n v="4"/>
    <n v="5"/>
    <n v="4"/>
    <x v="1"/>
    <s v="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
    <s v="PF"/>
    <d v="2020-04-20T00:00:00"/>
    <d v="2020-08-14T00:00:00"/>
    <x v="0"/>
    <s v="Nil"/>
    <m/>
    <s v="BF"/>
    <s v="MIX"/>
    <x v="2"/>
    <x v="5"/>
    <n v="7.9000000000000001E-2"/>
    <d v="2023-02-22T00:00:00"/>
    <x v="1"/>
    <m/>
    <x v="2"/>
    <s v="M"/>
    <s v=""/>
    <m/>
    <n v="0"/>
    <m/>
    <n v="0"/>
    <m/>
    <n v="0"/>
    <n v="1"/>
    <n v="2"/>
    <n v="2"/>
    <n v="-1"/>
    <n v="0"/>
    <n v="0"/>
    <n v="0"/>
    <n v="1"/>
    <n v="2"/>
    <n v="2"/>
    <n v="0"/>
    <n v="0"/>
    <n v="0"/>
    <n v="0"/>
    <n v="0"/>
    <n v="0"/>
    <n v="0"/>
    <n v="-1"/>
    <n v="0"/>
    <n v="0"/>
    <n v="0"/>
    <n v="0"/>
    <n v="0"/>
    <n v="0"/>
    <n v="0"/>
    <n v="0"/>
    <n v="0"/>
    <x v="0"/>
    <x v="0"/>
    <x v="1"/>
    <n v="14"/>
    <m/>
    <n v="2"/>
    <n v="2"/>
    <m/>
    <m/>
    <m/>
    <m/>
    <m/>
    <m/>
    <m/>
    <m/>
    <m/>
    <m/>
    <m/>
    <m/>
    <m/>
    <m/>
    <m/>
    <m/>
    <m/>
    <n v="4"/>
    <n v="4"/>
  </r>
  <r>
    <n v="7360"/>
    <x v="2"/>
    <s v="2020/0040"/>
    <s v="521-525 Battersea Park Road"/>
    <s v=""/>
    <n v="527443"/>
    <n v="176347"/>
    <x v="5"/>
    <d v="2021-06-21T00:00:00"/>
    <m/>
    <n v="0"/>
    <n v="2"/>
    <n v="2"/>
    <n v="2"/>
    <n v="2"/>
    <x v="1"/>
    <s v="Alterations including erection of part three-storey rear extension at rear in connection with the creation of 2 x 1-bedroom flats; formation of roof terraces on first floor level with 2m high screen surround. Relocation of 2 x air-conditioning units to rear first floor level."/>
    <s v="PF"/>
    <d v="2020-02-28T00:00:00"/>
    <d v="2020-09-17T00:00:00"/>
    <x v="0"/>
    <s v="Nil"/>
    <m/>
    <s v="BF"/>
    <s v="MIX"/>
    <x v="2"/>
    <x v="2"/>
    <n v="1.2E-2"/>
    <d v="2021-06-21T00:00:00"/>
    <x v="0"/>
    <m/>
    <x v="2"/>
    <s v="M"/>
    <s v=""/>
    <m/>
    <n v="0"/>
    <m/>
    <n v="0"/>
    <m/>
    <n v="0"/>
    <n v="2"/>
    <n v="0"/>
    <n v="0"/>
    <n v="0"/>
    <n v="0"/>
    <n v="0"/>
    <n v="0"/>
    <n v="2"/>
    <n v="0"/>
    <n v="0"/>
    <n v="0"/>
    <n v="0"/>
    <n v="0"/>
    <n v="0"/>
    <n v="0"/>
    <n v="0"/>
    <n v="0"/>
    <n v="0"/>
    <n v="0"/>
    <n v="0"/>
    <n v="0"/>
    <n v="0"/>
    <n v="0"/>
    <n v="0"/>
    <n v="0"/>
    <n v="0"/>
    <n v="0"/>
    <x v="0"/>
    <x v="0"/>
    <x v="1"/>
    <n v="13"/>
    <m/>
    <n v="2"/>
    <m/>
    <m/>
    <m/>
    <m/>
    <m/>
    <m/>
    <m/>
    <m/>
    <m/>
    <m/>
    <m/>
    <m/>
    <m/>
    <m/>
    <m/>
    <m/>
    <m/>
    <m/>
    <n v="2"/>
    <n v="2"/>
  </r>
  <r>
    <n v="6812"/>
    <x v="2"/>
    <s v="2019/1043"/>
    <s v="61 Longfield Street"/>
    <s v=""/>
    <n v="525084"/>
    <n v="173575"/>
    <x v="20"/>
    <d v="2022-04-04T00:00:00"/>
    <m/>
    <n v="1"/>
    <n v="3"/>
    <n v="2"/>
    <n v="3"/>
    <n v="2"/>
    <x v="1"/>
    <s v="Demolition of existing dwelling house and erection of a three-storey (plus basement) building to provide 2 x 1-bedroom and 1 x 3-bedroom flats(Use Class C3) together with associated landscaping, cycle and refuse storage."/>
    <s v="PF"/>
    <d v="2019-03-21T00:00:00"/>
    <d v="2019-10-29T00:00:00"/>
    <x v="0"/>
    <s v="Nil"/>
    <m/>
    <s v="BF"/>
    <s v="NB"/>
    <x v="2"/>
    <x v="1"/>
    <n v="1.0999999999999999E-2"/>
    <d v="2022-04-04T00:00:00"/>
    <x v="1"/>
    <m/>
    <x v="2"/>
    <s v="M"/>
    <s v=""/>
    <m/>
    <n v="0"/>
    <m/>
    <n v="0"/>
    <m/>
    <n v="0"/>
    <n v="2"/>
    <n v="0"/>
    <n v="0"/>
    <n v="0"/>
    <n v="0"/>
    <n v="0"/>
    <n v="0"/>
    <n v="2"/>
    <n v="0"/>
    <n v="1"/>
    <n v="0"/>
    <n v="0"/>
    <n v="0"/>
    <n v="0"/>
    <n v="0"/>
    <n v="0"/>
    <n v="-1"/>
    <n v="0"/>
    <n v="0"/>
    <n v="0"/>
    <n v="0"/>
    <n v="0"/>
    <n v="0"/>
    <n v="0"/>
    <n v="0"/>
    <n v="0"/>
    <n v="0"/>
    <x v="0"/>
    <x v="0"/>
    <x v="1"/>
    <n v="3"/>
    <m/>
    <n v="2"/>
    <m/>
    <m/>
    <m/>
    <m/>
    <m/>
    <m/>
    <m/>
    <m/>
    <m/>
    <m/>
    <m/>
    <m/>
    <m/>
    <m/>
    <m/>
    <m/>
    <m/>
    <m/>
    <n v="2"/>
    <n v="2"/>
  </r>
  <r>
    <n v="6030"/>
    <x v="2"/>
    <s v="2017/1573"/>
    <s v="8 Akehurst Street"/>
    <s v=""/>
    <n v="522262"/>
    <n v="173980"/>
    <x v="16"/>
    <d v="2021-06-07T00:00:00"/>
    <m/>
    <n v="0"/>
    <n v="2"/>
    <n v="2"/>
    <n v="2"/>
    <n v="2"/>
    <x v="1"/>
    <s v="Erection of 2 x 5-bedroom three storey detached houses with associated landscaping, parking and cycle store."/>
    <s v="PF"/>
    <d v="2017-03-16T00:00:00"/>
    <d v="2018-06-27T00:00:00"/>
    <x v="0"/>
    <s v="Nil"/>
    <m/>
    <s v="BF"/>
    <s v="NB"/>
    <x v="2"/>
    <x v="1"/>
    <n v="6.8000000000000005E-2"/>
    <d v="2021-06-07T00:00:00"/>
    <x v="0"/>
    <m/>
    <x v="2"/>
    <s v="M"/>
    <s v=""/>
    <m/>
    <n v="0"/>
    <m/>
    <n v="0"/>
    <m/>
    <n v="0"/>
    <n v="0"/>
    <n v="0"/>
    <n v="0"/>
    <n v="0"/>
    <n v="2"/>
    <n v="0"/>
    <n v="0"/>
    <n v="0"/>
    <n v="0"/>
    <n v="0"/>
    <n v="0"/>
    <n v="0"/>
    <n v="0"/>
    <n v="0"/>
    <n v="0"/>
    <n v="0"/>
    <n v="0"/>
    <n v="0"/>
    <n v="2"/>
    <n v="0"/>
    <n v="0"/>
    <n v="0"/>
    <n v="0"/>
    <n v="0"/>
    <n v="0"/>
    <n v="0"/>
    <n v="0"/>
    <x v="0"/>
    <x v="0"/>
    <x v="1"/>
    <n v="3"/>
    <m/>
    <n v="2"/>
    <m/>
    <m/>
    <m/>
    <m/>
    <m/>
    <m/>
    <m/>
    <m/>
    <m/>
    <m/>
    <m/>
    <m/>
    <m/>
    <m/>
    <m/>
    <m/>
    <m/>
    <m/>
    <n v="2"/>
    <n v="2"/>
  </r>
  <r>
    <n v="6969"/>
    <x v="2"/>
    <s v="2018/2554"/>
    <s v="Vehicle Repair Workshop Rear of, 7-9 Aldis Street"/>
    <s v=""/>
    <n v="527156"/>
    <n v="171085"/>
    <x v="3"/>
    <d v="2022-04-01T00:00:00"/>
    <m/>
    <n v="0"/>
    <n v="2"/>
    <n v="2"/>
    <n v="2"/>
    <n v="2"/>
    <x v="1"/>
    <s v="Demolition of existing building and erection of two x 2-bedroom single storey houses with associated cycle and refuse storage."/>
    <s v="PF"/>
    <d v="2018-05-31T00:00:00"/>
    <d v="2018-09-03T00:00:00"/>
    <x v="0"/>
    <s v="Nil"/>
    <m/>
    <s v="BF"/>
    <s v="NB"/>
    <x v="2"/>
    <x v="1"/>
    <n v="2.8000000000000001E-2"/>
    <d v="2022-04-01T00:00:00"/>
    <x v="1"/>
    <m/>
    <x v="2"/>
    <s v="M"/>
    <s v=""/>
    <m/>
    <n v="0"/>
    <m/>
    <n v="0"/>
    <m/>
    <n v="0"/>
    <n v="0"/>
    <n v="2"/>
    <n v="0"/>
    <n v="0"/>
    <n v="0"/>
    <n v="0"/>
    <n v="0"/>
    <n v="0"/>
    <n v="0"/>
    <n v="0"/>
    <n v="0"/>
    <n v="0"/>
    <n v="0"/>
    <n v="0"/>
    <n v="0"/>
    <n v="2"/>
    <n v="0"/>
    <n v="0"/>
    <n v="0"/>
    <n v="0"/>
    <n v="0"/>
    <n v="0"/>
    <n v="0"/>
    <n v="0"/>
    <n v="0"/>
    <n v="0"/>
    <n v="0"/>
    <x v="0"/>
    <x v="0"/>
    <x v="3"/>
    <n v="3"/>
    <m/>
    <n v="2"/>
    <m/>
    <m/>
    <m/>
    <m/>
    <m/>
    <m/>
    <m/>
    <m/>
    <m/>
    <m/>
    <m/>
    <m/>
    <m/>
    <m/>
    <m/>
    <m/>
    <m/>
    <m/>
    <n v="2"/>
    <n v="2"/>
  </r>
  <r>
    <n v="6804"/>
    <x v="2"/>
    <s v="2021/2432"/>
    <s v="125 Lower Richmond Road"/>
    <s v=""/>
    <n v="523594"/>
    <n v="175801"/>
    <x v="0"/>
    <d v="2023-03-31T00:00:00"/>
    <m/>
    <n v="2"/>
    <n v="5"/>
    <n v="3"/>
    <n v="5"/>
    <n v="3"/>
    <x v="1"/>
    <s v="Alterations including erection of part single, part two storey side and rear extensions with roof terraces at first and second floor levels; roof extension to main rear roof with  access to thisrd floor level terrace;  excavation to extend basement including formation of side/rear lightwell;  in connection with conversion to 4 x 1-bedroom and 1 x 3-bedroom flats.  Installation of replacement shopfront and change of use of existing A1/B2 ground floor shop unit to Class E."/>
    <s v="PF"/>
    <d v="2021-06-21T00:00:00"/>
    <d v="2021-11-19T00:00:00"/>
    <x v="0"/>
    <s v="Nil"/>
    <m/>
    <s v="BF"/>
    <s v="MIX"/>
    <x v="2"/>
    <x v="3"/>
    <n v="6.8275000000000002E-3"/>
    <d v="2023-03-31T00:00:00"/>
    <x v="1"/>
    <m/>
    <x v="2"/>
    <s v="M"/>
    <s v=""/>
    <m/>
    <n v="0"/>
    <m/>
    <n v="0"/>
    <m/>
    <n v="0"/>
    <n v="2"/>
    <n v="0"/>
    <n v="1"/>
    <n v="0"/>
    <n v="0"/>
    <n v="0"/>
    <n v="0"/>
    <n v="2"/>
    <n v="0"/>
    <n v="1"/>
    <n v="0"/>
    <n v="0"/>
    <n v="0"/>
    <n v="0"/>
    <n v="0"/>
    <n v="0"/>
    <n v="0"/>
    <n v="0"/>
    <n v="0"/>
    <n v="0"/>
    <n v="0"/>
    <n v="0"/>
    <n v="0"/>
    <n v="0"/>
    <n v="0"/>
    <n v="0"/>
    <n v="0"/>
    <x v="0"/>
    <x v="0"/>
    <x v="1"/>
    <n v="14"/>
    <m/>
    <n v="1.5"/>
    <n v="1.5"/>
    <m/>
    <m/>
    <m/>
    <m/>
    <m/>
    <m/>
    <m/>
    <m/>
    <m/>
    <m/>
    <m/>
    <m/>
    <m/>
    <m/>
    <m/>
    <m/>
    <m/>
    <n v="3"/>
    <n v="3"/>
  </r>
  <r>
    <n v="7211"/>
    <x v="2"/>
    <s v="2020/3018"/>
    <s v="916 Garratt Lane"/>
    <s v=""/>
    <n v="527235"/>
    <n v="171597"/>
    <x v="3"/>
    <d v="2023-02-07T00:00:00"/>
    <m/>
    <n v="1"/>
    <n v="4"/>
    <n v="3"/>
    <n v="4"/>
    <n v="3"/>
    <x v="1"/>
    <s v="Demolition of building and erection of a two-storey building with basement to form 1 x 3 bedroom ground floor flat, 1 x 2 bedroom first floor flat, 2 x 1 bedroom second and third floor flats."/>
    <s v="PF"/>
    <d v="2020-10-22T00:00:00"/>
    <d v="2020-10-30T00:00:00"/>
    <x v="0"/>
    <s v="Nil"/>
    <m/>
    <s v="BF"/>
    <s v="NB"/>
    <x v="2"/>
    <x v="1"/>
    <n v="0.02"/>
    <d v="2023-02-07T00:00:00"/>
    <x v="1"/>
    <m/>
    <x v="2"/>
    <s v="M"/>
    <s v=""/>
    <m/>
    <n v="0"/>
    <m/>
    <n v="0"/>
    <m/>
    <n v="2"/>
    <n v="0"/>
    <n v="1"/>
    <n v="0"/>
    <n v="0"/>
    <n v="0"/>
    <n v="0"/>
    <n v="2"/>
    <n v="0"/>
    <n v="1"/>
    <n v="1"/>
    <n v="0"/>
    <n v="0"/>
    <n v="0"/>
    <n v="0"/>
    <n v="0"/>
    <n v="0"/>
    <n v="-1"/>
    <n v="0"/>
    <n v="0"/>
    <n v="0"/>
    <n v="0"/>
    <n v="0"/>
    <n v="0"/>
    <n v="0"/>
    <n v="0"/>
    <n v="0"/>
    <n v="0"/>
    <x v="0"/>
    <x v="0"/>
    <x v="3"/>
    <n v="4"/>
    <m/>
    <n v="1.5"/>
    <n v="1.5"/>
    <m/>
    <m/>
    <m/>
    <m/>
    <m/>
    <m/>
    <m/>
    <m/>
    <m/>
    <m/>
    <m/>
    <m/>
    <m/>
    <m/>
    <m/>
    <m/>
    <m/>
    <n v="3"/>
    <n v="3"/>
  </r>
  <r>
    <n v="7361"/>
    <x v="2"/>
    <s v="2021/1302"/>
    <s v="1 Podmore Road"/>
    <s v=""/>
    <n v="526027"/>
    <n v="175089"/>
    <x v="6"/>
    <d v="2022-07-15T00:00:00"/>
    <m/>
    <n v="0"/>
    <n v="1"/>
    <n v="1"/>
    <n v="1"/>
    <n v="1"/>
    <x v="1"/>
    <s v="Determination as to whether prior approval is required for change of use of office at ground floor level (Class E) to residential (Class C3) to provide 1 x 2-bedroom flat."/>
    <s v="PANR"/>
    <d v="2021-03-17T00:00:00"/>
    <d v="2021-05-11T00:00:00"/>
    <x v="0"/>
    <s v="Nil"/>
    <m/>
    <s v="BF"/>
    <s v="COU"/>
    <x v="2"/>
    <x v="6"/>
    <n v="6.0000000000000001E-3"/>
    <d v="2022-07-15T00:00:00"/>
    <x v="1"/>
    <m/>
    <x v="2"/>
    <s v="M"/>
    <s v=""/>
    <m/>
    <n v="0"/>
    <m/>
    <n v="0"/>
    <m/>
    <n v="0"/>
    <n v="0"/>
    <n v="1"/>
    <n v="0"/>
    <n v="0"/>
    <n v="0"/>
    <n v="0"/>
    <n v="0"/>
    <n v="0"/>
    <n v="1"/>
    <n v="0"/>
    <n v="0"/>
    <n v="0"/>
    <n v="0"/>
    <n v="0"/>
    <n v="0"/>
    <n v="0"/>
    <n v="0"/>
    <n v="0"/>
    <n v="0"/>
    <n v="0"/>
    <n v="0"/>
    <n v="0"/>
    <n v="0"/>
    <n v="0"/>
    <n v="0"/>
    <n v="0"/>
    <n v="0"/>
    <x v="0"/>
    <x v="0"/>
    <x v="0"/>
    <n v="13"/>
    <m/>
    <n v="1"/>
    <m/>
    <m/>
    <m/>
    <m/>
    <m/>
    <m/>
    <m/>
    <m/>
    <m/>
    <m/>
    <m/>
    <m/>
    <m/>
    <m/>
    <m/>
    <m/>
    <m/>
    <m/>
    <n v="1"/>
    <n v="1"/>
  </r>
  <r>
    <n v="7361"/>
    <x v="2"/>
    <s v="2021/4589"/>
    <s v="1 Podmore Road"/>
    <s v=""/>
    <n v="526027"/>
    <n v="175089"/>
    <x v="6"/>
    <d v="2022-07-15T00:00:00"/>
    <m/>
    <n v="1"/>
    <n v="2"/>
    <n v="1"/>
    <n v="2"/>
    <n v="1"/>
    <x v="1"/>
    <s v="Alterations including erection of front and rear roof extension to provide an additional floor of accommodation to create 1 x1 bedroom flat."/>
    <s v="PF"/>
    <d v="2021-10-06T00:00:00"/>
    <d v="2022-05-03T00:00:00"/>
    <x v="1"/>
    <s v="Nil"/>
    <m/>
    <s v="BF"/>
    <s v="EXT"/>
    <x v="2"/>
    <x v="2"/>
    <n v="3.0000000000000001E-3"/>
    <d v="2022-07-15T00:00:00"/>
    <x v="1"/>
    <m/>
    <x v="2"/>
    <s v="M"/>
    <s v=""/>
    <m/>
    <n v="0"/>
    <m/>
    <n v="0"/>
    <m/>
    <n v="0"/>
    <n v="1"/>
    <n v="0"/>
    <n v="0"/>
    <n v="0"/>
    <n v="0"/>
    <n v="0"/>
    <n v="0"/>
    <n v="1"/>
    <n v="0"/>
    <n v="0"/>
    <n v="0"/>
    <n v="0"/>
    <n v="0"/>
    <n v="0"/>
    <n v="0"/>
    <n v="0"/>
    <n v="0"/>
    <n v="0"/>
    <n v="0"/>
    <n v="0"/>
    <n v="0"/>
    <n v="0"/>
    <n v="0"/>
    <n v="0"/>
    <n v="0"/>
    <n v="0"/>
    <n v="0"/>
    <x v="0"/>
    <x v="0"/>
    <x v="0"/>
    <n v="13"/>
    <m/>
    <n v="1"/>
    <m/>
    <m/>
    <m/>
    <m/>
    <m/>
    <m/>
    <m/>
    <m/>
    <m/>
    <m/>
    <m/>
    <m/>
    <m/>
    <m/>
    <m/>
    <m/>
    <m/>
    <m/>
    <n v="1"/>
    <n v="1"/>
  </r>
  <r>
    <n v="4865"/>
    <x v="2"/>
    <s v="2016/5341"/>
    <s v="1 Withycombe Road"/>
    <s v=""/>
    <n v="523686"/>
    <n v="173656"/>
    <x v="19"/>
    <d v="2020-03-31T00:00:00"/>
    <m/>
    <n v="1"/>
    <n v="2"/>
    <n v="1"/>
    <n v="2"/>
    <n v="1"/>
    <x v="1"/>
    <s v="Demolition of existing house and erection of two, two-storey (plus basement) 3 -bedroom semi-detached houses including new boundary treatment."/>
    <s v="PF"/>
    <d v="2016-09-13T00:00:00"/>
    <d v="2016-11-08T00:00:00"/>
    <x v="0"/>
    <s v="Nil"/>
    <m/>
    <s v="BF"/>
    <s v="NB"/>
    <x v="2"/>
    <x v="1"/>
    <n v="2.4E-2"/>
    <d v="2020-03-31T00:00:00"/>
    <x v="0"/>
    <m/>
    <x v="2"/>
    <s v="M"/>
    <s v=""/>
    <m/>
    <n v="2"/>
    <m/>
    <n v="0"/>
    <m/>
    <n v="0"/>
    <n v="0"/>
    <n v="-1"/>
    <n v="2"/>
    <n v="0"/>
    <n v="0"/>
    <n v="0"/>
    <n v="0"/>
    <n v="0"/>
    <n v="0"/>
    <n v="0"/>
    <n v="0"/>
    <n v="0"/>
    <n v="0"/>
    <n v="0"/>
    <n v="0"/>
    <n v="-1"/>
    <n v="2"/>
    <n v="0"/>
    <n v="0"/>
    <n v="0"/>
    <n v="0"/>
    <n v="0"/>
    <n v="0"/>
    <n v="0"/>
    <n v="0"/>
    <n v="0"/>
    <n v="0"/>
    <x v="0"/>
    <x v="0"/>
    <x v="1"/>
    <n v="3"/>
    <m/>
    <n v="1"/>
    <m/>
    <m/>
    <m/>
    <m/>
    <m/>
    <m/>
    <m/>
    <m/>
    <m/>
    <m/>
    <m/>
    <m/>
    <m/>
    <m/>
    <m/>
    <m/>
    <m/>
    <m/>
    <n v="1"/>
    <n v="1"/>
  </r>
  <r>
    <n v="3571"/>
    <x v="2"/>
    <s v="2021/5565"/>
    <s v="12 Coverton Road"/>
    <s v=""/>
    <n v="527317"/>
    <n v="171389"/>
    <x v="3"/>
    <d v="2022-12-21T00:00:00"/>
    <m/>
    <n v="2"/>
    <n v="4"/>
    <n v="2"/>
    <n v="4"/>
    <n v="2"/>
    <x v="1"/>
    <s v="Alterations including erection of a mansard roof extension to main rear roof (with French doors and safety railings) including raising ridge by 200mm and extension above the two storey back addition; Erection of single storey rear/side extension; Formation of second floor rear roof terrace with 1.7m glazed surround; In connection with creation of 1 x 3-bedroom, 1 x 2-bedroom and 1 x 1-bedroom and 1 x studio flats, with associated refuse storage to front garden and associate cycle storage."/>
    <s v="PF"/>
    <d v="2021-12-09T00:00:00"/>
    <d v="2022-02-08T00:00:00"/>
    <x v="0"/>
    <s v="Nil"/>
    <m/>
    <s v="BF"/>
    <s v="EXT"/>
    <x v="2"/>
    <x v="2"/>
    <n v="0.01"/>
    <d v="2022-12-21T00:00:00"/>
    <x v="1"/>
    <m/>
    <x v="2"/>
    <s v="M"/>
    <s v=""/>
    <m/>
    <n v="0"/>
    <m/>
    <n v="0"/>
    <m/>
    <n v="1"/>
    <n v="1"/>
    <n v="0"/>
    <n v="0"/>
    <n v="0"/>
    <n v="0"/>
    <n v="0"/>
    <n v="1"/>
    <n v="1"/>
    <n v="0"/>
    <n v="0"/>
    <n v="0"/>
    <n v="0"/>
    <n v="0"/>
    <n v="0"/>
    <n v="0"/>
    <n v="0"/>
    <n v="0"/>
    <n v="0"/>
    <n v="0"/>
    <n v="0"/>
    <n v="0"/>
    <n v="0"/>
    <n v="0"/>
    <n v="0"/>
    <n v="0"/>
    <n v="0"/>
    <n v="0"/>
    <x v="0"/>
    <x v="0"/>
    <x v="3"/>
    <n v="14"/>
    <m/>
    <n v="1"/>
    <n v="1"/>
    <m/>
    <m/>
    <m/>
    <m/>
    <m/>
    <m/>
    <m/>
    <m/>
    <m/>
    <m/>
    <m/>
    <m/>
    <m/>
    <m/>
    <m/>
    <m/>
    <m/>
    <n v="2"/>
    <n v="2"/>
  </r>
  <r>
    <n v="7488"/>
    <x v="2"/>
    <s v="2020/4252"/>
    <s v="121 Earlsfield Road"/>
    <s v=""/>
    <n v="526356"/>
    <n v="173676"/>
    <x v="11"/>
    <d v="2021-04-20T00:00:00"/>
    <m/>
    <n v="1"/>
    <n v="2"/>
    <n v="1"/>
    <n v="4"/>
    <n v="3"/>
    <x v="1"/>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x v="0"/>
    <s v="Nil"/>
    <m/>
    <s v="BF"/>
    <s v="CON"/>
    <x v="2"/>
    <x v="5"/>
    <n v="1.6E-2"/>
    <d v="2021-04-20T00:00:00"/>
    <x v="0"/>
    <m/>
    <x v="2"/>
    <s v="M"/>
    <s v=""/>
    <m/>
    <n v="0"/>
    <m/>
    <n v="0"/>
    <m/>
    <n v="0"/>
    <n v="0"/>
    <n v="1"/>
    <n v="1"/>
    <n v="0"/>
    <n v="-1"/>
    <n v="0"/>
    <n v="0"/>
    <n v="0"/>
    <n v="1"/>
    <n v="1"/>
    <n v="0"/>
    <n v="0"/>
    <n v="0"/>
    <n v="0"/>
    <n v="0"/>
    <n v="0"/>
    <n v="0"/>
    <n v="0"/>
    <n v="-1"/>
    <n v="0"/>
    <n v="0"/>
    <n v="0"/>
    <n v="0"/>
    <n v="0"/>
    <n v="0"/>
    <n v="0"/>
    <n v="0"/>
    <x v="0"/>
    <x v="0"/>
    <x v="1"/>
    <n v="13"/>
    <m/>
    <n v="1"/>
    <m/>
    <m/>
    <m/>
    <m/>
    <m/>
    <m/>
    <m/>
    <m/>
    <m/>
    <m/>
    <m/>
    <m/>
    <m/>
    <m/>
    <m/>
    <m/>
    <m/>
    <m/>
    <n v="1"/>
    <n v="1"/>
  </r>
  <r>
    <n v="7006"/>
    <x v="2"/>
    <s v="2018/4022"/>
    <s v="13 Rookstone Road"/>
    <s v=""/>
    <n v="527643"/>
    <n v="171169"/>
    <x v="3"/>
    <d v="2021-09-01T00:00:00"/>
    <m/>
    <n v="1"/>
    <n v="2"/>
    <n v="1"/>
    <n v="2"/>
    <n v="1"/>
    <x v="1"/>
    <s v="Erection of mansard roof extension to main rear roof and extension above two-storey back addition; erection of single storey rear/side extension in connection with conversion of property from 2 x 2 bedroom flats to 1 x 2 bedroom and 2 x 1 bedroom flats."/>
    <s v="PF"/>
    <d v="2018-08-20T00:00:00"/>
    <d v="2018-10-15T00:00:00"/>
    <x v="0"/>
    <s v="Nil"/>
    <m/>
    <s v="BF"/>
    <s v="CON"/>
    <x v="2"/>
    <x v="7"/>
    <n v="8.0000000000000002E-3"/>
    <d v="2021-09-01T00:00:00"/>
    <x v="0"/>
    <m/>
    <x v="2"/>
    <s v="M"/>
    <s v=""/>
    <m/>
    <n v="0"/>
    <m/>
    <n v="0"/>
    <m/>
    <n v="0"/>
    <n v="0"/>
    <n v="1"/>
    <n v="0"/>
    <n v="0"/>
    <n v="0"/>
    <n v="0"/>
    <n v="0"/>
    <n v="0"/>
    <n v="1"/>
    <n v="0"/>
    <n v="0"/>
    <n v="0"/>
    <n v="0"/>
    <n v="0"/>
    <n v="0"/>
    <n v="0"/>
    <n v="0"/>
    <n v="0"/>
    <n v="0"/>
    <n v="0"/>
    <n v="0"/>
    <n v="0"/>
    <n v="0"/>
    <n v="0"/>
    <n v="0"/>
    <n v="0"/>
    <n v="0"/>
    <x v="0"/>
    <x v="0"/>
    <x v="3"/>
    <n v="13"/>
    <m/>
    <n v="1"/>
    <m/>
    <m/>
    <m/>
    <m/>
    <m/>
    <m/>
    <m/>
    <m/>
    <m/>
    <m/>
    <m/>
    <m/>
    <m/>
    <m/>
    <m/>
    <m/>
    <m/>
    <m/>
    <n v="1"/>
    <n v="1"/>
  </r>
  <r>
    <n v="6375"/>
    <x v="2"/>
    <s v="2016/4543"/>
    <s v="131 Lower Richmond Road"/>
    <s v=""/>
    <n v="523565"/>
    <n v="175816"/>
    <x v="0"/>
    <d v="2017-09-05T00:00:00"/>
    <m/>
    <n v="1"/>
    <n v="2"/>
    <n v="1"/>
    <n v="2"/>
    <n v="1"/>
    <x v="1"/>
    <s v="Proposed use of the first and second floors as two residential flats."/>
    <s v="LDC Prop"/>
    <d v="2016-08-01T00:00:00"/>
    <d v="2016-10-17T00:00:00"/>
    <x v="0"/>
    <s v="Nil"/>
    <m/>
    <s v="BF"/>
    <s v="COU"/>
    <x v="2"/>
    <x v="11"/>
    <n v="7.0000000000000001E-3"/>
    <d v="2017-09-05T00:00:00"/>
    <x v="0"/>
    <m/>
    <x v="2"/>
    <s v="M"/>
    <s v=""/>
    <m/>
    <n v="0"/>
    <m/>
    <n v="0"/>
    <m/>
    <n v="0"/>
    <n v="0"/>
    <n v="2"/>
    <n v="0"/>
    <n v="0"/>
    <n v="-1"/>
    <n v="0"/>
    <n v="0"/>
    <n v="0"/>
    <n v="2"/>
    <n v="0"/>
    <n v="0"/>
    <n v="-1"/>
    <n v="0"/>
    <n v="0"/>
    <n v="0"/>
    <n v="0"/>
    <n v="0"/>
    <n v="0"/>
    <n v="0"/>
    <n v="0"/>
    <n v="0"/>
    <n v="0"/>
    <n v="0"/>
    <n v="0"/>
    <n v="0"/>
    <n v="0"/>
    <n v="0"/>
    <x v="0"/>
    <x v="0"/>
    <x v="1"/>
    <n v="13"/>
    <m/>
    <n v="1"/>
    <m/>
    <m/>
    <m/>
    <m/>
    <m/>
    <m/>
    <m/>
    <m/>
    <m/>
    <m/>
    <m/>
    <m/>
    <m/>
    <m/>
    <m/>
    <m/>
    <m/>
    <m/>
    <n v="1"/>
    <n v="1"/>
  </r>
  <r>
    <n v="5514"/>
    <x v="2"/>
    <s v="2013/6430"/>
    <s v="15 Fernthorpe Road"/>
    <s v=""/>
    <n v="529246"/>
    <n v="170855"/>
    <x v="13"/>
    <d v="2017-04-01T00:00:00"/>
    <m/>
    <n v="0"/>
    <n v="1"/>
    <n v="1"/>
    <n v="1"/>
    <n v="1"/>
    <x v="1"/>
    <s v="Demolition of existing garage. Construction of three-storey side extension with rear roof extension and conversion into self contained two bedroomed dwelling. Installation of 6 solar panels to front roof slope."/>
    <s v="PF"/>
    <d v="2014-01-08T00:00:00"/>
    <d v="2015-04-13T00:00:00"/>
    <x v="0"/>
    <s v="Nil"/>
    <m/>
    <s v="BF"/>
    <s v="MIX"/>
    <x v="2"/>
    <x v="1"/>
    <n v="7.0000000000000001E-3"/>
    <d v="2017-04-01T00:00:00"/>
    <x v="0"/>
    <m/>
    <x v="2"/>
    <s v="M"/>
    <s v=""/>
    <m/>
    <n v="1"/>
    <m/>
    <n v="0"/>
    <m/>
    <n v="0"/>
    <n v="0"/>
    <n v="1"/>
    <n v="0"/>
    <n v="0"/>
    <n v="0"/>
    <n v="0"/>
    <n v="0"/>
    <n v="0"/>
    <n v="0"/>
    <n v="0"/>
    <n v="0"/>
    <n v="0"/>
    <n v="0"/>
    <n v="0"/>
    <n v="0"/>
    <n v="1"/>
    <n v="0"/>
    <n v="0"/>
    <n v="0"/>
    <n v="0"/>
    <n v="0"/>
    <n v="0"/>
    <n v="0"/>
    <n v="0"/>
    <n v="0"/>
    <n v="0"/>
    <n v="0"/>
    <x v="0"/>
    <x v="0"/>
    <x v="1"/>
    <n v="13"/>
    <m/>
    <n v="1"/>
    <m/>
    <m/>
    <m/>
    <m/>
    <m/>
    <m/>
    <m/>
    <m/>
    <m/>
    <m/>
    <m/>
    <m/>
    <m/>
    <m/>
    <m/>
    <m/>
    <m/>
    <m/>
    <n v="1"/>
    <n v="1"/>
  </r>
  <r>
    <n v="3695"/>
    <x v="2"/>
    <s v="2022/0863"/>
    <s v="157-159 Wandsworth High Street"/>
    <s v=""/>
    <n v="525409"/>
    <n v="174671"/>
    <x v="6"/>
    <d v="2022-09-15T00:00:00"/>
    <m/>
    <n v="0"/>
    <n v="1"/>
    <n v="1"/>
    <n v="1"/>
    <n v="1"/>
    <x v="1"/>
    <s v="Determination as to whether prior approval is required for change of use of office (Class E) at part of first floor level to a studio flat (Class C3)."/>
    <s v="PANR"/>
    <d v="2022-03-01T00:00:00"/>
    <d v="2022-04-25T00:00:00"/>
    <x v="1"/>
    <s v="Nil"/>
    <m/>
    <s v="BF"/>
    <s v="COU"/>
    <x v="2"/>
    <x v="6"/>
    <n v="2E-3"/>
    <d v="2022-09-15T00:00:00"/>
    <x v="1"/>
    <m/>
    <x v="2"/>
    <s v="M"/>
    <s v=""/>
    <m/>
    <n v="0"/>
    <m/>
    <n v="0"/>
    <m/>
    <n v="1"/>
    <n v="0"/>
    <n v="0"/>
    <n v="0"/>
    <n v="0"/>
    <n v="0"/>
    <n v="0"/>
    <n v="1"/>
    <n v="0"/>
    <n v="0"/>
    <n v="0"/>
    <n v="0"/>
    <n v="0"/>
    <n v="0"/>
    <n v="0"/>
    <n v="0"/>
    <n v="0"/>
    <n v="0"/>
    <n v="0"/>
    <n v="0"/>
    <n v="0"/>
    <n v="0"/>
    <n v="0"/>
    <n v="0"/>
    <n v="0"/>
    <n v="0"/>
    <n v="0"/>
    <n v="0"/>
    <x v="3"/>
    <x v="0"/>
    <x v="0"/>
    <n v="13"/>
    <m/>
    <n v="1"/>
    <m/>
    <m/>
    <m/>
    <m/>
    <m/>
    <m/>
    <m/>
    <m/>
    <m/>
    <m/>
    <m/>
    <m/>
    <m/>
    <m/>
    <m/>
    <m/>
    <m/>
    <m/>
    <n v="1"/>
    <n v="1"/>
  </r>
  <r>
    <n v="3695"/>
    <x v="2"/>
    <s v="2022/0867"/>
    <s v="157-159 Wandsworth High Street"/>
    <s v=""/>
    <n v="525409"/>
    <n v="174671"/>
    <x v="6"/>
    <d v="2022-09-15T00:00:00"/>
    <m/>
    <n v="0"/>
    <n v="1"/>
    <n v="1"/>
    <n v="1"/>
    <n v="1"/>
    <x v="1"/>
    <s v="Determination as to whether prior approval is required for change of use of part of first floor from Class E to 1 x 1-bedroom flat (Class C3)."/>
    <s v="PANR"/>
    <d v="2022-03-01T00:00:00"/>
    <d v="2022-04-25T00:00:00"/>
    <x v="1"/>
    <s v="Nil"/>
    <m/>
    <s v="BF"/>
    <s v="COU"/>
    <x v="2"/>
    <x v="6"/>
    <n v="3.0000000000000001E-3"/>
    <d v="2022-09-15T00:00:00"/>
    <x v="1"/>
    <m/>
    <x v="2"/>
    <s v="M"/>
    <s v=""/>
    <m/>
    <n v="0"/>
    <m/>
    <n v="0"/>
    <m/>
    <n v="0"/>
    <n v="1"/>
    <n v="0"/>
    <n v="0"/>
    <n v="0"/>
    <n v="0"/>
    <n v="0"/>
    <n v="0"/>
    <n v="1"/>
    <n v="0"/>
    <n v="0"/>
    <n v="0"/>
    <n v="0"/>
    <n v="0"/>
    <n v="0"/>
    <n v="0"/>
    <n v="0"/>
    <n v="0"/>
    <n v="0"/>
    <n v="0"/>
    <n v="0"/>
    <n v="0"/>
    <n v="0"/>
    <n v="0"/>
    <n v="0"/>
    <n v="0"/>
    <n v="0"/>
    <n v="0"/>
    <x v="3"/>
    <x v="0"/>
    <x v="0"/>
    <n v="13"/>
    <m/>
    <n v="1"/>
    <m/>
    <m/>
    <m/>
    <m/>
    <m/>
    <m/>
    <m/>
    <m/>
    <m/>
    <m/>
    <m/>
    <m/>
    <m/>
    <m/>
    <m/>
    <m/>
    <m/>
    <m/>
    <n v="1"/>
    <n v="1"/>
  </r>
  <r>
    <n v="5298"/>
    <x v="2"/>
    <s v="2016/4655"/>
    <s v="16 Roehampton Gate"/>
    <s v=""/>
    <n v="521254"/>
    <n v="174526"/>
    <x v="16"/>
    <d v="2019-11-11T00:00:00"/>
    <m/>
    <n v="0"/>
    <n v="1"/>
    <n v="1"/>
    <n v="1"/>
    <n v="1"/>
    <x v="1"/>
    <s v="Demolition of existing building and erection of a two-storey (plus basement and roof levels) house."/>
    <s v="PF"/>
    <d v="2016-08-08T00:00:00"/>
    <d v="2016-11-17T00:00:00"/>
    <x v="0"/>
    <s v="Nil"/>
    <m/>
    <s v="BF"/>
    <s v="NB"/>
    <x v="2"/>
    <x v="1"/>
    <n v="0.108"/>
    <d v="2019-11-11T00:00:00"/>
    <x v="0"/>
    <m/>
    <x v="2"/>
    <s v="M"/>
    <s v=""/>
    <m/>
    <n v="1"/>
    <m/>
    <n v="1"/>
    <m/>
    <n v="0"/>
    <n v="0"/>
    <n v="0"/>
    <n v="0"/>
    <n v="0"/>
    <n v="1"/>
    <n v="0"/>
    <n v="0"/>
    <n v="0"/>
    <n v="0"/>
    <n v="0"/>
    <n v="0"/>
    <n v="0"/>
    <n v="0"/>
    <n v="0"/>
    <n v="0"/>
    <n v="0"/>
    <n v="0"/>
    <n v="0"/>
    <n v="1"/>
    <n v="0"/>
    <n v="0"/>
    <n v="0"/>
    <n v="0"/>
    <n v="0"/>
    <n v="0"/>
    <n v="0"/>
    <n v="0"/>
    <x v="0"/>
    <x v="0"/>
    <x v="1"/>
    <n v="3"/>
    <m/>
    <n v="1"/>
    <m/>
    <m/>
    <m/>
    <m/>
    <m/>
    <m/>
    <m/>
    <m/>
    <m/>
    <m/>
    <m/>
    <m/>
    <m/>
    <m/>
    <m/>
    <m/>
    <m/>
    <m/>
    <n v="1"/>
    <n v="1"/>
  </r>
  <r>
    <n v="1882"/>
    <x v="2"/>
    <s v="2019/0799"/>
    <s v="175 Wandsworth High Street"/>
    <s v=""/>
    <n v="525371"/>
    <n v="174659"/>
    <x v="6"/>
    <d v="2018-04-01T00:00:00"/>
    <m/>
    <n v="0"/>
    <n v="1"/>
    <n v="1"/>
    <n v="1"/>
    <n v="1"/>
    <x v="1"/>
    <s v="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
    <s v="S73"/>
    <d v="2019-03-12T00:00:00"/>
    <d v="2019-05-15T00:00:00"/>
    <x v="0"/>
    <s v="Nil"/>
    <m/>
    <s v="BF"/>
    <s v="COU"/>
    <x v="2"/>
    <x v="3"/>
    <n v="5.0000000000000001E-3"/>
    <d v="2018-04-01T00:00:00"/>
    <x v="0"/>
    <m/>
    <x v="2"/>
    <s v="M"/>
    <s v=""/>
    <m/>
    <n v="0"/>
    <m/>
    <n v="0"/>
    <m/>
    <n v="0"/>
    <n v="1"/>
    <n v="0"/>
    <n v="0"/>
    <n v="0"/>
    <n v="0"/>
    <n v="0"/>
    <n v="0"/>
    <n v="1"/>
    <n v="0"/>
    <n v="0"/>
    <n v="0"/>
    <n v="0"/>
    <n v="0"/>
    <n v="0"/>
    <n v="0"/>
    <n v="0"/>
    <n v="0"/>
    <n v="0"/>
    <n v="0"/>
    <n v="0"/>
    <n v="0"/>
    <n v="0"/>
    <n v="0"/>
    <n v="0"/>
    <n v="0"/>
    <n v="0"/>
    <n v="0"/>
    <x v="3"/>
    <x v="0"/>
    <x v="0"/>
    <n v="13"/>
    <m/>
    <n v="1"/>
    <m/>
    <m/>
    <m/>
    <m/>
    <m/>
    <m/>
    <m/>
    <m/>
    <m/>
    <m/>
    <m/>
    <m/>
    <m/>
    <m/>
    <m/>
    <m/>
    <m/>
    <m/>
    <n v="1"/>
    <n v="1"/>
  </r>
  <r>
    <n v="6381"/>
    <x v="2"/>
    <s v="2021/3335"/>
    <s v="189b Balham High Road"/>
    <s v=""/>
    <n v="528420"/>
    <n v="173036"/>
    <x v="8"/>
    <d v="2022-07-31T00:00:00"/>
    <m/>
    <n v="0"/>
    <n v="1"/>
    <n v="1"/>
    <n v="1"/>
    <n v="1"/>
    <x v="1"/>
    <s v="Change of use from storage facility (Class B8) to a single family dwelling house (Class C3) including external alterations."/>
    <s v="PF"/>
    <d v="2021-08-25T00:00:00"/>
    <d v="2022-01-17T00:00:00"/>
    <x v="0"/>
    <s v="Nil"/>
    <m/>
    <s v="BF"/>
    <s v="COU"/>
    <x v="2"/>
    <x v="3"/>
    <n v="6.0000000000000001E-3"/>
    <d v="2022-07-31T00:00:00"/>
    <x v="1"/>
    <m/>
    <x v="2"/>
    <s v="M"/>
    <s v=""/>
    <m/>
    <n v="0"/>
    <m/>
    <n v="0"/>
    <m/>
    <n v="0"/>
    <n v="0"/>
    <n v="0"/>
    <n v="1"/>
    <n v="0"/>
    <n v="0"/>
    <n v="0"/>
    <n v="0"/>
    <n v="0"/>
    <n v="0"/>
    <n v="0"/>
    <n v="0"/>
    <n v="0"/>
    <n v="0"/>
    <n v="0"/>
    <n v="0"/>
    <n v="0"/>
    <n v="1"/>
    <n v="0"/>
    <n v="0"/>
    <n v="0"/>
    <n v="0"/>
    <n v="0"/>
    <n v="0"/>
    <n v="0"/>
    <n v="0"/>
    <n v="0"/>
    <n v="0"/>
    <x v="0"/>
    <x v="0"/>
    <x v="1"/>
    <n v="13"/>
    <m/>
    <n v="1"/>
    <m/>
    <m/>
    <m/>
    <m/>
    <m/>
    <m/>
    <m/>
    <m/>
    <m/>
    <m/>
    <m/>
    <m/>
    <m/>
    <m/>
    <m/>
    <m/>
    <m/>
    <m/>
    <n v="1"/>
    <n v="1"/>
  </r>
  <r>
    <n v="7027"/>
    <x v="2"/>
    <s v="2018/4665"/>
    <s v="190a Tooting High Street"/>
    <s v=""/>
    <n v="527173"/>
    <n v="171043"/>
    <x v="3"/>
    <d v="2021-04-01T00:00:00"/>
    <m/>
    <n v="0"/>
    <n v="1"/>
    <n v="1"/>
    <n v="1"/>
    <n v="1"/>
    <x v="1"/>
    <s v="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
    <s v="PF"/>
    <d v="2018-10-01T00:00:00"/>
    <d v="2019-01-23T00:00:00"/>
    <x v="0"/>
    <s v="Nil"/>
    <m/>
    <s v="BF"/>
    <s v="MIX"/>
    <x v="2"/>
    <x v="2"/>
    <n v="5.3E-3"/>
    <d v="2021-04-01T00:00:00"/>
    <x v="0"/>
    <m/>
    <x v="2"/>
    <s v="M"/>
    <s v=""/>
    <m/>
    <n v="0"/>
    <m/>
    <n v="0"/>
    <m/>
    <n v="0"/>
    <n v="1"/>
    <n v="0"/>
    <n v="0"/>
    <n v="0"/>
    <n v="0"/>
    <n v="0"/>
    <n v="0"/>
    <n v="1"/>
    <n v="0"/>
    <n v="0"/>
    <n v="0"/>
    <n v="0"/>
    <n v="0"/>
    <n v="0"/>
    <n v="0"/>
    <n v="0"/>
    <n v="0"/>
    <n v="0"/>
    <n v="0"/>
    <n v="0"/>
    <n v="0"/>
    <n v="0"/>
    <n v="0"/>
    <n v="0"/>
    <n v="0"/>
    <n v="0"/>
    <n v="0"/>
    <x v="0"/>
    <x v="0"/>
    <x v="3"/>
    <n v="13"/>
    <m/>
    <n v="1"/>
    <m/>
    <m/>
    <m/>
    <m/>
    <m/>
    <m/>
    <m/>
    <m/>
    <m/>
    <m/>
    <m/>
    <m/>
    <m/>
    <m/>
    <m/>
    <m/>
    <m/>
    <m/>
    <n v="1"/>
    <n v="1"/>
  </r>
  <r>
    <n v="4735"/>
    <x v="2"/>
    <s v="2019/2735"/>
    <s v="2 Penwortham Road"/>
    <s v=""/>
    <n v="529233"/>
    <n v="171130"/>
    <x v="13"/>
    <d v="2020-02-11T00:00:00"/>
    <m/>
    <n v="0"/>
    <n v="1"/>
    <n v="1"/>
    <n v="1"/>
    <n v="1"/>
    <x v="1"/>
    <s v="Alterations including excavation works in connection with change of use from Office/Business (Class A2) to residential (Class C3) to provide 1 x 1 bedroom unit with roof terrace."/>
    <s v="PF"/>
    <d v="2019-07-15T00:00:00"/>
    <d v="2019-08-19T00:00:00"/>
    <x v="0"/>
    <s v="Nil"/>
    <m/>
    <s v="BF"/>
    <s v="COU"/>
    <x v="2"/>
    <x v="6"/>
    <n v="2E-3"/>
    <d v="2020-02-11T00:00:00"/>
    <x v="0"/>
    <m/>
    <x v="2"/>
    <s v="M"/>
    <s v=""/>
    <m/>
    <n v="0"/>
    <m/>
    <n v="0"/>
    <m/>
    <n v="0"/>
    <n v="1"/>
    <n v="0"/>
    <n v="0"/>
    <n v="0"/>
    <n v="0"/>
    <n v="0"/>
    <n v="0"/>
    <n v="0"/>
    <n v="0"/>
    <n v="0"/>
    <n v="0"/>
    <n v="0"/>
    <n v="0"/>
    <n v="0"/>
    <n v="1"/>
    <n v="0"/>
    <n v="0"/>
    <n v="0"/>
    <n v="0"/>
    <n v="0"/>
    <n v="0"/>
    <n v="0"/>
    <n v="0"/>
    <n v="0"/>
    <n v="0"/>
    <n v="0"/>
    <n v="0"/>
    <x v="0"/>
    <x v="0"/>
    <x v="1"/>
    <n v="13"/>
    <m/>
    <n v="1"/>
    <m/>
    <m/>
    <m/>
    <m/>
    <m/>
    <m/>
    <m/>
    <m/>
    <m/>
    <m/>
    <m/>
    <m/>
    <m/>
    <m/>
    <m/>
    <m/>
    <m/>
    <m/>
    <n v="1"/>
    <n v="1"/>
  </r>
  <r>
    <n v="4084"/>
    <x v="2"/>
    <s v="2018/0195"/>
    <s v="22 Trinity Road"/>
    <s v=""/>
    <n v="527971"/>
    <n v="172408"/>
    <x v="4"/>
    <d v="2018-04-20T00:00:00"/>
    <m/>
    <n v="0"/>
    <n v="1"/>
    <n v="1"/>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2"/>
    <x v="1"/>
    <n v="3.0000000000000001E-3"/>
    <d v="2018-04-20T00:00:00"/>
    <x v="0"/>
    <m/>
    <x v="2"/>
    <s v="M"/>
    <s v=""/>
    <m/>
    <n v="0"/>
    <m/>
    <n v="0"/>
    <m/>
    <n v="1"/>
    <n v="0"/>
    <n v="0"/>
    <n v="0"/>
    <n v="0"/>
    <n v="0"/>
    <n v="0"/>
    <n v="1"/>
    <n v="0"/>
    <n v="0"/>
    <n v="0"/>
    <n v="0"/>
    <n v="0"/>
    <n v="0"/>
    <n v="0"/>
    <n v="0"/>
    <n v="0"/>
    <n v="0"/>
    <n v="0"/>
    <n v="0"/>
    <n v="0"/>
    <n v="0"/>
    <n v="0"/>
    <n v="0"/>
    <n v="0"/>
    <n v="0"/>
    <n v="0"/>
    <n v="0"/>
    <x v="0"/>
    <x v="0"/>
    <x v="1"/>
    <n v="13"/>
    <m/>
    <n v="1"/>
    <m/>
    <m/>
    <m/>
    <m/>
    <m/>
    <m/>
    <m/>
    <m/>
    <m/>
    <m/>
    <m/>
    <m/>
    <m/>
    <m/>
    <m/>
    <m/>
    <m/>
    <m/>
    <n v="1"/>
    <n v="1"/>
  </r>
  <r>
    <n v="4084"/>
    <x v="2"/>
    <s v="2018/0195"/>
    <s v="22 Trinity Road"/>
    <s v=""/>
    <n v="527971"/>
    <n v="172408"/>
    <x v="4"/>
    <d v="2018-04-20T00:00:00"/>
    <m/>
    <n v="0"/>
    <n v="1"/>
    <n v="1"/>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2"/>
    <x v="4"/>
    <n v="3.0000000000000001E-3"/>
    <d v="2018-04-20T00:00:00"/>
    <x v="0"/>
    <m/>
    <x v="2"/>
    <s v="M"/>
    <s v=""/>
    <m/>
    <n v="0"/>
    <m/>
    <n v="0"/>
    <n v="1"/>
    <n v="0"/>
    <n v="1"/>
    <n v="0"/>
    <n v="0"/>
    <n v="0"/>
    <n v="0"/>
    <n v="0"/>
    <n v="0"/>
    <n v="1"/>
    <n v="0"/>
    <n v="0"/>
    <n v="0"/>
    <n v="0"/>
    <n v="0"/>
    <n v="0"/>
    <n v="0"/>
    <n v="0"/>
    <n v="0"/>
    <n v="0"/>
    <n v="0"/>
    <n v="0"/>
    <n v="0"/>
    <n v="0"/>
    <n v="0"/>
    <n v="0"/>
    <n v="0"/>
    <n v="0"/>
    <n v="0"/>
    <x v="0"/>
    <x v="0"/>
    <x v="1"/>
    <n v="13"/>
    <m/>
    <n v="1"/>
    <m/>
    <m/>
    <m/>
    <m/>
    <m/>
    <m/>
    <m/>
    <m/>
    <m/>
    <m/>
    <m/>
    <m/>
    <m/>
    <m/>
    <m/>
    <m/>
    <m/>
    <m/>
    <n v="1"/>
    <n v="1"/>
  </r>
  <r>
    <n v="6032"/>
    <x v="2"/>
    <s v="2020/0614"/>
    <s v="259 Putney Bridge Road"/>
    <s v=""/>
    <n v="524386"/>
    <n v="175298"/>
    <x v="0"/>
    <d v="2021-01-12T00:00:00"/>
    <m/>
    <n v="1"/>
    <n v="2"/>
    <n v="1"/>
    <n v="4"/>
    <n v="3"/>
    <x v="1"/>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x v="0"/>
    <s v="Nil"/>
    <m/>
    <s v="BF"/>
    <s v="COU"/>
    <x v="2"/>
    <x v="7"/>
    <n v="6.0000000000000001E-3"/>
    <d v="2021-01-12T00:00:00"/>
    <x v="0"/>
    <m/>
    <x v="2"/>
    <s v="M"/>
    <s v=""/>
    <m/>
    <n v="0"/>
    <m/>
    <n v="0"/>
    <m/>
    <n v="0"/>
    <n v="1"/>
    <n v="1"/>
    <n v="0"/>
    <n v="0"/>
    <n v="-1"/>
    <n v="0"/>
    <n v="0"/>
    <n v="1"/>
    <n v="1"/>
    <n v="0"/>
    <n v="0"/>
    <n v="-1"/>
    <n v="0"/>
    <n v="0"/>
    <n v="0"/>
    <n v="0"/>
    <n v="0"/>
    <n v="0"/>
    <n v="0"/>
    <n v="0"/>
    <n v="0"/>
    <n v="0"/>
    <n v="0"/>
    <n v="0"/>
    <n v="0"/>
    <n v="0"/>
    <n v="0"/>
    <x v="0"/>
    <x v="0"/>
    <x v="1"/>
    <n v="13"/>
    <m/>
    <n v="1"/>
    <m/>
    <m/>
    <m/>
    <m/>
    <m/>
    <m/>
    <m/>
    <m/>
    <m/>
    <m/>
    <m/>
    <m/>
    <m/>
    <m/>
    <m/>
    <m/>
    <m/>
    <m/>
    <n v="1"/>
    <n v="1"/>
  </r>
  <r>
    <n v="6032"/>
    <x v="2"/>
    <s v="2021/1586"/>
    <s v="259 Putney Bridge Road"/>
    <s v=""/>
    <n v="524386"/>
    <n v="175298"/>
    <x v="0"/>
    <d v="2021-08-03T00:00:00"/>
    <m/>
    <n v="0"/>
    <n v="1"/>
    <n v="1"/>
    <n v="1"/>
    <n v="1"/>
    <x v="1"/>
    <s v="Alterations including erection of front and rear roof extension to main roof (with French doors and safety railings to front elevation), extension above three-storey back addition to provide 1 x 1 bedroom flat with front roof terrace."/>
    <s v="PF"/>
    <d v="2021-04-02T00:00:00"/>
    <d v="2021-07-20T00:00:00"/>
    <x v="0"/>
    <s v="Nil"/>
    <m/>
    <s v="BF"/>
    <s v="EXT"/>
    <x v="2"/>
    <x v="2"/>
    <n v="5.4000000000000003E-3"/>
    <d v="2021-08-03T00:00:00"/>
    <x v="0"/>
    <m/>
    <x v="2"/>
    <s v="MR"/>
    <s v=""/>
    <m/>
    <n v="0"/>
    <m/>
    <n v="0"/>
    <m/>
    <n v="0"/>
    <n v="1"/>
    <n v="0"/>
    <n v="0"/>
    <n v="0"/>
    <n v="0"/>
    <n v="0"/>
    <n v="0"/>
    <n v="1"/>
    <n v="0"/>
    <n v="0"/>
    <n v="0"/>
    <n v="0"/>
    <n v="0"/>
    <n v="0"/>
    <n v="0"/>
    <n v="0"/>
    <n v="0"/>
    <n v="0"/>
    <n v="0"/>
    <n v="0"/>
    <n v="0"/>
    <n v="0"/>
    <n v="0"/>
    <n v="0"/>
    <n v="0"/>
    <n v="0"/>
    <n v="0"/>
    <x v="0"/>
    <x v="0"/>
    <x v="1"/>
    <n v="13"/>
    <m/>
    <n v="1"/>
    <m/>
    <m/>
    <m/>
    <m/>
    <m/>
    <m/>
    <m/>
    <m/>
    <m/>
    <m/>
    <m/>
    <m/>
    <m/>
    <m/>
    <m/>
    <m/>
    <m/>
    <m/>
    <n v="1"/>
    <n v="1"/>
  </r>
  <r>
    <n v="2933"/>
    <x v="2"/>
    <s v="2019/1498"/>
    <s v="26 Upper Richmond Road"/>
    <s v=""/>
    <n v="524876"/>
    <n v="174632"/>
    <x v="7"/>
    <d v="2022-01-24T00:00:00"/>
    <m/>
    <n v="0"/>
    <n v="1"/>
    <n v="1"/>
    <n v="1"/>
    <n v="1"/>
    <x v="1"/>
    <s v="Change of use from Restaurants and Cafes/ Drinking Establishments (A3/A4) to residential (Class C3) to provide 1 x 1-bedroom flat."/>
    <s v="PF"/>
    <d v="2019-04-04T00:00:00"/>
    <d v="2019-05-30T00:00:00"/>
    <x v="0"/>
    <s v="Nil"/>
    <m/>
    <s v="BF"/>
    <s v="COU"/>
    <x v="2"/>
    <x v="3"/>
    <n v="4.0000000000000001E-3"/>
    <d v="2022-01-24T00:00:00"/>
    <x v="0"/>
    <m/>
    <x v="2"/>
    <s v="M"/>
    <s v=""/>
    <m/>
    <n v="0"/>
    <m/>
    <n v="0"/>
    <m/>
    <n v="0"/>
    <n v="1"/>
    <n v="0"/>
    <n v="0"/>
    <n v="0"/>
    <n v="0"/>
    <n v="0"/>
    <n v="0"/>
    <n v="1"/>
    <n v="0"/>
    <n v="0"/>
    <n v="0"/>
    <n v="0"/>
    <n v="0"/>
    <n v="0"/>
    <n v="0"/>
    <n v="0"/>
    <n v="0"/>
    <n v="0"/>
    <n v="0"/>
    <n v="0"/>
    <n v="0"/>
    <n v="0"/>
    <n v="0"/>
    <n v="0"/>
    <n v="0"/>
    <n v="0"/>
    <n v="0"/>
    <x v="0"/>
    <x v="0"/>
    <x v="1"/>
    <n v="13"/>
    <m/>
    <n v="1"/>
    <m/>
    <m/>
    <m/>
    <m/>
    <m/>
    <m/>
    <m/>
    <m/>
    <m/>
    <m/>
    <m/>
    <m/>
    <m/>
    <m/>
    <m/>
    <m/>
    <m/>
    <m/>
    <n v="1"/>
    <n v="1"/>
  </r>
  <r>
    <n v="6922"/>
    <x v="2"/>
    <s v="2016/4769"/>
    <s v="30 Nimrod Road"/>
    <s v=""/>
    <n v="529004"/>
    <n v="171330"/>
    <x v="13"/>
    <d v="2018-11-07T00:00:00"/>
    <m/>
    <n v="0"/>
    <n v="1"/>
    <n v="1"/>
    <n v="1"/>
    <n v="1"/>
    <x v="1"/>
    <s v="Alterations including erection of hip to gable side roof extensions, rear mansard roof extension, and extension above two storey back addition. Erection of single-storey side/rear extension. Erection of self-contained annexe to the rear garden with basement level."/>
    <s v="PF"/>
    <d v="2016-09-02T00:00:00"/>
    <d v="2016-10-13T00:00:00"/>
    <x v="0"/>
    <s v="Nil"/>
    <m/>
    <s v="BF"/>
    <s v="NB"/>
    <x v="2"/>
    <x v="1"/>
    <n v="8.0000000000000002E-3"/>
    <d v="2018-11-07T00:00:00"/>
    <x v="0"/>
    <m/>
    <x v="2"/>
    <s v="M"/>
    <s v=""/>
    <m/>
    <n v="0"/>
    <m/>
    <n v="0"/>
    <m/>
    <n v="0"/>
    <n v="1"/>
    <n v="0"/>
    <n v="0"/>
    <n v="0"/>
    <n v="0"/>
    <n v="0"/>
    <n v="0"/>
    <n v="1"/>
    <n v="0"/>
    <n v="0"/>
    <n v="0"/>
    <n v="0"/>
    <n v="0"/>
    <n v="0"/>
    <n v="0"/>
    <n v="0"/>
    <n v="0"/>
    <n v="0"/>
    <n v="0"/>
    <n v="0"/>
    <n v="0"/>
    <n v="0"/>
    <n v="0"/>
    <n v="0"/>
    <n v="0"/>
    <n v="0"/>
    <n v="0"/>
    <x v="0"/>
    <x v="0"/>
    <x v="1"/>
    <n v="3"/>
    <m/>
    <n v="1"/>
    <m/>
    <m/>
    <m/>
    <m/>
    <m/>
    <m/>
    <m/>
    <m/>
    <m/>
    <m/>
    <m/>
    <m/>
    <m/>
    <m/>
    <m/>
    <m/>
    <m/>
    <m/>
    <n v="1"/>
    <n v="1"/>
  </r>
  <r>
    <n v="7495"/>
    <x v="2"/>
    <s v="2020/4494"/>
    <s v="30a Fountain Road"/>
    <s v=""/>
    <n v="526948"/>
    <n v="171621"/>
    <x v="3"/>
    <d v="2022-08-18T00:00:00"/>
    <m/>
    <n v="0"/>
    <n v="1"/>
    <n v="1"/>
    <n v="1"/>
    <n v="1"/>
    <x v="1"/>
    <s v="Alterations including raising ridge height by 300mm, erection of a mansard roof extension on the main rear roof slope and above part of two-storey rear addition to form new 1-bedroom flat with the formation of a roof terrace with 1.7m obscured glazed screen."/>
    <s v="PF"/>
    <d v="2020-11-23T00:00:00"/>
    <d v="2021-02-15T00:00:00"/>
    <x v="0"/>
    <s v="Nil"/>
    <m/>
    <s v="BF"/>
    <s v="MIX"/>
    <x v="2"/>
    <x v="2"/>
    <n v="3.0000000000000001E-3"/>
    <d v="2022-08-18T00:00:00"/>
    <x v="1"/>
    <m/>
    <x v="2"/>
    <s v="M"/>
    <s v=""/>
    <m/>
    <n v="0"/>
    <m/>
    <n v="0"/>
    <m/>
    <n v="0"/>
    <n v="1"/>
    <n v="0"/>
    <n v="0"/>
    <n v="0"/>
    <n v="0"/>
    <n v="0"/>
    <n v="0"/>
    <n v="1"/>
    <n v="0"/>
    <n v="0"/>
    <n v="0"/>
    <n v="0"/>
    <n v="0"/>
    <n v="0"/>
    <n v="0"/>
    <n v="0"/>
    <n v="0"/>
    <n v="0"/>
    <n v="0"/>
    <n v="0"/>
    <n v="0"/>
    <n v="0"/>
    <n v="0"/>
    <n v="0"/>
    <n v="0"/>
    <n v="0"/>
    <n v="0"/>
    <x v="0"/>
    <x v="0"/>
    <x v="1"/>
    <n v="13"/>
    <m/>
    <n v="1"/>
    <m/>
    <m/>
    <m/>
    <m/>
    <m/>
    <m/>
    <m/>
    <m/>
    <m/>
    <m/>
    <m/>
    <m/>
    <m/>
    <m/>
    <m/>
    <m/>
    <m/>
    <m/>
    <n v="1"/>
    <n v="1"/>
  </r>
  <r>
    <n v="7273"/>
    <x v="2"/>
    <s v="2019/4158"/>
    <s v="335a Garratt Lane"/>
    <s v=""/>
    <n v="525942"/>
    <n v="173479"/>
    <x v="11"/>
    <d v="2021-02-15T00:00:00"/>
    <m/>
    <n v="1"/>
    <n v="2"/>
    <n v="1"/>
    <n v="2"/>
    <n v="1"/>
    <x v="1"/>
    <s v="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
    <s v="PF"/>
    <d v="2019-10-24T00:00:00"/>
    <d v="2019-12-10T00:00:00"/>
    <x v="0"/>
    <s v="Nil"/>
    <m/>
    <s v="BF"/>
    <s v="CON"/>
    <x v="2"/>
    <x v="7"/>
    <n v="7.0000000000000001E-3"/>
    <d v="2021-02-15T00:00:00"/>
    <x v="0"/>
    <m/>
    <x v="2"/>
    <s v="M"/>
    <s v=""/>
    <m/>
    <n v="0"/>
    <m/>
    <n v="0"/>
    <m/>
    <n v="0"/>
    <n v="2"/>
    <n v="-1"/>
    <n v="0"/>
    <n v="0"/>
    <n v="0"/>
    <n v="0"/>
    <n v="0"/>
    <n v="2"/>
    <n v="-1"/>
    <n v="0"/>
    <n v="0"/>
    <n v="0"/>
    <n v="0"/>
    <n v="0"/>
    <n v="0"/>
    <n v="0"/>
    <n v="0"/>
    <n v="0"/>
    <n v="0"/>
    <n v="0"/>
    <n v="0"/>
    <n v="0"/>
    <n v="0"/>
    <n v="0"/>
    <n v="0"/>
    <n v="0"/>
    <n v="0"/>
    <x v="0"/>
    <x v="0"/>
    <x v="6"/>
    <n v="13"/>
    <m/>
    <n v="1"/>
    <m/>
    <m/>
    <m/>
    <m/>
    <m/>
    <m/>
    <m/>
    <m/>
    <m/>
    <m/>
    <m/>
    <m/>
    <m/>
    <m/>
    <m/>
    <m/>
    <m/>
    <m/>
    <n v="1"/>
    <n v="1"/>
  </r>
  <r>
    <n v="7763"/>
    <x v="2"/>
    <s v="2022/0172"/>
    <s v="34 Roehampton High Street"/>
    <s v=""/>
    <n v="522433"/>
    <n v="173822"/>
    <x v="16"/>
    <d v="2022-05-16T00:00:00"/>
    <m/>
    <n v="1"/>
    <n v="2"/>
    <n v="1"/>
    <n v="2"/>
    <n v="1"/>
    <x v="1"/>
    <s v="Alterations to include the erection of two-storey rear extension, formation of a roof terrace above with opague balustrade. Change of use of part of lower and ground floor commercial space (Class Use E/A3) to form a 2-bedroom flat (Class Use C3)"/>
    <s v="PF"/>
    <d v="2022-02-02T00:00:00"/>
    <d v="2022-03-29T00:00:00"/>
    <x v="0"/>
    <s v="Nil"/>
    <m/>
    <s v="BF"/>
    <s v="MIX"/>
    <x v="2"/>
    <x v="3"/>
    <n v="8.6999999999999994E-3"/>
    <d v="2022-05-16T00:00:00"/>
    <x v="1"/>
    <m/>
    <x v="2"/>
    <s v="MR"/>
    <s v=""/>
    <m/>
    <n v="0"/>
    <m/>
    <n v="0"/>
    <m/>
    <n v="0"/>
    <n v="0"/>
    <n v="1"/>
    <n v="0"/>
    <n v="0"/>
    <n v="0"/>
    <n v="0"/>
    <n v="0"/>
    <n v="0"/>
    <n v="1"/>
    <n v="0"/>
    <n v="0"/>
    <n v="0"/>
    <n v="0"/>
    <n v="0"/>
    <n v="0"/>
    <n v="0"/>
    <n v="0"/>
    <n v="0"/>
    <n v="0"/>
    <n v="0"/>
    <n v="0"/>
    <n v="0"/>
    <n v="0"/>
    <n v="0"/>
    <n v="0"/>
    <n v="0"/>
    <n v="0"/>
    <x v="0"/>
    <x v="0"/>
    <x v="9"/>
    <n v="13"/>
    <m/>
    <n v="1"/>
    <m/>
    <m/>
    <m/>
    <m/>
    <m/>
    <m/>
    <m/>
    <m/>
    <m/>
    <m/>
    <m/>
    <m/>
    <m/>
    <m/>
    <m/>
    <m/>
    <m/>
    <m/>
    <n v="1"/>
    <n v="1"/>
  </r>
  <r>
    <n v="182"/>
    <x v="2"/>
    <s v="2019/3692"/>
    <s v="376-378 Garratt Lane"/>
    <s v=""/>
    <n v="526066"/>
    <n v="172919"/>
    <x v="10"/>
    <d v="2023-03-31T00:00:00"/>
    <m/>
    <n v="1"/>
    <n v="3"/>
    <n v="2"/>
    <n v="4"/>
    <n v="3"/>
    <x v="1"/>
    <s v="Alterations in connection with conversion of existing flat and  office (B1) to 4 x two-bedroom flats with associated bin and cycle storage."/>
    <s v="PF"/>
    <d v="2019-09-11T00:00:00"/>
    <d v="2019-11-18T00:00:00"/>
    <x v="0"/>
    <s v="Nil"/>
    <m/>
    <s v="BF"/>
    <s v="MIX"/>
    <x v="2"/>
    <x v="7"/>
    <n v="2.1999999999999999E-2"/>
    <d v="2023-03-31T00:00:00"/>
    <x v="1"/>
    <m/>
    <x v="2"/>
    <s v="M"/>
    <s v=""/>
    <m/>
    <n v="0"/>
    <m/>
    <n v="0"/>
    <m/>
    <n v="0"/>
    <n v="0"/>
    <n v="3"/>
    <n v="0"/>
    <n v="-1"/>
    <n v="0"/>
    <n v="0"/>
    <n v="0"/>
    <n v="0"/>
    <n v="3"/>
    <n v="0"/>
    <n v="-1"/>
    <n v="0"/>
    <n v="0"/>
    <n v="0"/>
    <n v="0"/>
    <n v="0"/>
    <n v="0"/>
    <n v="0"/>
    <n v="0"/>
    <n v="0"/>
    <n v="0"/>
    <n v="0"/>
    <n v="0"/>
    <n v="0"/>
    <n v="0"/>
    <n v="0"/>
    <n v="0"/>
    <x v="0"/>
    <x v="0"/>
    <x v="6"/>
    <n v="14"/>
    <m/>
    <n v="1"/>
    <n v="1"/>
    <m/>
    <m/>
    <m/>
    <m/>
    <m/>
    <m/>
    <m/>
    <m/>
    <m/>
    <m/>
    <m/>
    <m/>
    <m/>
    <m/>
    <m/>
    <m/>
    <m/>
    <n v="2"/>
    <n v="2"/>
  </r>
  <r>
    <n v="7335"/>
    <x v="2"/>
    <s v="2021/3897"/>
    <s v="463 Garratt Lane"/>
    <s v=""/>
    <n v="525930"/>
    <n v="173172"/>
    <x v="11"/>
    <d v="2023-03-31T00:00:00"/>
    <m/>
    <n v="1"/>
    <n v="3"/>
    <n v="2"/>
    <n v="3"/>
    <n v="2"/>
    <x v="1"/>
    <s v="Alterations including replacement ground floor front elevation and erection of single-storey rear/side extension in connection with change of use of ground floor from retail (Class E) to residential (Class C3) and provision of 3 x1 bedroom flats with refuse and cycle storage at rear."/>
    <s v="PF"/>
    <d v="2021-08-18T00:00:00"/>
    <d v="2021-10-18T00:00:00"/>
    <x v="0"/>
    <s v="Nil"/>
    <m/>
    <s v="BF"/>
    <s v="EXT"/>
    <x v="2"/>
    <x v="2"/>
    <n v="4.0000000000000001E-3"/>
    <d v="2023-03-31T00:00:00"/>
    <x v="1"/>
    <m/>
    <x v="2"/>
    <s v="M"/>
    <s v=""/>
    <m/>
    <n v="0"/>
    <m/>
    <n v="0"/>
    <m/>
    <n v="0"/>
    <n v="3"/>
    <n v="0"/>
    <n v="0"/>
    <n v="0"/>
    <n v="-1"/>
    <n v="0"/>
    <n v="0"/>
    <n v="3"/>
    <n v="0"/>
    <n v="0"/>
    <n v="0"/>
    <n v="-1"/>
    <n v="0"/>
    <n v="0"/>
    <n v="0"/>
    <n v="0"/>
    <n v="0"/>
    <n v="0"/>
    <n v="0"/>
    <n v="0"/>
    <n v="0"/>
    <n v="0"/>
    <n v="0"/>
    <n v="0"/>
    <n v="0"/>
    <n v="0"/>
    <n v="0"/>
    <x v="0"/>
    <x v="0"/>
    <x v="6"/>
    <n v="14"/>
    <m/>
    <n v="1"/>
    <n v="1"/>
    <m/>
    <m/>
    <m/>
    <m/>
    <m/>
    <m/>
    <m/>
    <m/>
    <m/>
    <m/>
    <m/>
    <m/>
    <m/>
    <m/>
    <m/>
    <m/>
    <m/>
    <n v="2"/>
    <n v="2"/>
  </r>
  <r>
    <n v="7654"/>
    <x v="2"/>
    <s v="2021/5066"/>
    <s v="468 Garratt Lane"/>
    <s v=""/>
    <n v="526105"/>
    <n v="172633"/>
    <x v="10"/>
    <d v="2023-03-31T00:00:00"/>
    <m/>
    <n v="1"/>
    <n v="3"/>
    <n v="2"/>
    <n v="3"/>
    <n v="2"/>
    <x v="1"/>
    <s v="Alterations including erection of rear extensions at ground, first and second floor levels including raising the main ridge of the roof by 300mm; F ormation of roof terrace at rear first floor and provision of refuse and cycle storage at rear in connection with use of the rear part of the gorund floor and upper floors as  3 x 1-bedroom flats."/>
    <s v="PF"/>
    <d v="2021-11-04T00:00:00"/>
    <d v="2021-12-30T00:00:00"/>
    <x v="0"/>
    <s v="Nil"/>
    <m/>
    <s v="BF"/>
    <s v="CON"/>
    <x v="2"/>
    <x v="7"/>
    <n v="3.6075E-3"/>
    <d v="2023-03-31T00:00:00"/>
    <x v="1"/>
    <m/>
    <x v="2"/>
    <s v="M"/>
    <s v=""/>
    <m/>
    <n v="0"/>
    <m/>
    <n v="0"/>
    <m/>
    <n v="0"/>
    <n v="3"/>
    <n v="-1"/>
    <n v="0"/>
    <n v="0"/>
    <n v="0"/>
    <n v="0"/>
    <n v="0"/>
    <n v="3"/>
    <n v="-1"/>
    <n v="0"/>
    <n v="0"/>
    <n v="0"/>
    <n v="0"/>
    <n v="0"/>
    <n v="0"/>
    <n v="0"/>
    <n v="0"/>
    <n v="0"/>
    <n v="0"/>
    <n v="0"/>
    <n v="0"/>
    <n v="0"/>
    <n v="0"/>
    <n v="0"/>
    <n v="0"/>
    <n v="0"/>
    <n v="0"/>
    <x v="0"/>
    <x v="0"/>
    <x v="6"/>
    <n v="14"/>
    <m/>
    <n v="1"/>
    <n v="1"/>
    <m/>
    <m/>
    <m/>
    <m/>
    <m/>
    <m/>
    <m/>
    <m/>
    <m/>
    <m/>
    <m/>
    <m/>
    <m/>
    <m/>
    <m/>
    <m/>
    <m/>
    <n v="2"/>
    <n v="2"/>
  </r>
  <r>
    <n v="7338"/>
    <x v="2"/>
    <s v="2020/1033"/>
    <s v="51-53 Northcote Road"/>
    <s v=""/>
    <n v="527505"/>
    <n v="174973"/>
    <x v="12"/>
    <d v="2021-08-23T00:00:00"/>
    <m/>
    <n v="0"/>
    <n v="1"/>
    <n v="1"/>
    <n v="1"/>
    <n v="1"/>
    <x v="1"/>
    <s v="Alterations to rear block facing Shelgate Road including erection of roof extension to create additional storey in connection with creation of 1 x 1-bedroom flat."/>
    <s v="PF"/>
    <d v="2020-04-30T00:00:00"/>
    <d v="2020-07-29T00:00:00"/>
    <x v="0"/>
    <s v="Nil"/>
    <m/>
    <s v="BF"/>
    <s v="EXT"/>
    <x v="2"/>
    <x v="2"/>
    <n v="4.0000000000000001E-3"/>
    <d v="2021-08-23T00:00:00"/>
    <x v="0"/>
    <m/>
    <x v="2"/>
    <s v="M"/>
    <s v=""/>
    <m/>
    <n v="0"/>
    <m/>
    <n v="0"/>
    <m/>
    <n v="0"/>
    <n v="1"/>
    <n v="0"/>
    <n v="0"/>
    <n v="0"/>
    <n v="0"/>
    <n v="0"/>
    <n v="0"/>
    <n v="1"/>
    <n v="0"/>
    <n v="0"/>
    <n v="0"/>
    <n v="0"/>
    <n v="0"/>
    <n v="0"/>
    <n v="0"/>
    <n v="0"/>
    <n v="0"/>
    <n v="0"/>
    <n v="0"/>
    <n v="0"/>
    <n v="0"/>
    <n v="0"/>
    <n v="0"/>
    <n v="0"/>
    <n v="0"/>
    <n v="0"/>
    <n v="0"/>
    <x v="5"/>
    <x v="0"/>
    <x v="5"/>
    <n v="13"/>
    <m/>
    <n v="1"/>
    <m/>
    <m/>
    <m/>
    <m/>
    <m/>
    <m/>
    <m/>
    <m/>
    <m/>
    <m/>
    <m/>
    <m/>
    <m/>
    <m/>
    <m/>
    <m/>
    <m/>
    <m/>
    <n v="1"/>
    <n v="1"/>
  </r>
  <r>
    <n v="7338"/>
    <x v="2"/>
    <s v="2020/1371"/>
    <s v="51-53 Northcote Road"/>
    <s v=""/>
    <n v="527505"/>
    <n v="174973"/>
    <x v="12"/>
    <d v="2021-08-23T00:00:00"/>
    <m/>
    <n v="0"/>
    <n v="1"/>
    <n v="1"/>
    <n v="1"/>
    <n v="1"/>
    <x v="1"/>
    <s v="Alterations including erection of mansard roof extension to front and rear roof of No. 51 and rear dormer extension to the rear of No. 53 in connection with creation of 1 x 1-bedroom flat."/>
    <s v="PF"/>
    <d v="2020-04-27T00:00:00"/>
    <d v="2020-06-22T00:00:00"/>
    <x v="0"/>
    <s v="Nil"/>
    <m/>
    <s v="BF"/>
    <s v="EXT"/>
    <x v="2"/>
    <x v="2"/>
    <n v="4.0000000000000001E-3"/>
    <d v="2021-08-23T00:00:00"/>
    <x v="0"/>
    <m/>
    <x v="2"/>
    <s v="M"/>
    <s v=""/>
    <m/>
    <n v="0"/>
    <m/>
    <n v="0"/>
    <m/>
    <n v="0"/>
    <n v="1"/>
    <n v="0"/>
    <n v="0"/>
    <n v="0"/>
    <n v="0"/>
    <n v="0"/>
    <n v="0"/>
    <n v="1"/>
    <n v="0"/>
    <n v="0"/>
    <n v="0"/>
    <n v="0"/>
    <n v="0"/>
    <n v="0"/>
    <n v="0"/>
    <n v="0"/>
    <n v="0"/>
    <n v="0"/>
    <n v="0"/>
    <n v="0"/>
    <n v="0"/>
    <n v="0"/>
    <n v="0"/>
    <n v="0"/>
    <n v="0"/>
    <n v="0"/>
    <n v="0"/>
    <x v="5"/>
    <x v="0"/>
    <x v="5"/>
    <n v="13"/>
    <m/>
    <n v="1"/>
    <m/>
    <m/>
    <m/>
    <m/>
    <m/>
    <m/>
    <m/>
    <m/>
    <m/>
    <m/>
    <m/>
    <m/>
    <m/>
    <m/>
    <m/>
    <m/>
    <m/>
    <m/>
    <n v="1"/>
    <n v="1"/>
  </r>
  <r>
    <n v="7689"/>
    <x v="2"/>
    <s v="2021/4782"/>
    <s v="547 Old York Road"/>
    <s v=""/>
    <n v="525880"/>
    <n v="174953"/>
    <x v="6"/>
    <d v="2022-12-19T00:00:00"/>
    <m/>
    <n v="1"/>
    <n v="3"/>
    <n v="2"/>
    <n v="3"/>
    <n v="2"/>
    <x v="1"/>
    <s v="Alterations including erection of a front dormer and a rear mansard roof extension (with French doors and safety railing) to main roof; extension above part of the two-storey back addition; erection of a single storey rear/side extension and formation of a first floor rear roof terrace with glazed screen; removal of window and installation of French doors and safety railing to first floor rear elevation; installation of a new shopfront and front access to upper floors; associated refuse and cycle storage, in connection with use of upper floors as 2 x 2- bed and 1 x 1-bed flats plus 1 x commercial unit (Class E) on part of the ground floor and basement levels."/>
    <s v="PF"/>
    <d v="2021-10-18T00:00:00"/>
    <d v="2021-12-13T00:00:00"/>
    <x v="0"/>
    <s v="Nil"/>
    <m/>
    <s v="BF"/>
    <s v="COU"/>
    <x v="2"/>
    <x v="2"/>
    <n v="7.0000000000000001E-3"/>
    <d v="2022-12-19T00:00:00"/>
    <x v="1"/>
    <m/>
    <x v="2"/>
    <s v="M"/>
    <s v=""/>
    <m/>
    <n v="0"/>
    <m/>
    <n v="0"/>
    <m/>
    <n v="0"/>
    <n v="1"/>
    <n v="2"/>
    <n v="-1"/>
    <n v="0"/>
    <n v="0"/>
    <n v="0"/>
    <n v="0"/>
    <n v="1"/>
    <n v="2"/>
    <n v="0"/>
    <n v="0"/>
    <n v="0"/>
    <n v="0"/>
    <n v="0"/>
    <n v="0"/>
    <n v="0"/>
    <n v="-1"/>
    <n v="0"/>
    <n v="0"/>
    <n v="0"/>
    <n v="0"/>
    <n v="0"/>
    <n v="0"/>
    <n v="0"/>
    <n v="0"/>
    <n v="0"/>
    <n v="0"/>
    <x v="0"/>
    <x v="0"/>
    <x v="0"/>
    <n v="14"/>
    <m/>
    <n v="1"/>
    <n v="1"/>
    <m/>
    <m/>
    <m/>
    <m/>
    <m/>
    <m/>
    <m/>
    <m/>
    <m/>
    <m/>
    <m/>
    <m/>
    <m/>
    <m/>
    <m/>
    <m/>
    <m/>
    <n v="2"/>
    <n v="2"/>
  </r>
  <r>
    <n v="1962"/>
    <x v="2"/>
    <s v="2019/2135"/>
    <s v="65a Bramfield Road (145a Northcote Road)"/>
    <s v=""/>
    <n v="527618"/>
    <n v="174574"/>
    <x v="14"/>
    <d v="2022-08-01T00:00:00"/>
    <m/>
    <n v="0"/>
    <n v="1"/>
    <n v="1"/>
    <n v="1"/>
    <n v="1"/>
    <x v="1"/>
    <s v="Demolition of single storey building and erection of two-storey 1-bedroom house."/>
    <s v="PF"/>
    <d v="2019-05-16T00:00:00"/>
    <d v="2019-09-23T00:00:00"/>
    <x v="0"/>
    <s v="Nil"/>
    <m/>
    <s v="BF"/>
    <s v="NB"/>
    <x v="2"/>
    <x v="1"/>
    <n v="8.0000000000000002E-3"/>
    <d v="2022-08-01T00:00:00"/>
    <x v="1"/>
    <m/>
    <x v="2"/>
    <s v="M"/>
    <s v=""/>
    <m/>
    <n v="0"/>
    <m/>
    <n v="0"/>
    <m/>
    <n v="0"/>
    <n v="1"/>
    <n v="0"/>
    <n v="0"/>
    <n v="0"/>
    <n v="0"/>
    <n v="0"/>
    <n v="0"/>
    <n v="0"/>
    <n v="0"/>
    <n v="0"/>
    <n v="0"/>
    <n v="0"/>
    <n v="0"/>
    <n v="0"/>
    <n v="1"/>
    <n v="0"/>
    <n v="0"/>
    <n v="0"/>
    <n v="0"/>
    <n v="0"/>
    <n v="0"/>
    <n v="0"/>
    <n v="0"/>
    <n v="0"/>
    <n v="0"/>
    <n v="0"/>
    <n v="0"/>
    <x v="0"/>
    <x v="0"/>
    <x v="1"/>
    <n v="3"/>
    <m/>
    <n v="1"/>
    <m/>
    <m/>
    <m/>
    <m/>
    <m/>
    <m/>
    <m/>
    <m/>
    <m/>
    <m/>
    <m/>
    <m/>
    <m/>
    <m/>
    <m/>
    <m/>
    <m/>
    <m/>
    <n v="1"/>
    <n v="1"/>
  </r>
  <r>
    <n v="7740"/>
    <x v="2"/>
    <s v="2021/3121"/>
    <s v="7 Fairlight Road"/>
    <s v=""/>
    <n v="526967"/>
    <n v="171687"/>
    <x v="3"/>
    <d v="2022-03-31T00:00:00"/>
    <m/>
    <n v="1"/>
    <n v="2"/>
    <n v="1"/>
    <n v="2"/>
    <n v="1"/>
    <x v="1"/>
    <s v="Alterations including erection of mansard roof extension to main rear roof including raising ridge by 300mm, erection of roof extension and formation of roof terrace with 1.7m glazed safety surround above two storey rear addition in connection with creation of 1 x 1-bedroom flat."/>
    <s v="PF"/>
    <d v="2021-07-08T00:00:00"/>
    <d v="2021-09-02T00:00:00"/>
    <x v="0"/>
    <s v="Nil"/>
    <m/>
    <s v="BF"/>
    <s v="EXT"/>
    <x v="2"/>
    <x v="2"/>
    <n v="5.0000000000000001E-3"/>
    <d v="2022-03-31T00:00:00"/>
    <x v="0"/>
    <m/>
    <x v="2"/>
    <s v="M"/>
    <s v=""/>
    <m/>
    <n v="0"/>
    <m/>
    <n v="0"/>
    <m/>
    <n v="0"/>
    <n v="1"/>
    <n v="0"/>
    <n v="0"/>
    <n v="0"/>
    <n v="0"/>
    <n v="0"/>
    <n v="0"/>
    <n v="1"/>
    <n v="0"/>
    <n v="0"/>
    <n v="0"/>
    <n v="0"/>
    <n v="0"/>
    <n v="0"/>
    <n v="0"/>
    <n v="0"/>
    <n v="0"/>
    <n v="0"/>
    <n v="0"/>
    <n v="0"/>
    <n v="0"/>
    <n v="0"/>
    <n v="0"/>
    <n v="0"/>
    <n v="0"/>
    <n v="0"/>
    <n v="0"/>
    <x v="0"/>
    <x v="0"/>
    <x v="1"/>
    <n v="13"/>
    <m/>
    <n v="1"/>
    <m/>
    <m/>
    <m/>
    <m/>
    <m/>
    <m/>
    <m/>
    <m/>
    <m/>
    <m/>
    <m/>
    <m/>
    <m/>
    <m/>
    <m/>
    <m/>
    <m/>
    <m/>
    <n v="1"/>
    <n v="1"/>
  </r>
  <r>
    <n v="7886"/>
    <x v="2"/>
    <s v="2022/4648"/>
    <s v="80 Taybridge Road"/>
    <s v=""/>
    <n v="528462"/>
    <n v="175439"/>
    <x v="12"/>
    <d v="2023-03-31T00:00:00"/>
    <m/>
    <n v="1"/>
    <n v="3"/>
    <n v="2"/>
    <n v="3"/>
    <n v="2"/>
    <x v="1"/>
    <s v="Alterations including erection of dormer roof extensions to side roof slope, extension to roof at rear incuding increase ridge, erection of ground floor extension and replacement of shop frontage and lowering/replacement of windows in connection with the conversion of the commercial unit and dwelling into into 3 self-contained residential units (1 x 1 bedroom, and 2 x 2 bedroom units); provision cycle storage and waste storage."/>
    <s v="PF"/>
    <d v="2022-11-14T00:00:00"/>
    <d v="2023-01-11T00:00:00"/>
    <x v="1"/>
    <s v="Nil"/>
    <m/>
    <s v="BF"/>
    <s v="CON"/>
    <x v="2"/>
    <x v="7"/>
    <n v="0.06"/>
    <d v="2023-03-31T00:00:00"/>
    <x v="1"/>
    <m/>
    <x v="2"/>
    <s v="M"/>
    <s v=""/>
    <m/>
    <n v="0"/>
    <m/>
    <n v="0"/>
    <m/>
    <n v="0"/>
    <n v="1"/>
    <n v="2"/>
    <n v="0"/>
    <n v="-1"/>
    <n v="0"/>
    <n v="0"/>
    <n v="0"/>
    <n v="1"/>
    <n v="2"/>
    <n v="0"/>
    <n v="-1"/>
    <n v="0"/>
    <n v="0"/>
    <n v="0"/>
    <n v="0"/>
    <n v="0"/>
    <n v="0"/>
    <n v="0"/>
    <n v="0"/>
    <n v="0"/>
    <n v="0"/>
    <n v="0"/>
    <n v="0"/>
    <n v="0"/>
    <n v="0"/>
    <n v="0"/>
    <n v="0"/>
    <x v="0"/>
    <x v="0"/>
    <x v="1"/>
    <n v="14"/>
    <m/>
    <n v="1"/>
    <n v="1"/>
    <m/>
    <m/>
    <m/>
    <m/>
    <m/>
    <m/>
    <m/>
    <m/>
    <m/>
    <m/>
    <m/>
    <m/>
    <m/>
    <m/>
    <m/>
    <m/>
    <m/>
    <n v="2"/>
    <n v="2"/>
  </r>
  <r>
    <n v="7039"/>
    <x v="2"/>
    <s v="2020/2195"/>
    <s v="842 Garratt Lane"/>
    <s v=""/>
    <n v="526973"/>
    <n v="171725"/>
    <x v="3"/>
    <d v="2022-03-31T00:00:00"/>
    <m/>
    <n v="1"/>
    <n v="2"/>
    <n v="1"/>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0"/>
    <s v="Nil"/>
    <m/>
    <s v="BF"/>
    <s v="MIX"/>
    <x v="2"/>
    <x v="7"/>
    <n v="4.0000000000000001E-3"/>
    <d v="2022-03-31T00:00:00"/>
    <x v="0"/>
    <m/>
    <x v="2"/>
    <s v="M"/>
    <s v=""/>
    <m/>
    <n v="0"/>
    <m/>
    <n v="0"/>
    <m/>
    <n v="0"/>
    <n v="2"/>
    <n v="-1"/>
    <n v="0"/>
    <n v="0"/>
    <n v="0"/>
    <n v="0"/>
    <n v="0"/>
    <n v="2"/>
    <n v="-1"/>
    <n v="0"/>
    <n v="0"/>
    <n v="0"/>
    <n v="0"/>
    <n v="0"/>
    <n v="0"/>
    <n v="0"/>
    <n v="0"/>
    <n v="0"/>
    <n v="0"/>
    <n v="0"/>
    <n v="0"/>
    <n v="0"/>
    <n v="0"/>
    <n v="0"/>
    <n v="0"/>
    <n v="0"/>
    <n v="0"/>
    <x v="0"/>
    <x v="0"/>
    <x v="1"/>
    <n v="13"/>
    <m/>
    <n v="1"/>
    <m/>
    <m/>
    <m/>
    <m/>
    <m/>
    <m/>
    <m/>
    <m/>
    <m/>
    <m/>
    <m/>
    <m/>
    <m/>
    <m/>
    <m/>
    <m/>
    <m/>
    <m/>
    <n v="1"/>
    <n v="1"/>
  </r>
  <r>
    <n v="7039"/>
    <x v="2"/>
    <s v="2020/2195"/>
    <s v="842 Garratt Lane"/>
    <s v=""/>
    <n v="526973"/>
    <n v="171725"/>
    <x v="3"/>
    <d v="2022-03-31T00:00:00"/>
    <m/>
    <n v="0"/>
    <n v="1"/>
    <n v="1"/>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0"/>
    <s v="Nil"/>
    <m/>
    <s v="BF"/>
    <s v="MIX"/>
    <x v="2"/>
    <x v="6"/>
    <n v="3.0000000000000001E-3"/>
    <d v="2022-03-31T00:00:00"/>
    <x v="0"/>
    <m/>
    <x v="2"/>
    <s v="M"/>
    <s v=""/>
    <m/>
    <n v="0"/>
    <m/>
    <n v="0"/>
    <m/>
    <n v="0"/>
    <n v="1"/>
    <n v="0"/>
    <n v="0"/>
    <n v="0"/>
    <n v="0"/>
    <n v="0"/>
    <n v="0"/>
    <n v="1"/>
    <n v="0"/>
    <n v="0"/>
    <n v="0"/>
    <n v="0"/>
    <n v="0"/>
    <n v="0"/>
    <n v="0"/>
    <n v="0"/>
    <n v="0"/>
    <n v="0"/>
    <n v="0"/>
    <n v="0"/>
    <n v="0"/>
    <n v="0"/>
    <n v="0"/>
    <n v="0"/>
    <n v="0"/>
    <n v="0"/>
    <n v="0"/>
    <x v="0"/>
    <x v="0"/>
    <x v="1"/>
    <n v="13"/>
    <m/>
    <n v="1"/>
    <m/>
    <m/>
    <m/>
    <m/>
    <m/>
    <m/>
    <m/>
    <m/>
    <m/>
    <m/>
    <m/>
    <m/>
    <m/>
    <m/>
    <m/>
    <m/>
    <m/>
    <m/>
    <n v="1"/>
    <n v="1"/>
  </r>
  <r>
    <n v="7039"/>
    <x v="2"/>
    <s v="2020/2195"/>
    <s v="842 Garratt Lane"/>
    <s v=""/>
    <n v="526973"/>
    <n v="171725"/>
    <x v="3"/>
    <d v="2022-03-31T00:00:00"/>
    <m/>
    <n v="0"/>
    <n v="1"/>
    <n v="1"/>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0"/>
    <s v="Nil"/>
    <m/>
    <s v="BF"/>
    <s v="MIX"/>
    <x v="2"/>
    <x v="2"/>
    <n v="2E-3"/>
    <d v="2022-03-31T00:00:00"/>
    <x v="0"/>
    <m/>
    <x v="2"/>
    <s v="M"/>
    <s v=""/>
    <m/>
    <n v="0"/>
    <m/>
    <n v="0"/>
    <m/>
    <n v="0"/>
    <n v="1"/>
    <n v="0"/>
    <n v="0"/>
    <n v="0"/>
    <n v="0"/>
    <n v="0"/>
    <n v="0"/>
    <n v="1"/>
    <n v="0"/>
    <n v="0"/>
    <n v="0"/>
    <n v="0"/>
    <n v="0"/>
    <n v="0"/>
    <n v="0"/>
    <n v="0"/>
    <n v="0"/>
    <n v="0"/>
    <n v="0"/>
    <n v="0"/>
    <n v="0"/>
    <n v="0"/>
    <n v="0"/>
    <n v="0"/>
    <n v="0"/>
    <n v="0"/>
    <n v="0"/>
    <x v="0"/>
    <x v="0"/>
    <x v="1"/>
    <n v="13"/>
    <m/>
    <n v="1"/>
    <m/>
    <m/>
    <m/>
    <m/>
    <m/>
    <m/>
    <m/>
    <m/>
    <m/>
    <m/>
    <m/>
    <m/>
    <m/>
    <m/>
    <m/>
    <m/>
    <m/>
    <m/>
    <n v="1"/>
    <n v="1"/>
  </r>
  <r>
    <n v="7442"/>
    <x v="2"/>
    <s v="2020/2606"/>
    <s v="88 Grayshott Road"/>
    <s v=""/>
    <n v="528026"/>
    <n v="175977"/>
    <x v="1"/>
    <d v="2022-09-01T00:00:00"/>
    <m/>
    <n v="0"/>
    <n v="1"/>
    <n v="1"/>
    <n v="1"/>
    <n v="1"/>
    <x v="1"/>
    <s v="Determination as to whether prior approval is required for change of use of office at ground floor and lower ground floor (Class B1a) to residential (Class C3) to provide 1 x 1-bedroom flat."/>
    <s v="PAG"/>
    <d v="2020-07-20T00:00:00"/>
    <d v="2020-09-10T00:00:00"/>
    <x v="0"/>
    <s v="Nil"/>
    <m/>
    <s v="BF"/>
    <s v="COU"/>
    <x v="2"/>
    <x v="6"/>
    <n v="5.0000000000000001E-3"/>
    <d v="2022-09-01T00:00:00"/>
    <x v="1"/>
    <m/>
    <x v="2"/>
    <s v="M"/>
    <s v=""/>
    <m/>
    <n v="0"/>
    <m/>
    <n v="0"/>
    <m/>
    <n v="0"/>
    <n v="1"/>
    <n v="0"/>
    <n v="0"/>
    <n v="0"/>
    <n v="0"/>
    <n v="0"/>
    <n v="0"/>
    <n v="1"/>
    <n v="0"/>
    <n v="0"/>
    <n v="0"/>
    <n v="0"/>
    <n v="0"/>
    <n v="0"/>
    <n v="0"/>
    <n v="0"/>
    <n v="0"/>
    <n v="0"/>
    <n v="0"/>
    <n v="0"/>
    <n v="0"/>
    <n v="0"/>
    <n v="0"/>
    <n v="0"/>
    <n v="0"/>
    <n v="0"/>
    <n v="0"/>
    <x v="0"/>
    <x v="0"/>
    <x v="1"/>
    <n v="13"/>
    <m/>
    <n v="1"/>
    <m/>
    <m/>
    <m/>
    <m/>
    <m/>
    <m/>
    <m/>
    <m/>
    <m/>
    <m/>
    <m/>
    <m/>
    <m/>
    <m/>
    <m/>
    <m/>
    <m/>
    <m/>
    <n v="1"/>
    <n v="1"/>
  </r>
  <r>
    <n v="7751"/>
    <x v="2"/>
    <s v="2021/5596"/>
    <s v="93 Tooting Bec Road"/>
    <s v=""/>
    <n v="528291"/>
    <n v="172218"/>
    <x v="8"/>
    <d v="2023-03-31T00:00:00"/>
    <m/>
    <n v="1"/>
    <n v="3"/>
    <n v="2"/>
    <n v="3"/>
    <n v="2"/>
    <x v="1"/>
    <s v="Alterations including erection of mansard roof extension to main rear roof, formation of roof terrace above two-storey back addition with 1.7m high screen surround, and  single-storey rear/side extension, in connection with conversion of property into  1 x 3-bedroom, 1 x 2-bedroom and 1 x 1-bedroom flats."/>
    <s v="PF"/>
    <d v="2021-12-21T00:00:00"/>
    <d v="2022-02-15T00:00:00"/>
    <x v="0"/>
    <s v="Nil"/>
    <m/>
    <s v="BF"/>
    <s v="MIX"/>
    <x v="2"/>
    <x v="5"/>
    <n v="6.0000000000000001E-3"/>
    <d v="2023-03-31T00:00:00"/>
    <x v="1"/>
    <m/>
    <x v="2"/>
    <s v="M"/>
    <s v=""/>
    <m/>
    <n v="0"/>
    <m/>
    <n v="0"/>
    <m/>
    <n v="0"/>
    <n v="1"/>
    <n v="1"/>
    <n v="1"/>
    <n v="0"/>
    <n v="-1"/>
    <n v="0"/>
    <n v="0"/>
    <n v="1"/>
    <n v="1"/>
    <n v="1"/>
    <n v="0"/>
    <n v="0"/>
    <n v="0"/>
    <n v="0"/>
    <n v="0"/>
    <n v="0"/>
    <n v="0"/>
    <n v="0"/>
    <n v="-1"/>
    <n v="0"/>
    <n v="0"/>
    <n v="0"/>
    <n v="0"/>
    <n v="0"/>
    <n v="0"/>
    <n v="0"/>
    <n v="0"/>
    <x v="0"/>
    <x v="0"/>
    <x v="1"/>
    <n v="14"/>
    <m/>
    <n v="1"/>
    <n v="1"/>
    <m/>
    <m/>
    <m/>
    <m/>
    <m/>
    <m/>
    <m/>
    <m/>
    <m/>
    <m/>
    <m/>
    <m/>
    <m/>
    <m/>
    <m/>
    <m/>
    <m/>
    <n v="2"/>
    <n v="2"/>
  </r>
  <r>
    <n v="7912"/>
    <x v="2"/>
    <s v="2022/4396"/>
    <s v="952 Garratt Lane"/>
    <s v=""/>
    <n v="527318"/>
    <n v="171548"/>
    <x v="3"/>
    <d v="2023-03-31T00:00:00"/>
    <m/>
    <n v="1"/>
    <n v="3"/>
    <n v="2"/>
    <n v="3"/>
    <n v="2"/>
    <x v="1"/>
    <s v="Alterations including raising of ridge by 300mm, replacement rear mansard dormer and insertion of french doors and safety railings, erection of roof extension above two storey back addition with roof terrace (plus 1.7m high screening above) and erection of replacement single storey rear and side extension. Extensions and alterations in connection with conversion of property into three flats (1x3 bedroom, 1x2 bedroom and 1x1 bedroom flats). Provision of bin and cycle stores within front garden."/>
    <s v="PF"/>
    <d v="2022-10-21T00:00:00"/>
    <d v="2023-01-10T00:00:00"/>
    <x v="1"/>
    <s v="Nil"/>
    <m/>
    <s v="BF"/>
    <s v="MIX"/>
    <x v="2"/>
    <x v="5"/>
    <n v="5.8333329999999996E-3"/>
    <d v="2023-03-31T00:00:00"/>
    <x v="1"/>
    <m/>
    <x v="2"/>
    <s v="M"/>
    <s v=""/>
    <m/>
    <n v="0"/>
    <m/>
    <n v="0"/>
    <m/>
    <n v="0"/>
    <n v="1"/>
    <n v="1"/>
    <n v="1"/>
    <n v="0"/>
    <n v="-1"/>
    <n v="0"/>
    <n v="0"/>
    <n v="1"/>
    <n v="1"/>
    <n v="1"/>
    <n v="0"/>
    <n v="0"/>
    <n v="0"/>
    <n v="0"/>
    <n v="0"/>
    <n v="0"/>
    <n v="0"/>
    <n v="0"/>
    <n v="-1"/>
    <n v="0"/>
    <n v="0"/>
    <n v="0"/>
    <n v="0"/>
    <n v="0"/>
    <n v="0"/>
    <n v="0"/>
    <n v="0"/>
    <x v="0"/>
    <x v="0"/>
    <x v="3"/>
    <n v="14"/>
    <m/>
    <n v="1"/>
    <n v="1"/>
    <m/>
    <m/>
    <m/>
    <m/>
    <m/>
    <m/>
    <m/>
    <m/>
    <m/>
    <m/>
    <m/>
    <m/>
    <m/>
    <m/>
    <m/>
    <m/>
    <m/>
    <n v="2"/>
    <n v="2"/>
  </r>
  <r>
    <n v="7730"/>
    <x v="2"/>
    <s v="2021/4534"/>
    <s v="99 Lacy Road (Guildford House)"/>
    <s v=""/>
    <n v="523735"/>
    <n v="175468"/>
    <x v="0"/>
    <d v="2022-09-05T00:00:00"/>
    <m/>
    <n v="0"/>
    <n v="1"/>
    <n v="1"/>
    <n v="1"/>
    <n v="1"/>
    <x v="1"/>
    <s v="Formation of a new 2-bedroom dwelling at lower ground floor level."/>
    <s v="PF"/>
    <d v="2021-10-04T00:00:00"/>
    <d v="2022-02-23T00:00:00"/>
    <x v="0"/>
    <s v="Nil"/>
    <m/>
    <s v="BF"/>
    <s v="CON"/>
    <x v="2"/>
    <x v="3"/>
    <n v="6.0000000000000001E-3"/>
    <d v="2022-09-05T00:00:00"/>
    <x v="1"/>
    <m/>
    <x v="2"/>
    <s v="M"/>
    <s v=""/>
    <m/>
    <n v="0"/>
    <m/>
    <n v="0"/>
    <m/>
    <n v="0"/>
    <n v="0"/>
    <n v="1"/>
    <n v="0"/>
    <n v="0"/>
    <n v="0"/>
    <n v="0"/>
    <n v="0"/>
    <n v="0"/>
    <n v="1"/>
    <n v="0"/>
    <n v="0"/>
    <n v="0"/>
    <n v="0"/>
    <n v="0"/>
    <n v="0"/>
    <n v="0"/>
    <n v="0"/>
    <n v="0"/>
    <n v="0"/>
    <n v="0"/>
    <n v="0"/>
    <n v="0"/>
    <n v="0"/>
    <n v="0"/>
    <n v="0"/>
    <n v="0"/>
    <n v="0"/>
    <x v="0"/>
    <x v="0"/>
    <x v="1"/>
    <n v="13"/>
    <m/>
    <n v="1"/>
    <m/>
    <m/>
    <m/>
    <m/>
    <m/>
    <m/>
    <m/>
    <m/>
    <m/>
    <m/>
    <m/>
    <m/>
    <m/>
    <m/>
    <m/>
    <m/>
    <m/>
    <m/>
    <n v="1"/>
    <n v="1"/>
  </r>
  <r>
    <n v="4762"/>
    <x v="2"/>
    <s v="2020/4967"/>
    <s v="and 182A, 182 Mitcham Road"/>
    <s v=""/>
    <n v="527890"/>
    <n v="170978"/>
    <x v="3"/>
    <d v="2022-04-10T00:00:00"/>
    <m/>
    <n v="0"/>
    <n v="1"/>
    <n v="1"/>
    <n v="1"/>
    <n v="1"/>
    <x v="1"/>
    <s v="Alterations to existing single storey rear/side extension and replacement rear boundary treatment, in connection with the conversion of the rear part of the ground floor into one-bedroom studio flat."/>
    <s v="PF"/>
    <d v="2020-12-21T00:00:00"/>
    <d v="2021-09-14T00:00:00"/>
    <x v="0"/>
    <s v="Nil"/>
    <m/>
    <s v="BF"/>
    <s v="CON"/>
    <x v="2"/>
    <x v="6"/>
    <n v="4.4000000000000003E-3"/>
    <d v="2022-04-10T00:00:00"/>
    <x v="1"/>
    <m/>
    <x v="2"/>
    <s v="M"/>
    <s v=""/>
    <m/>
    <n v="0"/>
    <m/>
    <n v="0"/>
    <m/>
    <n v="0"/>
    <n v="1"/>
    <n v="0"/>
    <n v="0"/>
    <n v="0"/>
    <n v="0"/>
    <n v="0"/>
    <n v="0"/>
    <n v="1"/>
    <n v="0"/>
    <n v="0"/>
    <n v="0"/>
    <n v="0"/>
    <n v="0"/>
    <n v="0"/>
    <n v="0"/>
    <n v="0"/>
    <n v="0"/>
    <n v="0"/>
    <n v="0"/>
    <n v="0"/>
    <n v="0"/>
    <n v="0"/>
    <n v="0"/>
    <n v="0"/>
    <n v="0"/>
    <n v="0"/>
    <n v="0"/>
    <x v="0"/>
    <x v="0"/>
    <x v="3"/>
    <n v="13"/>
    <m/>
    <n v="1"/>
    <m/>
    <m/>
    <m/>
    <m/>
    <m/>
    <m/>
    <m/>
    <m/>
    <m/>
    <m/>
    <m/>
    <m/>
    <m/>
    <m/>
    <m/>
    <m/>
    <m/>
    <m/>
    <n v="1"/>
    <n v="1"/>
  </r>
  <r>
    <n v="6669"/>
    <x v="2"/>
    <s v="2018/4639"/>
    <s v="Car storage site rear of, 1 Kenlor Road"/>
    <s v=""/>
    <n v="527101"/>
    <n v="170989"/>
    <x v="3"/>
    <d v="2022-01-18T00:00:00"/>
    <m/>
    <n v="0"/>
    <n v="1"/>
    <n v="1"/>
    <n v="1"/>
    <n v="1"/>
    <x v="1"/>
    <s v="Demolition of existing single storey building and the erection of a single-storey one bedroom detached house with associated cycle and refuse storage and landscaping."/>
    <s v="PF"/>
    <d v="2018-10-01T00:00:00"/>
    <d v="2018-11-26T00:00:00"/>
    <x v="0"/>
    <s v="Nil"/>
    <m/>
    <s v="BF"/>
    <s v="NB"/>
    <x v="2"/>
    <x v="1"/>
    <n v="7.0000000000000001E-3"/>
    <d v="2022-01-18T00:00:00"/>
    <x v="0"/>
    <m/>
    <x v="2"/>
    <s v="M"/>
    <s v=""/>
    <m/>
    <n v="0"/>
    <m/>
    <n v="0"/>
    <m/>
    <n v="0"/>
    <n v="1"/>
    <n v="0"/>
    <n v="0"/>
    <n v="0"/>
    <n v="0"/>
    <n v="0"/>
    <n v="0"/>
    <n v="0"/>
    <n v="0"/>
    <n v="0"/>
    <n v="0"/>
    <n v="0"/>
    <n v="0"/>
    <n v="0"/>
    <n v="1"/>
    <n v="0"/>
    <n v="0"/>
    <n v="0"/>
    <n v="0"/>
    <n v="0"/>
    <n v="0"/>
    <n v="0"/>
    <n v="0"/>
    <n v="0"/>
    <n v="0"/>
    <n v="0"/>
    <n v="0"/>
    <x v="0"/>
    <x v="0"/>
    <x v="3"/>
    <n v="3"/>
    <m/>
    <n v="1"/>
    <m/>
    <m/>
    <m/>
    <m/>
    <m/>
    <m/>
    <m/>
    <m/>
    <m/>
    <m/>
    <m/>
    <m/>
    <m/>
    <m/>
    <m/>
    <m/>
    <m/>
    <m/>
    <n v="1"/>
    <n v="1"/>
  </r>
  <r>
    <n v="2410"/>
    <x v="2"/>
    <s v="2022/4305"/>
    <s v="Coach House adjoining 83, Mallinson Road"/>
    <s v=""/>
    <n v="527525"/>
    <n v="174930"/>
    <x v="14"/>
    <d v="2022-04-01T00:00:00"/>
    <m/>
    <n v="0"/>
    <n v="1"/>
    <n v="1"/>
    <n v="1"/>
    <n v="1"/>
    <x v="1"/>
    <s v="Erection of a detached house with basement and roof terraces to front, rear and above roof."/>
    <s v="PF"/>
    <d v="2022-10-20T00:00:00"/>
    <d v="2022-12-20T00:00:00"/>
    <x v="1"/>
    <s v="Nil"/>
    <m/>
    <s v="BF"/>
    <s v="NB"/>
    <x v="2"/>
    <x v="1"/>
    <n v="0.01"/>
    <d v="2022-04-01T00:00:00"/>
    <x v="1"/>
    <m/>
    <x v="2"/>
    <s v="M"/>
    <s v=""/>
    <m/>
    <n v="0"/>
    <m/>
    <n v="0"/>
    <m/>
    <n v="0"/>
    <n v="0"/>
    <n v="0"/>
    <n v="0"/>
    <n v="1"/>
    <n v="0"/>
    <n v="0"/>
    <n v="0"/>
    <n v="0"/>
    <n v="0"/>
    <n v="0"/>
    <n v="0"/>
    <n v="0"/>
    <n v="0"/>
    <n v="0"/>
    <n v="0"/>
    <n v="0"/>
    <n v="0"/>
    <n v="1"/>
    <n v="0"/>
    <n v="0"/>
    <n v="0"/>
    <n v="0"/>
    <n v="0"/>
    <n v="0"/>
    <n v="0"/>
    <n v="0"/>
    <n v="0"/>
    <x v="5"/>
    <x v="0"/>
    <x v="5"/>
    <n v="3"/>
    <m/>
    <n v="1"/>
    <m/>
    <m/>
    <m/>
    <m/>
    <m/>
    <m/>
    <m/>
    <m/>
    <m/>
    <m/>
    <m/>
    <m/>
    <m/>
    <m/>
    <m/>
    <m/>
    <m/>
    <m/>
    <n v="1"/>
    <n v="1"/>
  </r>
  <r>
    <n v="6167"/>
    <x v="2"/>
    <s v="2018/5658"/>
    <s v="Garages between 23 &amp; 25, Darley Road"/>
    <s v=""/>
    <n v="527551"/>
    <n v="174388"/>
    <x v="14"/>
    <d v="2022-04-01T00:00:00"/>
    <m/>
    <n v="0"/>
    <n v="1"/>
    <n v="1"/>
    <n v="1"/>
    <n v="1"/>
    <x v="1"/>
    <s v="Demolition of existing garages and erection of two-storey(plus basement) 4-bedroom house with associated refuse and cycle storage."/>
    <s v="PF"/>
    <d v="2018-12-05T00:00:00"/>
    <d v="2019-05-02T00:00:00"/>
    <x v="0"/>
    <s v="Nil"/>
    <m/>
    <s v="BF"/>
    <s v="NB"/>
    <x v="2"/>
    <x v="1"/>
    <n v="1.7999999999999999E-2"/>
    <d v="2022-04-01T00:00:00"/>
    <x v="1"/>
    <m/>
    <x v="2"/>
    <s v="M"/>
    <s v=""/>
    <m/>
    <n v="0"/>
    <m/>
    <n v="0"/>
    <m/>
    <n v="0"/>
    <n v="0"/>
    <n v="0"/>
    <n v="0"/>
    <n v="1"/>
    <n v="0"/>
    <n v="0"/>
    <n v="0"/>
    <n v="0"/>
    <n v="0"/>
    <n v="0"/>
    <n v="0"/>
    <n v="0"/>
    <n v="0"/>
    <n v="0"/>
    <n v="0"/>
    <n v="0"/>
    <n v="0"/>
    <n v="1"/>
    <n v="0"/>
    <n v="0"/>
    <n v="0"/>
    <n v="0"/>
    <n v="0"/>
    <n v="0"/>
    <n v="0"/>
    <n v="0"/>
    <n v="0"/>
    <x v="0"/>
    <x v="0"/>
    <x v="1"/>
    <n v="3"/>
    <m/>
    <n v="1"/>
    <m/>
    <m/>
    <m/>
    <m/>
    <m/>
    <m/>
    <m/>
    <m/>
    <m/>
    <m/>
    <m/>
    <m/>
    <m/>
    <m/>
    <m/>
    <m/>
    <m/>
    <m/>
    <n v="1"/>
    <n v="1"/>
  </r>
  <r>
    <n v="6660"/>
    <x v="2"/>
    <s v="2019/0762"/>
    <s v="garages north of 8, 8 Buckmaster Road"/>
    <s v=""/>
    <n v="527260"/>
    <n v="175041"/>
    <x v="12"/>
    <d v="2022-04-01T00:00:00"/>
    <m/>
    <n v="0"/>
    <n v="1"/>
    <n v="1"/>
    <n v="1"/>
    <n v="1"/>
    <x v="1"/>
    <s v="Demolition of existing single-storey vehicle garages and the erection of a two-storey plus basement 2 x bedroom dwellinghouse (Class C3)."/>
    <s v="PF"/>
    <d v="2019-03-19T00:00:00"/>
    <d v="2019-05-24T00:00:00"/>
    <x v="0"/>
    <s v="Nil"/>
    <m/>
    <s v="BF"/>
    <s v="NB"/>
    <x v="2"/>
    <x v="1"/>
    <n v="7.0000000000000001E-3"/>
    <d v="2022-04-01T00:00:00"/>
    <x v="1"/>
    <m/>
    <x v="2"/>
    <s v="M"/>
    <s v=""/>
    <m/>
    <n v="0"/>
    <m/>
    <n v="0"/>
    <m/>
    <n v="0"/>
    <n v="0"/>
    <n v="1"/>
    <n v="0"/>
    <n v="0"/>
    <n v="0"/>
    <n v="0"/>
    <n v="0"/>
    <n v="0"/>
    <n v="0"/>
    <n v="0"/>
    <n v="0"/>
    <n v="0"/>
    <n v="0"/>
    <n v="0"/>
    <n v="0"/>
    <n v="1"/>
    <n v="0"/>
    <n v="0"/>
    <n v="0"/>
    <n v="0"/>
    <n v="0"/>
    <n v="0"/>
    <n v="0"/>
    <n v="0"/>
    <n v="0"/>
    <n v="0"/>
    <n v="0"/>
    <x v="0"/>
    <x v="0"/>
    <x v="5"/>
    <n v="3"/>
    <m/>
    <n v="1"/>
    <m/>
    <m/>
    <m/>
    <m/>
    <m/>
    <m/>
    <m/>
    <m/>
    <m/>
    <m/>
    <m/>
    <m/>
    <m/>
    <m/>
    <m/>
    <m/>
    <m/>
    <m/>
    <n v="1"/>
    <n v="1"/>
  </r>
  <r>
    <n v="2708"/>
    <x v="2"/>
    <s v="2021/3346"/>
    <s v="Garages rear of 194, Bedford Hill"/>
    <s v=""/>
    <n v="528946"/>
    <n v="172480"/>
    <x v="8"/>
    <d v="2020-09-01T00:00:00"/>
    <m/>
    <n v="0"/>
    <n v="1"/>
    <n v="1"/>
    <n v="1"/>
    <n v="1"/>
    <x v="1"/>
    <s v="Demolition of existing garages and erection of single storey (plus twostorey basement) 2-bedroom house including alterations to boundary_x000a_walls"/>
    <s v="PF"/>
    <d v="2021-07-21T00:00:00"/>
    <d v="2021-11-12T00:00:00"/>
    <x v="0"/>
    <s v="Nil"/>
    <m/>
    <s v="BF"/>
    <s v="NB"/>
    <x v="2"/>
    <x v="1"/>
    <n v="4.73333E-3"/>
    <d v="2020-09-01T00:00:00"/>
    <x v="0"/>
    <m/>
    <x v="2"/>
    <s v="M"/>
    <s v=""/>
    <m/>
    <n v="0"/>
    <m/>
    <n v="0"/>
    <m/>
    <n v="0"/>
    <n v="0"/>
    <n v="1"/>
    <n v="0"/>
    <n v="0"/>
    <n v="0"/>
    <n v="0"/>
    <n v="0"/>
    <n v="0"/>
    <n v="0"/>
    <n v="0"/>
    <n v="0"/>
    <n v="0"/>
    <n v="0"/>
    <n v="0"/>
    <n v="0"/>
    <n v="1"/>
    <n v="0"/>
    <n v="0"/>
    <n v="0"/>
    <n v="0"/>
    <n v="0"/>
    <n v="0"/>
    <n v="0"/>
    <n v="0"/>
    <n v="0"/>
    <n v="0"/>
    <n v="0"/>
    <x v="0"/>
    <x v="0"/>
    <x v="1"/>
    <n v="3"/>
    <m/>
    <n v="1"/>
    <m/>
    <m/>
    <m/>
    <m/>
    <m/>
    <m/>
    <m/>
    <m/>
    <m/>
    <m/>
    <m/>
    <m/>
    <m/>
    <m/>
    <m/>
    <m/>
    <m/>
    <m/>
    <n v="1"/>
    <n v="1"/>
  </r>
  <r>
    <n v="5376"/>
    <x v="2"/>
    <s v="2017/2024"/>
    <s v="land adjacent to 72, 72A Bedford Hill"/>
    <s v=""/>
    <n v="528703"/>
    <n v="173099"/>
    <x v="8"/>
    <d v="2017-11-06T00:00:00"/>
    <m/>
    <n v="0"/>
    <n v="1"/>
    <n v="1"/>
    <n v="2"/>
    <n v="2"/>
    <x v="1"/>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0"/>
    <s v="Nil"/>
    <m/>
    <s v="BF"/>
    <s v="EXT"/>
    <x v="2"/>
    <x v="2"/>
    <n v="4.0000000000000001E-3"/>
    <d v="2017-11-06T00:00:00"/>
    <x v="0"/>
    <m/>
    <x v="2"/>
    <s v="M"/>
    <s v=""/>
    <m/>
    <n v="0"/>
    <m/>
    <n v="0"/>
    <m/>
    <n v="1"/>
    <n v="0"/>
    <n v="0"/>
    <n v="0"/>
    <n v="0"/>
    <n v="0"/>
    <n v="0"/>
    <n v="1"/>
    <n v="0"/>
    <n v="0"/>
    <n v="0"/>
    <n v="0"/>
    <n v="0"/>
    <n v="0"/>
    <n v="0"/>
    <n v="0"/>
    <n v="0"/>
    <n v="0"/>
    <n v="0"/>
    <n v="0"/>
    <n v="0"/>
    <n v="0"/>
    <n v="0"/>
    <n v="0"/>
    <n v="0"/>
    <n v="0"/>
    <n v="0"/>
    <n v="0"/>
    <x v="0"/>
    <x v="0"/>
    <x v="2"/>
    <n v="13"/>
    <m/>
    <n v="1"/>
    <m/>
    <m/>
    <m/>
    <m/>
    <m/>
    <m/>
    <m/>
    <m/>
    <m/>
    <m/>
    <m/>
    <m/>
    <m/>
    <m/>
    <m/>
    <m/>
    <m/>
    <m/>
    <n v="1"/>
    <n v="1"/>
  </r>
  <r>
    <n v="5376"/>
    <x v="2"/>
    <s v="2017/2024"/>
    <s v="land adjacent to 72, 72A Bedford Hill"/>
    <s v=""/>
    <n v="528703"/>
    <n v="173099"/>
    <x v="8"/>
    <d v="2017-11-06T00:00:00"/>
    <m/>
    <n v="0"/>
    <n v="1"/>
    <n v="1"/>
    <n v="2"/>
    <n v="2"/>
    <x v="1"/>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0"/>
    <s v="Nil"/>
    <m/>
    <s v="BF"/>
    <s v="EXT"/>
    <x v="2"/>
    <x v="1"/>
    <n v="6.0000000000000001E-3"/>
    <d v="2017-11-06T00:00:00"/>
    <x v="0"/>
    <m/>
    <x v="2"/>
    <s v="M"/>
    <s v=""/>
    <m/>
    <n v="0"/>
    <m/>
    <n v="0"/>
    <m/>
    <n v="0"/>
    <n v="0"/>
    <n v="1"/>
    <n v="0"/>
    <n v="0"/>
    <n v="0"/>
    <n v="0"/>
    <n v="0"/>
    <n v="0"/>
    <n v="1"/>
    <n v="0"/>
    <n v="0"/>
    <n v="0"/>
    <n v="0"/>
    <n v="0"/>
    <n v="0"/>
    <n v="0"/>
    <n v="0"/>
    <n v="0"/>
    <n v="0"/>
    <n v="0"/>
    <n v="0"/>
    <n v="0"/>
    <n v="0"/>
    <n v="0"/>
    <n v="0"/>
    <n v="0"/>
    <n v="0"/>
    <x v="0"/>
    <x v="0"/>
    <x v="2"/>
    <n v="13"/>
    <m/>
    <n v="1"/>
    <m/>
    <m/>
    <m/>
    <m/>
    <m/>
    <m/>
    <m/>
    <m/>
    <m/>
    <m/>
    <m/>
    <m/>
    <m/>
    <m/>
    <m/>
    <m/>
    <m/>
    <m/>
    <n v="1"/>
    <n v="1"/>
  </r>
  <r>
    <n v="6196"/>
    <x v="2"/>
    <s v="2018/0917"/>
    <s v="Land adjacent, 80 Manville Road"/>
    <s v=""/>
    <n v="528701"/>
    <n v="172342"/>
    <x v="8"/>
    <d v="2021-04-01T00:00:00"/>
    <m/>
    <n v="0"/>
    <n v="1"/>
    <n v="1"/>
    <n v="1"/>
    <n v="1"/>
    <x v="1"/>
    <s v="Demolition of existing garage and erection of part single, part two-storey (plus basement) 3-bedroom detached house with associated landscaping, boundary treatment, cycle, refuse storage and car parking."/>
    <s v="PF"/>
    <d v="2018-03-06T00:00:00"/>
    <d v="2018-05-30T00:00:00"/>
    <x v="0"/>
    <s v="Nil"/>
    <m/>
    <s v="BF"/>
    <s v="NB"/>
    <x v="2"/>
    <x v="1"/>
    <n v="8.9999999999999993E-3"/>
    <d v="2021-04-01T00:00:00"/>
    <x v="0"/>
    <m/>
    <x v="2"/>
    <s v="M"/>
    <s v=""/>
    <m/>
    <n v="0"/>
    <m/>
    <n v="0"/>
    <m/>
    <n v="0"/>
    <n v="0"/>
    <n v="0"/>
    <n v="1"/>
    <n v="0"/>
    <n v="0"/>
    <n v="0"/>
    <n v="0"/>
    <n v="0"/>
    <n v="0"/>
    <n v="0"/>
    <n v="0"/>
    <n v="0"/>
    <n v="0"/>
    <n v="0"/>
    <n v="0"/>
    <n v="0"/>
    <n v="1"/>
    <n v="0"/>
    <n v="0"/>
    <n v="0"/>
    <n v="0"/>
    <n v="0"/>
    <n v="0"/>
    <n v="0"/>
    <n v="0"/>
    <n v="0"/>
    <n v="0"/>
    <x v="0"/>
    <x v="0"/>
    <x v="1"/>
    <n v="3"/>
    <m/>
    <n v="1"/>
    <m/>
    <m/>
    <m/>
    <m/>
    <m/>
    <m/>
    <m/>
    <m/>
    <m/>
    <m/>
    <m/>
    <m/>
    <m/>
    <m/>
    <m/>
    <m/>
    <m/>
    <m/>
    <n v="1"/>
    <n v="1"/>
  </r>
  <r>
    <n v="5775"/>
    <x v="2"/>
    <s v="2014/6325"/>
    <s v="Land rear of, 13 Thurleigh Road"/>
    <s v=""/>
    <n v="527719"/>
    <n v="174043"/>
    <x v="14"/>
    <d v="2017-07-05T00:00:00"/>
    <m/>
    <n v="0"/>
    <n v="1"/>
    <n v="1"/>
    <n v="1"/>
    <n v="1"/>
    <x v="1"/>
    <s v="Demolition of existing garages, erection of a single-storey plus basement attached self-contained dwelling fronting Blenkame Road with boundary treatment and associated landscaping."/>
    <s v="PF"/>
    <d v="2014-11-06T00:00:00"/>
    <d v="2015-02-27T00:00:00"/>
    <x v="0"/>
    <s v="Nil"/>
    <m/>
    <s v="BF"/>
    <s v="NB"/>
    <x v="2"/>
    <x v="1"/>
    <n v="8.9999999999999993E-3"/>
    <d v="2017-07-05T00:00:00"/>
    <x v="0"/>
    <m/>
    <x v="2"/>
    <s v="M"/>
    <s v=""/>
    <m/>
    <n v="0"/>
    <m/>
    <n v="0"/>
    <m/>
    <n v="0"/>
    <n v="0"/>
    <n v="1"/>
    <n v="0"/>
    <n v="0"/>
    <n v="0"/>
    <n v="0"/>
    <n v="0"/>
    <n v="0"/>
    <n v="0"/>
    <n v="0"/>
    <n v="0"/>
    <n v="0"/>
    <n v="0"/>
    <n v="0"/>
    <n v="0"/>
    <n v="1"/>
    <n v="0"/>
    <n v="0"/>
    <n v="0"/>
    <n v="0"/>
    <n v="0"/>
    <n v="0"/>
    <n v="0"/>
    <n v="0"/>
    <n v="0"/>
    <n v="0"/>
    <n v="0"/>
    <x v="0"/>
    <x v="0"/>
    <x v="1"/>
    <n v="3"/>
    <m/>
    <n v="1"/>
    <m/>
    <m/>
    <m/>
    <m/>
    <m/>
    <m/>
    <m/>
    <m/>
    <m/>
    <m/>
    <m/>
    <m/>
    <m/>
    <m/>
    <m/>
    <m/>
    <m/>
    <m/>
    <n v="1"/>
    <n v="1"/>
  </r>
  <r>
    <n v="5398"/>
    <x v="2"/>
    <s v="2022/1057"/>
    <s v="Land rear of, 143 St Johns Hill"/>
    <s v=""/>
    <n v="526797"/>
    <n v="175059"/>
    <x v="6"/>
    <d v="2023-02-01T00:00:00"/>
    <m/>
    <n v="0"/>
    <n v="2"/>
    <n v="2"/>
    <n v="2"/>
    <n v="2"/>
    <x v="1"/>
    <s v="Erection of two-storey building to provide one  x 2-bedroom and one x 1-bedroom flats with associated refuse and cycle storage."/>
    <s v="PF"/>
    <d v="2022-03-23T00:00:00"/>
    <d v="2022-05-27T00:00:00"/>
    <x v="1"/>
    <s v="Nil"/>
    <m/>
    <s v="BF"/>
    <s v="NB"/>
    <x v="2"/>
    <x v="1"/>
    <n v="6.0000000000000001E-3"/>
    <d v="2023-02-01T00:00:00"/>
    <x v="1"/>
    <m/>
    <x v="2"/>
    <s v="M"/>
    <s v=""/>
    <m/>
    <n v="0"/>
    <m/>
    <n v="0"/>
    <m/>
    <n v="0"/>
    <n v="1"/>
    <n v="1"/>
    <n v="0"/>
    <n v="0"/>
    <n v="0"/>
    <n v="0"/>
    <n v="0"/>
    <n v="1"/>
    <n v="1"/>
    <n v="0"/>
    <n v="0"/>
    <n v="0"/>
    <n v="0"/>
    <n v="0"/>
    <n v="0"/>
    <n v="0"/>
    <n v="0"/>
    <n v="0"/>
    <n v="0"/>
    <n v="0"/>
    <n v="0"/>
    <n v="0"/>
    <n v="0"/>
    <n v="0"/>
    <n v="0"/>
    <n v="0"/>
    <n v="0"/>
    <x v="0"/>
    <x v="0"/>
    <x v="1"/>
    <n v="4"/>
    <m/>
    <n v="1"/>
    <n v="1"/>
    <m/>
    <m/>
    <m/>
    <m/>
    <m/>
    <m/>
    <m/>
    <m/>
    <m/>
    <m/>
    <m/>
    <m/>
    <m/>
    <m/>
    <m/>
    <m/>
    <m/>
    <n v="2"/>
    <n v="2"/>
  </r>
  <r>
    <n v="6854"/>
    <x v="2"/>
    <s v="2021/3247"/>
    <s v="Stroud Crescent (Open space adjacent to 178-204)"/>
    <s v=""/>
    <n v="522206"/>
    <n v="172346"/>
    <x v="16"/>
    <d v="2022-12-09T00:00:00"/>
    <m/>
    <n v="0"/>
    <n v="14"/>
    <n v="14"/>
    <n v="14"/>
    <n v="14"/>
    <x v="0"/>
    <s v="Erection of three/four storey building to provide 14 x flats (4 x 1-bedroom, 6 x 2-bedroom and 4 x 3-bedroom) each with a balcony with metal rails and with associated landscaping, 6 parking spaces, 2 of which are disability spaces, erection of new refuse and cycle storage."/>
    <s v="PFLA"/>
    <d v="2021-07-13T00:00:00"/>
    <d v="2022-03-16T00:00:00"/>
    <x v="0"/>
    <s v="Nil"/>
    <m/>
    <s v="BF"/>
    <s v="NB"/>
    <x v="0"/>
    <x v="0"/>
    <n v="2.5000000000000001E-2"/>
    <d v="2022-12-09T00:00:00"/>
    <x v="1"/>
    <m/>
    <x v="1"/>
    <s v="AA"/>
    <s v=""/>
    <m/>
    <n v="0"/>
    <m/>
    <n v="0"/>
    <n v="2"/>
    <n v="0"/>
    <n v="4"/>
    <n v="6"/>
    <n v="4"/>
    <n v="0"/>
    <n v="0"/>
    <n v="0"/>
    <n v="0"/>
    <n v="4"/>
    <n v="6"/>
    <n v="4"/>
    <n v="0"/>
    <n v="0"/>
    <n v="0"/>
    <n v="0"/>
    <n v="0"/>
    <n v="0"/>
    <n v="0"/>
    <n v="0"/>
    <n v="0"/>
    <n v="0"/>
    <n v="0"/>
    <n v="0"/>
    <n v="0"/>
    <n v="0"/>
    <n v="0"/>
    <n v="0"/>
    <n v="0"/>
    <x v="0"/>
    <x v="0"/>
    <x v="1"/>
    <n v="2"/>
    <m/>
    <m/>
    <m/>
    <n v="14"/>
    <m/>
    <m/>
    <m/>
    <m/>
    <m/>
    <m/>
    <m/>
    <m/>
    <m/>
    <m/>
    <m/>
    <m/>
    <m/>
    <m/>
    <m/>
    <m/>
    <n v="14"/>
    <n v="14"/>
  </r>
  <r>
    <n v="7066"/>
    <x v="2"/>
    <s v="2018/5918"/>
    <s v="Rear of, 631 Garratt Lane"/>
    <s v=""/>
    <n v="526155"/>
    <n v="172567"/>
    <x v="10"/>
    <d v="2022-05-05T00:00:00"/>
    <m/>
    <n v="0"/>
    <n v="1"/>
    <n v="1"/>
    <n v="1"/>
    <n v="1"/>
    <x v="1"/>
    <s v="Erection of two storey 1-bedroom house with first floor terraces with 1.7m high screen and access from Quinton Street."/>
    <s v="PF"/>
    <d v="2018-12-14T00:00:00"/>
    <d v="2019-05-22T00:00:00"/>
    <x v="0"/>
    <s v="Nil"/>
    <m/>
    <s v="BF"/>
    <s v="NB"/>
    <x v="2"/>
    <x v="1"/>
    <n v="8.0000000000000002E-3"/>
    <d v="2022-05-05T00:00:00"/>
    <x v="1"/>
    <m/>
    <x v="2"/>
    <s v="M"/>
    <s v=""/>
    <m/>
    <n v="0"/>
    <n v="1"/>
    <n v="0"/>
    <m/>
    <n v="0"/>
    <n v="1"/>
    <n v="0"/>
    <n v="0"/>
    <n v="0"/>
    <n v="0"/>
    <n v="0"/>
    <n v="0"/>
    <n v="0"/>
    <n v="0"/>
    <n v="0"/>
    <n v="0"/>
    <n v="0"/>
    <n v="0"/>
    <n v="0"/>
    <n v="1"/>
    <n v="0"/>
    <n v="0"/>
    <n v="0"/>
    <n v="0"/>
    <n v="0"/>
    <n v="0"/>
    <n v="0"/>
    <n v="0"/>
    <n v="0"/>
    <n v="0"/>
    <n v="0"/>
    <n v="0"/>
    <x v="0"/>
    <x v="0"/>
    <x v="6"/>
    <n v="3"/>
    <m/>
    <n v="1"/>
    <m/>
    <m/>
    <m/>
    <m/>
    <m/>
    <m/>
    <m/>
    <m/>
    <m/>
    <m/>
    <m/>
    <m/>
    <m/>
    <m/>
    <m/>
    <m/>
    <m/>
    <m/>
    <n v="1"/>
    <n v="1"/>
  </r>
  <r>
    <n v="6704"/>
    <x v="2"/>
    <s v="2019/0435"/>
    <s v="Ross Court, 81 Putney Hill"/>
    <s v=""/>
    <n v="523738"/>
    <n v="173863"/>
    <x v="7"/>
    <d v="2021-06-16T00:00:00"/>
    <m/>
    <n v="0"/>
    <n v="1"/>
    <n v="1"/>
    <n v="1"/>
    <n v="1"/>
    <x v="1"/>
    <s v="Determination as to whether prior approval is required for change of use from storage (Class B8) to residential (Class C3) to provide 1 x 1-bed flat."/>
    <s v="PAG"/>
    <d v="2019-02-06T00:00:00"/>
    <d v="2019-03-29T00:00:00"/>
    <x v="0"/>
    <s v="Nil"/>
    <m/>
    <s v="BF"/>
    <s v="COU"/>
    <x v="2"/>
    <x v="3"/>
    <n v="8.9999999999999993E-3"/>
    <d v="2021-06-16T00:00:00"/>
    <x v="0"/>
    <m/>
    <x v="2"/>
    <s v="M"/>
    <s v=""/>
    <m/>
    <n v="0"/>
    <m/>
    <n v="0"/>
    <m/>
    <n v="0"/>
    <n v="1"/>
    <n v="0"/>
    <n v="0"/>
    <n v="0"/>
    <n v="0"/>
    <n v="0"/>
    <n v="0"/>
    <n v="1"/>
    <n v="0"/>
    <n v="0"/>
    <n v="0"/>
    <n v="0"/>
    <n v="0"/>
    <n v="0"/>
    <n v="0"/>
    <n v="0"/>
    <n v="0"/>
    <n v="0"/>
    <n v="0"/>
    <n v="0"/>
    <n v="0"/>
    <n v="0"/>
    <n v="0"/>
    <n v="0"/>
    <n v="0"/>
    <n v="0"/>
    <n v="0"/>
    <x v="0"/>
    <x v="0"/>
    <x v="1"/>
    <n v="13"/>
    <m/>
    <n v="1"/>
    <m/>
    <m/>
    <m/>
    <m/>
    <m/>
    <m/>
    <m/>
    <m/>
    <m/>
    <m/>
    <m/>
    <m/>
    <m/>
    <m/>
    <m/>
    <m/>
    <m/>
    <m/>
    <n v="1"/>
    <n v="1"/>
  </r>
  <r>
    <n v="2784"/>
    <x v="2"/>
    <s v="2020/0184"/>
    <s v="Sterling House, Burston Road (Former garage site)"/>
    <s v=""/>
    <n v="523820"/>
    <n v="175047"/>
    <x v="18"/>
    <d v="2022-04-01T00:00:00"/>
    <m/>
    <n v="0"/>
    <n v="1"/>
    <n v="1"/>
    <n v="1"/>
    <n v="1"/>
    <x v="1"/>
    <s v="Erection of roof extension to provide an additional floor of accommodation to accomodate 1x3 bedroom flat."/>
    <s v="PF"/>
    <d v="2020-01-29T00:00:00"/>
    <d v="2020-05-27T00:00:00"/>
    <x v="0"/>
    <s v="Nil"/>
    <m/>
    <s v="BF"/>
    <s v="EXT"/>
    <x v="2"/>
    <x v="2"/>
    <n v="6.0000000000000001E-3"/>
    <d v="2022-04-01T00:00:00"/>
    <x v="1"/>
    <m/>
    <x v="2"/>
    <s v="M"/>
    <s v=""/>
    <m/>
    <n v="0"/>
    <m/>
    <n v="0"/>
    <m/>
    <n v="0"/>
    <n v="0"/>
    <n v="0"/>
    <n v="1"/>
    <n v="0"/>
    <n v="0"/>
    <n v="0"/>
    <n v="0"/>
    <n v="0"/>
    <n v="0"/>
    <n v="1"/>
    <n v="0"/>
    <n v="0"/>
    <n v="0"/>
    <n v="0"/>
    <n v="0"/>
    <n v="0"/>
    <n v="0"/>
    <n v="0"/>
    <n v="0"/>
    <n v="0"/>
    <n v="0"/>
    <n v="0"/>
    <n v="0"/>
    <n v="0"/>
    <n v="0"/>
    <n v="0"/>
    <n v="0"/>
    <x v="0"/>
    <x v="0"/>
    <x v="4"/>
    <n v="13"/>
    <m/>
    <n v="1"/>
    <m/>
    <m/>
    <m/>
    <m/>
    <m/>
    <m/>
    <m/>
    <m/>
    <m/>
    <m/>
    <m/>
    <m/>
    <m/>
    <m/>
    <m/>
    <m/>
    <m/>
    <m/>
    <n v="1"/>
    <n v="1"/>
  </r>
  <r>
    <n v="7362"/>
    <x v="2"/>
    <s v="2020/0797"/>
    <s v="The Studio, 1c Moring Road"/>
    <s v=""/>
    <n v="528273"/>
    <n v="171722"/>
    <x v="9"/>
    <d v="2022-04-01T00:00:00"/>
    <m/>
    <n v="0"/>
    <n v="1"/>
    <n v="1"/>
    <n v="1"/>
    <n v="1"/>
    <x v="1"/>
    <s v="Alterations in connection with change of use from office (Class B1) to residential (Class C3) to provide studio flat with associated refuse storage."/>
    <s v="PF"/>
    <d v="2020-03-02T00:00:00"/>
    <d v="2020-04-27T00:00:00"/>
    <x v="0"/>
    <s v="Nil"/>
    <m/>
    <s v="BF"/>
    <s v="COU"/>
    <x v="2"/>
    <x v="6"/>
    <n v="5.0000000000000001E-3"/>
    <d v="2022-04-01T00:00:00"/>
    <x v="1"/>
    <m/>
    <x v="2"/>
    <s v="M"/>
    <s v=""/>
    <m/>
    <n v="0"/>
    <m/>
    <n v="0"/>
    <m/>
    <n v="1"/>
    <n v="0"/>
    <n v="0"/>
    <n v="0"/>
    <n v="0"/>
    <n v="0"/>
    <n v="0"/>
    <n v="1"/>
    <n v="0"/>
    <n v="0"/>
    <n v="0"/>
    <n v="0"/>
    <n v="0"/>
    <n v="0"/>
    <n v="0"/>
    <n v="0"/>
    <n v="0"/>
    <n v="0"/>
    <n v="0"/>
    <n v="0"/>
    <n v="0"/>
    <n v="0"/>
    <n v="0"/>
    <n v="0"/>
    <n v="0"/>
    <n v="0"/>
    <n v="0"/>
    <n v="0"/>
    <x v="0"/>
    <x v="0"/>
    <x v="1"/>
    <n v="13"/>
    <m/>
    <n v="1"/>
    <m/>
    <m/>
    <m/>
    <m/>
    <m/>
    <m/>
    <m/>
    <m/>
    <m/>
    <m/>
    <m/>
    <m/>
    <m/>
    <m/>
    <m/>
    <m/>
    <m/>
    <m/>
    <n v="1"/>
    <n v="1"/>
  </r>
  <r>
    <n v="6815"/>
    <x v="2"/>
    <s v="2018/0585"/>
    <s v="The Surgery, Claudia Place"/>
    <s v=""/>
    <n v="524144"/>
    <n v="173132"/>
    <x v="19"/>
    <d v="2020-03-25T00:00:00"/>
    <m/>
    <n v="0"/>
    <n v="1"/>
    <n v="1"/>
    <n v="1"/>
    <n v="1"/>
    <x v="1"/>
    <s v="Demolition of existing building and erection of a part-single, part four-storey 3-bedroomed dwellinghouse including roof terrace, with one off-street parking space."/>
    <s v="PF"/>
    <d v="2018-02-15T00:00:00"/>
    <d v="2018-07-23T00:00:00"/>
    <x v="0"/>
    <s v="Nil"/>
    <m/>
    <s v="BF"/>
    <s v="NB"/>
    <x v="2"/>
    <x v="1"/>
    <n v="7.0000000000000001E-3"/>
    <d v="2020-03-25T00:00:00"/>
    <x v="0"/>
    <m/>
    <x v="2"/>
    <s v="M"/>
    <s v=""/>
    <m/>
    <n v="0"/>
    <m/>
    <n v="0"/>
    <m/>
    <n v="0"/>
    <n v="0"/>
    <n v="0"/>
    <n v="1"/>
    <n v="0"/>
    <n v="0"/>
    <n v="0"/>
    <n v="0"/>
    <n v="0"/>
    <n v="0"/>
    <n v="0"/>
    <n v="0"/>
    <n v="0"/>
    <n v="0"/>
    <n v="0"/>
    <n v="0"/>
    <n v="0"/>
    <n v="1"/>
    <n v="0"/>
    <n v="0"/>
    <n v="0"/>
    <n v="0"/>
    <n v="0"/>
    <n v="0"/>
    <n v="0"/>
    <n v="0"/>
    <n v="0"/>
    <n v="0"/>
    <x v="0"/>
    <x v="0"/>
    <x v="1"/>
    <n v="3"/>
    <m/>
    <n v="1"/>
    <m/>
    <m/>
    <m/>
    <m/>
    <m/>
    <m/>
    <m/>
    <m/>
    <m/>
    <m/>
    <m/>
    <m/>
    <m/>
    <m/>
    <m/>
    <m/>
    <m/>
    <m/>
    <n v="1"/>
    <n v="1"/>
  </r>
  <r>
    <n v="5029"/>
    <x v="2"/>
    <s v="2021/1399"/>
    <s v="272-274 Battersea Park road"/>
    <s v=""/>
    <n v="527404"/>
    <n v="176366"/>
    <x v="5"/>
    <d v="2023-02-01T00:00:00"/>
    <m/>
    <n v="0"/>
    <n v="1"/>
    <n v="1"/>
    <n v="1"/>
    <n v="1"/>
    <x v="1"/>
    <s v="Alterations including erection of dormer roof extension to the rear and creation of roof terrace at third floor level with 1.7m glazed safety screen surround in connection with formation of new 1 x 2-bedroom flat; and insertion of rooflights into the front roofslope."/>
    <s v="PF"/>
    <d v="2021-03-24T00:00:00"/>
    <d v="2021-05-17T00:00:00"/>
    <x v="0"/>
    <s v="Nil"/>
    <m/>
    <s v="BF"/>
    <s v="MIX"/>
    <x v="2"/>
    <x v="2"/>
    <n v="7.0000000000000001E-3"/>
    <d v="2023-02-01T00:00:00"/>
    <x v="1"/>
    <m/>
    <x v="2"/>
    <s v="M"/>
    <s v=""/>
    <m/>
    <n v="0"/>
    <m/>
    <n v="0"/>
    <m/>
    <n v="0"/>
    <n v="0"/>
    <n v="1"/>
    <n v="0"/>
    <n v="0"/>
    <n v="0"/>
    <n v="0"/>
    <n v="0"/>
    <n v="0"/>
    <n v="1"/>
    <n v="0"/>
    <n v="0"/>
    <n v="0"/>
    <n v="0"/>
    <n v="0"/>
    <n v="0"/>
    <n v="0"/>
    <n v="0"/>
    <n v="0"/>
    <n v="0"/>
    <n v="0"/>
    <n v="0"/>
    <n v="0"/>
    <n v="0"/>
    <n v="0"/>
    <n v="0"/>
    <n v="0"/>
    <n v="0"/>
    <x v="0"/>
    <x v="0"/>
    <x v="1"/>
    <n v="14"/>
    <m/>
    <n v="0.5"/>
    <n v="0.5"/>
    <m/>
    <m/>
    <m/>
    <m/>
    <m/>
    <m/>
    <m/>
    <m/>
    <m/>
    <m/>
    <m/>
    <m/>
    <m/>
    <m/>
    <m/>
    <m/>
    <m/>
    <n v="1"/>
    <n v="1"/>
  </r>
  <r>
    <n v="4396"/>
    <x v="2"/>
    <s v="2021/4566"/>
    <s v="314 Garratt Lane"/>
    <s v=""/>
    <n v="525854"/>
    <n v="173217"/>
    <x v="11"/>
    <d v="2022-12-08T00:00:00"/>
    <m/>
    <n v="1"/>
    <n v="2"/>
    <n v="1"/>
    <n v="2"/>
    <n v="1"/>
    <x v="1"/>
    <s v="Alterations including erection of a roof extension to main rear roof, raising the main roof ridge height by 300mm, and extension above part of the two-storey back addition, in connection with conversion from 1 x 3-bed flat to 2 x 1-bed flats with associated refuse and cycle storage. (Amended drawings received.)"/>
    <s v="PF"/>
    <d v="2021-11-08T00:00:00"/>
    <d v="2022-03-04T00:00:00"/>
    <x v="0"/>
    <s v="Nil"/>
    <m/>
    <s v="BF"/>
    <s v="MIX"/>
    <x v="2"/>
    <x v="2"/>
    <n v="3.0000000000000001E-3"/>
    <d v="2022-12-08T00:00:00"/>
    <x v="1"/>
    <m/>
    <x v="2"/>
    <s v="M"/>
    <s v=""/>
    <m/>
    <n v="0"/>
    <m/>
    <n v="0"/>
    <m/>
    <n v="0"/>
    <n v="2"/>
    <n v="0"/>
    <n v="-1"/>
    <n v="0"/>
    <n v="0"/>
    <n v="0"/>
    <n v="0"/>
    <n v="2"/>
    <n v="0"/>
    <n v="-1"/>
    <n v="0"/>
    <n v="0"/>
    <n v="0"/>
    <n v="0"/>
    <n v="0"/>
    <n v="0"/>
    <n v="0"/>
    <n v="0"/>
    <n v="0"/>
    <n v="0"/>
    <n v="0"/>
    <n v="0"/>
    <n v="0"/>
    <n v="0"/>
    <n v="0"/>
    <n v="0"/>
    <n v="0"/>
    <x v="0"/>
    <x v="0"/>
    <x v="6"/>
    <n v="14"/>
    <m/>
    <n v="0.5"/>
    <n v="0.5"/>
    <m/>
    <m/>
    <m/>
    <m/>
    <m/>
    <m/>
    <m/>
    <m/>
    <m/>
    <m/>
    <m/>
    <m/>
    <m/>
    <m/>
    <m/>
    <m/>
    <m/>
    <n v="1"/>
    <n v="1"/>
  </r>
  <r>
    <n v="182"/>
    <x v="2"/>
    <s v="2019/3692"/>
    <s v="376-378 Garratt Lane"/>
    <s v=""/>
    <n v="526066"/>
    <n v="172919"/>
    <x v="10"/>
    <d v="2023-03-31T00:00:00"/>
    <m/>
    <n v="0"/>
    <n v="1"/>
    <n v="1"/>
    <n v="4"/>
    <n v="3"/>
    <x v="1"/>
    <s v="Alterations in connection with conversion of existing flat and  office (B1) to 4 x two-bedroom flats with associated bin and cycle storage."/>
    <s v="PF"/>
    <d v="2019-09-11T00:00:00"/>
    <d v="2019-11-18T00:00:00"/>
    <x v="0"/>
    <s v="Nil"/>
    <m/>
    <s v="BF"/>
    <s v="MIX"/>
    <x v="2"/>
    <x v="6"/>
    <n v="7.0000000000000001E-3"/>
    <d v="2023-03-31T00:00:00"/>
    <x v="1"/>
    <m/>
    <x v="2"/>
    <s v="M"/>
    <s v=""/>
    <m/>
    <n v="0"/>
    <m/>
    <n v="0"/>
    <m/>
    <n v="0"/>
    <n v="0"/>
    <n v="1"/>
    <n v="0"/>
    <n v="0"/>
    <n v="0"/>
    <n v="0"/>
    <n v="0"/>
    <n v="0"/>
    <n v="1"/>
    <n v="0"/>
    <n v="0"/>
    <n v="0"/>
    <n v="0"/>
    <n v="0"/>
    <n v="0"/>
    <n v="0"/>
    <n v="0"/>
    <n v="0"/>
    <n v="0"/>
    <n v="0"/>
    <n v="0"/>
    <n v="0"/>
    <n v="0"/>
    <n v="0"/>
    <n v="0"/>
    <n v="0"/>
    <n v="0"/>
    <x v="0"/>
    <x v="0"/>
    <x v="6"/>
    <n v="14"/>
    <m/>
    <n v="0.5"/>
    <n v="0.5"/>
    <m/>
    <m/>
    <m/>
    <m/>
    <m/>
    <m/>
    <m/>
    <m/>
    <m/>
    <m/>
    <m/>
    <m/>
    <m/>
    <m/>
    <m/>
    <m/>
    <m/>
    <n v="1"/>
    <n v="1"/>
  </r>
  <r>
    <n v="5680"/>
    <x v="2"/>
    <s v="2022/0732"/>
    <s v="575 Battersea Park Road"/>
    <s v=""/>
    <n v="527140"/>
    <n v="176148"/>
    <x v="21"/>
    <d v="2023-03-31T00:00:00"/>
    <m/>
    <n v="1"/>
    <n v="2"/>
    <n v="1"/>
    <n v="2"/>
    <n v="1"/>
    <x v="1"/>
    <s v="Alterations including erection of roof extensions to main rear roof and above two storey back addition, formation of first floor roof terrace with screen surround in connection with conversion of existing flat into 1 x 1-bedroom and 1 x studio flats."/>
    <s v="PF"/>
    <d v="2022-02-21T00:00:00"/>
    <d v="2022-07-13T00:00:00"/>
    <x v="1"/>
    <s v="Nil"/>
    <m/>
    <s v="BF"/>
    <s v="MIX"/>
    <x v="2"/>
    <x v="2"/>
    <n v="6.0000000000000001E-3"/>
    <d v="2023-03-31T00:00:00"/>
    <x v="1"/>
    <m/>
    <x v="2"/>
    <s v="MR"/>
    <s v=""/>
    <m/>
    <n v="0"/>
    <m/>
    <n v="0"/>
    <m/>
    <n v="1"/>
    <n v="1"/>
    <n v="-1"/>
    <n v="0"/>
    <n v="0"/>
    <n v="0"/>
    <n v="0"/>
    <n v="1"/>
    <n v="1"/>
    <n v="-1"/>
    <n v="0"/>
    <n v="0"/>
    <n v="0"/>
    <n v="0"/>
    <n v="0"/>
    <n v="0"/>
    <n v="0"/>
    <n v="0"/>
    <n v="0"/>
    <n v="0"/>
    <n v="0"/>
    <n v="0"/>
    <n v="0"/>
    <n v="0"/>
    <n v="0"/>
    <n v="0"/>
    <n v="0"/>
    <n v="0"/>
    <x v="0"/>
    <x v="0"/>
    <x v="1"/>
    <n v="14"/>
    <m/>
    <n v="0.5"/>
    <n v="0.5"/>
    <m/>
    <m/>
    <m/>
    <m/>
    <m/>
    <m/>
    <m/>
    <m/>
    <m/>
    <m/>
    <m/>
    <m/>
    <m/>
    <m/>
    <m/>
    <m/>
    <m/>
    <n v="1"/>
    <n v="1"/>
  </r>
  <r>
    <n v="7233"/>
    <x v="2"/>
    <s v="2019/3388"/>
    <s v="77 Broomwood Road"/>
    <s v=""/>
    <n v="527787"/>
    <n v="174343"/>
    <x v="14"/>
    <d v="2023-03-31T00:00:00"/>
    <m/>
    <n v="0"/>
    <n v="1"/>
    <n v="1"/>
    <n v="4"/>
    <n v="1"/>
    <x v="1"/>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0"/>
    <s v="Nil"/>
    <m/>
    <s v="BF"/>
    <s v="MIX"/>
    <x v="2"/>
    <x v="7"/>
    <n v="5.0000000000000001E-3"/>
    <d v="2023-03-31T00:00:00"/>
    <x v="1"/>
    <m/>
    <x v="2"/>
    <s v="M"/>
    <s v=""/>
    <m/>
    <n v="0"/>
    <m/>
    <n v="0"/>
    <m/>
    <n v="0"/>
    <n v="0"/>
    <n v="1"/>
    <n v="0"/>
    <n v="0"/>
    <n v="0"/>
    <n v="0"/>
    <n v="0"/>
    <n v="0"/>
    <n v="1"/>
    <n v="0"/>
    <n v="0"/>
    <n v="0"/>
    <n v="0"/>
    <n v="0"/>
    <n v="0"/>
    <n v="0"/>
    <n v="0"/>
    <n v="0"/>
    <n v="0"/>
    <n v="0"/>
    <n v="0"/>
    <n v="0"/>
    <n v="0"/>
    <n v="0"/>
    <n v="0"/>
    <n v="0"/>
    <n v="0"/>
    <x v="0"/>
    <x v="0"/>
    <x v="1"/>
    <n v="14"/>
    <m/>
    <n v="0.5"/>
    <n v="0.5"/>
    <m/>
    <m/>
    <m/>
    <m/>
    <m/>
    <m/>
    <m/>
    <m/>
    <m/>
    <m/>
    <m/>
    <m/>
    <m/>
    <m/>
    <m/>
    <m/>
    <m/>
    <n v="1"/>
    <n v="1"/>
  </r>
  <r>
    <n v="7930"/>
    <x v="2"/>
    <s v="2022/5140"/>
    <s v="8 Southcroft Road"/>
    <s v=""/>
    <n v="528073"/>
    <n v="170895"/>
    <x v="13"/>
    <d v="2023-03-31T00:00:00"/>
    <m/>
    <n v="0"/>
    <n v="1"/>
    <n v="1"/>
    <n v="1"/>
    <n v="1"/>
    <x v="1"/>
    <s v="Alterations including erection of mansard roof extension to main rear roof and extension above part of the two-storey back addition, and formation of roof terrace above two-storey back addition with 1.7m high screen surround in connection with creation of 1 x 1 bedroom flat. Installation of glazed doors and external stairs at first floor rear elevation to rear garden."/>
    <s v="PF"/>
    <d v="2022-12-15T00:00:00"/>
    <d v="2023-02-16T00:00:00"/>
    <x v="1"/>
    <s v="Nil"/>
    <m/>
    <s v="BF"/>
    <s v="EXT"/>
    <x v="2"/>
    <x v="2"/>
    <n v="3.8999999999999998E-3"/>
    <d v="2023-03-31T00:00:00"/>
    <x v="1"/>
    <m/>
    <x v="2"/>
    <s v="M"/>
    <s v=""/>
    <m/>
    <n v="0"/>
    <m/>
    <n v="0"/>
    <m/>
    <n v="0"/>
    <n v="1"/>
    <n v="0"/>
    <n v="0"/>
    <n v="0"/>
    <n v="0"/>
    <n v="0"/>
    <n v="0"/>
    <n v="1"/>
    <n v="0"/>
    <n v="0"/>
    <n v="0"/>
    <n v="0"/>
    <n v="0"/>
    <n v="0"/>
    <n v="0"/>
    <n v="0"/>
    <n v="0"/>
    <n v="0"/>
    <n v="0"/>
    <n v="0"/>
    <n v="0"/>
    <n v="0"/>
    <n v="0"/>
    <n v="0"/>
    <n v="0"/>
    <n v="0"/>
    <n v="0"/>
    <x v="0"/>
    <x v="0"/>
    <x v="1"/>
    <n v="14"/>
    <m/>
    <n v="0.5"/>
    <n v="0.5"/>
    <m/>
    <m/>
    <m/>
    <m/>
    <m/>
    <m/>
    <m/>
    <m/>
    <m/>
    <m/>
    <m/>
    <m/>
    <m/>
    <m/>
    <m/>
    <m/>
    <m/>
    <n v="1"/>
    <n v="1"/>
  </r>
  <r>
    <n v="7211"/>
    <x v="2"/>
    <s v="2019/5582"/>
    <s v="916 Garratt Lane"/>
    <s v=""/>
    <n v="527235"/>
    <n v="171597"/>
    <x v="3"/>
    <d v="2023-02-07T00:00:00"/>
    <m/>
    <n v="0"/>
    <n v="1"/>
    <n v="1"/>
    <n v="1"/>
    <n v="1"/>
    <x v="1"/>
    <s v="Demolition of existing buildings and erection of single-storey building plus basement to form 1x2-bedroom flat"/>
    <s v="PF"/>
    <d v="2020-01-21T00:00:00"/>
    <d v="2020-02-21T00:00:00"/>
    <x v="0"/>
    <s v="Nil"/>
    <m/>
    <s v="BF"/>
    <s v="NB"/>
    <x v="2"/>
    <x v="1"/>
    <n v="8.9999999999999993E-3"/>
    <d v="2023-02-07T00:00:00"/>
    <x v="1"/>
    <m/>
    <x v="2"/>
    <s v="M"/>
    <s v=""/>
    <m/>
    <n v="0"/>
    <m/>
    <n v="0"/>
    <m/>
    <n v="0"/>
    <n v="0"/>
    <n v="1"/>
    <n v="0"/>
    <n v="0"/>
    <n v="0"/>
    <n v="0"/>
    <n v="0"/>
    <n v="0"/>
    <n v="1"/>
    <n v="0"/>
    <n v="0"/>
    <n v="0"/>
    <n v="0"/>
    <n v="0"/>
    <n v="0"/>
    <n v="0"/>
    <n v="0"/>
    <n v="0"/>
    <n v="0"/>
    <n v="0"/>
    <n v="0"/>
    <n v="0"/>
    <n v="0"/>
    <n v="0"/>
    <n v="0"/>
    <n v="0"/>
    <n v="0"/>
    <x v="0"/>
    <x v="0"/>
    <x v="3"/>
    <n v="4"/>
    <m/>
    <n v="0.5"/>
    <n v="0.5"/>
    <m/>
    <m/>
    <m/>
    <m/>
    <m/>
    <m/>
    <m/>
    <m/>
    <m/>
    <m/>
    <m/>
    <m/>
    <m/>
    <m/>
    <m/>
    <m/>
    <m/>
    <n v="1"/>
    <n v="1"/>
  </r>
  <r>
    <n v="6662"/>
    <x v="2"/>
    <s v="2019/3065"/>
    <s v="Ground Floor, 231 Merton Road"/>
    <s v=""/>
    <n v="525227"/>
    <n v="173755"/>
    <x v="20"/>
    <d v="2023-03-31T00:00:00"/>
    <m/>
    <n v="0"/>
    <n v="1"/>
    <n v="1"/>
    <n v="1"/>
    <n v="1"/>
    <x v="1"/>
    <s v="Alterations in connection with change of use from office (Class A2) to residential (Class C3) to provide 1 x 2-bedroom flat."/>
    <s v="PF"/>
    <d v="2019-08-01T00:00:00"/>
    <d v="2019-09-09T00:00:00"/>
    <x v="0"/>
    <s v="Nil"/>
    <m/>
    <s v="BF"/>
    <s v="COU"/>
    <x v="2"/>
    <x v="6"/>
    <n v="5.0000000000000001E-3"/>
    <d v="2023-03-31T00:00:00"/>
    <x v="1"/>
    <m/>
    <x v="2"/>
    <s v="M"/>
    <s v=""/>
    <m/>
    <n v="0"/>
    <m/>
    <n v="0"/>
    <m/>
    <n v="0"/>
    <n v="0"/>
    <n v="1"/>
    <n v="0"/>
    <n v="0"/>
    <n v="0"/>
    <n v="0"/>
    <n v="0"/>
    <n v="0"/>
    <n v="1"/>
    <n v="0"/>
    <n v="0"/>
    <n v="0"/>
    <n v="0"/>
    <n v="0"/>
    <n v="0"/>
    <n v="0"/>
    <n v="0"/>
    <n v="0"/>
    <n v="0"/>
    <n v="0"/>
    <n v="0"/>
    <n v="0"/>
    <n v="0"/>
    <n v="0"/>
    <n v="0"/>
    <n v="0"/>
    <n v="0"/>
    <x v="0"/>
    <x v="0"/>
    <x v="6"/>
    <n v="14"/>
    <m/>
    <n v="0.5"/>
    <n v="0.5"/>
    <m/>
    <m/>
    <m/>
    <m/>
    <m/>
    <m/>
    <m/>
    <m/>
    <m/>
    <m/>
    <m/>
    <m/>
    <m/>
    <m/>
    <m/>
    <m/>
    <m/>
    <n v="1"/>
    <n v="1"/>
  </r>
  <r>
    <n v="3240"/>
    <x v="2"/>
    <s v="2022/0779"/>
    <s v="Land rear of and, 165 Battersea High Street"/>
    <s v=""/>
    <n v="527072"/>
    <n v="176221"/>
    <x v="5"/>
    <d v="2023-03-31T00:00:00"/>
    <m/>
    <n v="0"/>
    <n v="1"/>
    <n v="1"/>
    <n v="1"/>
    <n v="1"/>
    <x v="1"/>
    <s v="Change of use of ground floor from Class E (Commercial) to Class C3 (Dwellinghouse) 1-bedroom flat, together with associated external alterations including replacement frontage."/>
    <s v="PF"/>
    <d v="2022-02-24T00:00:00"/>
    <d v="2022-04-21T00:00:00"/>
    <x v="1"/>
    <s v="Nil"/>
    <m/>
    <s v="BF"/>
    <s v="CON"/>
    <x v="2"/>
    <x v="4"/>
    <n v="5.0000000000000001E-3"/>
    <d v="2023-03-31T00:00:00"/>
    <x v="1"/>
    <m/>
    <x v="2"/>
    <s v="M"/>
    <s v=""/>
    <m/>
    <n v="0"/>
    <m/>
    <n v="0"/>
    <m/>
    <n v="0"/>
    <n v="1"/>
    <n v="0"/>
    <n v="0"/>
    <n v="0"/>
    <n v="0"/>
    <n v="0"/>
    <n v="0"/>
    <n v="1"/>
    <n v="0"/>
    <n v="0"/>
    <n v="0"/>
    <n v="0"/>
    <n v="0"/>
    <n v="0"/>
    <n v="0"/>
    <n v="0"/>
    <n v="0"/>
    <n v="0"/>
    <n v="0"/>
    <n v="0"/>
    <n v="0"/>
    <n v="0"/>
    <n v="0"/>
    <n v="0"/>
    <n v="0"/>
    <n v="0"/>
    <n v="0"/>
    <x v="0"/>
    <x v="0"/>
    <x v="1"/>
    <n v="14"/>
    <m/>
    <n v="0.5"/>
    <n v="0.5"/>
    <m/>
    <m/>
    <m/>
    <m/>
    <m/>
    <m/>
    <m/>
    <m/>
    <m/>
    <m/>
    <m/>
    <m/>
    <m/>
    <m/>
    <m/>
    <m/>
    <m/>
    <n v="1"/>
    <n v="1"/>
  </r>
  <r>
    <n v="6825"/>
    <x v="2"/>
    <s v="2018/0816"/>
    <s v="Unit 11-12 Ransomes Dock Business Centre, 35-37 Parkgate Road (Ransomes Dock Business Centre)"/>
    <s v=""/>
    <n v="527310"/>
    <n v="177159"/>
    <x v="17"/>
    <d v="2023-03-31T00:00:00"/>
    <m/>
    <n v="0"/>
    <n v="1"/>
    <n v="1"/>
    <n v="1"/>
    <n v="1"/>
    <x v="1"/>
    <s v="Determination as to whether prior approval is required for change of use of office at second floor level (Use Class B1(a) to residential (Use Class 3) to provide 1 x 2 bedroom flat."/>
    <s v="PANR"/>
    <d v="2018-02-20T00:00:00"/>
    <d v="2018-04-05T00:00:00"/>
    <x v="0"/>
    <s v="Nil"/>
    <m/>
    <s v="BF"/>
    <s v="COU"/>
    <x v="2"/>
    <x v="6"/>
    <n v="1.0999999999999999E-2"/>
    <d v="2023-03-31T00:00:00"/>
    <x v="1"/>
    <m/>
    <x v="2"/>
    <s v="M"/>
    <s v=""/>
    <m/>
    <n v="0"/>
    <m/>
    <n v="0"/>
    <m/>
    <n v="0"/>
    <n v="0"/>
    <n v="1"/>
    <n v="0"/>
    <n v="0"/>
    <n v="0"/>
    <n v="0"/>
    <n v="0"/>
    <n v="0"/>
    <n v="1"/>
    <n v="0"/>
    <n v="0"/>
    <n v="0"/>
    <n v="0"/>
    <n v="0"/>
    <n v="0"/>
    <n v="0"/>
    <n v="0"/>
    <n v="0"/>
    <n v="0"/>
    <n v="0"/>
    <n v="0"/>
    <n v="0"/>
    <n v="0"/>
    <n v="0"/>
    <n v="0"/>
    <n v="0"/>
    <n v="0"/>
    <x v="0"/>
    <x v="0"/>
    <x v="8"/>
    <n v="14"/>
    <m/>
    <n v="0.5"/>
    <n v="0.5"/>
    <m/>
    <m/>
    <m/>
    <m/>
    <m/>
    <m/>
    <m/>
    <m/>
    <m/>
    <m/>
    <m/>
    <m/>
    <m/>
    <m/>
    <m/>
    <m/>
    <m/>
    <n v="1"/>
    <n v="1"/>
  </r>
  <r>
    <n v="7794"/>
    <x v="2"/>
    <s v="2022/0128"/>
    <s v="Upper Floors, 6a York Road"/>
    <s v=""/>
    <n v="527039"/>
    <n v="176160"/>
    <x v="5"/>
    <d v="2023-01-20T00:00:00"/>
    <m/>
    <n v="1"/>
    <n v="2"/>
    <n v="1"/>
    <n v="2"/>
    <n v="1"/>
    <x v="1"/>
    <s v="Alterations including erection of roof extension to create additional floor of accommodation; formation of roof terrace above two-storey back addition with screen surround and conversion of the upper floor flat into 1 x 2-bedroom and 1 x 1-bedroom  flat."/>
    <s v="PF"/>
    <d v="2022-03-04T00:00:00"/>
    <d v="2022-06-22T00:00:00"/>
    <x v="1"/>
    <s v="Nil"/>
    <m/>
    <s v="BF"/>
    <s v="MIX"/>
    <x v="2"/>
    <x v="7"/>
    <n v="4.7000000000000002E-3"/>
    <d v="2023-01-20T00:00:00"/>
    <x v="1"/>
    <m/>
    <x v="2"/>
    <s v="M"/>
    <s v=""/>
    <m/>
    <n v="0"/>
    <m/>
    <n v="0"/>
    <m/>
    <n v="0"/>
    <n v="1"/>
    <n v="1"/>
    <n v="0"/>
    <n v="-1"/>
    <n v="0"/>
    <n v="0"/>
    <n v="0"/>
    <n v="1"/>
    <n v="1"/>
    <n v="0"/>
    <n v="-1"/>
    <n v="0"/>
    <n v="0"/>
    <n v="0"/>
    <n v="0"/>
    <n v="0"/>
    <n v="0"/>
    <n v="0"/>
    <n v="0"/>
    <n v="0"/>
    <n v="0"/>
    <n v="0"/>
    <n v="0"/>
    <n v="0"/>
    <n v="0"/>
    <n v="0"/>
    <n v="0"/>
    <x v="0"/>
    <x v="0"/>
    <x v="1"/>
    <n v="14"/>
    <m/>
    <n v="0.5"/>
    <n v="0.5"/>
    <m/>
    <m/>
    <m/>
    <m/>
    <m/>
    <m/>
    <m/>
    <m/>
    <m/>
    <m/>
    <m/>
    <m/>
    <m/>
    <m/>
    <m/>
    <m/>
    <m/>
    <n v="1"/>
    <n v="1"/>
  </r>
  <r>
    <n v="7631"/>
    <x v="2"/>
    <s v="2021/1530"/>
    <s v="104 Eswyn Road"/>
    <s v=""/>
    <n v="527889"/>
    <n v="171463"/>
    <x v="9"/>
    <d v="2021-11-10T00:00:00"/>
    <m/>
    <n v="1"/>
    <n v="1"/>
    <n v="0"/>
    <n v="1"/>
    <n v="0"/>
    <x v="1"/>
    <s v="Alterations including erection of dormer roof extension to main rear roof and roof extension above two storey back addition in connection with conversion of dwelling house (Class C3) into house of multiple occupation (Class C4)."/>
    <s v="LDC Prop"/>
    <d v="2021-03-31T00:00:00"/>
    <d v="2021-05-25T00:00:00"/>
    <x v="0"/>
    <s v="Nil"/>
    <m/>
    <s v="BF"/>
    <s v="CON"/>
    <x v="2"/>
    <x v="5"/>
    <n v="3.4659999999999999E-3"/>
    <d v="2021-11-10T00:00:00"/>
    <x v="0"/>
    <m/>
    <x v="2"/>
    <s v="MR"/>
    <s v=""/>
    <m/>
    <n v="0"/>
    <m/>
    <n v="0"/>
    <m/>
    <n v="0"/>
    <n v="0"/>
    <n v="0"/>
    <n v="0"/>
    <n v="-1"/>
    <n v="1"/>
    <n v="0"/>
    <n v="0"/>
    <n v="0"/>
    <n v="0"/>
    <n v="0"/>
    <n v="0"/>
    <n v="0"/>
    <n v="0"/>
    <n v="0"/>
    <n v="0"/>
    <n v="0"/>
    <n v="0"/>
    <n v="-1"/>
    <n v="1"/>
    <n v="0"/>
    <n v="0"/>
    <n v="0"/>
    <n v="0"/>
    <n v="0"/>
    <n v="0"/>
    <n v="0"/>
    <n v="0"/>
    <x v="0"/>
    <x v="0"/>
    <x v="1"/>
    <n v="13"/>
    <m/>
    <n v="0"/>
    <m/>
    <m/>
    <m/>
    <m/>
    <m/>
    <m/>
    <m/>
    <m/>
    <m/>
    <m/>
    <m/>
    <m/>
    <m/>
    <m/>
    <m/>
    <m/>
    <m/>
    <m/>
    <n v="0"/>
    <n v="0"/>
  </r>
  <r>
    <n v="6667"/>
    <x v="2"/>
    <s v="2017/4326"/>
    <s v="14 Valonia Gardens"/>
    <s v=""/>
    <n v="524795"/>
    <n v="174423"/>
    <x v="7"/>
    <d v="2021-05-18T00:00:00"/>
    <m/>
    <n v="1"/>
    <n v="1"/>
    <n v="0"/>
    <n v="1"/>
    <n v="0"/>
    <x v="1"/>
    <s v="Demolition of existing detached dwellinghouse and the erection of a replacement two-storey (plus roof accomodation) 4-bedroom detached dwellinghouse."/>
    <s v="PF"/>
    <d v="2017-08-02T00:00:00"/>
    <d v="2017-11-24T00:00:00"/>
    <x v="0"/>
    <s v="Nil"/>
    <m/>
    <s v="BF"/>
    <s v="NB"/>
    <x v="2"/>
    <x v="1"/>
    <n v="4.2999999999999997E-2"/>
    <d v="2021-05-18T00:00:00"/>
    <x v="0"/>
    <m/>
    <x v="2"/>
    <s v="M"/>
    <s v=""/>
    <m/>
    <n v="0"/>
    <m/>
    <n v="0"/>
    <m/>
    <n v="0"/>
    <n v="0"/>
    <n v="0"/>
    <n v="0"/>
    <n v="1"/>
    <n v="-1"/>
    <n v="0"/>
    <n v="0"/>
    <n v="0"/>
    <n v="0"/>
    <n v="0"/>
    <n v="0"/>
    <n v="0"/>
    <n v="0"/>
    <n v="0"/>
    <n v="0"/>
    <n v="0"/>
    <n v="0"/>
    <n v="1"/>
    <n v="-1"/>
    <n v="0"/>
    <n v="0"/>
    <n v="0"/>
    <n v="0"/>
    <n v="0"/>
    <n v="0"/>
    <n v="0"/>
    <n v="0"/>
    <x v="0"/>
    <x v="0"/>
    <x v="1"/>
    <n v="3"/>
    <m/>
    <n v="0"/>
    <m/>
    <m/>
    <m/>
    <m/>
    <m/>
    <m/>
    <m/>
    <m/>
    <m/>
    <m/>
    <m/>
    <m/>
    <m/>
    <m/>
    <m/>
    <m/>
    <m/>
    <m/>
    <n v="0"/>
    <n v="0"/>
  </r>
  <r>
    <n v="7212"/>
    <x v="2"/>
    <s v="2020/5042"/>
    <s v="19 Roedean Crescent"/>
    <s v=""/>
    <n v="521190"/>
    <n v="174507"/>
    <x v="16"/>
    <d v="2022-06-06T00:00:00"/>
    <m/>
    <n v="1"/>
    <n v="1"/>
    <n v="0"/>
    <n v="1"/>
    <n v="0"/>
    <x v="1"/>
    <s v="Demolition of existing building and single storey outbuilding in rear garden and erection of a two-storey (plus basement and roof levels) 6-bedroom detached house with rear first floor terrace."/>
    <s v="PF"/>
    <d v="2020-12-24T00:00:00"/>
    <d v="2021-02-18T00:00:00"/>
    <x v="0"/>
    <s v="Nil"/>
    <m/>
    <s v="BF"/>
    <s v="NB"/>
    <x v="2"/>
    <x v="1"/>
    <n v="0.126"/>
    <d v="2022-06-06T00:00:00"/>
    <x v="1"/>
    <m/>
    <x v="2"/>
    <s v="M"/>
    <s v=""/>
    <m/>
    <n v="0"/>
    <m/>
    <n v="0"/>
    <m/>
    <n v="0"/>
    <n v="0"/>
    <n v="0"/>
    <n v="0"/>
    <n v="0"/>
    <n v="0"/>
    <n v="0"/>
    <n v="0"/>
    <n v="0"/>
    <n v="0"/>
    <n v="0"/>
    <n v="0"/>
    <n v="0"/>
    <n v="0"/>
    <n v="0"/>
    <n v="0"/>
    <n v="0"/>
    <n v="0"/>
    <n v="0"/>
    <n v="0"/>
    <n v="0"/>
    <n v="0"/>
    <n v="0"/>
    <n v="0"/>
    <n v="0"/>
    <n v="0"/>
    <n v="0"/>
    <n v="0"/>
    <x v="0"/>
    <x v="0"/>
    <x v="1"/>
    <n v="3"/>
    <m/>
    <n v="0"/>
    <m/>
    <m/>
    <m/>
    <m/>
    <m/>
    <m/>
    <m/>
    <m/>
    <m/>
    <m/>
    <m/>
    <m/>
    <m/>
    <m/>
    <m/>
    <m/>
    <m/>
    <m/>
    <n v="0"/>
    <n v="0"/>
  </r>
  <r>
    <n v="4944"/>
    <x v="2"/>
    <s v="2021/2720"/>
    <s v="1A Dinsmore Road"/>
    <s v=""/>
    <n v="528817"/>
    <n v="173818"/>
    <x v="2"/>
    <d v="2022-03-31T00:00:00"/>
    <m/>
    <n v="1"/>
    <n v="1"/>
    <n v="0"/>
    <n v="1"/>
    <n v="0"/>
    <x v="1"/>
    <s v="Alterations in connection with conversion of shop (Class E) to residential (Class C3) and amalgamation with first floor flat to provide 1 x 2-bedroom house. Alteration to ground floor frontage."/>
    <s v="PF"/>
    <d v="2021-06-21T00:00:00"/>
    <d v="2021-08-16T00:00:00"/>
    <x v="0"/>
    <s v="Nil"/>
    <m/>
    <s v="BF"/>
    <s v="MIX"/>
    <x v="2"/>
    <x v="4"/>
    <n v="3.0000000000000001E-3"/>
    <d v="2022-03-31T00:00:00"/>
    <x v="0"/>
    <m/>
    <x v="2"/>
    <s v="M"/>
    <s v=""/>
    <m/>
    <n v="0"/>
    <m/>
    <n v="0"/>
    <m/>
    <n v="0"/>
    <n v="-1"/>
    <n v="1"/>
    <n v="0"/>
    <n v="0"/>
    <n v="0"/>
    <n v="0"/>
    <n v="0"/>
    <n v="-1"/>
    <n v="1"/>
    <n v="0"/>
    <n v="0"/>
    <n v="0"/>
    <n v="0"/>
    <n v="0"/>
    <n v="0"/>
    <n v="0"/>
    <n v="0"/>
    <n v="0"/>
    <n v="0"/>
    <n v="0"/>
    <n v="0"/>
    <n v="0"/>
    <n v="0"/>
    <n v="0"/>
    <n v="0"/>
    <n v="0"/>
    <n v="0"/>
    <x v="0"/>
    <x v="0"/>
    <x v="1"/>
    <n v="13"/>
    <m/>
    <n v="0"/>
    <m/>
    <m/>
    <m/>
    <m/>
    <m/>
    <m/>
    <m/>
    <m/>
    <m/>
    <m/>
    <m/>
    <m/>
    <m/>
    <m/>
    <m/>
    <m/>
    <m/>
    <m/>
    <n v="0"/>
    <n v="0"/>
  </r>
  <r>
    <n v="4084"/>
    <x v="2"/>
    <s v="2018/0195"/>
    <s v="22 Trinity Road"/>
    <s v=""/>
    <n v="527971"/>
    <n v="172408"/>
    <x v="4"/>
    <d v="2018-04-20T00:00:00"/>
    <m/>
    <n v="1"/>
    <n v="1"/>
    <n v="0"/>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2"/>
    <x v="7"/>
    <n v="3.0000000000000001E-3"/>
    <d v="2018-04-20T00:00:00"/>
    <x v="0"/>
    <m/>
    <x v="2"/>
    <s v="M"/>
    <s v=""/>
    <m/>
    <n v="0"/>
    <m/>
    <n v="0"/>
    <m/>
    <n v="-1"/>
    <n v="1"/>
    <n v="0"/>
    <n v="0"/>
    <n v="0"/>
    <n v="0"/>
    <n v="0"/>
    <n v="-1"/>
    <n v="1"/>
    <n v="0"/>
    <n v="0"/>
    <n v="0"/>
    <n v="0"/>
    <n v="0"/>
    <n v="0"/>
    <n v="0"/>
    <n v="0"/>
    <n v="0"/>
    <n v="0"/>
    <n v="0"/>
    <n v="0"/>
    <n v="0"/>
    <n v="0"/>
    <n v="0"/>
    <n v="0"/>
    <n v="0"/>
    <n v="0"/>
    <n v="0"/>
    <x v="0"/>
    <x v="0"/>
    <x v="1"/>
    <n v="13"/>
    <m/>
    <n v="0"/>
    <m/>
    <m/>
    <m/>
    <m/>
    <m/>
    <m/>
    <m/>
    <m/>
    <m/>
    <m/>
    <m/>
    <m/>
    <m/>
    <m/>
    <m/>
    <m/>
    <m/>
    <m/>
    <n v="0"/>
    <n v="0"/>
  </r>
  <r>
    <n v="7737"/>
    <x v="2"/>
    <s v="2021/3419"/>
    <s v="23 Henning Street"/>
    <s v=""/>
    <n v="527150"/>
    <n v="176534"/>
    <x v="5"/>
    <d v="2023-03-31T00:00:00"/>
    <m/>
    <n v="1"/>
    <n v="1"/>
    <n v="0"/>
    <n v="1"/>
    <n v="0"/>
    <x v="1"/>
    <s v="Alterations including demolition of existing house, retention of existing front facade and erection of two storey (plus roof and basement)  3-bedroom house."/>
    <s v="PF"/>
    <d v="2021-07-27T00:00:00"/>
    <d v="2022-03-01T00:00:00"/>
    <x v="0"/>
    <s v="Nil"/>
    <m/>
    <s v="BF"/>
    <s v="NB"/>
    <x v="2"/>
    <x v="1"/>
    <n v="8.9999999999999993E-3"/>
    <d v="2023-03-31T00:00:00"/>
    <x v="1"/>
    <m/>
    <x v="2"/>
    <s v="M"/>
    <s v=""/>
    <m/>
    <n v="0"/>
    <m/>
    <n v="0"/>
    <m/>
    <n v="0"/>
    <n v="0"/>
    <n v="0"/>
    <n v="0"/>
    <n v="0"/>
    <n v="0"/>
    <n v="0"/>
    <n v="0"/>
    <n v="0"/>
    <n v="0"/>
    <n v="0"/>
    <n v="0"/>
    <n v="0"/>
    <n v="0"/>
    <n v="0"/>
    <n v="0"/>
    <n v="0"/>
    <n v="0"/>
    <n v="0"/>
    <n v="0"/>
    <n v="0"/>
    <n v="0"/>
    <n v="0"/>
    <n v="0"/>
    <n v="0"/>
    <n v="0"/>
    <n v="0"/>
    <n v="0"/>
    <x v="0"/>
    <x v="0"/>
    <x v="1"/>
    <n v="4"/>
    <m/>
    <n v="0"/>
    <n v="0"/>
    <m/>
    <m/>
    <m/>
    <m/>
    <m/>
    <m/>
    <m/>
    <m/>
    <m/>
    <m/>
    <m/>
    <m/>
    <m/>
    <m/>
    <m/>
    <m/>
    <m/>
    <n v="0"/>
    <n v="0"/>
  </r>
  <r>
    <n v="7432"/>
    <x v="2"/>
    <s v="2020/2849"/>
    <s v="24 Granard Avenue"/>
    <s v=""/>
    <n v="522788"/>
    <n v="174649"/>
    <x v="18"/>
    <d v="2021-03-31T00:00:00"/>
    <m/>
    <n v="1"/>
    <n v="1"/>
    <n v="0"/>
    <n v="1"/>
    <n v="0"/>
    <x v="1"/>
    <s v="Demolition of existing building and erection of a two-storey (plus roof levels) 5-bedroom house."/>
    <s v="PF"/>
    <d v="2020-08-04T00:00:00"/>
    <d v="2020-10-19T00:00:00"/>
    <x v="0"/>
    <s v="Nil"/>
    <m/>
    <s v="BF"/>
    <s v="NB"/>
    <x v="2"/>
    <x v="1"/>
    <n v="5.0999999999999997E-2"/>
    <d v="2021-03-31T00:00:00"/>
    <x v="0"/>
    <m/>
    <x v="2"/>
    <s v="M"/>
    <s v=""/>
    <m/>
    <n v="0"/>
    <m/>
    <n v="0"/>
    <m/>
    <n v="0"/>
    <n v="0"/>
    <n v="0"/>
    <n v="0"/>
    <n v="-1"/>
    <n v="1"/>
    <n v="0"/>
    <n v="0"/>
    <n v="0"/>
    <n v="0"/>
    <n v="0"/>
    <n v="0"/>
    <n v="0"/>
    <n v="0"/>
    <n v="0"/>
    <n v="0"/>
    <n v="0"/>
    <n v="0"/>
    <n v="-1"/>
    <n v="1"/>
    <n v="0"/>
    <n v="0"/>
    <n v="0"/>
    <n v="0"/>
    <n v="0"/>
    <n v="0"/>
    <n v="0"/>
    <n v="0"/>
    <x v="0"/>
    <x v="0"/>
    <x v="1"/>
    <n v="3"/>
    <m/>
    <n v="0"/>
    <m/>
    <m/>
    <m/>
    <m/>
    <m/>
    <m/>
    <m/>
    <m/>
    <m/>
    <m/>
    <m/>
    <m/>
    <m/>
    <m/>
    <m/>
    <m/>
    <m/>
    <m/>
    <n v="0"/>
    <n v="0"/>
  </r>
  <r>
    <n v="7755"/>
    <x v="2"/>
    <s v="2022/1173"/>
    <s v="28 Muncaster Road"/>
    <s v=""/>
    <n v="527982"/>
    <n v="174908"/>
    <x v="14"/>
    <d v="2022-12-31T00:00:00"/>
    <m/>
    <n v="1"/>
    <n v="1"/>
    <n v="0"/>
    <n v="1"/>
    <n v="0"/>
    <x v="1"/>
    <s v="Alterations including demolition of building with exception of front facade. Erection of two-storey dwelling plus enlarged basement (plus front lightwell) and accommodation at roof level, with dormer extension (including French doors and safety railings plu solar panels to roof). Erection of part single/part three storey rear extension"/>
    <s v="PF"/>
    <d v="2022-03-18T00:00:00"/>
    <d v="2022-05-13T00:00:00"/>
    <x v="1"/>
    <s v="Nil"/>
    <m/>
    <s v="BF"/>
    <s v="NB"/>
    <x v="2"/>
    <x v="1"/>
    <n v="8.0000000000000002E-3"/>
    <d v="2022-12-31T00:00:00"/>
    <x v="1"/>
    <m/>
    <x v="2"/>
    <s v="M"/>
    <s v=""/>
    <m/>
    <n v="0"/>
    <m/>
    <n v="0"/>
    <m/>
    <n v="0"/>
    <n v="0"/>
    <n v="-1"/>
    <n v="0"/>
    <n v="1"/>
    <n v="0"/>
    <n v="0"/>
    <n v="0"/>
    <n v="0"/>
    <n v="0"/>
    <n v="0"/>
    <n v="0"/>
    <n v="0"/>
    <n v="0"/>
    <n v="0"/>
    <n v="0"/>
    <n v="-1"/>
    <n v="0"/>
    <n v="1"/>
    <n v="0"/>
    <n v="0"/>
    <n v="0"/>
    <n v="0"/>
    <n v="0"/>
    <n v="0"/>
    <n v="0"/>
    <n v="0"/>
    <n v="0"/>
    <x v="0"/>
    <x v="0"/>
    <x v="1"/>
    <n v="4"/>
    <m/>
    <n v="0"/>
    <n v="0"/>
    <m/>
    <m/>
    <m/>
    <m/>
    <m/>
    <m/>
    <m/>
    <m/>
    <m/>
    <m/>
    <m/>
    <m/>
    <m/>
    <m/>
    <m/>
    <m/>
    <m/>
    <n v="0"/>
    <n v="0"/>
  </r>
  <r>
    <n v="6772"/>
    <x v="2"/>
    <s v="2022/0056"/>
    <s v="30 Bramcote Road"/>
    <s v=""/>
    <n v="522806"/>
    <n v="175115"/>
    <x v="18"/>
    <d v="2022-03-15T00:00:00"/>
    <m/>
    <n v="1"/>
    <n v="1"/>
    <n v="0"/>
    <n v="1"/>
    <n v="0"/>
    <x v="1"/>
    <s v="Non-material amendment to planning permission dated 05/04/2019 ref_x000a_ 2018/4926 (Demolition of existing building and erection of a two-storey _x000a_(plus basement and roof levels) 5-bedroom detached house.) to allow _x000a_the basement to be omitted"/>
    <s v="S96A"/>
    <d v="2022-01-07T00:00:00"/>
    <d v="2022-02-24T00:00:00"/>
    <x v="0"/>
    <s v="Nil"/>
    <m/>
    <s v="BF"/>
    <s v="NB"/>
    <x v="2"/>
    <x v="1"/>
    <n v="2.7199999999999998E-2"/>
    <d v="2022-03-15T00:00:00"/>
    <x v="0"/>
    <m/>
    <x v="2"/>
    <s v="M"/>
    <s v=""/>
    <m/>
    <n v="0"/>
    <m/>
    <n v="0"/>
    <m/>
    <n v="0"/>
    <n v="0"/>
    <n v="-1"/>
    <n v="0"/>
    <n v="0"/>
    <n v="1"/>
    <n v="0"/>
    <n v="0"/>
    <n v="0"/>
    <n v="0"/>
    <n v="0"/>
    <n v="0"/>
    <n v="0"/>
    <n v="0"/>
    <n v="0"/>
    <n v="0"/>
    <n v="-1"/>
    <n v="0"/>
    <n v="0"/>
    <n v="1"/>
    <n v="0"/>
    <n v="0"/>
    <n v="0"/>
    <n v="0"/>
    <n v="0"/>
    <n v="0"/>
    <n v="0"/>
    <n v="0"/>
    <x v="0"/>
    <x v="0"/>
    <x v="1"/>
    <n v="3"/>
    <m/>
    <n v="0"/>
    <m/>
    <m/>
    <m/>
    <m/>
    <m/>
    <m/>
    <m/>
    <m/>
    <m/>
    <m/>
    <m/>
    <m/>
    <m/>
    <m/>
    <m/>
    <m/>
    <m/>
    <m/>
    <n v="0"/>
    <n v="0"/>
  </r>
  <r>
    <n v="7327"/>
    <x v="2"/>
    <s v="2021/3791"/>
    <s v="44 and 46, Alfriston Road"/>
    <s v=""/>
    <n v="527931"/>
    <n v="174869"/>
    <x v="14"/>
    <d v="2022-01-10T00:00:00"/>
    <m/>
    <n v="2"/>
    <n v="2"/>
    <n v="0"/>
    <n v="2"/>
    <n v="0"/>
    <x v="1"/>
    <s v="Demolition of existing houses and erection of 2 x three-storey (plus basement) terraced houses and associated single-storey outbuildings, landscaping and boundary treatment."/>
    <s v="PF"/>
    <d v="2021-08-11T00:00:00"/>
    <d v="2021-11-23T00:00:00"/>
    <x v="0"/>
    <s v="Nil"/>
    <m/>
    <s v="BF"/>
    <s v="NB"/>
    <x v="2"/>
    <x v="1"/>
    <n v="1.4999999999999999E-2"/>
    <d v="2022-01-10T00:00:00"/>
    <x v="0"/>
    <m/>
    <x v="2"/>
    <s v="M"/>
    <s v=""/>
    <m/>
    <n v="0"/>
    <m/>
    <n v="0"/>
    <m/>
    <n v="0"/>
    <n v="0"/>
    <n v="-2"/>
    <n v="0"/>
    <n v="2"/>
    <n v="0"/>
    <n v="0"/>
    <n v="0"/>
    <n v="0"/>
    <n v="-2"/>
    <n v="0"/>
    <n v="2"/>
    <n v="0"/>
    <n v="0"/>
    <n v="0"/>
    <n v="0"/>
    <n v="0"/>
    <n v="0"/>
    <n v="0"/>
    <n v="0"/>
    <n v="0"/>
    <n v="0"/>
    <n v="0"/>
    <n v="0"/>
    <n v="0"/>
    <n v="0"/>
    <n v="0"/>
    <n v="0"/>
    <x v="0"/>
    <x v="0"/>
    <x v="1"/>
    <n v="3"/>
    <m/>
    <n v="0"/>
    <m/>
    <m/>
    <m/>
    <m/>
    <m/>
    <m/>
    <m/>
    <m/>
    <m/>
    <m/>
    <m/>
    <m/>
    <m/>
    <m/>
    <m/>
    <m/>
    <m/>
    <m/>
    <n v="0"/>
    <n v="0"/>
  </r>
  <r>
    <n v="4999"/>
    <x v="2"/>
    <s v="2020/3284"/>
    <s v="44 Bolingbroke Grove"/>
    <s v=""/>
    <n v="527475"/>
    <n v="174306"/>
    <x v="14"/>
    <d v="2022-07-01T00:00:00"/>
    <m/>
    <n v="2"/>
    <n v="2"/>
    <n v="0"/>
    <n v="2"/>
    <n v="0"/>
    <x v="1"/>
    <s v="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
    <s v="PF"/>
    <d v="2020-09-18T00:00:00"/>
    <d v="2020-11-13T00:00:00"/>
    <x v="0"/>
    <s v="Nil"/>
    <m/>
    <s v="BF"/>
    <s v="MIX"/>
    <x v="2"/>
    <x v="2"/>
    <n v="1.2E-2"/>
    <d v="2022-07-01T00:00:00"/>
    <x v="1"/>
    <m/>
    <x v="2"/>
    <s v="M"/>
    <s v=""/>
    <m/>
    <n v="0"/>
    <m/>
    <n v="0"/>
    <m/>
    <n v="-1"/>
    <n v="-1"/>
    <n v="1"/>
    <n v="1"/>
    <n v="0"/>
    <n v="0"/>
    <n v="0"/>
    <n v="-1"/>
    <n v="-1"/>
    <n v="1"/>
    <n v="1"/>
    <n v="0"/>
    <n v="0"/>
    <n v="0"/>
    <n v="0"/>
    <n v="0"/>
    <n v="0"/>
    <n v="0"/>
    <n v="0"/>
    <n v="0"/>
    <n v="0"/>
    <n v="0"/>
    <n v="0"/>
    <n v="0"/>
    <n v="0"/>
    <n v="0"/>
    <n v="0"/>
    <n v="0"/>
    <x v="0"/>
    <x v="0"/>
    <x v="1"/>
    <n v="13"/>
    <m/>
    <n v="0"/>
    <m/>
    <m/>
    <m/>
    <m/>
    <m/>
    <m/>
    <m/>
    <m/>
    <m/>
    <m/>
    <m/>
    <m/>
    <m/>
    <m/>
    <m/>
    <m/>
    <m/>
    <m/>
    <n v="0"/>
    <n v="0"/>
  </r>
  <r>
    <n v="7338"/>
    <x v="2"/>
    <s v="2020/1358"/>
    <s v="51-53 Northcote Road"/>
    <s v=""/>
    <n v="527505"/>
    <n v="174973"/>
    <x v="12"/>
    <d v="2021-08-21T00:00:00"/>
    <m/>
    <n v="2"/>
    <n v="2"/>
    <n v="0"/>
    <n v="3"/>
    <n v="1"/>
    <x v="1"/>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x v="0"/>
    <s v="Nil"/>
    <m/>
    <s v="BF"/>
    <s v="MIX"/>
    <x v="2"/>
    <x v="7"/>
    <n v="1.2E-2"/>
    <d v="2021-08-21T00:00:00"/>
    <x v="0"/>
    <m/>
    <x v="2"/>
    <s v="M"/>
    <s v=""/>
    <m/>
    <n v="0"/>
    <m/>
    <n v="0"/>
    <m/>
    <n v="0"/>
    <n v="0"/>
    <n v="1"/>
    <n v="-1"/>
    <n v="0"/>
    <n v="0"/>
    <n v="0"/>
    <n v="0"/>
    <n v="0"/>
    <n v="1"/>
    <n v="-1"/>
    <n v="0"/>
    <n v="0"/>
    <n v="0"/>
    <n v="0"/>
    <n v="0"/>
    <n v="0"/>
    <n v="0"/>
    <n v="0"/>
    <n v="0"/>
    <n v="0"/>
    <n v="0"/>
    <n v="0"/>
    <n v="0"/>
    <n v="0"/>
    <n v="0"/>
    <n v="0"/>
    <n v="0"/>
    <x v="5"/>
    <x v="0"/>
    <x v="5"/>
    <n v="13"/>
    <m/>
    <n v="0"/>
    <m/>
    <m/>
    <m/>
    <m/>
    <m/>
    <m/>
    <m/>
    <m/>
    <m/>
    <m/>
    <m/>
    <m/>
    <m/>
    <m/>
    <m/>
    <m/>
    <m/>
    <m/>
    <n v="0"/>
    <n v="0"/>
  </r>
  <r>
    <n v="7841"/>
    <x v="2"/>
    <s v="2022/1787"/>
    <s v="59 Howards Lane"/>
    <s v=""/>
    <n v="523247"/>
    <n v="175077"/>
    <x v="18"/>
    <d v="2023-01-30T00:00:00"/>
    <m/>
    <n v="1"/>
    <n v="1"/>
    <n v="0"/>
    <n v="1"/>
    <n v="0"/>
    <x v="1"/>
    <s v="Alterations including erection of side and rear dormers and single storey rear/side extension in connection with use of property as a single dwelling."/>
    <s v="PF"/>
    <d v="2022-05-25T00:00:00"/>
    <d v="2022-08-10T00:00:00"/>
    <x v="1"/>
    <s v="Nil"/>
    <m/>
    <s v="BF"/>
    <s v="CON"/>
    <x v="2"/>
    <x v="8"/>
    <n v="7.0000000000000001E-3"/>
    <d v="2023-01-30T00:00:00"/>
    <x v="1"/>
    <m/>
    <x v="2"/>
    <s v="M"/>
    <s v=""/>
    <m/>
    <n v="0"/>
    <m/>
    <n v="0"/>
    <m/>
    <n v="0"/>
    <n v="0"/>
    <n v="-1"/>
    <n v="0"/>
    <n v="1"/>
    <n v="0"/>
    <n v="0"/>
    <n v="0"/>
    <n v="0"/>
    <n v="-1"/>
    <n v="0"/>
    <n v="0"/>
    <n v="0"/>
    <n v="0"/>
    <n v="0"/>
    <n v="0"/>
    <n v="0"/>
    <n v="0"/>
    <n v="1"/>
    <n v="0"/>
    <n v="0"/>
    <n v="0"/>
    <n v="0"/>
    <n v="0"/>
    <n v="0"/>
    <n v="0"/>
    <n v="0"/>
    <n v="0"/>
    <x v="0"/>
    <x v="0"/>
    <x v="1"/>
    <n v="14"/>
    <m/>
    <n v="0"/>
    <n v="0"/>
    <m/>
    <m/>
    <m/>
    <m/>
    <m/>
    <m/>
    <m/>
    <m/>
    <m/>
    <m/>
    <m/>
    <m/>
    <m/>
    <m/>
    <m/>
    <m/>
    <m/>
    <n v="0"/>
    <n v="0"/>
  </r>
  <r>
    <n v="6525"/>
    <x v="2"/>
    <s v="2017/1159"/>
    <s v="6 Leacroft Avenue"/>
    <s v=""/>
    <n v="527828"/>
    <n v="173720"/>
    <x v="2"/>
    <d v="2018-05-07T00:00:00"/>
    <m/>
    <n v="1"/>
    <n v="1"/>
    <n v="0"/>
    <n v="1"/>
    <n v="0"/>
    <x v="1"/>
    <s v="Demolition of existing building and erection of a three storey (plus basement with rear lightwell) 5-bedroom detached house."/>
    <s v="PF"/>
    <d v="2017-02-27T00:00:00"/>
    <d v="2017-07-03T00:00:00"/>
    <x v="0"/>
    <s v="Nil"/>
    <m/>
    <s v="BF"/>
    <s v="NB"/>
    <x v="2"/>
    <x v="1"/>
    <n v="4.02E-2"/>
    <d v="2018-05-07T00:00:00"/>
    <x v="0"/>
    <m/>
    <x v="2"/>
    <s v="M"/>
    <s v=""/>
    <m/>
    <n v="0"/>
    <m/>
    <n v="0"/>
    <m/>
    <n v="0"/>
    <n v="0"/>
    <n v="0"/>
    <n v="-1"/>
    <n v="0"/>
    <n v="1"/>
    <n v="0"/>
    <n v="0"/>
    <n v="0"/>
    <n v="0"/>
    <n v="0"/>
    <n v="0"/>
    <n v="0"/>
    <n v="0"/>
    <n v="0"/>
    <n v="0"/>
    <n v="0"/>
    <n v="-1"/>
    <n v="0"/>
    <n v="1"/>
    <n v="0"/>
    <n v="0"/>
    <n v="0"/>
    <n v="0"/>
    <n v="0"/>
    <n v="0"/>
    <n v="0"/>
    <n v="0"/>
    <x v="0"/>
    <x v="0"/>
    <x v="1"/>
    <n v="3"/>
    <m/>
    <n v="0"/>
    <m/>
    <m/>
    <m/>
    <m/>
    <m/>
    <m/>
    <m/>
    <m/>
    <m/>
    <m/>
    <m/>
    <m/>
    <m/>
    <m/>
    <m/>
    <m/>
    <m/>
    <m/>
    <n v="0"/>
    <n v="0"/>
  </r>
  <r>
    <n v="7233"/>
    <x v="2"/>
    <s v="2019/3388"/>
    <s v="77 Broomwood Road"/>
    <s v=""/>
    <n v="527787"/>
    <n v="174343"/>
    <x v="14"/>
    <d v="2023-03-31T00:00:00"/>
    <m/>
    <n v="3"/>
    <n v="3"/>
    <n v="0"/>
    <n v="4"/>
    <n v="1"/>
    <x v="1"/>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0"/>
    <s v="Nil"/>
    <m/>
    <s v="BF"/>
    <s v="MIX"/>
    <x v="2"/>
    <x v="2"/>
    <n v="2.3E-2"/>
    <d v="2023-03-31T00:00:00"/>
    <x v="1"/>
    <m/>
    <x v="2"/>
    <s v="M"/>
    <s v=""/>
    <m/>
    <n v="0"/>
    <m/>
    <n v="0"/>
    <m/>
    <n v="0"/>
    <n v="-2"/>
    <n v="3"/>
    <n v="-1"/>
    <n v="0"/>
    <n v="0"/>
    <n v="0"/>
    <n v="0"/>
    <n v="-2"/>
    <n v="3"/>
    <n v="-1"/>
    <n v="0"/>
    <n v="0"/>
    <n v="0"/>
    <n v="0"/>
    <n v="0"/>
    <n v="0"/>
    <n v="0"/>
    <n v="0"/>
    <n v="0"/>
    <n v="0"/>
    <n v="0"/>
    <n v="0"/>
    <n v="0"/>
    <n v="0"/>
    <n v="0"/>
    <n v="0"/>
    <n v="0"/>
    <x v="0"/>
    <x v="0"/>
    <x v="1"/>
    <n v="14"/>
    <m/>
    <n v="0"/>
    <n v="0"/>
    <m/>
    <m/>
    <m/>
    <m/>
    <m/>
    <m/>
    <m/>
    <m/>
    <m/>
    <m/>
    <m/>
    <m/>
    <m/>
    <m/>
    <m/>
    <m/>
    <m/>
    <n v="0"/>
    <n v="0"/>
  </r>
  <r>
    <n v="5554"/>
    <x v="2"/>
    <s v="2015/0277"/>
    <s v="Kerry Cottage, 1A Cambalt Road"/>
    <s v=""/>
    <n v="523841"/>
    <n v="174804"/>
    <x v="18"/>
    <d v="2017-07-21T00:00:00"/>
    <m/>
    <n v="1"/>
    <n v="1"/>
    <n v="0"/>
    <n v="1"/>
    <n v="0"/>
    <x v="1"/>
    <s v="Demolition of existing building and erection of detached 2-storey house with accommodation at basement level; erection of east brick boundary wall."/>
    <s v="PF"/>
    <d v="2015-01-20T00:00:00"/>
    <d v="2015-03-17T00:00:00"/>
    <x v="0"/>
    <s v="Nil"/>
    <m/>
    <s v="BF"/>
    <s v="NB"/>
    <x v="2"/>
    <x v="1"/>
    <n v="2.3E-2"/>
    <d v="2017-07-21T00:00:00"/>
    <x v="0"/>
    <m/>
    <x v="2"/>
    <s v="M"/>
    <s v=""/>
    <m/>
    <n v="0"/>
    <m/>
    <n v="0"/>
    <m/>
    <n v="0"/>
    <n v="0"/>
    <n v="0"/>
    <n v="-1"/>
    <n v="1"/>
    <n v="0"/>
    <n v="0"/>
    <n v="0"/>
    <n v="0"/>
    <n v="0"/>
    <n v="0"/>
    <n v="0"/>
    <n v="0"/>
    <n v="0"/>
    <n v="0"/>
    <n v="0"/>
    <n v="0"/>
    <n v="-1"/>
    <n v="1"/>
    <n v="0"/>
    <n v="0"/>
    <n v="0"/>
    <n v="0"/>
    <n v="0"/>
    <n v="0"/>
    <n v="0"/>
    <n v="0"/>
    <n v="0"/>
    <x v="0"/>
    <x v="0"/>
    <x v="1"/>
    <n v="3"/>
    <m/>
    <n v="0"/>
    <m/>
    <m/>
    <m/>
    <m/>
    <m/>
    <m/>
    <m/>
    <m/>
    <m/>
    <m/>
    <m/>
    <m/>
    <m/>
    <m/>
    <m/>
    <m/>
    <m/>
    <m/>
    <n v="0"/>
    <n v="0"/>
  </r>
  <r>
    <n v="7808"/>
    <x v="2"/>
    <s v="2022/0721"/>
    <s v="132 Earlsfield Road"/>
    <s v=""/>
    <n v="526318"/>
    <n v="173718"/>
    <x v="11"/>
    <d v="2022-10-13T00:00:00"/>
    <m/>
    <n v="2"/>
    <n v="1"/>
    <n v="-1"/>
    <n v="1"/>
    <n v="-1"/>
    <x v="1"/>
    <s v="Alterations including erection of single-storey side/rear extension in connection with deconversion of two flats into a single dwelling house."/>
    <s v="PF"/>
    <d v="2022-02-15T00:00:00"/>
    <d v="2022-04-22T00:00:00"/>
    <x v="1"/>
    <s v="Nil"/>
    <m/>
    <s v="BF"/>
    <s v="CON"/>
    <x v="2"/>
    <x v="8"/>
    <n v="8.0000000000000002E-3"/>
    <d v="2022-10-13T00:00:00"/>
    <x v="1"/>
    <m/>
    <x v="2"/>
    <s v="M"/>
    <s v=""/>
    <m/>
    <n v="0"/>
    <m/>
    <n v="0"/>
    <m/>
    <n v="0"/>
    <n v="-1"/>
    <n v="0"/>
    <n v="-1"/>
    <n v="0"/>
    <n v="1"/>
    <n v="0"/>
    <n v="0"/>
    <n v="-1"/>
    <n v="0"/>
    <n v="-1"/>
    <n v="0"/>
    <n v="0"/>
    <n v="0"/>
    <n v="0"/>
    <n v="0"/>
    <n v="0"/>
    <n v="0"/>
    <n v="0"/>
    <n v="1"/>
    <n v="0"/>
    <n v="0"/>
    <n v="0"/>
    <n v="0"/>
    <n v="0"/>
    <n v="0"/>
    <n v="0"/>
    <n v="0"/>
    <x v="0"/>
    <x v="0"/>
    <x v="1"/>
    <n v="14"/>
    <m/>
    <n v="-0.5"/>
    <n v="-0.5"/>
    <m/>
    <m/>
    <m/>
    <m/>
    <m/>
    <m/>
    <m/>
    <m/>
    <m/>
    <m/>
    <m/>
    <m/>
    <m/>
    <m/>
    <m/>
    <m/>
    <m/>
    <n v="-1"/>
    <n v="-1"/>
  </r>
  <r>
    <n v="7317"/>
    <x v="2"/>
    <s v="2019/5000"/>
    <s v="252-254 Upper Tooting Road"/>
    <s v=""/>
    <n v="527570"/>
    <n v="171707"/>
    <x v="9"/>
    <d v="2022-11-11T00:00:00"/>
    <m/>
    <n v="1"/>
    <n v="0"/>
    <n v="-1"/>
    <n v="0"/>
    <n v="-1"/>
    <x v="1"/>
    <s v="Erection a four-storey rear extension (approximately 12m in height). Change of use from a 1 x House of Multiple Occupation (HMO - 6 rooms) in to 1x HMO (18 rooms), while existing flats (1x studio, 1 x 1-bedroom flat and 2 x 2-bedroom flats) are to be retained."/>
    <s v="PF"/>
    <d v="2019-12-05T00:00:00"/>
    <d v="2020-02-18T00:00:00"/>
    <x v="0"/>
    <s v="Nil"/>
    <m/>
    <s v="BF"/>
    <s v="MIX"/>
    <x v="2"/>
    <x v="12"/>
    <n v="0.10100000000000001"/>
    <d v="2022-11-11T00:00:00"/>
    <x v="1"/>
    <m/>
    <x v="2"/>
    <s v="M"/>
    <s v=""/>
    <m/>
    <n v="0"/>
    <m/>
    <n v="0"/>
    <m/>
    <n v="0"/>
    <n v="0"/>
    <n v="0"/>
    <n v="0"/>
    <n v="0"/>
    <n v="-1"/>
    <n v="0"/>
    <n v="0"/>
    <n v="0"/>
    <n v="0"/>
    <n v="0"/>
    <n v="0"/>
    <n v="-1"/>
    <n v="0"/>
    <n v="0"/>
    <n v="0"/>
    <n v="0"/>
    <n v="0"/>
    <n v="0"/>
    <n v="0"/>
    <n v="0"/>
    <n v="0"/>
    <n v="0"/>
    <n v="0"/>
    <n v="0"/>
    <n v="0"/>
    <n v="0"/>
    <n v="0"/>
    <x v="2"/>
    <x v="0"/>
    <x v="3"/>
    <n v="14"/>
    <m/>
    <n v="-0.5"/>
    <n v="-0.5"/>
    <m/>
    <m/>
    <m/>
    <m/>
    <m/>
    <m/>
    <m/>
    <m/>
    <m/>
    <m/>
    <m/>
    <m/>
    <m/>
    <m/>
    <m/>
    <m/>
    <m/>
    <n v="-1"/>
    <n v="-1"/>
  </r>
  <r>
    <n v="7624"/>
    <x v="2"/>
    <s v="2021/3621"/>
    <s v="26 Dalebury Road"/>
    <s v=""/>
    <n v="527535"/>
    <n v="172689"/>
    <x v="4"/>
    <d v="2023-03-31T00:00:00"/>
    <m/>
    <n v="2"/>
    <n v="1"/>
    <n v="-1"/>
    <n v="1"/>
    <n v="-1"/>
    <x v="1"/>
    <s v="Conversion of two flats into single dwelling house."/>
    <s v="PF"/>
    <d v="2021-08-02T00:00:00"/>
    <d v="2021-12-15T00:00:00"/>
    <x v="0"/>
    <s v="Nil"/>
    <m/>
    <s v="BF"/>
    <s v="CON"/>
    <x v="2"/>
    <x v="8"/>
    <n v="8.7226600000000001E-3"/>
    <d v="2023-03-31T00:00:00"/>
    <x v="1"/>
    <m/>
    <x v="3"/>
    <s v="U"/>
    <s v=""/>
    <m/>
    <n v="0"/>
    <m/>
    <n v="0"/>
    <m/>
    <n v="0"/>
    <n v="0"/>
    <n v="-1"/>
    <n v="0"/>
    <n v="0"/>
    <n v="0"/>
    <n v="0"/>
    <n v="0"/>
    <n v="0"/>
    <n v="-1"/>
    <n v="0"/>
    <n v="0"/>
    <n v="-1"/>
    <n v="0"/>
    <n v="0"/>
    <n v="0"/>
    <n v="0"/>
    <n v="0"/>
    <n v="0"/>
    <n v="1"/>
    <n v="0"/>
    <n v="0"/>
    <n v="0"/>
    <n v="0"/>
    <n v="0"/>
    <n v="0"/>
    <n v="0"/>
    <n v="0"/>
    <x v="0"/>
    <x v="0"/>
    <x v="1"/>
    <n v="14"/>
    <m/>
    <n v="-0.5"/>
    <n v="-0.5"/>
    <m/>
    <m/>
    <m/>
    <m/>
    <m/>
    <m/>
    <m/>
    <m/>
    <m/>
    <m/>
    <m/>
    <m/>
    <m/>
    <m/>
    <m/>
    <m/>
    <m/>
    <n v="-1"/>
    <n v="-1"/>
  </r>
  <r>
    <n v="4793"/>
    <x v="2"/>
    <s v="2020/4678"/>
    <s v="75 Clapham Common North Side"/>
    <s v=""/>
    <n v="528375"/>
    <n v="175229"/>
    <x v="12"/>
    <d v="2023-03-31T00:00:00"/>
    <m/>
    <n v="2"/>
    <n v="1"/>
    <n v="-1"/>
    <n v="1"/>
    <n v="-1"/>
    <x v="1"/>
    <s v="Conversion of the property from two flats into a 6-bedroom single dwellinghouse."/>
    <s v="PF"/>
    <d v="2020-12-02T00:00:00"/>
    <d v="2021-02-19T00:00:00"/>
    <x v="0"/>
    <s v="Nil"/>
    <m/>
    <s v="BF"/>
    <s v="CON"/>
    <x v="2"/>
    <x v="8"/>
    <n v="0.02"/>
    <d v="2023-03-31T00:00:00"/>
    <x v="1"/>
    <m/>
    <x v="2"/>
    <s v="M"/>
    <s v=""/>
    <m/>
    <n v="0"/>
    <m/>
    <n v="0"/>
    <m/>
    <n v="0"/>
    <n v="-1"/>
    <n v="0"/>
    <n v="0"/>
    <n v="0"/>
    <n v="0"/>
    <n v="0"/>
    <n v="0"/>
    <n v="-1"/>
    <n v="0"/>
    <n v="0"/>
    <n v="0"/>
    <n v="-1"/>
    <n v="0"/>
    <n v="0"/>
    <n v="0"/>
    <n v="0"/>
    <n v="0"/>
    <n v="0"/>
    <n v="1"/>
    <n v="0"/>
    <n v="0"/>
    <n v="0"/>
    <n v="0"/>
    <n v="0"/>
    <n v="0"/>
    <n v="0"/>
    <n v="0"/>
    <x v="0"/>
    <x v="0"/>
    <x v="1"/>
    <n v="14"/>
    <m/>
    <n v="-0.5"/>
    <n v="-0.5"/>
    <m/>
    <m/>
    <m/>
    <m/>
    <m/>
    <m/>
    <m/>
    <m/>
    <m/>
    <m/>
    <m/>
    <m/>
    <m/>
    <m/>
    <m/>
    <m/>
    <m/>
    <n v="-1"/>
    <n v="-1"/>
  </r>
  <r>
    <n v="7807"/>
    <x v="2"/>
    <s v="2022/0157"/>
    <s v="Cyril Mansions, 8 &amp; 8a Prince of Wales Drive"/>
    <s v=""/>
    <n v="527872"/>
    <n v="176682"/>
    <x v="17"/>
    <d v="2022-10-13T00:00:00"/>
    <m/>
    <n v="2"/>
    <n v="1"/>
    <n v="-1"/>
    <n v="1"/>
    <n v="-1"/>
    <x v="1"/>
    <s v="Alterations to convert 1-bedrom flat and studio flat into a 2-bedroom flat."/>
    <s v="PF"/>
    <d v="2022-06-16T00:00:00"/>
    <d v="2022-08-11T00:00:00"/>
    <x v="1"/>
    <s v="Nil"/>
    <m/>
    <s v="BF"/>
    <s v="CON"/>
    <x v="2"/>
    <x v="9"/>
    <n v="0.01"/>
    <d v="2022-10-13T00:00:00"/>
    <x v="1"/>
    <m/>
    <x v="2"/>
    <s v="M"/>
    <s v=""/>
    <m/>
    <n v="0"/>
    <m/>
    <n v="0"/>
    <m/>
    <n v="-1"/>
    <n v="-1"/>
    <n v="1"/>
    <n v="0"/>
    <n v="0"/>
    <n v="0"/>
    <n v="0"/>
    <n v="-1"/>
    <n v="-1"/>
    <n v="1"/>
    <n v="0"/>
    <n v="0"/>
    <n v="0"/>
    <n v="0"/>
    <n v="0"/>
    <n v="0"/>
    <n v="0"/>
    <n v="0"/>
    <n v="0"/>
    <n v="0"/>
    <n v="0"/>
    <n v="0"/>
    <n v="0"/>
    <n v="0"/>
    <n v="0"/>
    <n v="0"/>
    <n v="0"/>
    <n v="0"/>
    <x v="0"/>
    <x v="0"/>
    <x v="8"/>
    <n v="14"/>
    <m/>
    <n v="-0.5"/>
    <n v="-0.5"/>
    <m/>
    <m/>
    <m/>
    <m/>
    <m/>
    <m/>
    <m/>
    <m/>
    <m/>
    <m/>
    <m/>
    <m/>
    <m/>
    <m/>
    <m/>
    <m/>
    <m/>
    <n v="-1"/>
    <n v="-1"/>
  </r>
  <r>
    <n v="7626"/>
    <x v="2"/>
    <s v="2021/4938"/>
    <s v="11 Spencer Park"/>
    <s v=""/>
    <n v="526794"/>
    <n v="174584"/>
    <x v="6"/>
    <d v="2022-05-26T00:00:00"/>
    <m/>
    <n v="2"/>
    <n v="1"/>
    <n v="-1"/>
    <n v="1"/>
    <n v="-1"/>
    <x v="1"/>
    <s v="Change of use of property from a basement flat and maisonette to a single dwelling house (Use Class C3)."/>
    <s v="PF"/>
    <d v="2021-11-12T00:00:00"/>
    <d v="2022-01-07T00:00:00"/>
    <x v="0"/>
    <s v="Nil"/>
    <m/>
    <s v="BF"/>
    <s v="CON"/>
    <x v="2"/>
    <x v="8"/>
    <n v="2E-3"/>
    <d v="2022-05-26T00:00:00"/>
    <x v="1"/>
    <m/>
    <x v="2"/>
    <s v="M"/>
    <s v=""/>
    <m/>
    <n v="0"/>
    <m/>
    <n v="0"/>
    <m/>
    <n v="0"/>
    <n v="-1"/>
    <n v="0"/>
    <n v="0"/>
    <n v="0"/>
    <n v="0"/>
    <n v="0"/>
    <n v="0"/>
    <n v="-1"/>
    <n v="0"/>
    <n v="0"/>
    <n v="0"/>
    <n v="-1"/>
    <n v="0"/>
    <n v="0"/>
    <n v="0"/>
    <n v="0"/>
    <n v="0"/>
    <n v="0"/>
    <n v="1"/>
    <n v="0"/>
    <n v="0"/>
    <n v="0"/>
    <n v="0"/>
    <n v="0"/>
    <n v="0"/>
    <n v="0"/>
    <n v="0"/>
    <x v="0"/>
    <x v="0"/>
    <x v="1"/>
    <n v="13"/>
    <m/>
    <n v="-1"/>
    <m/>
    <m/>
    <m/>
    <m/>
    <m/>
    <m/>
    <m/>
    <m/>
    <m/>
    <m/>
    <m/>
    <m/>
    <m/>
    <m/>
    <m/>
    <m/>
    <m/>
    <m/>
    <n v="-1"/>
    <n v="-1"/>
  </r>
  <r>
    <n v="7848"/>
    <x v="2"/>
    <s v="2022/3863"/>
    <s v="302 Trinity Road"/>
    <s v=""/>
    <n v="527025"/>
    <n v="173893"/>
    <x v="10"/>
    <d v="2023-03-31T00:00:00"/>
    <m/>
    <n v="3"/>
    <n v="1"/>
    <n v="-2"/>
    <n v="1"/>
    <n v="-2"/>
    <x v="1"/>
    <s v="Conversion of property into a 4-bedroom house."/>
    <s v="PF"/>
    <d v="2022-10-08T00:00:00"/>
    <d v="2022-12-01T00:00:00"/>
    <x v="1"/>
    <s v="Nil"/>
    <m/>
    <s v="BF"/>
    <s v="CON"/>
    <x v="2"/>
    <x v="8"/>
    <n v="6.8999999999999999E-3"/>
    <d v="2023-03-31T00:00:00"/>
    <x v="1"/>
    <m/>
    <x v="2"/>
    <s v="M"/>
    <s v=""/>
    <m/>
    <n v="0"/>
    <m/>
    <n v="0"/>
    <m/>
    <n v="0"/>
    <n v="-3"/>
    <n v="0"/>
    <n v="0"/>
    <n v="1"/>
    <n v="0"/>
    <n v="0"/>
    <n v="0"/>
    <n v="-3"/>
    <n v="0"/>
    <n v="0"/>
    <n v="0"/>
    <n v="0"/>
    <n v="0"/>
    <n v="0"/>
    <n v="0"/>
    <n v="0"/>
    <n v="0"/>
    <n v="1"/>
    <n v="0"/>
    <n v="0"/>
    <n v="0"/>
    <n v="0"/>
    <n v="0"/>
    <n v="0"/>
    <n v="0"/>
    <n v="0"/>
    <n v="0"/>
    <x v="0"/>
    <x v="0"/>
    <x v="1"/>
    <n v="14"/>
    <m/>
    <n v="-1"/>
    <n v="-1"/>
    <m/>
    <m/>
    <m/>
    <m/>
    <m/>
    <m/>
    <m/>
    <m/>
    <m/>
    <m/>
    <m/>
    <m/>
    <m/>
    <m/>
    <m/>
    <m/>
    <m/>
    <n v="-2"/>
    <n v="-2"/>
  </r>
  <r>
    <n v="5875"/>
    <x v="2"/>
    <s v="2015/0599"/>
    <s v="31 &amp; 32 Centurion Building, 376 Queenstown Road (Chelsea Bridge Wharf)"/>
    <s v=""/>
    <n v="528631"/>
    <n v="177662"/>
    <x v="17"/>
    <d v="2019-03-21T00:00:00"/>
    <m/>
    <n v="2"/>
    <n v="1"/>
    <n v="-1"/>
    <n v="1"/>
    <n v="-1"/>
    <x v="1"/>
    <s v="Internal alterations to convert apartments 31 and 32 into one self contained unit (Class Use C3)."/>
    <s v="PF"/>
    <d v="2015-02-18T00:00:00"/>
    <d v="2015-03-25T00:00:00"/>
    <x v="0"/>
    <s v="Nil"/>
    <m/>
    <s v="BF"/>
    <s v="CON"/>
    <x v="2"/>
    <x v="9"/>
    <n v="1.6E-2"/>
    <d v="2019-03-21T00:00:00"/>
    <x v="0"/>
    <m/>
    <x v="2"/>
    <s v="M"/>
    <s v=""/>
    <m/>
    <n v="0"/>
    <m/>
    <n v="0"/>
    <m/>
    <n v="0"/>
    <n v="0"/>
    <n v="-2"/>
    <n v="1"/>
    <n v="0"/>
    <n v="0"/>
    <n v="0"/>
    <n v="0"/>
    <n v="0"/>
    <n v="-2"/>
    <n v="1"/>
    <n v="0"/>
    <n v="0"/>
    <n v="0"/>
    <n v="0"/>
    <n v="0"/>
    <n v="0"/>
    <n v="0"/>
    <n v="0"/>
    <n v="0"/>
    <n v="0"/>
    <n v="0"/>
    <n v="0"/>
    <n v="0"/>
    <n v="0"/>
    <n v="0"/>
    <n v="0"/>
    <n v="0"/>
    <x v="0"/>
    <x v="1"/>
    <x v="7"/>
    <n v="13"/>
    <m/>
    <n v="-1"/>
    <m/>
    <m/>
    <m/>
    <m/>
    <m/>
    <m/>
    <m/>
    <m/>
    <m/>
    <m/>
    <m/>
    <m/>
    <m/>
    <m/>
    <m/>
    <m/>
    <m/>
    <m/>
    <n v="-1"/>
    <n v="-1"/>
  </r>
  <r>
    <n v="6794"/>
    <x v="2"/>
    <s v="2021/0769"/>
    <s v="35 Fullerton Road"/>
    <s v=""/>
    <n v="526068"/>
    <n v="174820"/>
    <x v="6"/>
    <d v="2022-03-01T00:00:00"/>
    <m/>
    <n v="2"/>
    <n v="1"/>
    <n v="-1"/>
    <n v="1"/>
    <n v="-1"/>
    <x v="1"/>
    <s v="Alterations including erection of a mansard roof extension to main rear roof including raising the ridge by 160mm, and extension above part of the two storey back addition; Erection of a part single/part two-storey rear and side addition; Increase to height of flank wall; Installation of a new front entrance door including associated relocation of front bay window at ground floor, and ground floor side entrance door to be replaced by window; In association with conversion of 2 x flats back to a single dwelling."/>
    <s v="PF"/>
    <d v="2021-03-19T00:00:00"/>
    <d v="2021-05-12T00:00:00"/>
    <x v="0"/>
    <s v="Nil"/>
    <m/>
    <s v="BF"/>
    <s v="CON"/>
    <x v="2"/>
    <x v="8"/>
    <n v="1.2999999999999999E-2"/>
    <d v="2022-03-01T00:00:00"/>
    <x v="0"/>
    <m/>
    <x v="2"/>
    <s v="M"/>
    <s v=""/>
    <m/>
    <n v="0"/>
    <m/>
    <n v="0"/>
    <m/>
    <n v="0"/>
    <n v="-2"/>
    <n v="0"/>
    <n v="0"/>
    <n v="1"/>
    <n v="0"/>
    <n v="0"/>
    <n v="0"/>
    <n v="-2"/>
    <n v="0"/>
    <n v="0"/>
    <n v="0"/>
    <n v="0"/>
    <n v="0"/>
    <n v="0"/>
    <n v="0"/>
    <n v="0"/>
    <n v="0"/>
    <n v="1"/>
    <n v="0"/>
    <n v="0"/>
    <n v="0"/>
    <n v="0"/>
    <n v="0"/>
    <n v="0"/>
    <n v="0"/>
    <n v="0"/>
    <n v="0"/>
    <x v="0"/>
    <x v="0"/>
    <x v="1"/>
    <n v="13"/>
    <m/>
    <n v="-1"/>
    <m/>
    <m/>
    <m/>
    <m/>
    <m/>
    <m/>
    <m/>
    <m/>
    <m/>
    <m/>
    <m/>
    <m/>
    <m/>
    <m/>
    <m/>
    <m/>
    <m/>
    <m/>
    <n v="-1"/>
    <n v="-1"/>
  </r>
  <r>
    <n v="6153"/>
    <x v="2"/>
    <s v="2021/2524"/>
    <s v="58 Rowfant Road"/>
    <s v=""/>
    <n v="528193"/>
    <n v="172920"/>
    <x v="4"/>
    <d v="2021-03-31T00:00:00"/>
    <m/>
    <n v="2"/>
    <n v="1"/>
    <n v="-1"/>
    <n v="1"/>
    <n v="-1"/>
    <x v="1"/>
    <s v="Change of use from two flats into a single family dwelling"/>
    <s v="PF"/>
    <d v="2021-06-11T00:00:00"/>
    <d v="2021-08-06T00:00:00"/>
    <x v="0"/>
    <s v="Nil"/>
    <m/>
    <s v="BF"/>
    <s v="CON"/>
    <x v="2"/>
    <x v="8"/>
    <n v="5.1166600000000003E-3"/>
    <d v="2021-03-31T00:00:00"/>
    <x v="0"/>
    <m/>
    <x v="2"/>
    <s v="MR"/>
    <s v=""/>
    <m/>
    <n v="0"/>
    <m/>
    <n v="0"/>
    <m/>
    <n v="0"/>
    <n v="-1"/>
    <n v="0"/>
    <n v="-1"/>
    <n v="1"/>
    <n v="0"/>
    <n v="0"/>
    <n v="0"/>
    <n v="-1"/>
    <n v="0"/>
    <n v="-1"/>
    <n v="0"/>
    <n v="0"/>
    <n v="0"/>
    <n v="0"/>
    <n v="0"/>
    <n v="0"/>
    <n v="0"/>
    <n v="1"/>
    <n v="0"/>
    <n v="0"/>
    <n v="0"/>
    <n v="0"/>
    <n v="0"/>
    <n v="0"/>
    <n v="0"/>
    <n v="0"/>
    <n v="0"/>
    <x v="0"/>
    <x v="0"/>
    <x v="1"/>
    <n v="13"/>
    <m/>
    <n v="-1"/>
    <m/>
    <m/>
    <m/>
    <m/>
    <m/>
    <m/>
    <m/>
    <m/>
    <m/>
    <m/>
    <m/>
    <m/>
    <m/>
    <m/>
    <m/>
    <m/>
    <m/>
    <m/>
    <n v="-1"/>
    <n v="-1"/>
  </r>
  <r>
    <n v="4686"/>
    <x v="2"/>
    <s v="2020/4633"/>
    <s v="75 Bennerley Road"/>
    <s v=""/>
    <n v="527471"/>
    <n v="174831"/>
    <x v="14"/>
    <d v="2023-03-31T00:00:00"/>
    <m/>
    <n v="2"/>
    <n v="1"/>
    <n v="-1"/>
    <n v="1"/>
    <n v="-1"/>
    <x v="1"/>
    <s v="Change of use of basement and upper floor flat into a single dwelling"/>
    <s v="PF"/>
    <d v="2021-01-12T00:00:00"/>
    <d v="2021-03-09T00:00:00"/>
    <x v="0"/>
    <s v="Nil"/>
    <m/>
    <s v="BF"/>
    <s v="CON"/>
    <x v="2"/>
    <x v="8"/>
    <n v="1.2E-2"/>
    <d v="2023-03-31T00:00:00"/>
    <x v="1"/>
    <m/>
    <x v="2"/>
    <s v="M"/>
    <s v=""/>
    <m/>
    <n v="0"/>
    <m/>
    <n v="0"/>
    <m/>
    <n v="0"/>
    <n v="-1"/>
    <n v="0"/>
    <n v="0"/>
    <n v="-1"/>
    <n v="1"/>
    <n v="0"/>
    <n v="0"/>
    <n v="-1"/>
    <n v="0"/>
    <n v="0"/>
    <n v="-1"/>
    <n v="0"/>
    <n v="0"/>
    <n v="0"/>
    <n v="0"/>
    <n v="0"/>
    <n v="0"/>
    <n v="0"/>
    <n v="1"/>
    <n v="0"/>
    <n v="0"/>
    <n v="0"/>
    <n v="0"/>
    <n v="0"/>
    <n v="0"/>
    <n v="0"/>
    <n v="0"/>
    <x v="0"/>
    <x v="0"/>
    <x v="5"/>
    <n v="5"/>
    <m/>
    <n v="-1"/>
    <m/>
    <m/>
    <m/>
    <m/>
    <m/>
    <m/>
    <m/>
    <m/>
    <m/>
    <m/>
    <m/>
    <m/>
    <m/>
    <m/>
    <m/>
    <m/>
    <m/>
    <m/>
    <n v="-1"/>
    <n v="-1"/>
  </r>
  <r>
    <n v="7005"/>
    <x v="2"/>
    <s v="2018/3634"/>
    <s v="26 Drakefield Road"/>
    <s v=""/>
    <n v="528240"/>
    <n v="172415"/>
    <x v="8"/>
    <d v="2021-04-01T00:00:00"/>
    <m/>
    <n v="3"/>
    <n v="1"/>
    <n v="-2"/>
    <n v="1"/>
    <n v="-2"/>
    <x v="1"/>
    <s v="Alterations including the erection of a single storey side and rear extension; conversion of building from 1 x 1 bedroom and 2 x 2 bedroom flats into a single dwellinghouse."/>
    <s v="PF"/>
    <d v="2018-08-13T00:00:00"/>
    <d v="2018-10-05T00:00:00"/>
    <x v="0"/>
    <s v="Nil"/>
    <m/>
    <s v="BF"/>
    <s v="MIX"/>
    <x v="2"/>
    <x v="8"/>
    <n v="2.3E-2"/>
    <d v="2021-04-01T00:00:00"/>
    <x v="0"/>
    <m/>
    <x v="2"/>
    <s v="M"/>
    <s v=""/>
    <m/>
    <n v="0"/>
    <m/>
    <n v="0"/>
    <m/>
    <n v="0"/>
    <n v="-1"/>
    <n v="-2"/>
    <n v="0"/>
    <n v="1"/>
    <n v="0"/>
    <n v="0"/>
    <n v="0"/>
    <n v="-1"/>
    <n v="-2"/>
    <n v="0"/>
    <n v="0"/>
    <n v="0"/>
    <n v="0"/>
    <n v="0"/>
    <n v="0"/>
    <n v="0"/>
    <n v="0"/>
    <n v="1"/>
    <n v="0"/>
    <n v="0"/>
    <n v="0"/>
    <n v="0"/>
    <n v="0"/>
    <n v="0"/>
    <n v="0"/>
    <n v="0"/>
    <n v="0"/>
    <x v="0"/>
    <x v="0"/>
    <x v="1"/>
    <n v="13"/>
    <m/>
    <n v="-2"/>
    <m/>
    <m/>
    <m/>
    <m/>
    <m/>
    <m/>
    <m/>
    <m/>
    <m/>
    <m/>
    <m/>
    <m/>
    <m/>
    <m/>
    <m/>
    <m/>
    <m/>
    <m/>
    <n v="-2"/>
    <n v="-2"/>
  </r>
  <r>
    <n v="7673"/>
    <x v="2"/>
    <s v="2021/2779"/>
    <s v="307 Trinity Road"/>
    <s v=""/>
    <n v="527055"/>
    <n v="173767"/>
    <x v="10"/>
    <d v="2022-04-01T00:00:00"/>
    <m/>
    <n v="3"/>
    <n v="1"/>
    <n v="-2"/>
    <n v="1"/>
    <n v="-2"/>
    <x v="1"/>
    <s v="Alterations including erection of roof extension with side and rear dormers, erection of part single part two storey rear extension with first floor rear roof-terrace, excavation to enlarge basement, formation of vehicle crossover and formation of hardstanding in front garden and erection of single storey outbuilding in rear garden in connection with conversion of existing flats into single dwelling house."/>
    <s v="PF"/>
    <d v="2021-06-24T00:00:00"/>
    <d v="2021-12-22T00:00:00"/>
    <x v="0"/>
    <s v="Nil"/>
    <m/>
    <s v="BF"/>
    <s v="MIX"/>
    <x v="2"/>
    <x v="8"/>
    <n v="8.0000000000000002E-3"/>
    <d v="2022-04-01T00:00:00"/>
    <x v="1"/>
    <m/>
    <x v="2"/>
    <s v="M"/>
    <s v=""/>
    <m/>
    <n v="0"/>
    <m/>
    <n v="0"/>
    <m/>
    <n v="0"/>
    <n v="-2"/>
    <n v="-1"/>
    <n v="0"/>
    <n v="0"/>
    <n v="1"/>
    <n v="0"/>
    <n v="0"/>
    <n v="-2"/>
    <n v="-1"/>
    <n v="0"/>
    <n v="0"/>
    <n v="0"/>
    <n v="0"/>
    <n v="0"/>
    <n v="0"/>
    <n v="0"/>
    <n v="0"/>
    <n v="0"/>
    <n v="1"/>
    <n v="0"/>
    <n v="0"/>
    <n v="0"/>
    <n v="0"/>
    <n v="0"/>
    <n v="0"/>
    <n v="0"/>
    <n v="0"/>
    <x v="0"/>
    <x v="0"/>
    <x v="1"/>
    <n v="13"/>
    <m/>
    <n v="-2"/>
    <m/>
    <m/>
    <m/>
    <m/>
    <m/>
    <m/>
    <m/>
    <m/>
    <m/>
    <m/>
    <m/>
    <m/>
    <m/>
    <m/>
    <m/>
    <m/>
    <m/>
    <m/>
    <n v="-2"/>
    <n v="-2"/>
  </r>
  <r>
    <n v="4257"/>
    <x v="2"/>
    <s v="2021/4289"/>
    <s v="50-52 Upper Tooting Road"/>
    <s v=""/>
    <n v="527846"/>
    <n v="172221"/>
    <x v="9"/>
    <d v="2022-03-31T00:00:00"/>
    <m/>
    <n v="2"/>
    <n v="0"/>
    <n v="-2"/>
    <n v="0"/>
    <n v="-2"/>
    <x v="1"/>
    <s v="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
    <s v="PF"/>
    <d v="2021-10-08T00:00:00"/>
    <d v="2022-02-03T00:00:00"/>
    <x v="0"/>
    <s v="Nil"/>
    <m/>
    <s v="BF"/>
    <s v="MIX"/>
    <x v="2"/>
    <x v="2"/>
    <n v="0"/>
    <d v="2022-03-31T00:00:00"/>
    <x v="0"/>
    <m/>
    <x v="2"/>
    <s v="MR"/>
    <s v=""/>
    <m/>
    <n v="0"/>
    <m/>
    <n v="0"/>
    <m/>
    <n v="0"/>
    <n v="0"/>
    <n v="0"/>
    <n v="0"/>
    <n v="0"/>
    <n v="-2"/>
    <n v="0"/>
    <n v="0"/>
    <n v="0"/>
    <n v="0"/>
    <n v="0"/>
    <n v="0"/>
    <n v="-2"/>
    <n v="0"/>
    <n v="0"/>
    <n v="0"/>
    <n v="0"/>
    <n v="0"/>
    <n v="0"/>
    <n v="0"/>
    <n v="0"/>
    <n v="0"/>
    <n v="0"/>
    <n v="0"/>
    <n v="0"/>
    <n v="0"/>
    <n v="0"/>
    <n v="0"/>
    <x v="0"/>
    <x v="0"/>
    <x v="1"/>
    <n v="13"/>
    <m/>
    <n v="-2"/>
    <m/>
    <m/>
    <m/>
    <m/>
    <m/>
    <m/>
    <m/>
    <m/>
    <m/>
    <m/>
    <m/>
    <m/>
    <m/>
    <m/>
    <m/>
    <m/>
    <m/>
    <m/>
    <n v="-2"/>
    <n v="-2"/>
  </r>
  <r>
    <n v="7235"/>
    <x v="2"/>
    <s v="2019/3539"/>
    <s v="95-97 Putney High Street"/>
    <s v=""/>
    <n v="524049"/>
    <n v="175301"/>
    <x v="0"/>
    <d v="2022-01-17T00:00:00"/>
    <m/>
    <n v="2"/>
    <n v="0"/>
    <n v="-2"/>
    <n v="0"/>
    <n v="-2"/>
    <x v="1"/>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x v="0"/>
    <s v="Nil"/>
    <m/>
    <s v="BF"/>
    <s v="MIX"/>
    <x v="2"/>
    <x v="12"/>
    <n v="1.9E-2"/>
    <d v="2022-01-17T00:00:00"/>
    <x v="0"/>
    <m/>
    <x v="2"/>
    <s v="M"/>
    <s v=""/>
    <m/>
    <n v="0"/>
    <m/>
    <n v="0"/>
    <m/>
    <n v="0"/>
    <n v="0"/>
    <n v="0"/>
    <n v="0"/>
    <n v="-2"/>
    <n v="0"/>
    <n v="0"/>
    <n v="0"/>
    <n v="0"/>
    <n v="0"/>
    <n v="0"/>
    <n v="-2"/>
    <n v="0"/>
    <n v="0"/>
    <n v="0"/>
    <n v="0"/>
    <n v="0"/>
    <n v="0"/>
    <n v="0"/>
    <n v="0"/>
    <n v="0"/>
    <n v="0"/>
    <n v="0"/>
    <n v="0"/>
    <n v="0"/>
    <n v="0"/>
    <n v="0"/>
    <n v="0"/>
    <x v="4"/>
    <x v="0"/>
    <x v="4"/>
    <n v="13"/>
    <m/>
    <n v="-2"/>
    <m/>
    <m/>
    <m/>
    <m/>
    <m/>
    <m/>
    <m/>
    <m/>
    <m/>
    <m/>
    <m/>
    <m/>
    <m/>
    <m/>
    <m/>
    <m/>
    <m/>
    <m/>
    <n v="-2"/>
    <n v="-2"/>
  </r>
  <r>
    <n v="6311"/>
    <x v="2"/>
    <s v="2016/6287"/>
    <s v="25 Crockerton Road"/>
    <s v=""/>
    <n v="527604"/>
    <n v="172607"/>
    <x v="4"/>
    <d v="2017-11-08T00:00:00"/>
    <m/>
    <n v="4"/>
    <n v="1"/>
    <n v="-3"/>
    <n v="1"/>
    <n v="-3"/>
    <x v="1"/>
    <s v="Alterations in connection with the conversion of the property from four flats (2 x 1-bedroom and 2 x 2-bedroom) to a single dwellinghouse (seven-bedroom). Formation of rear roof terrace at main roof level with 1.1m high balustrade."/>
    <s v="PF"/>
    <d v="2016-10-27T00:00:00"/>
    <d v="2016-12-21T00:00:00"/>
    <x v="0"/>
    <s v="Nil"/>
    <m/>
    <s v="BF"/>
    <s v="CON"/>
    <x v="2"/>
    <x v="8"/>
    <n v="2.8000000000000001E-2"/>
    <d v="2017-11-08T00:00:00"/>
    <x v="0"/>
    <m/>
    <x v="2"/>
    <s v="M"/>
    <s v=""/>
    <m/>
    <n v="0"/>
    <m/>
    <n v="0"/>
    <m/>
    <n v="0"/>
    <n v="-2"/>
    <n v="-2"/>
    <n v="0"/>
    <n v="0"/>
    <n v="1"/>
    <n v="0"/>
    <n v="0"/>
    <n v="-2"/>
    <n v="-2"/>
    <n v="0"/>
    <n v="0"/>
    <n v="0"/>
    <n v="0"/>
    <n v="0"/>
    <n v="0"/>
    <n v="0"/>
    <n v="0"/>
    <n v="0"/>
    <n v="1"/>
    <n v="0"/>
    <n v="0"/>
    <n v="0"/>
    <n v="0"/>
    <n v="0"/>
    <n v="0"/>
    <n v="0"/>
    <n v="0"/>
    <x v="0"/>
    <x v="0"/>
    <x v="1"/>
    <n v="13"/>
    <m/>
    <n v="-3"/>
    <m/>
    <m/>
    <m/>
    <m/>
    <m/>
    <m/>
    <m/>
    <m/>
    <m/>
    <m/>
    <m/>
    <m/>
    <m/>
    <m/>
    <m/>
    <m/>
    <m/>
    <m/>
    <n v="-3"/>
    <n v="-3"/>
  </r>
  <r>
    <n v="3046"/>
    <x v="2"/>
    <s v="2021/2164"/>
    <s v="55 Brodrick Road"/>
    <s v=""/>
    <n v="527378"/>
    <n v="172911"/>
    <x v="4"/>
    <d v="2022-06-28T00:00:00"/>
    <m/>
    <n v="5"/>
    <n v="1"/>
    <n v="-4"/>
    <n v="1"/>
    <n v="-4"/>
    <x v="1"/>
    <s v="Alterations including erection of dormer roof extension to side roof, single storey rear and side extension, first floor rear extension and installation of replacement fenestration in connection with conversion of 5 flats into single dwellinghouse."/>
    <s v="PF"/>
    <d v="2021-05-06T00:00:00"/>
    <d v="2021-08-09T00:00:00"/>
    <x v="0"/>
    <s v="Nil"/>
    <m/>
    <s v="BF"/>
    <s v="MIX"/>
    <x v="2"/>
    <x v="8"/>
    <n v="6.4749999999999999E-3"/>
    <d v="2022-06-28T00:00:00"/>
    <x v="1"/>
    <m/>
    <x v="2"/>
    <s v="M"/>
    <s v=""/>
    <m/>
    <n v="0"/>
    <m/>
    <n v="0"/>
    <m/>
    <n v="-4"/>
    <n v="-1"/>
    <n v="0"/>
    <n v="0"/>
    <n v="0"/>
    <n v="1"/>
    <n v="0"/>
    <n v="-4"/>
    <n v="-1"/>
    <n v="0"/>
    <n v="0"/>
    <n v="0"/>
    <n v="0"/>
    <n v="0"/>
    <n v="0"/>
    <n v="0"/>
    <n v="0"/>
    <n v="0"/>
    <n v="0"/>
    <n v="1"/>
    <n v="0"/>
    <n v="0"/>
    <n v="0"/>
    <n v="0"/>
    <n v="0"/>
    <n v="0"/>
    <n v="0"/>
    <n v="0"/>
    <x v="0"/>
    <x v="0"/>
    <x v="1"/>
    <n v="13"/>
    <m/>
    <n v="-4"/>
    <m/>
    <m/>
    <m/>
    <m/>
    <m/>
    <m/>
    <m/>
    <m/>
    <m/>
    <m/>
    <m/>
    <m/>
    <m/>
    <m/>
    <m/>
    <m/>
    <m/>
    <m/>
    <n v="-4"/>
    <n v="-4"/>
  </r>
  <r>
    <n v="536"/>
    <x v="2"/>
    <s v="2021/4727"/>
    <s v="Argylle House, 1a All Saints Passage"/>
    <s v="1 x 3 unit @ g/f rear of commercial"/>
    <n v="525441"/>
    <n v="174750"/>
    <x v="6"/>
    <d v="2022-02-03T00:00:00"/>
    <m/>
    <n v="0"/>
    <n v="1"/>
    <n v="1"/>
    <n v="17"/>
    <n v="13"/>
    <x v="0"/>
    <s v="Variation of conditions 2 (in accordance with drawings) and 3 (materials) pursuant to planning permission dated 30/01/2020 ref 2016/7216 (Demolition of the existing building and construction of a part 4 part 5 storey building providing 17 residential units and 106sqm flexible B1 commercial floorspace with communal external amenity space at fourth floor level) to allow minor changes to the appearance of the building, layout of commercial waste and cycle stores and to change the wording of Condition 3 to include compliance trigger instead of pre-commencement."/>
    <s v="PFLA"/>
    <d v="2021-10-14T00:00:00"/>
    <d v="2022-06-21T00:00:00"/>
    <x v="1"/>
    <s v="Nil"/>
    <m/>
    <s v="BF"/>
    <s v="NB"/>
    <x v="0"/>
    <x v="0"/>
    <n v="3.0000000000000001E-3"/>
    <d v="2022-02-03T00:00:00"/>
    <x v="0"/>
    <m/>
    <x v="2"/>
    <s v="M"/>
    <s v=""/>
    <m/>
    <n v="1"/>
    <m/>
    <n v="0"/>
    <m/>
    <n v="0"/>
    <n v="0"/>
    <n v="0"/>
    <n v="1"/>
    <n v="0"/>
    <n v="0"/>
    <n v="0"/>
    <n v="0"/>
    <n v="0"/>
    <n v="0"/>
    <n v="1"/>
    <n v="0"/>
    <n v="0"/>
    <n v="0"/>
    <n v="0"/>
    <n v="0"/>
    <n v="0"/>
    <n v="0"/>
    <n v="0"/>
    <n v="0"/>
    <n v="0"/>
    <n v="0"/>
    <n v="0"/>
    <n v="0"/>
    <n v="0"/>
    <n v="0"/>
    <n v="0"/>
    <n v="0"/>
    <x v="3"/>
    <x v="0"/>
    <x v="0"/>
    <n v="2"/>
    <m/>
    <n v="1"/>
    <m/>
    <m/>
    <m/>
    <m/>
    <m/>
    <m/>
    <m/>
    <m/>
    <m/>
    <m/>
    <m/>
    <m/>
    <m/>
    <m/>
    <m/>
    <m/>
    <m/>
    <m/>
    <n v="1"/>
    <n v="1"/>
  </r>
  <r>
    <n v="5381"/>
    <x v="2"/>
    <s v="2020/2369"/>
    <s v="Battersea Bar/The Chopper, 58-70 York Road"/>
    <s v="ISL UC"/>
    <n v="526820"/>
    <n v="176155"/>
    <x v="5"/>
    <d v="2018-11-26T00:00:00"/>
    <m/>
    <n v="0"/>
    <n v="11"/>
    <n v="1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0"/>
    <s v="Nil"/>
    <m/>
    <s v="BF"/>
    <s v="NB"/>
    <x v="0"/>
    <x v="0"/>
    <n v="0.01"/>
    <d v="2018-11-26T00:00:00"/>
    <x v="0"/>
    <m/>
    <x v="0"/>
    <s v="ISL"/>
    <s v="10.14"/>
    <m/>
    <n v="0"/>
    <m/>
    <n v="0"/>
    <m/>
    <n v="0"/>
    <n v="5"/>
    <n v="6"/>
    <n v="0"/>
    <n v="0"/>
    <n v="0"/>
    <n v="0"/>
    <n v="0"/>
    <n v="5"/>
    <n v="6"/>
    <n v="0"/>
    <n v="0"/>
    <n v="0"/>
    <n v="0"/>
    <n v="0"/>
    <n v="0"/>
    <n v="0"/>
    <n v="0"/>
    <n v="0"/>
    <n v="0"/>
    <n v="0"/>
    <n v="0"/>
    <n v="0"/>
    <n v="0"/>
    <n v="0"/>
    <n v="0"/>
    <n v="0"/>
    <n v="0"/>
    <x v="0"/>
    <x v="0"/>
    <x v="8"/>
    <n v="5"/>
    <m/>
    <n v="11"/>
    <m/>
    <m/>
    <m/>
    <m/>
    <m/>
    <m/>
    <m/>
    <m/>
    <m/>
    <m/>
    <m/>
    <m/>
    <m/>
    <m/>
    <m/>
    <m/>
    <m/>
    <m/>
    <n v="11"/>
    <n v="11"/>
  </r>
  <r>
    <n v="7456"/>
    <x v="2"/>
    <s v="2020/2995"/>
    <s v="402-404 Merton Road"/>
    <s v="402"/>
    <n v="525327"/>
    <n v="173104"/>
    <x v="20"/>
    <d v="2021-02-01T00:00:00"/>
    <m/>
    <n v="1"/>
    <n v="1"/>
    <n v="0"/>
    <n v="2"/>
    <n v="0"/>
    <x v="1"/>
    <s v="Demolition of existing buildings and erection of 2 x three-storey 5/6 x bedroom dwellings, with associated off street parking to the front and new boundary walls and gates."/>
    <s v="PF"/>
    <d v="2020-08-12T00:00:00"/>
    <d v="2020-10-13T00:00:00"/>
    <x v="0"/>
    <s v="Nil"/>
    <m/>
    <s v="BF"/>
    <s v="NB"/>
    <x v="2"/>
    <x v="1"/>
    <n v="4.5999999999999999E-2"/>
    <d v="2021-02-01T00:00:00"/>
    <x v="0"/>
    <m/>
    <x v="2"/>
    <s v="M"/>
    <s v=""/>
    <m/>
    <n v="0"/>
    <m/>
    <n v="0"/>
    <m/>
    <n v="0"/>
    <n v="0"/>
    <n v="0"/>
    <n v="0"/>
    <n v="-1"/>
    <n v="1"/>
    <n v="0"/>
    <n v="0"/>
    <n v="0"/>
    <n v="0"/>
    <n v="0"/>
    <n v="0"/>
    <n v="0"/>
    <n v="0"/>
    <n v="0"/>
    <n v="0"/>
    <n v="0"/>
    <n v="0"/>
    <n v="-1"/>
    <n v="1"/>
    <n v="0"/>
    <n v="0"/>
    <n v="0"/>
    <n v="0"/>
    <n v="0"/>
    <n v="0"/>
    <n v="0"/>
    <n v="0"/>
    <x v="0"/>
    <x v="0"/>
    <x v="6"/>
    <n v="3"/>
    <m/>
    <n v="0"/>
    <m/>
    <m/>
    <m/>
    <m/>
    <m/>
    <m/>
    <m/>
    <m/>
    <m/>
    <m/>
    <m/>
    <m/>
    <m/>
    <m/>
    <m/>
    <m/>
    <m/>
    <m/>
    <n v="0"/>
    <n v="0"/>
  </r>
  <r>
    <n v="7456"/>
    <x v="2"/>
    <s v="2020/2995"/>
    <s v="402-404 Merton Road"/>
    <s v="404"/>
    <n v="525327"/>
    <n v="173104"/>
    <x v="20"/>
    <d v="2021-02-01T00:00:00"/>
    <m/>
    <n v="1"/>
    <n v="1"/>
    <n v="0"/>
    <n v="2"/>
    <n v="0"/>
    <x v="1"/>
    <s v="Demolition of existing buildings and erection of 2 x three-storey 5/6 x bedroom dwellings, with associated off street parking to the front and new boundary walls and gates."/>
    <s v="PF"/>
    <d v="2020-08-12T00:00:00"/>
    <d v="2020-10-13T00:00:00"/>
    <x v="0"/>
    <s v="Nil"/>
    <m/>
    <s v="BF"/>
    <s v="NB"/>
    <x v="2"/>
    <x v="1"/>
    <n v="4.5999999999999999E-2"/>
    <d v="2021-02-01T00:00:00"/>
    <x v="0"/>
    <m/>
    <x v="2"/>
    <s v="M"/>
    <s v=""/>
    <m/>
    <n v="0"/>
    <m/>
    <n v="0"/>
    <m/>
    <n v="0"/>
    <n v="0"/>
    <n v="0"/>
    <n v="0"/>
    <n v="-1"/>
    <n v="1"/>
    <n v="0"/>
    <n v="0"/>
    <n v="0"/>
    <n v="0"/>
    <n v="0"/>
    <n v="0"/>
    <n v="0"/>
    <n v="0"/>
    <n v="0"/>
    <n v="0"/>
    <n v="0"/>
    <n v="0"/>
    <n v="-1"/>
    <n v="1"/>
    <n v="0"/>
    <n v="0"/>
    <n v="0"/>
    <n v="0"/>
    <n v="0"/>
    <n v="0"/>
    <n v="0"/>
    <n v="0"/>
    <x v="0"/>
    <x v="0"/>
    <x v="6"/>
    <n v="3"/>
    <m/>
    <n v="0"/>
    <m/>
    <m/>
    <m/>
    <m/>
    <m/>
    <m/>
    <m/>
    <m/>
    <m/>
    <m/>
    <m/>
    <m/>
    <m/>
    <m/>
    <m/>
    <m/>
    <m/>
    <m/>
    <n v="0"/>
    <n v="0"/>
  </r>
  <r>
    <n v="7347"/>
    <x v="2"/>
    <s v="2021/4626"/>
    <s v="157 Fallsbrook Road"/>
    <s v="affordable"/>
    <n v="529142"/>
    <n v="170477"/>
    <x v="13"/>
    <d v="2022-03-31T00:00:00"/>
    <m/>
    <n v="0"/>
    <n v="6"/>
    <n v="6"/>
    <n v="29"/>
    <n v="29"/>
    <x v="0"/>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9T00:00:00"/>
    <x v="0"/>
    <s v="Nil"/>
    <m/>
    <s v="BF"/>
    <s v="NB"/>
    <x v="0"/>
    <x v="0"/>
    <n v="4.4172000000000003E-2"/>
    <d v="2022-04-01T00:00:00"/>
    <x v="1"/>
    <m/>
    <x v="0"/>
    <s v="ISO"/>
    <s v=""/>
    <m/>
    <n v="0"/>
    <m/>
    <n v="0"/>
    <m/>
    <n v="1"/>
    <n v="1"/>
    <n v="3"/>
    <n v="1"/>
    <n v="0"/>
    <n v="0"/>
    <n v="0"/>
    <n v="1"/>
    <n v="1"/>
    <n v="3"/>
    <n v="1"/>
    <n v="0"/>
    <n v="0"/>
    <n v="0"/>
    <n v="0"/>
    <n v="0"/>
    <n v="0"/>
    <n v="0"/>
    <n v="0"/>
    <n v="0"/>
    <n v="0"/>
    <n v="0"/>
    <n v="0"/>
    <n v="0"/>
    <n v="0"/>
    <n v="0"/>
    <n v="0"/>
    <n v="0"/>
    <x v="0"/>
    <x v="0"/>
    <x v="1"/>
    <n v="6"/>
    <m/>
    <m/>
    <n v="1.5"/>
    <n v="1.5"/>
    <n v="1.5"/>
    <n v="1.5"/>
    <m/>
    <m/>
    <m/>
    <m/>
    <m/>
    <m/>
    <m/>
    <m/>
    <m/>
    <m/>
    <m/>
    <m/>
    <m/>
    <m/>
    <n v="6"/>
    <n v="6"/>
  </r>
  <r>
    <n v="7101"/>
    <x v="2"/>
    <s v="2022/0354"/>
    <s v="Site of York Road, Winstanley Road (Part of Estate, York Gardens and Winstanley Estate)"/>
    <s v="Block 5A"/>
    <n v="526922"/>
    <n v="175807"/>
    <x v="21"/>
    <d v="2022-02-17T00:00:00"/>
    <m/>
    <n v="0"/>
    <n v="47"/>
    <n v="47"/>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PFLA"/>
    <d v="2022-01-31T00:00:00"/>
    <d v="2022-04-22T00:00:00"/>
    <x v="1"/>
    <s v="Nil"/>
    <m/>
    <s v="BF"/>
    <s v="NB"/>
    <x v="0"/>
    <x v="0"/>
    <n v="0"/>
    <d v="2022-02-17T00:00:00"/>
    <x v="0"/>
    <m/>
    <x v="1"/>
    <s v="AS"/>
    <s v=""/>
    <m/>
    <n v="0"/>
    <m/>
    <n v="0"/>
    <m/>
    <n v="0"/>
    <n v="18"/>
    <n v="10"/>
    <n v="14"/>
    <n v="5"/>
    <n v="0"/>
    <n v="0"/>
    <n v="0"/>
    <n v="18"/>
    <n v="10"/>
    <n v="14"/>
    <n v="5"/>
    <n v="0"/>
    <n v="0"/>
    <n v="0"/>
    <n v="0"/>
    <n v="0"/>
    <n v="0"/>
    <n v="0"/>
    <n v="0"/>
    <n v="0"/>
    <n v="0"/>
    <n v="0"/>
    <n v="0"/>
    <n v="0"/>
    <n v="0"/>
    <n v="0"/>
    <n v="0"/>
    <x v="0"/>
    <x v="0"/>
    <x v="5"/>
    <n v="5"/>
    <m/>
    <m/>
    <n v="47"/>
    <m/>
    <m/>
    <m/>
    <m/>
    <m/>
    <m/>
    <m/>
    <m/>
    <m/>
    <m/>
    <m/>
    <m/>
    <m/>
    <m/>
    <m/>
    <m/>
    <m/>
    <n v="47"/>
    <n v="47"/>
  </r>
  <r>
    <n v="7101"/>
    <x v="2"/>
    <s v="2022/0354"/>
    <s v="Site of York Road, Winstanley Road (Part of Estate, York Gardens and Winstanley Estate)"/>
    <s v="Block 5A"/>
    <n v="526922"/>
    <n v="175807"/>
    <x v="21"/>
    <d v="2022-02-17T00:00:00"/>
    <m/>
    <n v="0"/>
    <n v="8"/>
    <n v="8"/>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PFLA"/>
    <d v="2022-01-31T00:00:00"/>
    <d v="2022-04-22T00:00:00"/>
    <x v="1"/>
    <s v="Nil"/>
    <m/>
    <s v="BF"/>
    <s v="NB"/>
    <x v="0"/>
    <x v="0"/>
    <n v="0"/>
    <d v="2022-02-17T00:00:00"/>
    <x v="0"/>
    <m/>
    <x v="0"/>
    <s v="ISE"/>
    <s v=""/>
    <m/>
    <n v="0"/>
    <m/>
    <n v="0"/>
    <m/>
    <n v="0"/>
    <n v="1"/>
    <n v="7"/>
    <n v="0"/>
    <n v="0"/>
    <n v="0"/>
    <n v="0"/>
    <n v="0"/>
    <n v="1"/>
    <n v="7"/>
    <n v="0"/>
    <n v="0"/>
    <n v="0"/>
    <n v="0"/>
    <n v="0"/>
    <n v="0"/>
    <n v="0"/>
    <n v="0"/>
    <n v="0"/>
    <n v="0"/>
    <n v="0"/>
    <n v="0"/>
    <n v="0"/>
    <n v="0"/>
    <n v="0"/>
    <n v="0"/>
    <n v="0"/>
    <n v="0"/>
    <x v="0"/>
    <x v="0"/>
    <x v="5"/>
    <n v="5"/>
    <m/>
    <m/>
    <n v="8"/>
    <m/>
    <m/>
    <m/>
    <m/>
    <m/>
    <m/>
    <m/>
    <m/>
    <m/>
    <m/>
    <m/>
    <m/>
    <m/>
    <m/>
    <m/>
    <m/>
    <m/>
    <n v="8"/>
    <n v="8"/>
  </r>
  <r>
    <n v="7101"/>
    <x v="2"/>
    <s v="2022/0354"/>
    <s v="Site of York Road, Winstanley Road (Part of Estate, York Gardens and Winstanley Estate)"/>
    <s v="Block 5B"/>
    <n v="526922"/>
    <n v="175807"/>
    <x v="21"/>
    <d v="2022-02-17T00:00:00"/>
    <m/>
    <n v="0"/>
    <n v="15"/>
    <n v="15"/>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PFLA"/>
    <d v="2022-01-31T00:00:00"/>
    <d v="2022-04-22T00:00:00"/>
    <x v="1"/>
    <s v="Nil"/>
    <m/>
    <s v="BF"/>
    <s v="NB"/>
    <x v="0"/>
    <x v="0"/>
    <n v="0"/>
    <d v="2022-02-17T00:00:00"/>
    <x v="0"/>
    <m/>
    <x v="1"/>
    <s v="AS"/>
    <s v=""/>
    <m/>
    <n v="0"/>
    <m/>
    <n v="0"/>
    <m/>
    <n v="0"/>
    <n v="0"/>
    <n v="2"/>
    <n v="8"/>
    <n v="3"/>
    <n v="2"/>
    <n v="0"/>
    <n v="0"/>
    <n v="0"/>
    <n v="2"/>
    <n v="8"/>
    <n v="3"/>
    <n v="2"/>
    <n v="0"/>
    <n v="0"/>
    <n v="0"/>
    <n v="0"/>
    <n v="0"/>
    <n v="0"/>
    <n v="0"/>
    <n v="0"/>
    <n v="0"/>
    <n v="0"/>
    <n v="0"/>
    <n v="0"/>
    <n v="0"/>
    <n v="0"/>
    <n v="0"/>
    <x v="0"/>
    <x v="0"/>
    <x v="5"/>
    <n v="5"/>
    <m/>
    <m/>
    <n v="15"/>
    <m/>
    <m/>
    <m/>
    <m/>
    <m/>
    <m/>
    <m/>
    <m/>
    <m/>
    <m/>
    <m/>
    <m/>
    <m/>
    <m/>
    <m/>
    <m/>
    <m/>
    <n v="15"/>
    <n v="15"/>
  </r>
  <r>
    <n v="7101"/>
    <x v="2"/>
    <s v="2022/0354"/>
    <s v="Site of York Road, Winstanley Road (Part of Estate, York Gardens and Winstanley Estate)"/>
    <s v="Block 5B"/>
    <n v="526922"/>
    <n v="175807"/>
    <x v="21"/>
    <d v="2022-02-17T00:00:00"/>
    <m/>
    <n v="0"/>
    <n v="6"/>
    <n v="6"/>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PFLA"/>
    <d v="2022-01-31T00:00:00"/>
    <d v="2022-04-22T00:00:00"/>
    <x v="1"/>
    <s v="Nil"/>
    <m/>
    <s v="BF"/>
    <s v="NB"/>
    <x v="0"/>
    <x v="0"/>
    <n v="0"/>
    <d v="2022-02-17T00:00:00"/>
    <x v="0"/>
    <m/>
    <x v="0"/>
    <s v="ISE"/>
    <s v=""/>
    <m/>
    <n v="0"/>
    <m/>
    <n v="0"/>
    <m/>
    <n v="0"/>
    <n v="0"/>
    <n v="2"/>
    <n v="0"/>
    <n v="4"/>
    <n v="0"/>
    <n v="0"/>
    <n v="0"/>
    <n v="0"/>
    <n v="2"/>
    <n v="0"/>
    <n v="4"/>
    <n v="0"/>
    <n v="0"/>
    <n v="0"/>
    <n v="0"/>
    <n v="0"/>
    <n v="0"/>
    <n v="0"/>
    <n v="0"/>
    <n v="0"/>
    <n v="0"/>
    <n v="0"/>
    <n v="0"/>
    <n v="0"/>
    <n v="0"/>
    <n v="0"/>
    <n v="0"/>
    <x v="0"/>
    <x v="0"/>
    <x v="5"/>
    <n v="5"/>
    <m/>
    <m/>
    <n v="6"/>
    <m/>
    <m/>
    <m/>
    <m/>
    <m/>
    <m/>
    <m/>
    <m/>
    <m/>
    <m/>
    <m/>
    <m/>
    <m/>
    <m/>
    <m/>
    <m/>
    <m/>
    <n v="6"/>
    <n v="6"/>
  </r>
  <r>
    <n v="7101"/>
    <x v="2"/>
    <s v="2022/0354"/>
    <s v="Site of York Road, Winstanley Road (Part of Estate, York Gardens and Winstanley Estate)"/>
    <s v="Block 5C"/>
    <n v="526922"/>
    <n v="175807"/>
    <x v="21"/>
    <d v="2022-02-17T00:00:00"/>
    <m/>
    <n v="0"/>
    <n v="40"/>
    <n v="40"/>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PFLA"/>
    <d v="2022-01-31T00:00:00"/>
    <d v="2022-04-22T00:00:00"/>
    <x v="1"/>
    <s v="Nil"/>
    <m/>
    <s v="BF"/>
    <s v="NB"/>
    <x v="0"/>
    <x v="0"/>
    <n v="0"/>
    <d v="2022-02-17T00:00:00"/>
    <x v="0"/>
    <m/>
    <x v="1"/>
    <s v="AS"/>
    <s v=""/>
    <m/>
    <n v="0"/>
    <m/>
    <n v="0"/>
    <m/>
    <n v="0"/>
    <n v="7"/>
    <n v="15"/>
    <n v="14"/>
    <n v="3"/>
    <n v="1"/>
    <n v="0"/>
    <n v="0"/>
    <n v="7"/>
    <n v="15"/>
    <n v="14"/>
    <n v="3"/>
    <n v="1"/>
    <n v="0"/>
    <n v="0"/>
    <n v="0"/>
    <n v="0"/>
    <n v="0"/>
    <n v="0"/>
    <n v="0"/>
    <n v="0"/>
    <n v="0"/>
    <n v="0"/>
    <n v="0"/>
    <n v="0"/>
    <n v="0"/>
    <n v="0"/>
    <n v="0"/>
    <x v="0"/>
    <x v="0"/>
    <x v="5"/>
    <n v="5"/>
    <m/>
    <m/>
    <n v="40"/>
    <m/>
    <m/>
    <m/>
    <m/>
    <m/>
    <m/>
    <m/>
    <m/>
    <m/>
    <m/>
    <m/>
    <m/>
    <m/>
    <m/>
    <m/>
    <m/>
    <m/>
    <n v="40"/>
    <n v="40"/>
  </r>
  <r>
    <n v="7101"/>
    <x v="2"/>
    <s v="2022/0354"/>
    <s v="Site of York Road, Winstanley Road (Part of Estate, York Gardens and Winstanley Estate)"/>
    <s v="Block 5C"/>
    <n v="526922"/>
    <n v="175807"/>
    <x v="21"/>
    <d v="2022-02-17T00:00:00"/>
    <m/>
    <n v="0"/>
    <n v="10"/>
    <n v="10"/>
    <n v="126"/>
    <n v="126"/>
    <x v="0"/>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PFLA"/>
    <d v="2022-01-31T00:00:00"/>
    <d v="2022-04-22T00:00:00"/>
    <x v="1"/>
    <s v="Nil"/>
    <m/>
    <s v="BF"/>
    <s v="NB"/>
    <x v="0"/>
    <x v="0"/>
    <n v="0"/>
    <d v="2022-02-17T00:00:00"/>
    <x v="0"/>
    <m/>
    <x v="0"/>
    <s v="ISE"/>
    <s v=""/>
    <m/>
    <n v="0"/>
    <m/>
    <n v="0"/>
    <m/>
    <n v="0"/>
    <n v="4"/>
    <n v="6"/>
    <n v="0"/>
    <n v="0"/>
    <n v="0"/>
    <n v="0"/>
    <n v="0"/>
    <n v="4"/>
    <n v="6"/>
    <n v="0"/>
    <n v="0"/>
    <n v="0"/>
    <n v="0"/>
    <n v="0"/>
    <n v="0"/>
    <n v="0"/>
    <n v="0"/>
    <n v="0"/>
    <n v="0"/>
    <n v="0"/>
    <n v="0"/>
    <n v="0"/>
    <n v="0"/>
    <n v="0"/>
    <n v="0"/>
    <n v="0"/>
    <n v="0"/>
    <x v="0"/>
    <x v="0"/>
    <x v="5"/>
    <n v="5"/>
    <m/>
    <m/>
    <n v="10"/>
    <m/>
    <m/>
    <m/>
    <m/>
    <m/>
    <m/>
    <m/>
    <m/>
    <m/>
    <m/>
    <m/>
    <m/>
    <m/>
    <m/>
    <m/>
    <m/>
    <m/>
    <n v="10"/>
    <n v="10"/>
  </r>
  <r>
    <n v="3514"/>
    <x v="2"/>
    <s v="2020/3867"/>
    <s v="Battersea Gasholder, 101 Prince of Wales Drive"/>
    <s v="Block A"/>
    <n v="528809"/>
    <n v="177181"/>
    <x v="15"/>
    <d v="2016-10-19T00:00:00"/>
    <m/>
    <n v="0"/>
    <n v="46"/>
    <n v="46"/>
    <n v="233"/>
    <n v="233"/>
    <x v="0"/>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x v="0"/>
    <s v="Nil"/>
    <m/>
    <s v="BF"/>
    <s v="NB"/>
    <x v="0"/>
    <x v="0"/>
    <n v="7.9000000000000001E-2"/>
    <d v="2022-03-31T00:00:00"/>
    <x v="0"/>
    <m/>
    <x v="2"/>
    <s v="M"/>
    <s v="2.1.4"/>
    <m/>
    <n v="46"/>
    <m/>
    <n v="4"/>
    <m/>
    <n v="0"/>
    <n v="0"/>
    <n v="42"/>
    <n v="4"/>
    <n v="0"/>
    <n v="0"/>
    <n v="0"/>
    <n v="0"/>
    <n v="0"/>
    <n v="42"/>
    <n v="4"/>
    <n v="0"/>
    <n v="0"/>
    <n v="0"/>
    <n v="0"/>
    <n v="0"/>
    <n v="0"/>
    <n v="0"/>
    <n v="0"/>
    <n v="0"/>
    <n v="0"/>
    <n v="0"/>
    <n v="0"/>
    <n v="0"/>
    <n v="0"/>
    <n v="0"/>
    <n v="0"/>
    <n v="0"/>
    <x v="0"/>
    <x v="1"/>
    <x v="7"/>
    <n v="2"/>
    <m/>
    <n v="46"/>
    <m/>
    <m/>
    <m/>
    <m/>
    <m/>
    <m/>
    <m/>
    <m/>
    <m/>
    <m/>
    <m/>
    <m/>
    <m/>
    <m/>
    <m/>
    <m/>
    <m/>
    <m/>
    <n v="46"/>
    <n v="46"/>
  </r>
  <r>
    <n v="3745"/>
    <x v="2"/>
    <s v="2018/0210"/>
    <s v="Land rear of 4-24, Thrale Road (Land rear of Mitcham Lane)"/>
    <s v="Block A"/>
    <n v="529291"/>
    <n v="171210"/>
    <x v="13"/>
    <d v="2020-11-01T00:00:00"/>
    <m/>
    <n v="0"/>
    <n v="6"/>
    <n v="6"/>
    <n v="22"/>
    <n v="22"/>
    <x v="0"/>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x v="0"/>
    <s v="Nil"/>
    <m/>
    <s v="BF"/>
    <s v="NB"/>
    <x v="0"/>
    <x v="0"/>
    <n v="4.7E-2"/>
    <d v="2020-11-01T00:00:00"/>
    <x v="0"/>
    <m/>
    <x v="0"/>
    <s v="ISO"/>
    <s v=""/>
    <m/>
    <n v="0"/>
    <m/>
    <n v="0"/>
    <n v="1"/>
    <n v="0"/>
    <n v="2"/>
    <n v="4"/>
    <n v="0"/>
    <n v="0"/>
    <n v="0"/>
    <n v="0"/>
    <n v="0"/>
    <n v="2"/>
    <n v="4"/>
    <n v="0"/>
    <n v="0"/>
    <n v="0"/>
    <n v="0"/>
    <n v="0"/>
    <n v="0"/>
    <n v="0"/>
    <n v="0"/>
    <n v="0"/>
    <n v="0"/>
    <n v="0"/>
    <n v="0"/>
    <n v="0"/>
    <n v="0"/>
    <n v="0"/>
    <n v="0"/>
    <n v="0"/>
    <n v="0"/>
    <x v="0"/>
    <x v="0"/>
    <x v="1"/>
    <n v="5"/>
    <m/>
    <n v="6"/>
    <m/>
    <m/>
    <m/>
    <m/>
    <m/>
    <m/>
    <m/>
    <m/>
    <m/>
    <m/>
    <m/>
    <m/>
    <m/>
    <m/>
    <m/>
    <m/>
    <m/>
    <m/>
    <n v="6"/>
    <n v="6"/>
  </r>
  <r>
    <n v="6852"/>
    <x v="2"/>
    <s v="2018/5553"/>
    <s v="Kersfield Estate, Lytton Grove"/>
    <s v="Block A"/>
    <n v="524063"/>
    <n v="174446"/>
    <x v="7"/>
    <d v="2021-05-26T00:00:00"/>
    <m/>
    <n v="0"/>
    <n v="4"/>
    <n v="4"/>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0"/>
    <s v="Nil"/>
    <m/>
    <s v="BF"/>
    <s v="NB"/>
    <x v="0"/>
    <x v="0"/>
    <n v="5.6000000000000001E-2"/>
    <d v="2021-05-26T00:00:00"/>
    <x v="0"/>
    <m/>
    <x v="2"/>
    <s v="M"/>
    <s v=""/>
    <m/>
    <n v="0"/>
    <m/>
    <n v="0"/>
    <m/>
    <n v="0"/>
    <n v="1"/>
    <n v="3"/>
    <n v="0"/>
    <n v="0"/>
    <n v="0"/>
    <n v="0"/>
    <n v="0"/>
    <n v="1"/>
    <n v="3"/>
    <n v="0"/>
    <n v="0"/>
    <n v="0"/>
    <n v="0"/>
    <n v="0"/>
    <n v="0"/>
    <n v="0"/>
    <n v="0"/>
    <n v="0"/>
    <n v="0"/>
    <n v="0"/>
    <n v="0"/>
    <n v="0"/>
    <n v="0"/>
    <n v="0"/>
    <n v="0"/>
    <n v="0"/>
    <n v="0"/>
    <x v="0"/>
    <x v="0"/>
    <x v="1"/>
    <n v="5"/>
    <m/>
    <n v="4"/>
    <m/>
    <m/>
    <m/>
    <m/>
    <m/>
    <m/>
    <m/>
    <m/>
    <m/>
    <m/>
    <m/>
    <m/>
    <m/>
    <m/>
    <m/>
    <m/>
    <m/>
    <m/>
    <n v="4"/>
    <n v="4"/>
  </r>
  <r>
    <n v="6853"/>
    <x v="2"/>
    <s v="2020/0636"/>
    <s v="The Patmore Centre, Patmore Street"/>
    <s v="Block A (London Shared Ownership)"/>
    <n v="529335"/>
    <n v="176880"/>
    <x v="1"/>
    <d v="2022-11-08T00:00:00"/>
    <m/>
    <n v="0"/>
    <n v="18"/>
    <n v="18"/>
    <n v="57"/>
    <n v="57"/>
    <x v="0"/>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x v="0"/>
    <s v="Nil"/>
    <m/>
    <s v="BF"/>
    <s v="NB"/>
    <x v="0"/>
    <x v="0"/>
    <n v="3.5000000000000003E-2"/>
    <d v="2022-11-08T00:00:00"/>
    <x v="1"/>
    <m/>
    <x v="0"/>
    <s v="ISL"/>
    <s v=""/>
    <m/>
    <n v="0"/>
    <m/>
    <n v="0"/>
    <m/>
    <n v="0"/>
    <n v="9"/>
    <n v="9"/>
    <n v="0"/>
    <n v="0"/>
    <n v="0"/>
    <n v="0"/>
    <n v="0"/>
    <n v="9"/>
    <n v="9"/>
    <n v="0"/>
    <n v="0"/>
    <n v="0"/>
    <n v="0"/>
    <n v="0"/>
    <n v="0"/>
    <n v="0"/>
    <n v="0"/>
    <n v="0"/>
    <n v="0"/>
    <n v="0"/>
    <n v="0"/>
    <n v="0"/>
    <n v="0"/>
    <n v="0"/>
    <n v="0"/>
    <n v="0"/>
    <n v="0"/>
    <x v="0"/>
    <x v="1"/>
    <x v="7"/>
    <n v="5"/>
    <m/>
    <m/>
    <n v="18"/>
    <m/>
    <m/>
    <m/>
    <m/>
    <m/>
    <m/>
    <m/>
    <m/>
    <m/>
    <m/>
    <m/>
    <m/>
    <m/>
    <m/>
    <m/>
    <m/>
    <m/>
    <n v="18"/>
    <n v="18"/>
  </r>
  <r>
    <n v="3522"/>
    <x v="2"/>
    <s v="2020/0011"/>
    <s v="Homebase, Swandon Way"/>
    <s v="Block A (Market)"/>
    <n v="525912"/>
    <n v="175143"/>
    <x v="5"/>
    <d v="2020-04-01T00:00:00"/>
    <m/>
    <n v="0"/>
    <n v="128"/>
    <n v="128"/>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0"/>
    <x v="0"/>
    <n v="0.127"/>
    <d v="2022-04-01T00:00:00"/>
    <x v="1"/>
    <m/>
    <x v="2"/>
    <s v="M"/>
    <s v="3.6"/>
    <m/>
    <n v="0"/>
    <m/>
    <n v="0"/>
    <n v="0"/>
    <n v="0"/>
    <n v="64"/>
    <n v="64"/>
    <n v="0"/>
    <n v="0"/>
    <n v="0"/>
    <n v="0"/>
    <n v="0"/>
    <n v="64"/>
    <n v="64"/>
    <n v="0"/>
    <n v="0"/>
    <n v="0"/>
    <n v="0"/>
    <n v="0"/>
    <n v="0"/>
    <n v="0"/>
    <n v="0"/>
    <n v="0"/>
    <n v="0"/>
    <n v="0"/>
    <n v="0"/>
    <n v="0"/>
    <n v="0"/>
    <n v="0"/>
    <n v="0"/>
    <n v="0"/>
    <n v="0"/>
    <x v="0"/>
    <x v="0"/>
    <x v="0"/>
    <n v="5"/>
    <m/>
    <m/>
    <n v="128"/>
    <m/>
    <m/>
    <m/>
    <m/>
    <m/>
    <m/>
    <m/>
    <m/>
    <m/>
    <m/>
    <m/>
    <m/>
    <m/>
    <m/>
    <m/>
    <m/>
    <m/>
    <n v="128"/>
    <n v="128"/>
  </r>
  <r>
    <n v="3519"/>
    <x v="2"/>
    <s v="2019/4583"/>
    <s v="B and Q Depot, Smugglers Way"/>
    <s v="BLOCK A1"/>
    <n v="525782"/>
    <n v="175172"/>
    <x v="5"/>
    <d v="2020-01-18T00:00:00"/>
    <m/>
    <n v="0"/>
    <n v="56"/>
    <n v="56"/>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0"/>
    <x v="0"/>
    <n v="0.09"/>
    <d v="2021-08-01T00:00:00"/>
    <x v="0"/>
    <m/>
    <x v="2"/>
    <s v="M"/>
    <s v="3.7"/>
    <m/>
    <n v="0"/>
    <m/>
    <n v="0"/>
    <n v="20"/>
    <n v="0"/>
    <n v="0"/>
    <n v="54"/>
    <n v="2"/>
    <n v="0"/>
    <n v="0"/>
    <n v="0"/>
    <n v="0"/>
    <n v="0"/>
    <n v="54"/>
    <n v="2"/>
    <n v="0"/>
    <n v="0"/>
    <n v="0"/>
    <n v="0"/>
    <n v="0"/>
    <n v="0"/>
    <n v="0"/>
    <n v="0"/>
    <n v="0"/>
    <n v="0"/>
    <n v="0"/>
    <n v="0"/>
    <n v="0"/>
    <n v="0"/>
    <n v="0"/>
    <n v="0"/>
    <n v="0"/>
    <x v="0"/>
    <x v="0"/>
    <x v="0"/>
    <n v="5"/>
    <m/>
    <n v="56"/>
    <m/>
    <m/>
    <m/>
    <m/>
    <m/>
    <m/>
    <m/>
    <m/>
    <m/>
    <m/>
    <m/>
    <m/>
    <m/>
    <m/>
    <m/>
    <m/>
    <m/>
    <m/>
    <n v="56"/>
    <n v="56"/>
  </r>
  <r>
    <n v="7385"/>
    <x v="2"/>
    <s v="2020/0635"/>
    <s v="Randall Close Day Centre and car park, 2 Randall Close (Surrey Lane Estate)"/>
    <s v="BLOCK A1 - RANDALL CLOSE"/>
    <n v="527211"/>
    <n v="176872"/>
    <x v="17"/>
    <d v="2022-09-21T00:00:00"/>
    <m/>
    <n v="0"/>
    <n v="27"/>
    <n v="27"/>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x v="0"/>
    <s v="Nil"/>
    <m/>
    <s v="BF"/>
    <s v="NB"/>
    <x v="0"/>
    <x v="0"/>
    <n v="0.16"/>
    <d v="2023-03-09T00:00:00"/>
    <x v="1"/>
    <m/>
    <x v="1"/>
    <s v="AL"/>
    <s v=""/>
    <m/>
    <n v="0"/>
    <n v="16"/>
    <n v="0"/>
    <n v="11"/>
    <n v="0"/>
    <n v="4"/>
    <n v="17"/>
    <n v="4"/>
    <n v="2"/>
    <n v="0"/>
    <n v="0"/>
    <n v="0"/>
    <n v="4"/>
    <n v="17"/>
    <n v="4"/>
    <n v="2"/>
    <n v="0"/>
    <n v="0"/>
    <n v="0"/>
    <n v="0"/>
    <n v="0"/>
    <n v="0"/>
    <n v="0"/>
    <n v="0"/>
    <n v="0"/>
    <n v="0"/>
    <n v="0"/>
    <n v="0"/>
    <n v="0"/>
    <n v="0"/>
    <n v="0"/>
    <n v="0"/>
    <x v="0"/>
    <x v="0"/>
    <x v="1"/>
    <n v="5"/>
    <m/>
    <m/>
    <n v="27"/>
    <m/>
    <m/>
    <m/>
    <m/>
    <m/>
    <m/>
    <m/>
    <m/>
    <m/>
    <m/>
    <m/>
    <m/>
    <m/>
    <m/>
    <m/>
    <m/>
    <m/>
    <n v="27"/>
    <n v="27"/>
  </r>
  <r>
    <n v="3519"/>
    <x v="2"/>
    <s v="2019/4583"/>
    <s v="B and Q Depot, Smugglers Way"/>
    <s v="BLOCK A2"/>
    <n v="525782"/>
    <n v="175172"/>
    <x v="5"/>
    <d v="2020-01-18T00:00:00"/>
    <m/>
    <n v="0"/>
    <n v="38"/>
    <n v="38"/>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0"/>
    <x v="0"/>
    <n v="6.0999999999999999E-2"/>
    <d v="2021-08-01T00:00:00"/>
    <x v="0"/>
    <m/>
    <x v="2"/>
    <s v="M"/>
    <s v="3.7"/>
    <m/>
    <n v="0"/>
    <m/>
    <n v="0"/>
    <m/>
    <n v="0"/>
    <n v="18"/>
    <n v="18"/>
    <n v="2"/>
    <n v="0"/>
    <n v="0"/>
    <n v="0"/>
    <n v="0"/>
    <n v="18"/>
    <n v="18"/>
    <n v="2"/>
    <n v="0"/>
    <n v="0"/>
    <n v="0"/>
    <n v="0"/>
    <n v="0"/>
    <n v="0"/>
    <n v="0"/>
    <n v="0"/>
    <n v="0"/>
    <n v="0"/>
    <n v="0"/>
    <n v="0"/>
    <n v="0"/>
    <n v="0"/>
    <n v="0"/>
    <n v="0"/>
    <n v="0"/>
    <x v="0"/>
    <x v="0"/>
    <x v="0"/>
    <n v="5"/>
    <m/>
    <n v="38"/>
    <m/>
    <m/>
    <m/>
    <m/>
    <m/>
    <m/>
    <m/>
    <m/>
    <m/>
    <m/>
    <m/>
    <m/>
    <m/>
    <m/>
    <m/>
    <m/>
    <m/>
    <m/>
    <n v="38"/>
    <n v="38"/>
  </r>
  <r>
    <n v="7385"/>
    <x v="2"/>
    <s v="2020/0635"/>
    <s v="Randall Close Day Centre and car park, 2 Randall Close (Surrey Lane Estate)"/>
    <s v="BLOCK A2 - RANDALL CLOSE"/>
    <n v="527211"/>
    <n v="176872"/>
    <x v="17"/>
    <d v="2022-09-21T00:00:00"/>
    <m/>
    <n v="0"/>
    <n v="22"/>
    <n v="22"/>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x v="0"/>
    <s v="Nil"/>
    <m/>
    <s v="BF"/>
    <s v="NB"/>
    <x v="0"/>
    <x v="0"/>
    <n v="0.13"/>
    <d v="2023-03-09T00:00:00"/>
    <x v="1"/>
    <m/>
    <x v="0"/>
    <s v="ISL"/>
    <s v=""/>
    <m/>
    <n v="0"/>
    <n v="22"/>
    <n v="0"/>
    <n v="0"/>
    <n v="22"/>
    <n v="0"/>
    <n v="0"/>
    <n v="0"/>
    <n v="0"/>
    <n v="0"/>
    <n v="0"/>
    <n v="22"/>
    <n v="0"/>
    <n v="0"/>
    <n v="0"/>
    <n v="0"/>
    <n v="0"/>
    <n v="0"/>
    <n v="0"/>
    <n v="0"/>
    <n v="0"/>
    <n v="0"/>
    <n v="0"/>
    <n v="0"/>
    <n v="0"/>
    <n v="0"/>
    <n v="0"/>
    <n v="0"/>
    <n v="0"/>
    <n v="0"/>
    <n v="0"/>
    <n v="0"/>
    <x v="0"/>
    <x v="0"/>
    <x v="1"/>
    <n v="5"/>
    <m/>
    <m/>
    <n v="22"/>
    <m/>
    <m/>
    <m/>
    <m/>
    <m/>
    <m/>
    <m/>
    <m/>
    <m/>
    <m/>
    <m/>
    <m/>
    <m/>
    <m/>
    <m/>
    <m/>
    <m/>
    <n v="22"/>
    <n v="22"/>
  </r>
  <r>
    <n v="7385"/>
    <x v="2"/>
    <s v="2020/0635"/>
    <s v="Randall Close Day Centre and car park, 2 Randall Close (Surrey Lane Estate)"/>
    <s v="BLOCK A2 - RANDALL CLOSE"/>
    <n v="527211"/>
    <n v="176872"/>
    <x v="17"/>
    <d v="2022-09-21T00:00:00"/>
    <m/>
    <n v="0"/>
    <n v="8"/>
    <n v="8"/>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x v="0"/>
    <s v="Nil"/>
    <m/>
    <s v="BF"/>
    <s v="NB"/>
    <x v="0"/>
    <x v="0"/>
    <n v="4.7E-2"/>
    <d v="2023-03-09T00:00:00"/>
    <x v="1"/>
    <m/>
    <x v="2"/>
    <s v="M"/>
    <s v=""/>
    <m/>
    <n v="0"/>
    <n v="8"/>
    <n v="0"/>
    <n v="0"/>
    <n v="0"/>
    <n v="0"/>
    <n v="8"/>
    <n v="0"/>
    <n v="0"/>
    <n v="0"/>
    <n v="0"/>
    <n v="0"/>
    <n v="0"/>
    <n v="8"/>
    <n v="0"/>
    <n v="0"/>
    <n v="0"/>
    <n v="0"/>
    <n v="0"/>
    <n v="0"/>
    <n v="0"/>
    <n v="0"/>
    <n v="0"/>
    <n v="0"/>
    <n v="0"/>
    <n v="0"/>
    <n v="0"/>
    <n v="0"/>
    <n v="0"/>
    <n v="0"/>
    <n v="0"/>
    <n v="0"/>
    <x v="0"/>
    <x v="0"/>
    <x v="1"/>
    <n v="5"/>
    <m/>
    <m/>
    <n v="8"/>
    <m/>
    <m/>
    <m/>
    <m/>
    <m/>
    <m/>
    <m/>
    <m/>
    <m/>
    <m/>
    <m/>
    <m/>
    <m/>
    <m/>
    <m/>
    <m/>
    <m/>
    <n v="8"/>
    <n v="8"/>
  </r>
  <r>
    <n v="3519"/>
    <x v="2"/>
    <s v="2019/4583"/>
    <s v="B and Q Depot, Smugglers Way"/>
    <s v="BLOCK A3"/>
    <n v="525782"/>
    <n v="175172"/>
    <x v="5"/>
    <d v="2020-01-18T00:00:00"/>
    <m/>
    <n v="0"/>
    <n v="49"/>
    <n v="49"/>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0"/>
    <x v="0"/>
    <n v="7.8E-2"/>
    <d v="2021-08-01T00:00:00"/>
    <x v="0"/>
    <m/>
    <x v="2"/>
    <s v="M"/>
    <s v="3.7"/>
    <m/>
    <n v="0"/>
    <m/>
    <n v="0"/>
    <m/>
    <n v="0"/>
    <n v="23"/>
    <n v="24"/>
    <n v="2"/>
    <n v="0"/>
    <n v="0"/>
    <n v="0"/>
    <n v="0"/>
    <n v="23"/>
    <n v="24"/>
    <n v="2"/>
    <n v="0"/>
    <n v="0"/>
    <n v="0"/>
    <n v="0"/>
    <n v="0"/>
    <n v="0"/>
    <n v="0"/>
    <n v="0"/>
    <n v="0"/>
    <n v="0"/>
    <n v="0"/>
    <n v="0"/>
    <n v="0"/>
    <n v="0"/>
    <n v="0"/>
    <n v="0"/>
    <n v="0"/>
    <x v="0"/>
    <x v="0"/>
    <x v="0"/>
    <n v="5"/>
    <m/>
    <n v="49"/>
    <m/>
    <m/>
    <m/>
    <m/>
    <m/>
    <m/>
    <m/>
    <m/>
    <m/>
    <m/>
    <m/>
    <m/>
    <m/>
    <m/>
    <m/>
    <m/>
    <m/>
    <m/>
    <n v="49"/>
    <n v="49"/>
  </r>
  <r>
    <n v="3519"/>
    <x v="2"/>
    <s v="2019/4583"/>
    <s v="B and Q Depot, Smugglers Way"/>
    <s v="BLOCK A4"/>
    <n v="525782"/>
    <n v="175172"/>
    <x v="5"/>
    <d v="2020-01-18T00:00:00"/>
    <m/>
    <n v="0"/>
    <n v="42"/>
    <n v="4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0"/>
    <x v="0"/>
    <n v="6.7000000000000004E-2"/>
    <d v="2021-08-01T00:00:00"/>
    <x v="0"/>
    <m/>
    <x v="2"/>
    <s v="M"/>
    <s v="3.7"/>
    <m/>
    <n v="0"/>
    <m/>
    <n v="0"/>
    <m/>
    <n v="0"/>
    <n v="0"/>
    <n v="40"/>
    <n v="2"/>
    <n v="0"/>
    <n v="0"/>
    <n v="0"/>
    <n v="0"/>
    <n v="0"/>
    <n v="40"/>
    <n v="2"/>
    <n v="0"/>
    <n v="0"/>
    <n v="0"/>
    <n v="0"/>
    <n v="0"/>
    <n v="0"/>
    <n v="0"/>
    <n v="0"/>
    <n v="0"/>
    <n v="0"/>
    <n v="0"/>
    <n v="0"/>
    <n v="0"/>
    <n v="0"/>
    <n v="0"/>
    <n v="0"/>
    <n v="0"/>
    <x v="0"/>
    <x v="0"/>
    <x v="0"/>
    <n v="5"/>
    <m/>
    <n v="42"/>
    <m/>
    <m/>
    <m/>
    <m/>
    <m/>
    <m/>
    <m/>
    <m/>
    <m/>
    <m/>
    <m/>
    <m/>
    <m/>
    <m/>
    <m/>
    <m/>
    <m/>
    <m/>
    <n v="42"/>
    <n v="42"/>
  </r>
  <r>
    <n v="3514"/>
    <x v="2"/>
    <s v="2020/3867"/>
    <s v="Battersea Gasholder, 101 Prince of Wales Drive"/>
    <s v="Block B"/>
    <n v="528809"/>
    <n v="177181"/>
    <x v="15"/>
    <d v="2016-10-19T00:00:00"/>
    <m/>
    <n v="0"/>
    <n v="95"/>
    <n v="95"/>
    <n v="233"/>
    <n v="233"/>
    <x v="0"/>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x v="0"/>
    <s v="Nil"/>
    <m/>
    <s v="BF"/>
    <s v="NB"/>
    <x v="0"/>
    <x v="0"/>
    <n v="0.20399999999999999"/>
    <d v="2021-04-01T00:00:00"/>
    <x v="0"/>
    <m/>
    <x v="2"/>
    <s v="M"/>
    <s v="2.1.4"/>
    <m/>
    <n v="95"/>
    <m/>
    <n v="10"/>
    <m/>
    <n v="0"/>
    <n v="17"/>
    <n v="53"/>
    <n v="21"/>
    <n v="4"/>
    <n v="0"/>
    <n v="0"/>
    <n v="0"/>
    <n v="17"/>
    <n v="53"/>
    <n v="21"/>
    <n v="4"/>
    <n v="0"/>
    <n v="0"/>
    <n v="0"/>
    <n v="0"/>
    <n v="0"/>
    <n v="0"/>
    <n v="0"/>
    <n v="0"/>
    <n v="0"/>
    <n v="0"/>
    <n v="0"/>
    <n v="0"/>
    <n v="0"/>
    <n v="0"/>
    <n v="0"/>
    <n v="0"/>
    <x v="0"/>
    <x v="1"/>
    <x v="7"/>
    <n v="2"/>
    <m/>
    <n v="95"/>
    <m/>
    <m/>
    <m/>
    <m/>
    <m/>
    <m/>
    <m/>
    <m/>
    <m/>
    <m/>
    <m/>
    <m/>
    <m/>
    <m/>
    <m/>
    <m/>
    <m/>
    <m/>
    <n v="95"/>
    <n v="95"/>
  </r>
  <r>
    <n v="6852"/>
    <x v="2"/>
    <s v="2018/5553"/>
    <s v="Kersfield Estate, Lytton Grove"/>
    <s v="Block B"/>
    <n v="524063"/>
    <n v="174446"/>
    <x v="7"/>
    <d v="2021-05-26T00:00:00"/>
    <m/>
    <n v="0"/>
    <n v="6"/>
    <n v="6"/>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0"/>
    <s v="Nil"/>
    <m/>
    <s v="BF"/>
    <s v="NB"/>
    <x v="0"/>
    <x v="0"/>
    <n v="8.5000000000000006E-2"/>
    <d v="2021-05-26T00:00:00"/>
    <x v="0"/>
    <m/>
    <x v="2"/>
    <s v="M"/>
    <s v=""/>
    <m/>
    <n v="0"/>
    <m/>
    <n v="0"/>
    <m/>
    <n v="0"/>
    <n v="2"/>
    <n v="4"/>
    <n v="0"/>
    <n v="0"/>
    <n v="0"/>
    <n v="0"/>
    <n v="0"/>
    <n v="2"/>
    <n v="4"/>
    <n v="0"/>
    <n v="0"/>
    <n v="0"/>
    <n v="0"/>
    <n v="0"/>
    <n v="0"/>
    <n v="0"/>
    <n v="0"/>
    <n v="0"/>
    <n v="0"/>
    <n v="0"/>
    <n v="0"/>
    <n v="0"/>
    <n v="0"/>
    <n v="0"/>
    <n v="0"/>
    <n v="0"/>
    <n v="0"/>
    <x v="0"/>
    <x v="0"/>
    <x v="1"/>
    <n v="5"/>
    <m/>
    <n v="6"/>
    <m/>
    <m/>
    <m/>
    <m/>
    <m/>
    <m/>
    <m/>
    <m/>
    <m/>
    <m/>
    <m/>
    <m/>
    <m/>
    <m/>
    <m/>
    <m/>
    <m/>
    <m/>
    <n v="6"/>
    <n v="6"/>
  </r>
  <r>
    <n v="7385"/>
    <x v="2"/>
    <s v="2020/0635"/>
    <s v="Randall Close Day Centre and car park, 2 Randall Close (Surrey Lane Estate)"/>
    <s v="BLOCK B - HYDE LANE"/>
    <n v="527211"/>
    <n v="176872"/>
    <x v="17"/>
    <d v="2022-09-21T00:00:00"/>
    <m/>
    <n v="0"/>
    <n v="39"/>
    <n v="39"/>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x v="0"/>
    <s v="Nil"/>
    <m/>
    <s v="BF"/>
    <s v="NB"/>
    <x v="0"/>
    <x v="0"/>
    <n v="0.23"/>
    <d v="2023-03-09T00:00:00"/>
    <x v="1"/>
    <m/>
    <x v="2"/>
    <s v="M"/>
    <s v=""/>
    <m/>
    <n v="0"/>
    <n v="39"/>
    <n v="0"/>
    <n v="0"/>
    <n v="0"/>
    <n v="10"/>
    <n v="28"/>
    <n v="1"/>
    <n v="0"/>
    <n v="0"/>
    <n v="0"/>
    <n v="0"/>
    <n v="10"/>
    <n v="28"/>
    <n v="1"/>
    <n v="0"/>
    <n v="0"/>
    <n v="0"/>
    <n v="0"/>
    <n v="0"/>
    <n v="0"/>
    <n v="0"/>
    <n v="0"/>
    <n v="0"/>
    <n v="0"/>
    <n v="0"/>
    <n v="0"/>
    <n v="0"/>
    <n v="0"/>
    <n v="0"/>
    <n v="0"/>
    <n v="0"/>
    <x v="0"/>
    <x v="0"/>
    <x v="1"/>
    <n v="5"/>
    <m/>
    <m/>
    <n v="39"/>
    <m/>
    <m/>
    <m/>
    <m/>
    <m/>
    <m/>
    <m/>
    <m/>
    <m/>
    <m/>
    <m/>
    <m/>
    <m/>
    <m/>
    <m/>
    <m/>
    <m/>
    <n v="39"/>
    <n v="39"/>
  </r>
  <r>
    <n v="6853"/>
    <x v="2"/>
    <s v="2020/0636"/>
    <s v="The Patmore Centre, Patmore Street"/>
    <s v="Block B (London Affordable Rented Housing)"/>
    <n v="529335"/>
    <n v="176880"/>
    <x v="1"/>
    <d v="2022-11-08T00:00:00"/>
    <m/>
    <n v="0"/>
    <n v="20"/>
    <n v="20"/>
    <n v="57"/>
    <n v="57"/>
    <x v="0"/>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x v="0"/>
    <s v="Nil"/>
    <m/>
    <s v="BF"/>
    <s v="NB"/>
    <x v="0"/>
    <x v="0"/>
    <n v="0.23300000000000001"/>
    <d v="2022-11-08T00:00:00"/>
    <x v="1"/>
    <m/>
    <x v="1"/>
    <s v="AL"/>
    <s v=""/>
    <m/>
    <n v="0"/>
    <n v="16"/>
    <n v="0"/>
    <n v="4"/>
    <n v="0"/>
    <n v="6"/>
    <n v="8"/>
    <n v="4"/>
    <n v="2"/>
    <n v="0"/>
    <n v="0"/>
    <n v="0"/>
    <n v="6"/>
    <n v="8"/>
    <n v="4"/>
    <n v="2"/>
    <n v="0"/>
    <n v="0"/>
    <n v="0"/>
    <n v="0"/>
    <n v="0"/>
    <n v="0"/>
    <n v="0"/>
    <n v="0"/>
    <n v="0"/>
    <n v="0"/>
    <n v="0"/>
    <n v="0"/>
    <n v="0"/>
    <n v="0"/>
    <n v="0"/>
    <n v="0"/>
    <x v="0"/>
    <x v="1"/>
    <x v="7"/>
    <n v="5"/>
    <m/>
    <m/>
    <n v="20"/>
    <m/>
    <m/>
    <m/>
    <m/>
    <m/>
    <m/>
    <m/>
    <m/>
    <m/>
    <m/>
    <m/>
    <m/>
    <m/>
    <m/>
    <m/>
    <m/>
    <m/>
    <n v="20"/>
    <n v="20"/>
  </r>
  <r>
    <n v="3522"/>
    <x v="2"/>
    <s v="2020/0011"/>
    <s v="Homebase, Swandon Way"/>
    <s v="Block B (Market)"/>
    <n v="525912"/>
    <n v="175143"/>
    <x v="5"/>
    <d v="2020-04-01T00:00:00"/>
    <m/>
    <n v="0"/>
    <n v="94"/>
    <n v="94"/>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0"/>
    <x v="0"/>
    <n v="9.2999999999999999E-2"/>
    <d v="2022-04-01T00:00:00"/>
    <x v="1"/>
    <m/>
    <x v="2"/>
    <s v="M"/>
    <s v="3.6"/>
    <m/>
    <n v="0"/>
    <m/>
    <n v="0"/>
    <n v="10"/>
    <n v="0"/>
    <n v="67"/>
    <n v="17"/>
    <n v="10"/>
    <n v="0"/>
    <n v="0"/>
    <n v="0"/>
    <n v="0"/>
    <n v="67"/>
    <n v="17"/>
    <n v="10"/>
    <n v="0"/>
    <n v="0"/>
    <n v="0"/>
    <n v="0"/>
    <n v="0"/>
    <n v="0"/>
    <n v="0"/>
    <n v="0"/>
    <n v="0"/>
    <n v="0"/>
    <n v="0"/>
    <n v="0"/>
    <n v="0"/>
    <n v="0"/>
    <n v="0"/>
    <n v="0"/>
    <n v="0"/>
    <x v="0"/>
    <x v="0"/>
    <x v="0"/>
    <n v="5"/>
    <m/>
    <m/>
    <n v="94"/>
    <m/>
    <m/>
    <m/>
    <m/>
    <m/>
    <m/>
    <m/>
    <m/>
    <m/>
    <m/>
    <m/>
    <m/>
    <m/>
    <m/>
    <m/>
    <m/>
    <m/>
    <n v="94"/>
    <n v="94"/>
  </r>
  <r>
    <n v="3519"/>
    <x v="2"/>
    <s v="2019/4583"/>
    <s v="B and Q Depot, Smugglers Way"/>
    <s v="BLOCK B1"/>
    <n v="525782"/>
    <n v="175172"/>
    <x v="5"/>
    <d v="2020-01-18T00:00:00"/>
    <m/>
    <n v="0"/>
    <n v="43"/>
    <n v="43"/>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0"/>
    <x v="0"/>
    <n v="6.9000000000000006E-2"/>
    <d v="2021-08-01T00:00:00"/>
    <x v="0"/>
    <m/>
    <x v="0"/>
    <s v="IR"/>
    <s v="3.7"/>
    <m/>
    <n v="0"/>
    <m/>
    <n v="0"/>
    <n v="22"/>
    <n v="0"/>
    <n v="21"/>
    <n v="22"/>
    <n v="0"/>
    <n v="0"/>
    <n v="0"/>
    <n v="0"/>
    <n v="0"/>
    <n v="21"/>
    <n v="22"/>
    <n v="0"/>
    <n v="0"/>
    <n v="0"/>
    <n v="0"/>
    <n v="0"/>
    <n v="0"/>
    <n v="0"/>
    <n v="0"/>
    <n v="0"/>
    <n v="0"/>
    <n v="0"/>
    <n v="0"/>
    <n v="0"/>
    <n v="0"/>
    <n v="0"/>
    <n v="0"/>
    <n v="0"/>
    <n v="0"/>
    <x v="0"/>
    <x v="0"/>
    <x v="0"/>
    <n v="5"/>
    <m/>
    <n v="43"/>
    <m/>
    <m/>
    <m/>
    <m/>
    <m/>
    <m/>
    <m/>
    <m/>
    <m/>
    <m/>
    <m/>
    <m/>
    <m/>
    <m/>
    <m/>
    <m/>
    <m/>
    <m/>
    <n v="43"/>
    <n v="43"/>
  </r>
  <r>
    <n v="3519"/>
    <x v="2"/>
    <s v="2019/4583"/>
    <s v="B and Q Depot, Smugglers Way"/>
    <s v="BLOCK B2"/>
    <n v="525782"/>
    <n v="175172"/>
    <x v="5"/>
    <d v="2020-01-18T00:00:00"/>
    <m/>
    <n v="0"/>
    <n v="35"/>
    <n v="35"/>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0"/>
    <x v="0"/>
    <n v="5.6000000000000001E-2"/>
    <d v="2021-08-01T00:00:00"/>
    <x v="0"/>
    <m/>
    <x v="0"/>
    <s v="IR"/>
    <s v="3.7"/>
    <m/>
    <n v="0"/>
    <m/>
    <n v="0"/>
    <n v="0"/>
    <n v="0"/>
    <n v="0"/>
    <n v="35"/>
    <n v="0"/>
    <n v="0"/>
    <n v="0"/>
    <n v="0"/>
    <n v="0"/>
    <n v="0"/>
    <n v="35"/>
    <n v="0"/>
    <n v="0"/>
    <n v="0"/>
    <n v="0"/>
    <n v="0"/>
    <n v="0"/>
    <n v="0"/>
    <n v="0"/>
    <n v="0"/>
    <n v="0"/>
    <n v="0"/>
    <n v="0"/>
    <n v="0"/>
    <n v="0"/>
    <n v="0"/>
    <n v="0"/>
    <n v="0"/>
    <n v="0"/>
    <x v="0"/>
    <x v="0"/>
    <x v="0"/>
    <n v="5"/>
    <m/>
    <n v="35"/>
    <m/>
    <m/>
    <m/>
    <m/>
    <m/>
    <m/>
    <m/>
    <m/>
    <m/>
    <m/>
    <m/>
    <m/>
    <m/>
    <m/>
    <m/>
    <m/>
    <m/>
    <m/>
    <n v="35"/>
    <n v="35"/>
  </r>
  <r>
    <n v="3519"/>
    <x v="2"/>
    <s v="2019/4583"/>
    <s v="B and Q Depot, Smugglers Way"/>
    <s v="BLOCK B3"/>
    <n v="525782"/>
    <n v="175172"/>
    <x v="5"/>
    <d v="2020-01-18T00:00:00"/>
    <m/>
    <n v="0"/>
    <n v="32"/>
    <n v="3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0"/>
    <x v="0"/>
    <n v="5.0999999999999997E-2"/>
    <d v="2021-08-01T00:00:00"/>
    <x v="0"/>
    <m/>
    <x v="1"/>
    <s v="AA"/>
    <s v="3.7"/>
    <m/>
    <n v="0"/>
    <m/>
    <n v="0"/>
    <n v="8"/>
    <n v="0"/>
    <n v="16"/>
    <n v="16"/>
    <n v="0"/>
    <n v="0"/>
    <n v="0"/>
    <n v="0"/>
    <n v="0"/>
    <n v="16"/>
    <n v="16"/>
    <n v="0"/>
    <n v="0"/>
    <n v="0"/>
    <n v="0"/>
    <n v="0"/>
    <n v="0"/>
    <n v="0"/>
    <n v="0"/>
    <n v="0"/>
    <n v="0"/>
    <n v="0"/>
    <n v="0"/>
    <n v="0"/>
    <n v="0"/>
    <n v="0"/>
    <n v="0"/>
    <n v="0"/>
    <n v="0"/>
    <x v="0"/>
    <x v="0"/>
    <x v="0"/>
    <n v="5"/>
    <m/>
    <n v="32"/>
    <m/>
    <m/>
    <m/>
    <m/>
    <m/>
    <m/>
    <m/>
    <m/>
    <m/>
    <m/>
    <m/>
    <m/>
    <m/>
    <m/>
    <m/>
    <m/>
    <m/>
    <m/>
    <n v="32"/>
    <n v="32"/>
  </r>
  <r>
    <n v="3519"/>
    <x v="2"/>
    <s v="2019/4583"/>
    <s v="B and Q Depot, Smugglers Way"/>
    <s v="BLOCK B4"/>
    <n v="525782"/>
    <n v="175172"/>
    <x v="5"/>
    <d v="2020-01-18T00:00:00"/>
    <m/>
    <n v="0"/>
    <n v="25"/>
    <n v="25"/>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0"/>
    <x v="0"/>
    <n v="0.04"/>
    <d v="2021-08-01T00:00:00"/>
    <x v="0"/>
    <m/>
    <x v="1"/>
    <s v="AA"/>
    <s v="3.7"/>
    <m/>
    <n v="0"/>
    <m/>
    <n v="0"/>
    <m/>
    <n v="0"/>
    <n v="0"/>
    <n v="16"/>
    <n v="9"/>
    <n v="0"/>
    <n v="0"/>
    <n v="0"/>
    <n v="0"/>
    <n v="0"/>
    <n v="16"/>
    <n v="9"/>
    <n v="0"/>
    <n v="0"/>
    <n v="0"/>
    <n v="0"/>
    <n v="0"/>
    <n v="0"/>
    <n v="0"/>
    <n v="0"/>
    <n v="0"/>
    <n v="0"/>
    <n v="0"/>
    <n v="0"/>
    <n v="0"/>
    <n v="0"/>
    <n v="0"/>
    <n v="0"/>
    <n v="0"/>
    <x v="0"/>
    <x v="0"/>
    <x v="0"/>
    <n v="5"/>
    <m/>
    <n v="25"/>
    <m/>
    <m/>
    <m/>
    <m/>
    <m/>
    <m/>
    <m/>
    <m/>
    <m/>
    <m/>
    <m/>
    <m/>
    <m/>
    <m/>
    <m/>
    <m/>
    <m/>
    <m/>
    <n v="25"/>
    <n v="25"/>
  </r>
  <r>
    <n v="3519"/>
    <x v="2"/>
    <s v="2019/4583"/>
    <s v="B and Q Depot, Smugglers Way"/>
    <s v="BLOCK B4"/>
    <n v="525782"/>
    <n v="175172"/>
    <x v="5"/>
    <d v="2020-01-18T00:00:00"/>
    <m/>
    <n v="0"/>
    <n v="2"/>
    <n v="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0"/>
    <x v="0"/>
    <n v="3.0000000000000001E-3"/>
    <d v="2021-08-01T00:00:00"/>
    <x v="0"/>
    <m/>
    <x v="1"/>
    <s v="AA"/>
    <s v="3.7"/>
    <m/>
    <n v="0"/>
    <m/>
    <n v="0"/>
    <n v="9"/>
    <n v="0"/>
    <n v="0"/>
    <n v="2"/>
    <n v="0"/>
    <n v="0"/>
    <n v="0"/>
    <n v="0"/>
    <n v="0"/>
    <n v="0"/>
    <n v="2"/>
    <n v="0"/>
    <n v="0"/>
    <n v="0"/>
    <n v="0"/>
    <n v="0"/>
    <n v="0"/>
    <n v="0"/>
    <n v="0"/>
    <n v="0"/>
    <n v="0"/>
    <n v="0"/>
    <n v="0"/>
    <n v="0"/>
    <n v="0"/>
    <n v="0"/>
    <n v="0"/>
    <n v="0"/>
    <n v="0"/>
    <x v="0"/>
    <x v="0"/>
    <x v="0"/>
    <n v="5"/>
    <m/>
    <n v="2"/>
    <m/>
    <m/>
    <m/>
    <m/>
    <m/>
    <m/>
    <m/>
    <m/>
    <m/>
    <m/>
    <m/>
    <m/>
    <m/>
    <m/>
    <m/>
    <m/>
    <m/>
    <m/>
    <n v="2"/>
    <n v="2"/>
  </r>
  <r>
    <n v="3519"/>
    <x v="2"/>
    <s v="2019/4583"/>
    <s v="B and Q Depot, Smugglers Way"/>
    <s v="BLOCK B5"/>
    <n v="525782"/>
    <n v="175172"/>
    <x v="5"/>
    <d v="2020-01-18T00:00:00"/>
    <m/>
    <n v="0"/>
    <n v="22"/>
    <n v="2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0"/>
    <x v="0"/>
    <n v="3.5000000000000003E-2"/>
    <d v="2021-08-01T00:00:00"/>
    <x v="0"/>
    <m/>
    <x v="2"/>
    <s v="M"/>
    <s v="3.7"/>
    <m/>
    <n v="0"/>
    <m/>
    <n v="0"/>
    <m/>
    <n v="0"/>
    <n v="0"/>
    <n v="21"/>
    <n v="1"/>
    <n v="0"/>
    <n v="0"/>
    <n v="0"/>
    <n v="0"/>
    <n v="0"/>
    <n v="21"/>
    <n v="1"/>
    <n v="0"/>
    <n v="0"/>
    <n v="0"/>
    <n v="0"/>
    <n v="0"/>
    <n v="0"/>
    <n v="0"/>
    <n v="0"/>
    <n v="0"/>
    <n v="0"/>
    <n v="0"/>
    <n v="0"/>
    <n v="0"/>
    <n v="0"/>
    <n v="0"/>
    <n v="0"/>
    <n v="0"/>
    <x v="0"/>
    <x v="0"/>
    <x v="0"/>
    <n v="5"/>
    <m/>
    <n v="22"/>
    <m/>
    <m/>
    <m/>
    <m/>
    <m/>
    <m/>
    <m/>
    <m/>
    <m/>
    <m/>
    <m/>
    <m/>
    <m/>
    <m/>
    <m/>
    <m/>
    <m/>
    <m/>
    <n v="22"/>
    <n v="22"/>
  </r>
  <r>
    <n v="3519"/>
    <x v="2"/>
    <s v="2019/4583"/>
    <s v="B and Q Depot, Smugglers Way"/>
    <s v="BLOCK B5"/>
    <n v="525782"/>
    <n v="175172"/>
    <x v="5"/>
    <d v="2020-01-18T00:00:00"/>
    <m/>
    <n v="0"/>
    <n v="21"/>
    <n v="21"/>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0"/>
    <x v="0"/>
    <n v="3.4000000000000002E-2"/>
    <d v="2021-08-01T00:00:00"/>
    <x v="0"/>
    <m/>
    <x v="0"/>
    <s v="IR"/>
    <s v="3.7"/>
    <m/>
    <n v="0"/>
    <m/>
    <n v="0"/>
    <m/>
    <n v="0"/>
    <n v="0"/>
    <n v="21"/>
    <n v="0"/>
    <n v="0"/>
    <n v="0"/>
    <n v="0"/>
    <n v="0"/>
    <n v="0"/>
    <n v="21"/>
    <n v="0"/>
    <n v="0"/>
    <n v="0"/>
    <n v="0"/>
    <n v="0"/>
    <n v="0"/>
    <n v="0"/>
    <n v="0"/>
    <n v="0"/>
    <n v="0"/>
    <n v="0"/>
    <n v="0"/>
    <n v="0"/>
    <n v="0"/>
    <n v="0"/>
    <n v="0"/>
    <n v="0"/>
    <n v="0"/>
    <x v="0"/>
    <x v="0"/>
    <x v="0"/>
    <n v="5"/>
    <m/>
    <n v="21"/>
    <m/>
    <m/>
    <m/>
    <m/>
    <m/>
    <m/>
    <m/>
    <m/>
    <m/>
    <m/>
    <m/>
    <m/>
    <m/>
    <m/>
    <m/>
    <m/>
    <m/>
    <m/>
    <n v="21"/>
    <n v="21"/>
  </r>
  <r>
    <n v="3519"/>
    <x v="2"/>
    <s v="2019/4583"/>
    <s v="B and Q Depot, Smugglers Way"/>
    <s v="BLOCK B6"/>
    <n v="525782"/>
    <n v="175172"/>
    <x v="5"/>
    <d v="2020-01-18T00:00:00"/>
    <m/>
    <n v="0"/>
    <n v="39"/>
    <n v="39"/>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0"/>
    <x v="0"/>
    <n v="6.3E-2"/>
    <d v="2021-08-01T00:00:00"/>
    <x v="0"/>
    <m/>
    <x v="0"/>
    <s v="IR"/>
    <s v="3.7"/>
    <m/>
    <n v="0"/>
    <m/>
    <n v="0"/>
    <m/>
    <n v="0"/>
    <n v="19"/>
    <n v="20"/>
    <n v="0"/>
    <n v="0"/>
    <n v="0"/>
    <n v="0"/>
    <n v="0"/>
    <n v="19"/>
    <n v="20"/>
    <n v="0"/>
    <n v="0"/>
    <n v="0"/>
    <n v="0"/>
    <n v="0"/>
    <n v="0"/>
    <n v="0"/>
    <n v="0"/>
    <n v="0"/>
    <n v="0"/>
    <n v="0"/>
    <n v="0"/>
    <n v="0"/>
    <n v="0"/>
    <n v="0"/>
    <n v="0"/>
    <n v="0"/>
    <n v="0"/>
    <x v="0"/>
    <x v="0"/>
    <x v="0"/>
    <n v="5"/>
    <m/>
    <n v="39"/>
    <m/>
    <m/>
    <m/>
    <m/>
    <m/>
    <m/>
    <m/>
    <m/>
    <m/>
    <m/>
    <m/>
    <m/>
    <m/>
    <m/>
    <m/>
    <m/>
    <m/>
    <m/>
    <n v="39"/>
    <n v="39"/>
  </r>
  <r>
    <n v="6852"/>
    <x v="2"/>
    <s v="2018/5553"/>
    <s v="Kersfield Estate, Lytton Grove"/>
    <s v="Block C"/>
    <n v="524063"/>
    <n v="174446"/>
    <x v="7"/>
    <d v="2021-05-26T00:00:00"/>
    <m/>
    <n v="0"/>
    <n v="6"/>
    <n v="6"/>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0"/>
    <s v="Nil"/>
    <m/>
    <s v="BF"/>
    <s v="NB"/>
    <x v="0"/>
    <x v="0"/>
    <n v="8.5000000000000006E-2"/>
    <d v="2021-05-26T00:00:00"/>
    <x v="0"/>
    <m/>
    <x v="2"/>
    <s v="M"/>
    <s v=""/>
    <m/>
    <n v="0"/>
    <m/>
    <n v="0"/>
    <m/>
    <n v="0"/>
    <n v="2"/>
    <n v="4"/>
    <n v="0"/>
    <n v="0"/>
    <n v="0"/>
    <n v="0"/>
    <n v="0"/>
    <n v="2"/>
    <n v="4"/>
    <n v="0"/>
    <n v="0"/>
    <n v="0"/>
    <n v="0"/>
    <n v="0"/>
    <n v="0"/>
    <n v="0"/>
    <n v="0"/>
    <n v="0"/>
    <n v="0"/>
    <n v="0"/>
    <n v="0"/>
    <n v="0"/>
    <n v="0"/>
    <n v="0"/>
    <n v="0"/>
    <n v="0"/>
    <n v="0"/>
    <x v="0"/>
    <x v="0"/>
    <x v="1"/>
    <n v="5"/>
    <m/>
    <n v="6"/>
    <m/>
    <m/>
    <m/>
    <m/>
    <m/>
    <m/>
    <m/>
    <m/>
    <m/>
    <m/>
    <m/>
    <m/>
    <m/>
    <m/>
    <m/>
    <m/>
    <m/>
    <m/>
    <n v="6"/>
    <n v="6"/>
  </r>
  <r>
    <n v="7385"/>
    <x v="2"/>
    <s v="2020/0635"/>
    <s v="Randall Close Day Centre and car park, 2 Randall Close (Surrey Lane Estate)"/>
    <s v="BLOCK C - BATTERSEA BRIDGE ROAD"/>
    <n v="527211"/>
    <n v="176872"/>
    <x v="17"/>
    <d v="2022-09-21T00:00:00"/>
    <m/>
    <n v="0"/>
    <n v="10"/>
    <n v="10"/>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x v="0"/>
    <s v="Nil"/>
    <m/>
    <s v="BF"/>
    <s v="NB"/>
    <x v="0"/>
    <x v="0"/>
    <n v="5.8999999999999997E-2"/>
    <d v="2023-03-09T00:00:00"/>
    <x v="1"/>
    <m/>
    <x v="2"/>
    <s v="M"/>
    <s v=""/>
    <m/>
    <n v="0"/>
    <n v="10"/>
    <n v="0"/>
    <n v="0"/>
    <n v="0"/>
    <n v="6"/>
    <n v="4"/>
    <n v="0"/>
    <n v="0"/>
    <n v="0"/>
    <n v="0"/>
    <n v="0"/>
    <n v="6"/>
    <n v="4"/>
    <n v="0"/>
    <n v="0"/>
    <n v="0"/>
    <n v="0"/>
    <n v="0"/>
    <n v="0"/>
    <n v="0"/>
    <n v="0"/>
    <n v="0"/>
    <n v="0"/>
    <n v="0"/>
    <n v="0"/>
    <n v="0"/>
    <n v="0"/>
    <n v="0"/>
    <n v="0"/>
    <n v="0"/>
    <n v="0"/>
    <x v="0"/>
    <x v="0"/>
    <x v="1"/>
    <n v="5"/>
    <m/>
    <m/>
    <n v="10"/>
    <m/>
    <m/>
    <m/>
    <m/>
    <m/>
    <m/>
    <m/>
    <m/>
    <m/>
    <m/>
    <m/>
    <m/>
    <m/>
    <m/>
    <m/>
    <m/>
    <m/>
    <n v="10"/>
    <n v="10"/>
  </r>
  <r>
    <n v="6853"/>
    <x v="2"/>
    <s v="2020/0636"/>
    <s v="The Patmore Centre, Patmore Street"/>
    <s v="Block C (London Affordable Rented Housing)"/>
    <n v="529335"/>
    <n v="176880"/>
    <x v="1"/>
    <d v="2022-11-08T00:00:00"/>
    <m/>
    <n v="0"/>
    <n v="19"/>
    <n v="19"/>
    <n v="57"/>
    <n v="57"/>
    <x v="0"/>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x v="0"/>
    <s v="Nil"/>
    <m/>
    <s v="BF"/>
    <s v="NB"/>
    <x v="0"/>
    <x v="0"/>
    <n v="0.186"/>
    <d v="2022-11-08T00:00:00"/>
    <x v="1"/>
    <m/>
    <x v="1"/>
    <s v="AL"/>
    <s v=""/>
    <m/>
    <n v="0"/>
    <n v="14"/>
    <n v="0"/>
    <n v="2"/>
    <n v="0"/>
    <n v="6"/>
    <n v="7"/>
    <n v="4"/>
    <n v="2"/>
    <n v="0"/>
    <n v="0"/>
    <n v="0"/>
    <n v="6"/>
    <n v="7"/>
    <n v="4"/>
    <n v="2"/>
    <n v="0"/>
    <n v="0"/>
    <n v="0"/>
    <n v="0"/>
    <n v="0"/>
    <n v="0"/>
    <n v="0"/>
    <n v="0"/>
    <n v="0"/>
    <n v="0"/>
    <n v="0"/>
    <n v="0"/>
    <n v="0"/>
    <n v="0"/>
    <n v="0"/>
    <n v="0"/>
    <x v="0"/>
    <x v="1"/>
    <x v="7"/>
    <n v="5"/>
    <m/>
    <m/>
    <n v="19"/>
    <m/>
    <m/>
    <m/>
    <m/>
    <m/>
    <m/>
    <m/>
    <m/>
    <m/>
    <m/>
    <m/>
    <m/>
    <m/>
    <m/>
    <m/>
    <m/>
    <m/>
    <n v="19"/>
    <n v="19"/>
  </r>
  <r>
    <n v="3522"/>
    <x v="2"/>
    <s v="2020/0011"/>
    <s v="Homebase, Swandon Way"/>
    <s v="Block C (Market)"/>
    <n v="525912"/>
    <n v="175143"/>
    <x v="5"/>
    <d v="2020-04-01T00:00:00"/>
    <m/>
    <n v="0"/>
    <n v="99"/>
    <n v="99"/>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0"/>
    <x v="0"/>
    <n v="9.8000000000000004E-2"/>
    <d v="2022-04-01T00:00:00"/>
    <x v="1"/>
    <m/>
    <x v="2"/>
    <s v="M"/>
    <s v="3.6"/>
    <m/>
    <n v="0"/>
    <m/>
    <n v="0"/>
    <n v="10"/>
    <n v="0"/>
    <n v="62"/>
    <n v="27"/>
    <n v="10"/>
    <n v="0"/>
    <n v="0"/>
    <n v="0"/>
    <n v="0"/>
    <n v="62"/>
    <n v="27"/>
    <n v="10"/>
    <n v="0"/>
    <n v="0"/>
    <n v="0"/>
    <n v="0"/>
    <n v="0"/>
    <n v="0"/>
    <n v="0"/>
    <n v="0"/>
    <n v="0"/>
    <n v="0"/>
    <n v="0"/>
    <n v="0"/>
    <n v="0"/>
    <n v="0"/>
    <n v="0"/>
    <n v="0"/>
    <n v="0"/>
    <x v="0"/>
    <x v="0"/>
    <x v="0"/>
    <n v="5"/>
    <m/>
    <m/>
    <n v="99"/>
    <m/>
    <m/>
    <m/>
    <m/>
    <m/>
    <m/>
    <m/>
    <m/>
    <m/>
    <m/>
    <m/>
    <m/>
    <m/>
    <m/>
    <m/>
    <m/>
    <m/>
    <n v="99"/>
    <n v="99"/>
  </r>
  <r>
    <n v="3519"/>
    <x v="2"/>
    <s v="2019/4583"/>
    <s v="B and Q Depot, Smugglers Way"/>
    <s v="BLOCK C1"/>
    <n v="525782"/>
    <n v="175172"/>
    <x v="5"/>
    <d v="2020-01-18T00:00:00"/>
    <m/>
    <n v="0"/>
    <n v="42"/>
    <n v="4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0"/>
    <x v="0"/>
    <n v="6.7000000000000004E-2"/>
    <d v="2023-03-31T00:00:00"/>
    <x v="1"/>
    <m/>
    <x v="2"/>
    <s v="M"/>
    <s v="3.7"/>
    <m/>
    <n v="0"/>
    <m/>
    <n v="0"/>
    <m/>
    <n v="0"/>
    <n v="0"/>
    <n v="40"/>
    <n v="2"/>
    <n v="0"/>
    <n v="0"/>
    <n v="0"/>
    <n v="0"/>
    <n v="0"/>
    <n v="40"/>
    <n v="2"/>
    <n v="0"/>
    <n v="0"/>
    <n v="0"/>
    <n v="0"/>
    <n v="0"/>
    <n v="0"/>
    <n v="0"/>
    <n v="0"/>
    <n v="0"/>
    <n v="0"/>
    <n v="0"/>
    <n v="0"/>
    <n v="0"/>
    <n v="0"/>
    <n v="0"/>
    <n v="0"/>
    <n v="0"/>
    <x v="0"/>
    <x v="0"/>
    <x v="0"/>
    <n v="5"/>
    <m/>
    <m/>
    <n v="42"/>
    <m/>
    <m/>
    <m/>
    <m/>
    <m/>
    <m/>
    <m/>
    <m/>
    <m/>
    <m/>
    <m/>
    <m/>
    <m/>
    <m/>
    <m/>
    <m/>
    <m/>
    <n v="42"/>
    <n v="42"/>
  </r>
  <r>
    <n v="3519"/>
    <x v="2"/>
    <s v="2019/4583"/>
    <s v="B and Q Depot, Smugglers Way"/>
    <s v="BLOCK C2"/>
    <n v="525782"/>
    <n v="175172"/>
    <x v="5"/>
    <d v="2020-01-18T00:00:00"/>
    <m/>
    <n v="0"/>
    <n v="50"/>
    <n v="50"/>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0"/>
    <x v="0"/>
    <n v="0.08"/>
    <d v="2023-03-31T00:00:00"/>
    <x v="1"/>
    <m/>
    <x v="2"/>
    <s v="M"/>
    <s v="3.7"/>
    <m/>
    <n v="0"/>
    <m/>
    <n v="0"/>
    <m/>
    <n v="0"/>
    <n v="24"/>
    <n v="24"/>
    <n v="2"/>
    <n v="0"/>
    <n v="0"/>
    <n v="0"/>
    <n v="0"/>
    <n v="24"/>
    <n v="24"/>
    <n v="2"/>
    <n v="0"/>
    <n v="0"/>
    <n v="0"/>
    <n v="0"/>
    <n v="0"/>
    <n v="0"/>
    <n v="0"/>
    <n v="0"/>
    <n v="0"/>
    <n v="0"/>
    <n v="0"/>
    <n v="0"/>
    <n v="0"/>
    <n v="0"/>
    <n v="0"/>
    <n v="0"/>
    <n v="0"/>
    <x v="0"/>
    <x v="0"/>
    <x v="0"/>
    <n v="5"/>
    <m/>
    <m/>
    <n v="50"/>
    <m/>
    <m/>
    <m/>
    <m/>
    <m/>
    <m/>
    <m/>
    <m/>
    <m/>
    <m/>
    <m/>
    <m/>
    <m/>
    <m/>
    <m/>
    <m/>
    <m/>
    <n v="50"/>
    <n v="50"/>
  </r>
  <r>
    <n v="3519"/>
    <x v="2"/>
    <s v="2019/4583"/>
    <s v="B and Q Depot, Smugglers Way"/>
    <s v="BLOCK C3"/>
    <n v="525782"/>
    <n v="175172"/>
    <x v="5"/>
    <d v="2020-01-18T00:00:00"/>
    <m/>
    <n v="0"/>
    <n v="58"/>
    <n v="58"/>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x v="0"/>
    <s v="Nil"/>
    <m/>
    <s v="BF"/>
    <s v="NB"/>
    <x v="0"/>
    <x v="0"/>
    <n v="9.2999999999999999E-2"/>
    <d v="2023-03-31T00:00:00"/>
    <x v="1"/>
    <m/>
    <x v="2"/>
    <s v="M"/>
    <s v="3.7"/>
    <m/>
    <n v="0"/>
    <m/>
    <n v="0"/>
    <m/>
    <n v="0"/>
    <n v="28"/>
    <n v="28"/>
    <n v="2"/>
    <n v="0"/>
    <n v="0"/>
    <n v="0"/>
    <n v="0"/>
    <n v="28"/>
    <n v="28"/>
    <n v="2"/>
    <n v="0"/>
    <n v="0"/>
    <n v="0"/>
    <n v="0"/>
    <n v="0"/>
    <n v="0"/>
    <n v="0"/>
    <n v="0"/>
    <n v="0"/>
    <n v="0"/>
    <n v="0"/>
    <n v="0"/>
    <n v="0"/>
    <n v="0"/>
    <n v="0"/>
    <n v="0"/>
    <n v="0"/>
    <x v="0"/>
    <x v="0"/>
    <x v="0"/>
    <n v="5"/>
    <m/>
    <m/>
    <n v="58"/>
    <m/>
    <m/>
    <m/>
    <m/>
    <m/>
    <m/>
    <m/>
    <m/>
    <m/>
    <m/>
    <m/>
    <m/>
    <m/>
    <m/>
    <m/>
    <m/>
    <m/>
    <n v="58"/>
    <n v="58"/>
  </r>
  <r>
    <n v="6852"/>
    <x v="2"/>
    <s v="2018/5553"/>
    <s v="Kersfield Estate, Lytton Grove"/>
    <s v="Block D"/>
    <n v="524063"/>
    <n v="174446"/>
    <x v="7"/>
    <d v="2021-05-26T00:00:00"/>
    <m/>
    <n v="0"/>
    <n v="6"/>
    <n v="6"/>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0"/>
    <s v="Nil"/>
    <m/>
    <s v="BF"/>
    <s v="NB"/>
    <x v="0"/>
    <x v="0"/>
    <n v="8.5000000000000006E-2"/>
    <d v="2021-05-26T00:00:00"/>
    <x v="0"/>
    <m/>
    <x v="2"/>
    <s v="M"/>
    <s v=""/>
    <m/>
    <n v="0"/>
    <m/>
    <n v="0"/>
    <m/>
    <n v="0"/>
    <n v="2"/>
    <n v="4"/>
    <n v="0"/>
    <n v="0"/>
    <n v="0"/>
    <n v="0"/>
    <n v="0"/>
    <n v="2"/>
    <n v="4"/>
    <n v="0"/>
    <n v="0"/>
    <n v="0"/>
    <n v="0"/>
    <n v="0"/>
    <n v="0"/>
    <n v="0"/>
    <n v="0"/>
    <n v="0"/>
    <n v="0"/>
    <n v="0"/>
    <n v="0"/>
    <n v="0"/>
    <n v="0"/>
    <n v="0"/>
    <n v="0"/>
    <n v="0"/>
    <n v="0"/>
    <x v="0"/>
    <x v="0"/>
    <x v="1"/>
    <n v="5"/>
    <m/>
    <n v="6"/>
    <m/>
    <m/>
    <m/>
    <m/>
    <m/>
    <m/>
    <m/>
    <m/>
    <m/>
    <m/>
    <m/>
    <m/>
    <m/>
    <m/>
    <m/>
    <m/>
    <m/>
    <m/>
    <n v="6"/>
    <n v="6"/>
  </r>
  <r>
    <n v="3522"/>
    <x v="2"/>
    <s v="2020/0011"/>
    <s v="Homebase, Swandon Way"/>
    <s v="Block D (Affordable Housing)"/>
    <n v="525912"/>
    <n v="175143"/>
    <x v="5"/>
    <d v="2020-04-01T00:00:00"/>
    <m/>
    <n v="0"/>
    <n v="27"/>
    <n v="27"/>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0"/>
    <x v="0"/>
    <n v="2.7E-2"/>
    <d v="2022-04-01T00:00:00"/>
    <x v="1"/>
    <m/>
    <x v="1"/>
    <s v="AL"/>
    <s v="3.6"/>
    <m/>
    <n v="0"/>
    <m/>
    <n v="0"/>
    <n v="10"/>
    <n v="0"/>
    <n v="13"/>
    <n v="11"/>
    <n v="3"/>
    <n v="0"/>
    <n v="0"/>
    <n v="0"/>
    <n v="0"/>
    <n v="13"/>
    <n v="11"/>
    <n v="3"/>
    <n v="0"/>
    <n v="0"/>
    <n v="0"/>
    <n v="0"/>
    <n v="0"/>
    <n v="0"/>
    <n v="0"/>
    <n v="0"/>
    <n v="0"/>
    <n v="0"/>
    <n v="0"/>
    <n v="0"/>
    <n v="0"/>
    <n v="0"/>
    <n v="0"/>
    <n v="0"/>
    <n v="0"/>
    <x v="0"/>
    <x v="0"/>
    <x v="0"/>
    <n v="5"/>
    <m/>
    <n v="27"/>
    <m/>
    <m/>
    <m/>
    <m/>
    <m/>
    <m/>
    <m/>
    <m/>
    <m/>
    <m/>
    <m/>
    <m/>
    <m/>
    <m/>
    <m/>
    <m/>
    <m/>
    <m/>
    <n v="27"/>
    <n v="27"/>
  </r>
  <r>
    <n v="3522"/>
    <x v="2"/>
    <s v="2020/0011"/>
    <s v="Homebase, Swandon Way"/>
    <s v="Block D (Intermediate)"/>
    <n v="525912"/>
    <n v="175143"/>
    <x v="5"/>
    <d v="2020-04-01T00:00:00"/>
    <m/>
    <n v="0"/>
    <n v="62"/>
    <n v="62"/>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0"/>
    <x v="0"/>
    <n v="6.0999999999999999E-2"/>
    <d v="2022-04-01T00:00:00"/>
    <x v="1"/>
    <m/>
    <x v="0"/>
    <s v="ISO"/>
    <s v="3.6"/>
    <m/>
    <n v="0"/>
    <m/>
    <n v="0"/>
    <m/>
    <n v="0"/>
    <n v="29"/>
    <n v="29"/>
    <n v="4"/>
    <n v="0"/>
    <n v="0"/>
    <n v="0"/>
    <n v="0"/>
    <n v="29"/>
    <n v="29"/>
    <n v="4"/>
    <n v="0"/>
    <n v="0"/>
    <n v="0"/>
    <n v="0"/>
    <n v="0"/>
    <n v="0"/>
    <n v="0"/>
    <n v="0"/>
    <n v="0"/>
    <n v="0"/>
    <n v="0"/>
    <n v="0"/>
    <n v="0"/>
    <n v="0"/>
    <n v="0"/>
    <n v="0"/>
    <n v="0"/>
    <x v="0"/>
    <x v="0"/>
    <x v="0"/>
    <n v="5"/>
    <m/>
    <n v="62"/>
    <m/>
    <m/>
    <m/>
    <m/>
    <m/>
    <m/>
    <m/>
    <m/>
    <m/>
    <m/>
    <m/>
    <m/>
    <m/>
    <m/>
    <m/>
    <m/>
    <m/>
    <m/>
    <n v="62"/>
    <n v="62"/>
  </r>
  <r>
    <n v="6852"/>
    <x v="2"/>
    <s v="2018/5553"/>
    <s v="Kersfield Estate, Lytton Grove"/>
    <s v="Block E"/>
    <n v="524063"/>
    <n v="174446"/>
    <x v="7"/>
    <d v="2021-05-26T00:00:00"/>
    <m/>
    <n v="0"/>
    <n v="5"/>
    <n v="5"/>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0"/>
    <s v="Nil"/>
    <m/>
    <s v="BF"/>
    <s v="NB"/>
    <x v="0"/>
    <x v="0"/>
    <n v="7.0000000000000007E-2"/>
    <d v="2021-05-26T00:00:00"/>
    <x v="0"/>
    <m/>
    <x v="2"/>
    <s v="M"/>
    <s v=""/>
    <m/>
    <n v="0"/>
    <m/>
    <n v="0"/>
    <m/>
    <n v="0"/>
    <n v="1"/>
    <n v="4"/>
    <n v="0"/>
    <n v="0"/>
    <n v="0"/>
    <n v="0"/>
    <n v="0"/>
    <n v="1"/>
    <n v="4"/>
    <n v="0"/>
    <n v="0"/>
    <n v="0"/>
    <n v="0"/>
    <n v="0"/>
    <n v="0"/>
    <n v="0"/>
    <n v="0"/>
    <n v="0"/>
    <n v="0"/>
    <n v="0"/>
    <n v="0"/>
    <n v="0"/>
    <n v="0"/>
    <n v="0"/>
    <n v="0"/>
    <n v="0"/>
    <n v="0"/>
    <x v="0"/>
    <x v="0"/>
    <x v="1"/>
    <n v="5"/>
    <m/>
    <n v="5"/>
    <m/>
    <m/>
    <m/>
    <m/>
    <m/>
    <m/>
    <m/>
    <m/>
    <m/>
    <m/>
    <m/>
    <m/>
    <m/>
    <m/>
    <m/>
    <m/>
    <m/>
    <m/>
    <n v="5"/>
    <n v="5"/>
  </r>
  <r>
    <n v="3522"/>
    <x v="2"/>
    <s v="2020/0011"/>
    <s v="Homebase, Swandon Way"/>
    <s v="Block E(Affordable Housing)"/>
    <n v="525912"/>
    <n v="175143"/>
    <x v="5"/>
    <d v="2020-04-01T00:00:00"/>
    <m/>
    <n v="0"/>
    <n v="70"/>
    <n v="70"/>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x v="0"/>
    <s v="Nil"/>
    <m/>
    <s v="BF"/>
    <s v="NB"/>
    <x v="0"/>
    <x v="0"/>
    <n v="6.9000000000000006E-2"/>
    <d v="2021-04-01T00:00:00"/>
    <x v="0"/>
    <m/>
    <x v="1"/>
    <s v="AL"/>
    <s v="3.6"/>
    <m/>
    <n v="0"/>
    <m/>
    <n v="0"/>
    <n v="18"/>
    <n v="0"/>
    <n v="36"/>
    <n v="17"/>
    <n v="17"/>
    <n v="0"/>
    <n v="0"/>
    <n v="0"/>
    <n v="0"/>
    <n v="36"/>
    <n v="17"/>
    <n v="17"/>
    <n v="0"/>
    <n v="0"/>
    <n v="0"/>
    <n v="0"/>
    <n v="0"/>
    <n v="0"/>
    <n v="0"/>
    <n v="0"/>
    <n v="0"/>
    <n v="0"/>
    <n v="0"/>
    <n v="0"/>
    <n v="0"/>
    <n v="0"/>
    <n v="0"/>
    <n v="0"/>
    <n v="0"/>
    <x v="0"/>
    <x v="0"/>
    <x v="0"/>
    <n v="5"/>
    <m/>
    <n v="70"/>
    <m/>
    <m/>
    <m/>
    <m/>
    <m/>
    <m/>
    <m/>
    <m/>
    <m/>
    <m/>
    <m/>
    <m/>
    <m/>
    <m/>
    <m/>
    <m/>
    <m/>
    <m/>
    <n v="70"/>
    <n v="70"/>
  </r>
  <r>
    <n v="3514"/>
    <x v="2"/>
    <s v="2020/3867"/>
    <s v="Battersea Gasholder, 101 Prince of Wales Drive"/>
    <s v="Block F"/>
    <n v="528809"/>
    <n v="177181"/>
    <x v="15"/>
    <d v="2016-10-19T00:00:00"/>
    <m/>
    <n v="0"/>
    <n v="92"/>
    <n v="92"/>
    <n v="233"/>
    <n v="233"/>
    <x v="0"/>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x v="0"/>
    <s v="Nil"/>
    <m/>
    <s v="BF"/>
    <s v="NB"/>
    <x v="0"/>
    <x v="0"/>
    <n v="0.16900000000000001"/>
    <d v="2022-03-31T00:00:00"/>
    <x v="0"/>
    <m/>
    <x v="2"/>
    <s v="M"/>
    <s v="2.1.4"/>
    <m/>
    <n v="92"/>
    <m/>
    <n v="10"/>
    <m/>
    <n v="0"/>
    <n v="28"/>
    <n v="56"/>
    <n v="4"/>
    <n v="4"/>
    <n v="0"/>
    <n v="0"/>
    <n v="0"/>
    <n v="28"/>
    <n v="56"/>
    <n v="4"/>
    <n v="4"/>
    <n v="0"/>
    <n v="0"/>
    <n v="0"/>
    <n v="0"/>
    <n v="0"/>
    <n v="0"/>
    <n v="0"/>
    <n v="0"/>
    <n v="0"/>
    <n v="0"/>
    <n v="0"/>
    <n v="0"/>
    <n v="0"/>
    <n v="0"/>
    <n v="0"/>
    <n v="0"/>
    <x v="0"/>
    <x v="1"/>
    <x v="7"/>
    <n v="2"/>
    <m/>
    <n v="92"/>
    <m/>
    <m/>
    <m/>
    <m/>
    <m/>
    <m/>
    <m/>
    <m/>
    <m/>
    <m/>
    <m/>
    <m/>
    <m/>
    <m/>
    <m/>
    <m/>
    <m/>
    <m/>
    <n v="92"/>
    <n v="92"/>
  </r>
  <r>
    <n v="6852"/>
    <x v="2"/>
    <s v="2018/5553"/>
    <s v="Kersfield Estate, Lytton Grove"/>
    <s v="Block F"/>
    <n v="524063"/>
    <n v="174446"/>
    <x v="7"/>
    <d v="2021-05-26T00:00:00"/>
    <m/>
    <n v="0"/>
    <n v="7"/>
    <n v="7"/>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0"/>
    <s v="Nil"/>
    <m/>
    <s v="BF"/>
    <s v="NB"/>
    <x v="0"/>
    <x v="0"/>
    <n v="9.9000000000000005E-2"/>
    <d v="2021-05-26T00:00:00"/>
    <x v="0"/>
    <m/>
    <x v="1"/>
    <s v="AL"/>
    <s v=""/>
    <m/>
    <n v="0"/>
    <m/>
    <n v="0"/>
    <n v="1"/>
    <n v="0"/>
    <n v="3"/>
    <n v="3"/>
    <n v="1"/>
    <n v="0"/>
    <n v="0"/>
    <n v="0"/>
    <n v="0"/>
    <n v="3"/>
    <n v="3"/>
    <n v="1"/>
    <n v="0"/>
    <n v="0"/>
    <n v="0"/>
    <n v="0"/>
    <n v="0"/>
    <n v="0"/>
    <n v="0"/>
    <n v="0"/>
    <n v="0"/>
    <n v="0"/>
    <n v="0"/>
    <n v="0"/>
    <n v="0"/>
    <n v="0"/>
    <n v="0"/>
    <n v="0"/>
    <n v="0"/>
    <x v="0"/>
    <x v="0"/>
    <x v="1"/>
    <n v="5"/>
    <m/>
    <n v="7"/>
    <m/>
    <m/>
    <m/>
    <m/>
    <m/>
    <m/>
    <m/>
    <m/>
    <m/>
    <m/>
    <m/>
    <m/>
    <m/>
    <m/>
    <m/>
    <m/>
    <m/>
    <m/>
    <n v="7"/>
    <n v="7"/>
  </r>
  <r>
    <n v="6852"/>
    <x v="2"/>
    <s v="2018/5553"/>
    <s v="Kersfield Estate, Lytton Grove"/>
    <s v="Block G"/>
    <n v="524063"/>
    <n v="174446"/>
    <x v="7"/>
    <d v="2021-05-26T00:00:00"/>
    <m/>
    <n v="0"/>
    <n v="7"/>
    <n v="7"/>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0"/>
    <s v="Nil"/>
    <m/>
    <s v="BF"/>
    <s v="NB"/>
    <x v="0"/>
    <x v="0"/>
    <n v="9.9000000000000005E-2"/>
    <d v="2021-05-26T00:00:00"/>
    <x v="0"/>
    <m/>
    <x v="1"/>
    <s v="AL"/>
    <s v=""/>
    <m/>
    <n v="0"/>
    <m/>
    <n v="0"/>
    <n v="1"/>
    <n v="0"/>
    <n v="3"/>
    <n v="3"/>
    <n v="1"/>
    <n v="0"/>
    <n v="0"/>
    <n v="0"/>
    <n v="0"/>
    <n v="3"/>
    <n v="3"/>
    <n v="1"/>
    <n v="0"/>
    <n v="0"/>
    <n v="0"/>
    <n v="0"/>
    <n v="0"/>
    <n v="0"/>
    <n v="0"/>
    <n v="0"/>
    <n v="0"/>
    <n v="0"/>
    <n v="0"/>
    <n v="0"/>
    <n v="0"/>
    <n v="0"/>
    <n v="0"/>
    <n v="0"/>
    <n v="0"/>
    <x v="0"/>
    <x v="0"/>
    <x v="1"/>
    <n v="5"/>
    <m/>
    <n v="7"/>
    <m/>
    <m/>
    <m/>
    <m/>
    <m/>
    <m/>
    <m/>
    <m/>
    <m/>
    <m/>
    <m/>
    <m/>
    <m/>
    <m/>
    <m/>
    <m/>
    <m/>
    <m/>
    <n v="7"/>
    <n v="7"/>
  </r>
  <r>
    <n v="6819"/>
    <x v="2"/>
    <s v="2018/0272"/>
    <s v="Pocklington Court, 74 Alton Road"/>
    <s v="Building A"/>
    <n v="522285"/>
    <n v="173138"/>
    <x v="16"/>
    <d v="2020-01-18T00:00:00"/>
    <m/>
    <n v="64"/>
    <n v="41"/>
    <n v="-23"/>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0"/>
    <x v="0"/>
    <n v="0.17799999999999999"/>
    <d v="2020-01-18T00:00:00"/>
    <x v="0"/>
    <m/>
    <x v="1"/>
    <s v="AS"/>
    <s v=""/>
    <m/>
    <n v="0"/>
    <n v="33"/>
    <n v="0"/>
    <n v="8"/>
    <n v="-53"/>
    <n v="30"/>
    <n v="0"/>
    <n v="0"/>
    <n v="0"/>
    <n v="0"/>
    <n v="0"/>
    <n v="-53"/>
    <n v="30"/>
    <n v="0"/>
    <n v="0"/>
    <n v="0"/>
    <n v="0"/>
    <n v="0"/>
    <n v="0"/>
    <n v="0"/>
    <n v="0"/>
    <n v="0"/>
    <n v="0"/>
    <n v="0"/>
    <n v="0"/>
    <n v="0"/>
    <n v="0"/>
    <n v="0"/>
    <n v="0"/>
    <n v="0"/>
    <n v="0"/>
    <n v="0"/>
    <x v="0"/>
    <x v="0"/>
    <x v="1"/>
    <n v="5"/>
    <m/>
    <n v="-23"/>
    <m/>
    <m/>
    <m/>
    <m/>
    <m/>
    <m/>
    <m/>
    <m/>
    <m/>
    <m/>
    <m/>
    <m/>
    <m/>
    <m/>
    <m/>
    <m/>
    <m/>
    <m/>
    <n v="-23"/>
    <n v="-23"/>
  </r>
  <r>
    <n v="6819"/>
    <x v="2"/>
    <s v="2018/0272"/>
    <s v="Pocklington Court, 74 Alton Road"/>
    <s v="Building B"/>
    <n v="522285"/>
    <n v="173138"/>
    <x v="16"/>
    <d v="2020-01-18T00:00:00"/>
    <m/>
    <n v="0"/>
    <n v="28"/>
    <n v="28"/>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0"/>
    <x v="0"/>
    <n v="0.17499999999999999"/>
    <d v="2020-01-18T00:00:00"/>
    <x v="0"/>
    <m/>
    <x v="0"/>
    <s v="IU"/>
    <s v=""/>
    <m/>
    <n v="0"/>
    <n v="28"/>
    <n v="0"/>
    <n v="0"/>
    <n v="0"/>
    <n v="15"/>
    <n v="10"/>
    <n v="3"/>
    <n v="0"/>
    <n v="0"/>
    <n v="0"/>
    <n v="0"/>
    <n v="15"/>
    <n v="10"/>
    <n v="3"/>
    <n v="0"/>
    <n v="0"/>
    <n v="0"/>
    <n v="0"/>
    <n v="0"/>
    <n v="0"/>
    <n v="0"/>
    <n v="0"/>
    <n v="0"/>
    <n v="0"/>
    <n v="0"/>
    <n v="0"/>
    <n v="0"/>
    <n v="0"/>
    <n v="0"/>
    <n v="0"/>
    <n v="0"/>
    <x v="0"/>
    <x v="0"/>
    <x v="1"/>
    <n v="5"/>
    <m/>
    <n v="28"/>
    <m/>
    <m/>
    <m/>
    <m/>
    <m/>
    <m/>
    <m/>
    <m/>
    <m/>
    <m/>
    <m/>
    <m/>
    <m/>
    <m/>
    <m/>
    <m/>
    <m/>
    <m/>
    <n v="28"/>
    <n v="28"/>
  </r>
  <r>
    <n v="6819"/>
    <x v="2"/>
    <s v="2018/0272"/>
    <s v="Pocklington Court, 74 Alton Road"/>
    <s v="Building C"/>
    <n v="522285"/>
    <n v="173138"/>
    <x v="16"/>
    <d v="2020-01-18T00:00:00"/>
    <m/>
    <n v="0"/>
    <n v="26"/>
    <n v="26"/>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0"/>
    <x v="0"/>
    <n v="0.16800000000000001"/>
    <d v="2020-01-18T00:00:00"/>
    <x v="0"/>
    <m/>
    <x v="0"/>
    <s v="IU"/>
    <s v=""/>
    <m/>
    <n v="0"/>
    <n v="24"/>
    <n v="0"/>
    <n v="2"/>
    <n v="0"/>
    <n v="9"/>
    <n v="14"/>
    <n v="3"/>
    <n v="0"/>
    <n v="0"/>
    <n v="0"/>
    <n v="0"/>
    <n v="9"/>
    <n v="14"/>
    <n v="3"/>
    <n v="0"/>
    <n v="0"/>
    <n v="0"/>
    <n v="0"/>
    <n v="0"/>
    <n v="0"/>
    <n v="0"/>
    <n v="0"/>
    <n v="0"/>
    <n v="0"/>
    <n v="0"/>
    <n v="0"/>
    <n v="0"/>
    <n v="0"/>
    <n v="0"/>
    <n v="0"/>
    <n v="0"/>
    <x v="0"/>
    <x v="0"/>
    <x v="1"/>
    <n v="5"/>
    <m/>
    <n v="26"/>
    <m/>
    <m/>
    <m/>
    <m/>
    <m/>
    <m/>
    <m/>
    <m/>
    <m/>
    <m/>
    <m/>
    <m/>
    <m/>
    <m/>
    <m/>
    <m/>
    <m/>
    <m/>
    <n v="26"/>
    <n v="26"/>
  </r>
  <r>
    <n v="7090"/>
    <x v="2"/>
    <s v="2018/5833"/>
    <s v="The Northcote Library, Chatham Hall and garages west of Chatham Hall, 155e Northcote Road"/>
    <s v="Chatham Hall"/>
    <n v="527587"/>
    <n v="174507"/>
    <x v="14"/>
    <d v="2021-04-01T00:00:00"/>
    <m/>
    <n v="0"/>
    <n v="7"/>
    <n v="7"/>
    <n v="16"/>
    <n v="16"/>
    <x v="0"/>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0"/>
    <s v="Nil"/>
    <m/>
    <s v="BF"/>
    <s v="NB"/>
    <x v="0"/>
    <x v="0"/>
    <n v="6.3E-2"/>
    <d v="2021-04-01T00:00:00"/>
    <x v="0"/>
    <m/>
    <x v="2"/>
    <s v="M"/>
    <s v=""/>
    <m/>
    <n v="0"/>
    <n v="1"/>
    <n v="0"/>
    <n v="0"/>
    <n v="0"/>
    <n v="3"/>
    <n v="4"/>
    <n v="0"/>
    <n v="0"/>
    <n v="0"/>
    <n v="0"/>
    <n v="0"/>
    <n v="3"/>
    <n v="4"/>
    <n v="0"/>
    <n v="0"/>
    <n v="0"/>
    <n v="0"/>
    <n v="0"/>
    <n v="0"/>
    <n v="0"/>
    <n v="0"/>
    <n v="0"/>
    <n v="0"/>
    <n v="0"/>
    <n v="0"/>
    <n v="0"/>
    <n v="0"/>
    <n v="0"/>
    <n v="0"/>
    <n v="0"/>
    <n v="0"/>
    <x v="0"/>
    <x v="0"/>
    <x v="1"/>
    <n v="3"/>
    <m/>
    <n v="7"/>
    <m/>
    <m/>
    <m/>
    <m/>
    <m/>
    <m/>
    <m/>
    <m/>
    <m/>
    <m/>
    <m/>
    <m/>
    <m/>
    <m/>
    <m/>
    <m/>
    <m/>
    <m/>
    <n v="7"/>
    <n v="7"/>
  </r>
  <r>
    <n v="365"/>
    <x v="2"/>
    <s v="2014/5786"/>
    <s v="Market Towers, 1 Nine Elms Lane (One Nine Elms)"/>
    <s v="City Tower"/>
    <n v="530104"/>
    <n v="177808"/>
    <x v="15"/>
    <d v="2015-08-12T00:00:00"/>
    <m/>
    <n v="0"/>
    <n v="57"/>
    <n v="57"/>
    <n v="57"/>
    <n v="57"/>
    <x v="0"/>
    <s v="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
    <s v="S96A"/>
    <d v="2014-10-08T00:00:00"/>
    <d v="2015-01-12T00:00:00"/>
    <x v="0"/>
    <s v="Nil"/>
    <m/>
    <s v="BF"/>
    <s v="NB"/>
    <x v="0"/>
    <x v="0"/>
    <n v="1.4E-2"/>
    <d v="2015-08-12T00:00:00"/>
    <x v="0"/>
    <m/>
    <x v="0"/>
    <s v="ISO"/>
    <s v="2.1.12"/>
    <m/>
    <n v="57"/>
    <n v="0"/>
    <n v="6"/>
    <n v="0"/>
    <n v="0"/>
    <n v="35"/>
    <n v="22"/>
    <n v="0"/>
    <n v="0"/>
    <n v="0"/>
    <n v="0"/>
    <n v="0"/>
    <n v="35"/>
    <n v="22"/>
    <n v="0"/>
    <n v="0"/>
    <n v="0"/>
    <n v="0"/>
    <n v="0"/>
    <n v="0"/>
    <n v="0"/>
    <n v="0"/>
    <n v="0"/>
    <n v="0"/>
    <n v="0"/>
    <n v="0"/>
    <n v="0"/>
    <n v="0"/>
    <n v="0"/>
    <n v="0"/>
    <n v="0"/>
    <n v="0"/>
    <x v="0"/>
    <x v="1"/>
    <x v="7"/>
    <n v="5"/>
    <m/>
    <n v="57"/>
    <m/>
    <m/>
    <m/>
    <m/>
    <m/>
    <m/>
    <m/>
    <m/>
    <m/>
    <m/>
    <m/>
    <m/>
    <m/>
    <m/>
    <m/>
    <m/>
    <m/>
    <m/>
    <n v="57"/>
    <n v="57"/>
  </r>
  <r>
    <n v="4689"/>
    <x v="2"/>
    <s v="2019/1258"/>
    <s v="13 Northcote Road"/>
    <s v="conversion"/>
    <n v="527473"/>
    <n v="175071"/>
    <x v="12"/>
    <d v="2022-04-01T00:00:00"/>
    <m/>
    <n v="1"/>
    <n v="1"/>
    <n v="0"/>
    <n v="2"/>
    <n v="1"/>
    <x v="1"/>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0"/>
    <s v="Nil"/>
    <m/>
    <s v="BF"/>
    <s v="MIX"/>
    <x v="2"/>
    <x v="7"/>
    <n v="3.0000000000000001E-3"/>
    <d v="2022-04-01T00:00:00"/>
    <x v="1"/>
    <m/>
    <x v="2"/>
    <s v="M"/>
    <s v=""/>
    <m/>
    <n v="0"/>
    <m/>
    <n v="0"/>
    <m/>
    <n v="0"/>
    <n v="1"/>
    <n v="0"/>
    <n v="-1"/>
    <n v="0"/>
    <n v="0"/>
    <n v="0"/>
    <n v="0"/>
    <n v="1"/>
    <n v="0"/>
    <n v="-1"/>
    <n v="0"/>
    <n v="0"/>
    <n v="0"/>
    <n v="0"/>
    <n v="0"/>
    <n v="0"/>
    <n v="0"/>
    <n v="0"/>
    <n v="0"/>
    <n v="0"/>
    <n v="0"/>
    <n v="0"/>
    <n v="0"/>
    <n v="0"/>
    <n v="0"/>
    <n v="0"/>
    <n v="0"/>
    <x v="5"/>
    <x v="0"/>
    <x v="5"/>
    <n v="13"/>
    <m/>
    <n v="0"/>
    <m/>
    <m/>
    <m/>
    <m/>
    <m/>
    <m/>
    <m/>
    <m/>
    <m/>
    <m/>
    <m/>
    <m/>
    <m/>
    <m/>
    <m/>
    <m/>
    <m/>
    <m/>
    <n v="0"/>
    <n v="0"/>
  </r>
  <r>
    <n v="5862"/>
    <x v="2"/>
    <s v="2018/0859"/>
    <s v="87 Putney High Street"/>
    <s v="conversion + extn"/>
    <n v="524068"/>
    <n v="175336"/>
    <x v="0"/>
    <d v="2018-03-31T00:00:00"/>
    <m/>
    <n v="1"/>
    <n v="3"/>
    <n v="2"/>
    <n v="5"/>
    <n v="4"/>
    <x v="1"/>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0"/>
    <s v="Nil"/>
    <m/>
    <s v="BF"/>
    <s v="MIX"/>
    <x v="2"/>
    <x v="7"/>
    <n v="8.9999999999999993E-3"/>
    <d v="2018-03-31T00:00:00"/>
    <x v="0"/>
    <m/>
    <x v="2"/>
    <s v="M"/>
    <s v=""/>
    <m/>
    <n v="0"/>
    <m/>
    <n v="0"/>
    <m/>
    <n v="0"/>
    <n v="0"/>
    <n v="3"/>
    <n v="-1"/>
    <n v="0"/>
    <n v="0"/>
    <n v="0"/>
    <n v="0"/>
    <n v="0"/>
    <n v="3"/>
    <n v="-1"/>
    <n v="0"/>
    <n v="0"/>
    <n v="0"/>
    <n v="0"/>
    <n v="0"/>
    <n v="0"/>
    <n v="0"/>
    <n v="0"/>
    <n v="0"/>
    <n v="0"/>
    <n v="0"/>
    <n v="0"/>
    <n v="0"/>
    <n v="0"/>
    <n v="0"/>
    <n v="0"/>
    <n v="0"/>
    <x v="4"/>
    <x v="0"/>
    <x v="4"/>
    <n v="13"/>
    <m/>
    <n v="2"/>
    <m/>
    <m/>
    <m/>
    <m/>
    <m/>
    <m/>
    <m/>
    <m/>
    <m/>
    <m/>
    <m/>
    <m/>
    <m/>
    <m/>
    <m/>
    <m/>
    <m/>
    <m/>
    <n v="2"/>
    <n v="2"/>
  </r>
  <r>
    <n v="7194"/>
    <x v="2"/>
    <s v="2019/2251"/>
    <s v="22 Carlton Drive"/>
    <s v="Existing"/>
    <n v="524291"/>
    <n v="174776"/>
    <x v="7"/>
    <d v="2021-10-18T00:00:00"/>
    <m/>
    <n v="15"/>
    <n v="0"/>
    <n v="-15"/>
    <n v="8"/>
    <n v="-7"/>
    <x v="1"/>
    <s v="Alterations including erection of pitch roof to first floor front extension in connection with conversion of property 1 x1 bedroom flat, 6 x2 bedroom flats and 1 x3 bedroom flat. Erection of front boundary wall to 1.8m high"/>
    <s v="PF"/>
    <d v="2019-06-19T00:00:00"/>
    <d v="2019-08-19T00:00:00"/>
    <x v="0"/>
    <s v="Nil"/>
    <m/>
    <s v="BF"/>
    <s v="COU"/>
    <x v="2"/>
    <x v="9"/>
    <n v="0"/>
    <d v="2021-10-18T00:00:00"/>
    <x v="0"/>
    <m/>
    <x v="1"/>
    <s v="AU"/>
    <s v=""/>
    <m/>
    <n v="0"/>
    <m/>
    <n v="0"/>
    <m/>
    <n v="-15"/>
    <n v="0"/>
    <n v="0"/>
    <n v="0"/>
    <n v="0"/>
    <n v="0"/>
    <n v="0"/>
    <n v="-15"/>
    <n v="0"/>
    <n v="0"/>
    <n v="0"/>
    <n v="0"/>
    <n v="0"/>
    <n v="0"/>
    <n v="0"/>
    <n v="0"/>
    <n v="0"/>
    <n v="0"/>
    <n v="0"/>
    <n v="0"/>
    <n v="0"/>
    <n v="0"/>
    <n v="0"/>
    <n v="0"/>
    <n v="0"/>
    <n v="0"/>
    <n v="0"/>
    <n v="0"/>
    <x v="0"/>
    <x v="0"/>
    <x v="1"/>
    <n v="13"/>
    <m/>
    <n v="-15"/>
    <m/>
    <m/>
    <m/>
    <m/>
    <m/>
    <m/>
    <m/>
    <m/>
    <m/>
    <m/>
    <m/>
    <m/>
    <m/>
    <m/>
    <m/>
    <m/>
    <m/>
    <m/>
    <n v="-15"/>
    <n v="-15"/>
  </r>
  <r>
    <n v="4689"/>
    <x v="2"/>
    <s v="2019/1258"/>
    <s v="13 Northcote Road"/>
    <s v="extn to ex"/>
    <n v="527473"/>
    <n v="175071"/>
    <x v="12"/>
    <d v="2022-04-01T00:00:00"/>
    <m/>
    <n v="0"/>
    <n v="1"/>
    <n v="1"/>
    <n v="2"/>
    <n v="1"/>
    <x v="1"/>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0"/>
    <s v="Nil"/>
    <m/>
    <s v="BF"/>
    <s v="MIX"/>
    <x v="2"/>
    <x v="2"/>
    <n v="4.0000000000000001E-3"/>
    <d v="2022-04-01T00:00:00"/>
    <x v="1"/>
    <m/>
    <x v="2"/>
    <s v="M"/>
    <s v=""/>
    <m/>
    <n v="0"/>
    <m/>
    <n v="0"/>
    <m/>
    <n v="0"/>
    <n v="0"/>
    <n v="0"/>
    <n v="1"/>
    <n v="0"/>
    <n v="0"/>
    <n v="0"/>
    <n v="0"/>
    <n v="0"/>
    <n v="0"/>
    <n v="1"/>
    <n v="0"/>
    <n v="0"/>
    <n v="0"/>
    <n v="0"/>
    <n v="0"/>
    <n v="0"/>
    <n v="0"/>
    <n v="0"/>
    <n v="0"/>
    <n v="0"/>
    <n v="0"/>
    <n v="0"/>
    <n v="0"/>
    <n v="0"/>
    <n v="0"/>
    <n v="0"/>
    <n v="0"/>
    <x v="5"/>
    <x v="0"/>
    <x v="5"/>
    <n v="13"/>
    <m/>
    <n v="1"/>
    <m/>
    <m/>
    <m/>
    <m/>
    <m/>
    <m/>
    <m/>
    <m/>
    <m/>
    <m/>
    <m/>
    <m/>
    <m/>
    <m/>
    <m/>
    <m/>
    <m/>
    <m/>
    <n v="1"/>
    <n v="1"/>
  </r>
  <r>
    <n v="967"/>
    <x v="2"/>
    <s v="2018/3390"/>
    <s v="29 Wimbledon Park Road"/>
    <s v="First Floor"/>
    <n v="525095"/>
    <n v="174084"/>
    <x v="7"/>
    <d v="2021-09-29T00:00:00"/>
    <m/>
    <n v="0"/>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2"/>
    <x v="2"/>
    <n v="1.7999999999999999E-2"/>
    <d v="2021-09-29T00:00:00"/>
    <x v="0"/>
    <m/>
    <x v="2"/>
    <s v="M"/>
    <s v=""/>
    <m/>
    <n v="0"/>
    <m/>
    <n v="0"/>
    <m/>
    <n v="0"/>
    <n v="0"/>
    <n v="2"/>
    <n v="0"/>
    <n v="0"/>
    <n v="0"/>
    <n v="0"/>
    <n v="0"/>
    <n v="0"/>
    <n v="2"/>
    <n v="0"/>
    <n v="0"/>
    <n v="0"/>
    <n v="0"/>
    <n v="0"/>
    <n v="0"/>
    <n v="0"/>
    <n v="0"/>
    <n v="0"/>
    <n v="0"/>
    <n v="0"/>
    <n v="0"/>
    <n v="0"/>
    <n v="0"/>
    <n v="0"/>
    <n v="0"/>
    <n v="0"/>
    <n v="0"/>
    <x v="0"/>
    <x v="0"/>
    <x v="1"/>
    <n v="13"/>
    <m/>
    <n v="2"/>
    <m/>
    <m/>
    <m/>
    <m/>
    <m/>
    <m/>
    <m/>
    <m/>
    <m/>
    <m/>
    <m/>
    <m/>
    <m/>
    <m/>
    <m/>
    <m/>
    <m/>
    <m/>
    <n v="2"/>
    <n v="2"/>
  </r>
  <r>
    <n v="7296"/>
    <x v="2"/>
    <s v="2019/4697"/>
    <s v="Alton One O'clock Centre, Fontley Way"/>
    <s v="GROUND FLOOR"/>
    <n v="522049"/>
    <n v="173511"/>
    <x v="16"/>
    <d v="2022-04-01T00:00:00"/>
    <m/>
    <n v="0"/>
    <n v="7"/>
    <n v="7"/>
    <n v="14"/>
    <n v="14"/>
    <x v="0"/>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x v="0"/>
    <s v="Nil"/>
    <m/>
    <s v="BF"/>
    <s v="NB"/>
    <x v="0"/>
    <x v="0"/>
    <n v="4.5999999999999999E-2"/>
    <d v="2022-09-15T00:00:00"/>
    <x v="1"/>
    <m/>
    <x v="1"/>
    <s v="AS"/>
    <s v=""/>
    <m/>
    <n v="0"/>
    <n v="5"/>
    <n v="0"/>
    <n v="2"/>
    <n v="0"/>
    <n v="0"/>
    <n v="0"/>
    <n v="5"/>
    <n v="2"/>
    <n v="0"/>
    <n v="0"/>
    <n v="0"/>
    <n v="0"/>
    <n v="0"/>
    <n v="5"/>
    <n v="2"/>
    <n v="0"/>
    <n v="0"/>
    <n v="0"/>
    <n v="0"/>
    <n v="0"/>
    <n v="0"/>
    <n v="0"/>
    <n v="0"/>
    <n v="0"/>
    <n v="0"/>
    <n v="0"/>
    <n v="0"/>
    <n v="0"/>
    <n v="0"/>
    <n v="0"/>
    <n v="0"/>
    <x v="0"/>
    <x v="0"/>
    <x v="1"/>
    <n v="2"/>
    <m/>
    <n v="7"/>
    <m/>
    <m/>
    <m/>
    <m/>
    <m/>
    <m/>
    <m/>
    <m/>
    <m/>
    <m/>
    <m/>
    <m/>
    <m/>
    <m/>
    <m/>
    <m/>
    <m/>
    <m/>
    <n v="7"/>
    <n v="7"/>
  </r>
  <r>
    <n v="7433"/>
    <x v="2"/>
    <s v="2020/2797"/>
    <s v="59 Sudbrooke Road"/>
    <s v="HOUSE A"/>
    <n v="528136"/>
    <n v="174080"/>
    <x v="2"/>
    <d v="2021-03-03T00:00:00"/>
    <m/>
    <n v="1"/>
    <n v="1"/>
    <n v="0"/>
    <n v="2"/>
    <n v="1"/>
    <x v="1"/>
    <s v="Demolition of existing house and erection of two six-bedroom two-storey semi-detached single dwellinghouses (with basement and attic accommodation)."/>
    <s v="PF"/>
    <d v="2020-07-31T00:00:00"/>
    <d v="2020-11-30T00:00:00"/>
    <x v="0"/>
    <s v="Nil"/>
    <m/>
    <s v="BF"/>
    <s v="NB"/>
    <x v="2"/>
    <x v="1"/>
    <n v="3.2000000000000001E-2"/>
    <d v="2021-03-03T00:00:00"/>
    <x v="0"/>
    <m/>
    <x v="2"/>
    <s v="M"/>
    <s v=""/>
    <m/>
    <n v="0"/>
    <m/>
    <n v="0"/>
    <m/>
    <n v="0"/>
    <n v="0"/>
    <n v="0"/>
    <n v="0"/>
    <n v="-1"/>
    <n v="1"/>
    <n v="0"/>
    <n v="0"/>
    <n v="0"/>
    <n v="0"/>
    <n v="0"/>
    <n v="0"/>
    <n v="0"/>
    <n v="0"/>
    <n v="0"/>
    <n v="0"/>
    <n v="0"/>
    <n v="0"/>
    <n v="-1"/>
    <n v="1"/>
    <n v="0"/>
    <n v="0"/>
    <n v="0"/>
    <n v="0"/>
    <n v="0"/>
    <n v="0"/>
    <n v="0"/>
    <n v="0"/>
    <x v="0"/>
    <x v="0"/>
    <x v="1"/>
    <n v="3"/>
    <m/>
    <n v="0"/>
    <m/>
    <m/>
    <m/>
    <m/>
    <m/>
    <m/>
    <m/>
    <m/>
    <m/>
    <m/>
    <m/>
    <m/>
    <m/>
    <m/>
    <m/>
    <m/>
    <m/>
    <m/>
    <n v="0"/>
    <n v="0"/>
  </r>
  <r>
    <n v="7433"/>
    <x v="2"/>
    <s v="2020/2797"/>
    <s v="59 Sudbrooke Road"/>
    <s v="HOUSE B"/>
    <n v="528136"/>
    <n v="174080"/>
    <x v="2"/>
    <d v="2021-03-03T00:00:00"/>
    <m/>
    <n v="0"/>
    <n v="1"/>
    <n v="1"/>
    <n v="2"/>
    <n v="1"/>
    <x v="1"/>
    <s v="Demolition of existing house and erection of two six-bedroom two-storey semi-detached single dwellinghouses (with basement and attic accommodation)."/>
    <s v="PF"/>
    <d v="2020-07-31T00:00:00"/>
    <d v="2020-11-30T00:00:00"/>
    <x v="0"/>
    <s v="Nil"/>
    <m/>
    <s v="BF"/>
    <s v="NB"/>
    <x v="2"/>
    <x v="1"/>
    <n v="3.1E-2"/>
    <d v="2021-03-03T00:00:00"/>
    <x v="0"/>
    <m/>
    <x v="2"/>
    <s v="M"/>
    <s v=""/>
    <m/>
    <n v="0"/>
    <m/>
    <n v="0"/>
    <m/>
    <n v="0"/>
    <n v="0"/>
    <n v="0"/>
    <n v="0"/>
    <n v="0"/>
    <n v="1"/>
    <n v="0"/>
    <n v="0"/>
    <n v="0"/>
    <n v="0"/>
    <n v="0"/>
    <n v="0"/>
    <n v="0"/>
    <n v="0"/>
    <n v="0"/>
    <n v="0"/>
    <n v="0"/>
    <n v="0"/>
    <n v="0"/>
    <n v="1"/>
    <n v="0"/>
    <n v="0"/>
    <n v="0"/>
    <n v="0"/>
    <n v="0"/>
    <n v="0"/>
    <n v="0"/>
    <n v="0"/>
    <x v="0"/>
    <x v="0"/>
    <x v="1"/>
    <n v="3"/>
    <m/>
    <n v="1"/>
    <m/>
    <m/>
    <m/>
    <m/>
    <m/>
    <m/>
    <m/>
    <m/>
    <m/>
    <m/>
    <m/>
    <m/>
    <m/>
    <m/>
    <m/>
    <m/>
    <m/>
    <m/>
    <n v="1"/>
    <n v="1"/>
  </r>
  <r>
    <n v="7187"/>
    <x v="2"/>
    <s v="2021/1682"/>
    <s v="2-18 Yelverton Road"/>
    <s v="Intermediate"/>
    <n v="526782"/>
    <n v="176145"/>
    <x v="5"/>
    <d v="2020-12-04T00:00:00"/>
    <m/>
    <n v="0"/>
    <n v="41"/>
    <n v="41"/>
    <n v="79"/>
    <n v="79"/>
    <x v="0"/>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PFLA"/>
    <d v="2021-04-08T00:00:00"/>
    <d v="2022-12-22T00:00:00"/>
    <x v="1"/>
    <s v="Nil"/>
    <m/>
    <s v="BF"/>
    <s v="NB"/>
    <x v="0"/>
    <x v="0"/>
    <n v="2.1000000000000001E-2"/>
    <d v="2020-12-04T00:00:00"/>
    <x v="0"/>
    <m/>
    <x v="0"/>
    <s v="ISL"/>
    <s v=""/>
    <m/>
    <n v="0"/>
    <m/>
    <n v="0"/>
    <n v="8"/>
    <n v="0"/>
    <n v="16"/>
    <n v="25"/>
    <n v="0"/>
    <n v="0"/>
    <n v="0"/>
    <n v="0"/>
    <n v="0"/>
    <n v="16"/>
    <n v="25"/>
    <n v="0"/>
    <n v="0"/>
    <n v="0"/>
    <n v="0"/>
    <n v="0"/>
    <n v="0"/>
    <n v="0"/>
    <n v="0"/>
    <n v="0"/>
    <n v="0"/>
    <n v="0"/>
    <n v="0"/>
    <n v="0"/>
    <n v="0"/>
    <n v="0"/>
    <n v="0"/>
    <n v="0"/>
    <n v="0"/>
    <x v="0"/>
    <x v="0"/>
    <x v="8"/>
    <n v="6"/>
    <m/>
    <m/>
    <n v="10.25"/>
    <n v="10.25"/>
    <n v="10.25"/>
    <n v="10.25"/>
    <m/>
    <m/>
    <m/>
    <m/>
    <m/>
    <m/>
    <m/>
    <m/>
    <m/>
    <m/>
    <m/>
    <m/>
    <m/>
    <m/>
    <n v="41"/>
    <n v="41"/>
  </r>
  <r>
    <n v="7629"/>
    <x v="2"/>
    <s v="2021/1677"/>
    <s v="120 Battersea Bridge Road"/>
    <s v="Intermediate"/>
    <n v="527264"/>
    <n v="176919"/>
    <x v="17"/>
    <d v="2022-07-01T00:00:00"/>
    <m/>
    <n v="0"/>
    <n v="9"/>
    <n v="9"/>
    <n v="24"/>
    <n v="24"/>
    <x v="0"/>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PFLA"/>
    <d v="2021-04-13T00:00:00"/>
    <d v="2022-05-20T00:00:00"/>
    <x v="1"/>
    <s v="Nil"/>
    <m/>
    <s v="BF"/>
    <s v="NB"/>
    <x v="0"/>
    <x v="0"/>
    <n v="8.3000000000000004E-2"/>
    <d v="2022-07-01T00:00:00"/>
    <x v="1"/>
    <m/>
    <x v="0"/>
    <s v="ISL"/>
    <s v=""/>
    <m/>
    <n v="0"/>
    <m/>
    <n v="0"/>
    <n v="2"/>
    <n v="0"/>
    <n v="4"/>
    <n v="5"/>
    <n v="0"/>
    <n v="0"/>
    <n v="0"/>
    <n v="0"/>
    <n v="0"/>
    <n v="4"/>
    <n v="5"/>
    <n v="0"/>
    <n v="0"/>
    <n v="0"/>
    <n v="0"/>
    <n v="0"/>
    <n v="0"/>
    <n v="0"/>
    <n v="0"/>
    <n v="0"/>
    <n v="0"/>
    <n v="0"/>
    <n v="0"/>
    <n v="0"/>
    <n v="0"/>
    <n v="0"/>
    <n v="0"/>
    <n v="0"/>
    <n v="0"/>
    <x v="0"/>
    <x v="0"/>
    <x v="1"/>
    <n v="6"/>
    <m/>
    <m/>
    <n v="2.25"/>
    <n v="2.25"/>
    <n v="2.25"/>
    <n v="2.25"/>
    <m/>
    <m/>
    <m/>
    <m/>
    <m/>
    <m/>
    <m/>
    <m/>
    <m/>
    <m/>
    <m/>
    <m/>
    <m/>
    <m/>
    <n v="9"/>
    <n v="9"/>
  </r>
  <r>
    <n v="967"/>
    <x v="2"/>
    <s v="2018/3390"/>
    <s v="29 Wimbledon Park Road"/>
    <s v="Lower Ground"/>
    <n v="525095"/>
    <n v="174084"/>
    <x v="7"/>
    <d v="2021-09-29T00:00:00"/>
    <m/>
    <n v="4"/>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2"/>
    <x v="2"/>
    <n v="2.5999999999999999E-2"/>
    <d v="2021-09-29T00:00:00"/>
    <x v="0"/>
    <m/>
    <x v="2"/>
    <s v="M"/>
    <s v=""/>
    <m/>
    <n v="0"/>
    <m/>
    <n v="0"/>
    <m/>
    <n v="0"/>
    <n v="-1"/>
    <n v="-1"/>
    <n v="0"/>
    <n v="0"/>
    <n v="0"/>
    <n v="0"/>
    <n v="0"/>
    <n v="-1"/>
    <n v="-1"/>
    <n v="0"/>
    <n v="0"/>
    <n v="0"/>
    <n v="0"/>
    <n v="0"/>
    <n v="0"/>
    <n v="0"/>
    <n v="0"/>
    <n v="0"/>
    <n v="0"/>
    <n v="0"/>
    <n v="0"/>
    <n v="0"/>
    <n v="0"/>
    <n v="0"/>
    <n v="0"/>
    <n v="0"/>
    <n v="0"/>
    <x v="0"/>
    <x v="0"/>
    <x v="1"/>
    <n v="13"/>
    <m/>
    <n v="-2"/>
    <m/>
    <m/>
    <m/>
    <m/>
    <m/>
    <m/>
    <m/>
    <m/>
    <m/>
    <m/>
    <m/>
    <m/>
    <m/>
    <m/>
    <m/>
    <m/>
    <m/>
    <m/>
    <n v="-2"/>
    <n v="-2"/>
  </r>
  <r>
    <n v="7187"/>
    <x v="2"/>
    <s v="2021/1682"/>
    <s v="2-18 Yelverton Road"/>
    <s v="Market"/>
    <n v="526782"/>
    <n v="176145"/>
    <x v="5"/>
    <d v="2020-12-04T00:00:00"/>
    <m/>
    <n v="0"/>
    <n v="38"/>
    <n v="38"/>
    <n v="79"/>
    <n v="79"/>
    <x v="0"/>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PFLA"/>
    <d v="2021-04-08T00:00:00"/>
    <d v="2022-12-22T00:00:00"/>
    <x v="1"/>
    <s v="Nil"/>
    <m/>
    <s v="BF"/>
    <s v="NB"/>
    <x v="0"/>
    <x v="0"/>
    <n v="0.02"/>
    <d v="2020-12-04T00:00:00"/>
    <x v="0"/>
    <m/>
    <x v="2"/>
    <s v="MR"/>
    <s v=""/>
    <m/>
    <n v="0"/>
    <m/>
    <n v="0"/>
    <m/>
    <n v="0"/>
    <n v="8"/>
    <n v="28"/>
    <n v="2"/>
    <n v="0"/>
    <n v="0"/>
    <n v="0"/>
    <n v="0"/>
    <n v="8"/>
    <n v="28"/>
    <n v="2"/>
    <n v="0"/>
    <n v="0"/>
    <n v="0"/>
    <n v="0"/>
    <n v="0"/>
    <n v="0"/>
    <n v="0"/>
    <n v="0"/>
    <n v="0"/>
    <n v="0"/>
    <n v="0"/>
    <n v="0"/>
    <n v="0"/>
    <n v="0"/>
    <n v="0"/>
    <n v="0"/>
    <n v="0"/>
    <x v="0"/>
    <x v="0"/>
    <x v="8"/>
    <n v="6"/>
    <m/>
    <m/>
    <n v="9.5"/>
    <n v="9.5"/>
    <n v="9.5"/>
    <n v="9.5"/>
    <m/>
    <m/>
    <m/>
    <m/>
    <m/>
    <m/>
    <m/>
    <m/>
    <m/>
    <m/>
    <m/>
    <m/>
    <m/>
    <m/>
    <n v="38"/>
    <n v="38"/>
  </r>
  <r>
    <n v="7629"/>
    <x v="2"/>
    <s v="2021/1677"/>
    <s v="120 Battersea Bridge Road"/>
    <s v="Market"/>
    <n v="527264"/>
    <n v="176919"/>
    <x v="17"/>
    <d v="2022-07-01T00:00:00"/>
    <m/>
    <n v="0"/>
    <n v="15"/>
    <n v="15"/>
    <n v="24"/>
    <n v="24"/>
    <x v="0"/>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PFLA"/>
    <d v="2021-04-13T00:00:00"/>
    <d v="2022-05-20T00:00:00"/>
    <x v="1"/>
    <s v="Nil"/>
    <m/>
    <s v="BF"/>
    <s v="NB"/>
    <x v="0"/>
    <x v="0"/>
    <n v="0.13800000000000001"/>
    <d v="2022-07-01T00:00:00"/>
    <x v="1"/>
    <m/>
    <x v="2"/>
    <s v="M"/>
    <s v=""/>
    <m/>
    <n v="0"/>
    <m/>
    <n v="0"/>
    <m/>
    <n v="2"/>
    <n v="2"/>
    <n v="9"/>
    <n v="2"/>
    <n v="0"/>
    <n v="0"/>
    <n v="0"/>
    <n v="2"/>
    <n v="2"/>
    <n v="9"/>
    <n v="2"/>
    <n v="0"/>
    <n v="0"/>
    <n v="0"/>
    <n v="0"/>
    <n v="0"/>
    <n v="0"/>
    <n v="0"/>
    <n v="0"/>
    <n v="0"/>
    <n v="0"/>
    <n v="0"/>
    <n v="0"/>
    <n v="0"/>
    <n v="0"/>
    <n v="0"/>
    <n v="0"/>
    <n v="0"/>
    <x v="0"/>
    <x v="0"/>
    <x v="1"/>
    <n v="6"/>
    <m/>
    <m/>
    <n v="3.75"/>
    <n v="3.75"/>
    <n v="3.75"/>
    <n v="3.75"/>
    <m/>
    <m/>
    <m/>
    <m/>
    <m/>
    <m/>
    <m/>
    <m/>
    <m/>
    <m/>
    <m/>
    <m/>
    <m/>
    <m/>
    <n v="15"/>
    <n v="15"/>
  </r>
  <r>
    <n v="3511"/>
    <x v="1"/>
    <s v="2014/2810"/>
    <s v="New Covent Garden Market, Nine Elms Lane (Combined Main Market, Entrance site and Thessaly College site)"/>
    <s v="Apex Site - A3"/>
    <n v="529369"/>
    <n v="177317"/>
    <x v="15"/>
    <d v="2017-03-31T00:00:00"/>
    <m/>
    <n v="0"/>
    <n v="101"/>
    <n v="10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61"/>
    <m/>
    <x v="0"/>
    <m/>
    <x v="0"/>
    <s v="ISO"/>
    <s v="2.1.27"/>
    <m/>
    <n v="0"/>
    <n v="91"/>
    <n v="0"/>
    <n v="10"/>
    <n v="0"/>
    <n v="45"/>
    <n v="46"/>
    <n v="10"/>
    <n v="0"/>
    <n v="0"/>
    <n v="0"/>
    <n v="0"/>
    <n v="45"/>
    <n v="46"/>
    <n v="10"/>
    <n v="0"/>
    <n v="0"/>
    <n v="0"/>
    <n v="0"/>
    <n v="0"/>
    <n v="0"/>
    <n v="0"/>
    <n v="0"/>
    <n v="0"/>
    <n v="0"/>
    <n v="0"/>
    <n v="0"/>
    <n v="0"/>
    <n v="0"/>
    <n v="0"/>
    <n v="0"/>
    <n v="0"/>
    <x v="0"/>
    <x v="1"/>
    <x v="7"/>
    <n v="8"/>
    <m/>
    <m/>
    <m/>
    <m/>
    <m/>
    <m/>
    <m/>
    <m/>
    <n v="101"/>
    <m/>
    <m/>
    <m/>
    <m/>
    <m/>
    <m/>
    <m/>
    <m/>
    <m/>
    <m/>
    <m/>
    <n v="0"/>
    <n v="101"/>
  </r>
  <r>
    <n v="3511"/>
    <x v="1"/>
    <s v="2014/2810"/>
    <s v="New Covent Garden Market, Nine Elms Lane (Combined Main Market, Entrance site and Thessaly College site)"/>
    <s v="Apex Site - A4"/>
    <n v="529369"/>
    <n v="177317"/>
    <x v="15"/>
    <d v="2017-03-31T00:00:00"/>
    <m/>
    <n v="0"/>
    <n v="151"/>
    <n v="15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91100000000000003"/>
    <m/>
    <x v="0"/>
    <m/>
    <x v="2"/>
    <s v="M"/>
    <s v="2.1.27"/>
    <m/>
    <n v="0"/>
    <n v="136"/>
    <n v="0"/>
    <n v="15"/>
    <n v="19"/>
    <n v="30"/>
    <n v="91"/>
    <n v="11"/>
    <n v="0"/>
    <n v="0"/>
    <n v="0"/>
    <n v="19"/>
    <n v="30"/>
    <n v="91"/>
    <n v="11"/>
    <n v="0"/>
    <n v="0"/>
    <n v="0"/>
    <n v="0"/>
    <n v="0"/>
    <n v="0"/>
    <n v="0"/>
    <n v="0"/>
    <n v="0"/>
    <n v="0"/>
    <n v="0"/>
    <n v="0"/>
    <n v="0"/>
    <n v="0"/>
    <n v="0"/>
    <n v="0"/>
    <n v="0"/>
    <x v="0"/>
    <x v="1"/>
    <x v="7"/>
    <n v="8"/>
    <m/>
    <m/>
    <m/>
    <m/>
    <m/>
    <m/>
    <m/>
    <m/>
    <m/>
    <n v="151"/>
    <m/>
    <m/>
    <m/>
    <m/>
    <m/>
    <m/>
    <m/>
    <m/>
    <m/>
    <m/>
    <n v="0"/>
    <n v="151"/>
  </r>
  <r>
    <n v="3511"/>
    <x v="1"/>
    <s v="2014/2810"/>
    <s v="New Covent Garden Market, Nine Elms Lane (Combined Main Market, Entrance site and Thessaly College site)"/>
    <s v="Apex Site - A6"/>
    <n v="529369"/>
    <n v="177317"/>
    <x v="15"/>
    <d v="2017-03-31T00:00:00"/>
    <m/>
    <n v="0"/>
    <n v="17"/>
    <n v="1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10299999999999999"/>
    <m/>
    <x v="0"/>
    <m/>
    <x v="2"/>
    <s v="M"/>
    <s v="2.1.27"/>
    <m/>
    <n v="0"/>
    <n v="15"/>
    <n v="0"/>
    <n v="2"/>
    <n v="2"/>
    <n v="3"/>
    <n v="10"/>
    <n v="2"/>
    <n v="0"/>
    <n v="0"/>
    <n v="0"/>
    <n v="2"/>
    <n v="3"/>
    <n v="10"/>
    <n v="2"/>
    <n v="0"/>
    <n v="0"/>
    <n v="0"/>
    <n v="0"/>
    <n v="0"/>
    <n v="0"/>
    <n v="0"/>
    <n v="0"/>
    <n v="0"/>
    <n v="0"/>
    <n v="0"/>
    <n v="0"/>
    <n v="0"/>
    <n v="0"/>
    <n v="0"/>
    <n v="0"/>
    <n v="0"/>
    <x v="0"/>
    <x v="1"/>
    <x v="7"/>
    <n v="8"/>
    <m/>
    <m/>
    <m/>
    <m/>
    <m/>
    <m/>
    <m/>
    <m/>
    <m/>
    <n v="17"/>
    <m/>
    <m/>
    <m/>
    <m/>
    <m/>
    <m/>
    <m/>
    <m/>
    <m/>
    <m/>
    <n v="0"/>
    <n v="17"/>
  </r>
  <r>
    <n v="3511"/>
    <x v="1"/>
    <s v="2014/2810"/>
    <s v="New Covent Garden Market, Nine Elms Lane (Combined Main Market, Entrance site and Thessaly College site)"/>
    <s v="Apex Site - A7"/>
    <n v="529369"/>
    <n v="177317"/>
    <x v="15"/>
    <d v="2017-03-31T00:00:00"/>
    <m/>
    <n v="0"/>
    <n v="11"/>
    <n v="1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6.0999999999999999E-2"/>
    <m/>
    <x v="0"/>
    <m/>
    <x v="0"/>
    <s v="IU"/>
    <s v="2.1.27"/>
    <m/>
    <n v="0"/>
    <n v="10"/>
    <n v="0"/>
    <n v="1"/>
    <n v="0"/>
    <n v="2"/>
    <n v="5"/>
    <n v="3"/>
    <n v="1"/>
    <n v="0"/>
    <n v="0"/>
    <n v="0"/>
    <n v="2"/>
    <n v="5"/>
    <n v="3"/>
    <n v="0"/>
    <n v="0"/>
    <n v="0"/>
    <n v="0"/>
    <n v="0"/>
    <n v="0"/>
    <n v="0"/>
    <n v="1"/>
    <n v="0"/>
    <n v="0"/>
    <n v="0"/>
    <n v="0"/>
    <n v="0"/>
    <n v="0"/>
    <n v="0"/>
    <n v="0"/>
    <n v="0"/>
    <x v="0"/>
    <x v="1"/>
    <x v="7"/>
    <n v="8"/>
    <m/>
    <m/>
    <m/>
    <m/>
    <m/>
    <m/>
    <m/>
    <m/>
    <n v="11"/>
    <m/>
    <m/>
    <m/>
    <m/>
    <m/>
    <m/>
    <m/>
    <m/>
    <m/>
    <m/>
    <m/>
    <n v="0"/>
    <n v="11"/>
  </r>
  <r>
    <n v="3511"/>
    <x v="1"/>
    <s v="2014/2810"/>
    <s v="New Covent Garden Market, Nine Elms Lane (Combined Main Market, Entrance site and Thessaly College site)"/>
    <s v="Entrance Site - E1"/>
    <n v="529369"/>
    <n v="177317"/>
    <x v="15"/>
    <d v="2017-03-31T00:00:00"/>
    <m/>
    <n v="0"/>
    <n v="27"/>
    <n v="2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16400000000000001"/>
    <m/>
    <x v="0"/>
    <m/>
    <x v="1"/>
    <s v="AA"/>
    <s v="2.1.27"/>
    <m/>
    <n v="0"/>
    <n v="24"/>
    <n v="0"/>
    <n v="3"/>
    <n v="0"/>
    <n v="4"/>
    <n v="12"/>
    <n v="8"/>
    <n v="3"/>
    <n v="0"/>
    <n v="0"/>
    <n v="0"/>
    <n v="4"/>
    <n v="12"/>
    <n v="8"/>
    <n v="3"/>
    <n v="0"/>
    <n v="0"/>
    <n v="0"/>
    <n v="0"/>
    <n v="0"/>
    <n v="0"/>
    <n v="0"/>
    <n v="0"/>
    <n v="0"/>
    <n v="0"/>
    <n v="0"/>
    <n v="0"/>
    <n v="0"/>
    <n v="0"/>
    <n v="0"/>
    <n v="0"/>
    <x v="0"/>
    <x v="1"/>
    <x v="7"/>
    <n v="8"/>
    <m/>
    <m/>
    <m/>
    <m/>
    <m/>
    <m/>
    <m/>
    <m/>
    <n v="27"/>
    <m/>
    <m/>
    <m/>
    <m/>
    <m/>
    <m/>
    <m/>
    <m/>
    <m/>
    <m/>
    <m/>
    <n v="0"/>
    <n v="27"/>
  </r>
  <r>
    <n v="3511"/>
    <x v="1"/>
    <s v="2014/2810"/>
    <s v="New Covent Garden Market, Nine Elms Lane (Combined Main Market, Entrance site and Thessaly College site)"/>
    <s v="Entrance Site - E2"/>
    <n v="529369"/>
    <n v="177317"/>
    <x v="15"/>
    <d v="2017-03-31T00:00:00"/>
    <m/>
    <n v="0"/>
    <n v="36"/>
    <n v="3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217"/>
    <m/>
    <x v="0"/>
    <m/>
    <x v="1"/>
    <s v="AA"/>
    <s v="2.1.27"/>
    <m/>
    <n v="0"/>
    <n v="32"/>
    <n v="0"/>
    <n v="4"/>
    <n v="0"/>
    <n v="5"/>
    <n v="16"/>
    <n v="11"/>
    <n v="4"/>
    <n v="0"/>
    <n v="0"/>
    <n v="0"/>
    <n v="5"/>
    <n v="16"/>
    <n v="11"/>
    <n v="4"/>
    <n v="0"/>
    <n v="0"/>
    <n v="0"/>
    <n v="0"/>
    <n v="0"/>
    <n v="0"/>
    <n v="0"/>
    <n v="0"/>
    <n v="0"/>
    <n v="0"/>
    <n v="0"/>
    <n v="0"/>
    <n v="0"/>
    <n v="0"/>
    <n v="0"/>
    <n v="0"/>
    <x v="0"/>
    <x v="1"/>
    <x v="7"/>
    <n v="8"/>
    <m/>
    <m/>
    <m/>
    <m/>
    <m/>
    <m/>
    <m/>
    <m/>
    <n v="36"/>
    <m/>
    <m/>
    <m/>
    <m/>
    <m/>
    <m/>
    <m/>
    <m/>
    <m/>
    <m/>
    <m/>
    <n v="0"/>
    <n v="36"/>
  </r>
  <r>
    <n v="3511"/>
    <x v="1"/>
    <s v="2014/2810"/>
    <s v="New Covent Garden Market, Nine Elms Lane (Combined Main Market, Entrance site and Thessaly College site)"/>
    <s v="Entrance Site - E3"/>
    <n v="529369"/>
    <n v="177317"/>
    <x v="15"/>
    <d v="2017-03-31T00:00:00"/>
    <m/>
    <n v="0"/>
    <n v="54"/>
    <n v="54"/>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32600000000000001"/>
    <m/>
    <x v="0"/>
    <m/>
    <x v="1"/>
    <s v="AA"/>
    <s v="2.1.27"/>
    <m/>
    <n v="0"/>
    <n v="49"/>
    <n v="0"/>
    <n v="5"/>
    <n v="0"/>
    <n v="8"/>
    <n v="25"/>
    <n v="16"/>
    <n v="5"/>
    <n v="0"/>
    <n v="0"/>
    <n v="0"/>
    <n v="8"/>
    <n v="25"/>
    <n v="16"/>
    <n v="5"/>
    <n v="0"/>
    <n v="0"/>
    <n v="0"/>
    <n v="0"/>
    <n v="0"/>
    <n v="0"/>
    <n v="0"/>
    <n v="0"/>
    <n v="0"/>
    <n v="0"/>
    <n v="0"/>
    <n v="0"/>
    <n v="0"/>
    <n v="0"/>
    <n v="0"/>
    <n v="0"/>
    <x v="0"/>
    <x v="1"/>
    <x v="7"/>
    <n v="8"/>
    <m/>
    <m/>
    <m/>
    <m/>
    <m/>
    <m/>
    <m/>
    <m/>
    <n v="54"/>
    <m/>
    <m/>
    <m/>
    <m/>
    <m/>
    <m/>
    <m/>
    <m/>
    <m/>
    <m/>
    <m/>
    <n v="0"/>
    <n v="54"/>
  </r>
  <r>
    <n v="3511"/>
    <x v="1"/>
    <s v="2014/2810"/>
    <s v="New Covent Garden Market, Nine Elms Lane (Combined Main Market, Entrance site and Thessaly College site)"/>
    <s v="Entrance Site - E4"/>
    <n v="529369"/>
    <n v="177317"/>
    <x v="15"/>
    <d v="2017-03-31T00:00:00"/>
    <m/>
    <n v="0"/>
    <n v="59"/>
    <n v="59"/>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35599999999999998"/>
    <m/>
    <x v="0"/>
    <m/>
    <x v="1"/>
    <s v="AA"/>
    <s v="2.1.27"/>
    <m/>
    <n v="0"/>
    <n v="53"/>
    <n v="0"/>
    <n v="6"/>
    <n v="7"/>
    <n v="12"/>
    <n v="36"/>
    <n v="4"/>
    <n v="0"/>
    <n v="0"/>
    <n v="0"/>
    <n v="7"/>
    <n v="12"/>
    <n v="36"/>
    <n v="4"/>
    <n v="0"/>
    <n v="0"/>
    <n v="0"/>
    <n v="0"/>
    <n v="0"/>
    <n v="0"/>
    <n v="0"/>
    <n v="0"/>
    <n v="0"/>
    <n v="0"/>
    <n v="0"/>
    <n v="0"/>
    <n v="0"/>
    <n v="0"/>
    <n v="0"/>
    <n v="0"/>
    <n v="0"/>
    <x v="0"/>
    <x v="1"/>
    <x v="7"/>
    <n v="8"/>
    <m/>
    <m/>
    <m/>
    <m/>
    <m/>
    <m/>
    <m/>
    <m/>
    <m/>
    <n v="59"/>
    <m/>
    <m/>
    <m/>
    <m/>
    <m/>
    <m/>
    <m/>
    <m/>
    <m/>
    <m/>
    <n v="0"/>
    <n v="59"/>
  </r>
  <r>
    <n v="5862"/>
    <x v="2"/>
    <s v="2018/0859"/>
    <s v="87 Putney High Street"/>
    <s v="new build"/>
    <n v="524068"/>
    <n v="175336"/>
    <x v="0"/>
    <d v="2018-03-31T00:00:00"/>
    <m/>
    <n v="0"/>
    <n v="2"/>
    <n v="2"/>
    <n v="5"/>
    <n v="4"/>
    <x v="1"/>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0"/>
    <s v="Nil"/>
    <m/>
    <s v="BF"/>
    <s v="MIX"/>
    <x v="2"/>
    <x v="1"/>
    <n v="5.0000000000000001E-3"/>
    <d v="2018-03-31T00:00:00"/>
    <x v="0"/>
    <m/>
    <x v="2"/>
    <s v="M"/>
    <s v=""/>
    <m/>
    <n v="0"/>
    <m/>
    <n v="0"/>
    <m/>
    <n v="0"/>
    <n v="1"/>
    <n v="1"/>
    <n v="0"/>
    <n v="0"/>
    <n v="0"/>
    <n v="0"/>
    <n v="0"/>
    <n v="1"/>
    <n v="1"/>
    <n v="0"/>
    <n v="0"/>
    <n v="0"/>
    <n v="0"/>
    <n v="0"/>
    <n v="0"/>
    <n v="0"/>
    <n v="0"/>
    <n v="0"/>
    <n v="0"/>
    <n v="0"/>
    <n v="0"/>
    <n v="0"/>
    <n v="0"/>
    <n v="0"/>
    <n v="0"/>
    <n v="0"/>
    <n v="0"/>
    <x v="4"/>
    <x v="0"/>
    <x v="4"/>
    <n v="13"/>
    <m/>
    <n v="2"/>
    <m/>
    <m/>
    <m/>
    <m/>
    <m/>
    <m/>
    <m/>
    <m/>
    <m/>
    <m/>
    <m/>
    <m/>
    <m/>
    <m/>
    <m/>
    <m/>
    <m/>
    <m/>
    <n v="2"/>
    <n v="2"/>
  </r>
  <r>
    <n v="6657"/>
    <x v="2"/>
    <s v="2021/1291"/>
    <s v="Brocklebank Health Centre, 249 Garratt Lane (and others), 229-247 Garratt Lane (Garratt Lane and Atheldene Regeneration Site)"/>
    <s v="Phase 1 (Block A)"/>
    <n v="525999"/>
    <n v="173647"/>
    <x v="11"/>
    <d v="2022-01-20T00:00:00"/>
    <m/>
    <n v="0"/>
    <n v="21"/>
    <n v="21"/>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1.9E-2"/>
    <d v="2022-01-20T00:00:00"/>
    <x v="0"/>
    <m/>
    <x v="0"/>
    <s v="ISL"/>
    <s v=""/>
    <m/>
    <n v="0"/>
    <n v="18"/>
    <n v="0"/>
    <n v="3"/>
    <n v="0"/>
    <n v="5"/>
    <n v="16"/>
    <n v="0"/>
    <n v="0"/>
    <n v="0"/>
    <n v="0"/>
    <n v="0"/>
    <n v="5"/>
    <n v="16"/>
    <n v="0"/>
    <n v="0"/>
    <n v="0"/>
    <n v="0"/>
    <n v="0"/>
    <n v="0"/>
    <n v="0"/>
    <n v="0"/>
    <n v="0"/>
    <n v="0"/>
    <n v="0"/>
    <n v="0"/>
    <n v="0"/>
    <n v="0"/>
    <n v="0"/>
    <n v="0"/>
    <n v="0"/>
    <n v="0"/>
    <x v="0"/>
    <x v="0"/>
    <x v="1"/>
    <n v="5"/>
    <m/>
    <n v="21"/>
    <m/>
    <m/>
    <m/>
    <m/>
    <m/>
    <m/>
    <m/>
    <m/>
    <m/>
    <m/>
    <m/>
    <m/>
    <m/>
    <m/>
    <m/>
    <m/>
    <m/>
    <m/>
    <n v="21"/>
    <n v="21"/>
  </r>
  <r>
    <n v="6657"/>
    <x v="2"/>
    <s v="2021/1291"/>
    <s v="Brocklebank Health Centre, 249 Garratt Lane (and others), 229-247 Garratt Lane (Garratt Lane and Atheldene Regeneration Site)"/>
    <s v="Phase 1 (Block B)"/>
    <n v="525999"/>
    <n v="173647"/>
    <x v="11"/>
    <d v="2022-01-20T00:00:00"/>
    <m/>
    <n v="0"/>
    <n v="22"/>
    <n v="22"/>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0.02"/>
    <d v="2022-01-20T00:00:00"/>
    <x v="0"/>
    <m/>
    <x v="2"/>
    <s v="M"/>
    <s v=""/>
    <m/>
    <n v="0"/>
    <n v="20"/>
    <n v="0"/>
    <n v="2"/>
    <n v="0"/>
    <n v="2"/>
    <n v="19"/>
    <n v="1"/>
    <n v="0"/>
    <n v="0"/>
    <n v="0"/>
    <n v="0"/>
    <n v="2"/>
    <n v="19"/>
    <n v="1"/>
    <n v="0"/>
    <n v="0"/>
    <n v="0"/>
    <n v="0"/>
    <n v="0"/>
    <n v="0"/>
    <n v="0"/>
    <n v="0"/>
    <n v="0"/>
    <n v="0"/>
    <n v="0"/>
    <n v="0"/>
    <n v="0"/>
    <n v="0"/>
    <n v="0"/>
    <n v="0"/>
    <n v="0"/>
    <x v="0"/>
    <x v="0"/>
    <x v="1"/>
    <n v="5"/>
    <m/>
    <n v="22"/>
    <m/>
    <m/>
    <m/>
    <m/>
    <m/>
    <m/>
    <m/>
    <m/>
    <m/>
    <m/>
    <m/>
    <m/>
    <m/>
    <m/>
    <m/>
    <m/>
    <m/>
    <m/>
    <n v="22"/>
    <n v="22"/>
  </r>
  <r>
    <n v="6657"/>
    <x v="2"/>
    <s v="2021/1291"/>
    <s v="Brocklebank Health Centre, 249 Garratt Lane (and others), 229-247 Garratt Lane (Garratt Lane and Atheldene Regeneration Site)"/>
    <s v="Phase 1 (Block B)"/>
    <n v="525999"/>
    <n v="173647"/>
    <x v="11"/>
    <d v="2022-01-20T00:00:00"/>
    <m/>
    <n v="0"/>
    <n v="5"/>
    <n v="5"/>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4.0000000000000001E-3"/>
    <d v="2022-01-20T00:00:00"/>
    <x v="0"/>
    <m/>
    <x v="0"/>
    <s v="ISL"/>
    <s v=""/>
    <m/>
    <n v="0"/>
    <n v="5"/>
    <n v="0"/>
    <m/>
    <n v="0"/>
    <n v="2"/>
    <n v="3"/>
    <n v="0"/>
    <n v="0"/>
    <n v="0"/>
    <n v="0"/>
    <n v="0"/>
    <n v="2"/>
    <n v="3"/>
    <n v="0"/>
    <n v="0"/>
    <n v="0"/>
    <n v="0"/>
    <n v="0"/>
    <n v="0"/>
    <n v="0"/>
    <n v="0"/>
    <n v="0"/>
    <n v="0"/>
    <n v="0"/>
    <n v="0"/>
    <n v="0"/>
    <n v="0"/>
    <n v="0"/>
    <n v="0"/>
    <n v="0"/>
    <n v="0"/>
    <x v="0"/>
    <x v="0"/>
    <x v="1"/>
    <n v="5"/>
    <m/>
    <n v="5"/>
    <m/>
    <m/>
    <m/>
    <m/>
    <m/>
    <m/>
    <m/>
    <m/>
    <m/>
    <m/>
    <m/>
    <m/>
    <m/>
    <m/>
    <m/>
    <m/>
    <m/>
    <m/>
    <n v="5"/>
    <n v="5"/>
  </r>
  <r>
    <n v="6657"/>
    <x v="2"/>
    <s v="2021/1291"/>
    <s v="Brocklebank Health Centre, 249 Garratt Lane (and others), 229-247 Garratt Lane (Garratt Lane and Atheldene Regeneration Site)"/>
    <s v="Phase 1 (Block C)"/>
    <n v="525999"/>
    <n v="173647"/>
    <x v="11"/>
    <d v="2022-01-20T00:00:00"/>
    <m/>
    <n v="0"/>
    <n v="25"/>
    <n v="25"/>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2.1999999999999999E-2"/>
    <d v="2022-01-20T00:00:00"/>
    <x v="0"/>
    <m/>
    <x v="0"/>
    <s v="ISL"/>
    <s v=""/>
    <m/>
    <n v="0"/>
    <n v="21"/>
    <n v="0"/>
    <n v="4"/>
    <n v="0"/>
    <n v="11"/>
    <n v="10"/>
    <n v="4"/>
    <n v="0"/>
    <n v="0"/>
    <n v="0"/>
    <n v="0"/>
    <n v="11"/>
    <n v="10"/>
    <n v="4"/>
    <n v="0"/>
    <n v="0"/>
    <n v="0"/>
    <n v="0"/>
    <n v="0"/>
    <n v="0"/>
    <n v="0"/>
    <n v="0"/>
    <n v="0"/>
    <n v="0"/>
    <n v="0"/>
    <n v="0"/>
    <n v="0"/>
    <n v="0"/>
    <n v="0"/>
    <n v="0"/>
    <n v="0"/>
    <x v="0"/>
    <x v="0"/>
    <x v="1"/>
    <n v="5"/>
    <m/>
    <n v="25"/>
    <m/>
    <m/>
    <m/>
    <m/>
    <m/>
    <m/>
    <m/>
    <m/>
    <m/>
    <m/>
    <m/>
    <m/>
    <m/>
    <m/>
    <m/>
    <m/>
    <m/>
    <m/>
    <n v="25"/>
    <n v="25"/>
  </r>
  <r>
    <n v="6657"/>
    <x v="2"/>
    <s v="2021/1291"/>
    <s v="Brocklebank Health Centre, 249 Garratt Lane (and others), 229-247 Garratt Lane (Garratt Lane and Atheldene Regeneration Site)"/>
    <s v="Phase 1 (Block C)"/>
    <n v="525999"/>
    <n v="173647"/>
    <x v="11"/>
    <d v="2022-01-20T00:00:00"/>
    <m/>
    <n v="11"/>
    <n v="2"/>
    <n v="-9"/>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2E-3"/>
    <d v="2022-01-20T00:00:00"/>
    <x v="0"/>
    <m/>
    <x v="0"/>
    <s v="IR"/>
    <s v=""/>
    <m/>
    <n v="0"/>
    <n v="1"/>
    <n v="0"/>
    <n v="1"/>
    <n v="0"/>
    <n v="0"/>
    <n v="-5"/>
    <n v="-4"/>
    <n v="0"/>
    <n v="0"/>
    <n v="0"/>
    <n v="0"/>
    <n v="0"/>
    <n v="-5"/>
    <n v="2"/>
    <n v="0"/>
    <n v="0"/>
    <n v="0"/>
    <n v="0"/>
    <n v="0"/>
    <n v="0"/>
    <n v="-6"/>
    <n v="0"/>
    <n v="0"/>
    <n v="0"/>
    <n v="0"/>
    <n v="0"/>
    <n v="0"/>
    <n v="0"/>
    <n v="0"/>
    <n v="0"/>
    <n v="0"/>
    <x v="0"/>
    <x v="0"/>
    <x v="1"/>
    <n v="5"/>
    <m/>
    <n v="-9"/>
    <m/>
    <m/>
    <m/>
    <m/>
    <m/>
    <m/>
    <m/>
    <m/>
    <m/>
    <m/>
    <m/>
    <m/>
    <m/>
    <m/>
    <m/>
    <m/>
    <m/>
    <m/>
    <n v="-9"/>
    <n v="-9"/>
  </r>
  <r>
    <n v="6657"/>
    <x v="2"/>
    <s v="2021/1291"/>
    <s v="Brocklebank Health Centre, 249 Garratt Lane (and others), 229-247 Garratt Lane (Garratt Lane and Atheldene Regeneration Site)"/>
    <s v="Phase 1 (Houses)"/>
    <n v="525999"/>
    <n v="173647"/>
    <x v="11"/>
    <d v="2022-01-20T00:00:00"/>
    <m/>
    <n v="0"/>
    <n v="14"/>
    <n v="14"/>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1.4E-2"/>
    <d v="2022-01-20T00:00:00"/>
    <x v="0"/>
    <m/>
    <x v="2"/>
    <s v="M"/>
    <s v=""/>
    <m/>
    <n v="0"/>
    <n v="16"/>
    <n v="0"/>
    <m/>
    <n v="0"/>
    <n v="0"/>
    <n v="0"/>
    <n v="0"/>
    <n v="14"/>
    <n v="0"/>
    <n v="0"/>
    <n v="0"/>
    <n v="0"/>
    <n v="0"/>
    <n v="0"/>
    <n v="0"/>
    <n v="0"/>
    <n v="0"/>
    <n v="0"/>
    <n v="0"/>
    <n v="0"/>
    <n v="0"/>
    <n v="14"/>
    <n v="0"/>
    <n v="0"/>
    <n v="0"/>
    <n v="0"/>
    <n v="0"/>
    <n v="0"/>
    <n v="0"/>
    <n v="0"/>
    <n v="0"/>
    <x v="0"/>
    <x v="0"/>
    <x v="1"/>
    <n v="5"/>
    <m/>
    <n v="14"/>
    <m/>
    <m/>
    <m/>
    <m/>
    <m/>
    <m/>
    <m/>
    <m/>
    <m/>
    <m/>
    <m/>
    <m/>
    <m/>
    <m/>
    <m/>
    <m/>
    <m/>
    <m/>
    <n v="14"/>
    <n v="14"/>
  </r>
  <r>
    <n v="6657"/>
    <x v="2"/>
    <s v="2021/1291"/>
    <s v="Brocklebank Health Centre, 249 Garratt Lane (and others), 229-247 Garratt Lane (Garratt Lane and Atheldene Regeneration Site)"/>
    <s v="Phase 1 (Houses)"/>
    <n v="525999"/>
    <n v="173647"/>
    <x v="11"/>
    <d v="2022-01-20T00:00:00"/>
    <m/>
    <n v="0"/>
    <n v="9"/>
    <n v="9"/>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6.0000000000000001E-3"/>
    <d v="2022-01-20T00:00:00"/>
    <x v="0"/>
    <m/>
    <x v="1"/>
    <s v="AL"/>
    <s v=""/>
    <m/>
    <n v="0"/>
    <n v="7"/>
    <n v="0"/>
    <m/>
    <n v="0"/>
    <n v="0"/>
    <n v="0"/>
    <n v="1"/>
    <n v="8"/>
    <n v="0"/>
    <n v="0"/>
    <n v="0"/>
    <n v="0"/>
    <n v="0"/>
    <n v="0"/>
    <n v="0"/>
    <n v="0"/>
    <n v="0"/>
    <n v="0"/>
    <n v="0"/>
    <n v="0"/>
    <n v="1"/>
    <n v="8"/>
    <n v="0"/>
    <n v="0"/>
    <n v="0"/>
    <n v="0"/>
    <n v="0"/>
    <n v="0"/>
    <n v="0"/>
    <n v="0"/>
    <n v="0"/>
    <x v="0"/>
    <x v="0"/>
    <x v="1"/>
    <n v="5"/>
    <m/>
    <n v="9"/>
    <m/>
    <m/>
    <m/>
    <m/>
    <m/>
    <m/>
    <m/>
    <m/>
    <m/>
    <m/>
    <m/>
    <m/>
    <m/>
    <m/>
    <m/>
    <m/>
    <m/>
    <m/>
    <n v="9"/>
    <n v="9"/>
  </r>
  <r>
    <n v="6657"/>
    <x v="2"/>
    <s v="2021/1291"/>
    <s v="Brocklebank Health Centre, 249 Garratt Lane (and others), 229-247 Garratt Lane (Garratt Lane and Atheldene Regeneration Site)"/>
    <s v="Phase 1 (Houses)"/>
    <n v="525999"/>
    <n v="173647"/>
    <x v="11"/>
    <d v="2022-01-20T00:00:00"/>
    <m/>
    <n v="0"/>
    <n v="2"/>
    <n v="2"/>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2E-3"/>
    <d v="2022-01-20T00:00:00"/>
    <x v="0"/>
    <m/>
    <x v="0"/>
    <s v="ISL"/>
    <s v=""/>
    <m/>
    <n v="0"/>
    <n v="2"/>
    <n v="0"/>
    <m/>
    <n v="0"/>
    <n v="0"/>
    <n v="0"/>
    <n v="2"/>
    <n v="0"/>
    <n v="0"/>
    <n v="0"/>
    <n v="0"/>
    <n v="0"/>
    <n v="0"/>
    <n v="0"/>
    <n v="0"/>
    <n v="0"/>
    <n v="0"/>
    <n v="0"/>
    <n v="0"/>
    <n v="0"/>
    <n v="2"/>
    <n v="0"/>
    <n v="0"/>
    <n v="0"/>
    <n v="0"/>
    <n v="0"/>
    <n v="0"/>
    <n v="0"/>
    <n v="0"/>
    <n v="0"/>
    <n v="0"/>
    <x v="0"/>
    <x v="0"/>
    <x v="1"/>
    <n v="5"/>
    <m/>
    <m/>
    <n v="2"/>
    <m/>
    <m/>
    <m/>
    <m/>
    <m/>
    <m/>
    <m/>
    <m/>
    <m/>
    <m/>
    <m/>
    <m/>
    <m/>
    <m/>
    <m/>
    <m/>
    <m/>
    <n v="2"/>
    <n v="2"/>
  </r>
  <r>
    <n v="2411"/>
    <x v="1"/>
    <s v="2021/0138"/>
    <s v="South Lambeth Goods Depot, Cringle St./Battersea Park Rd., Kirtling Street (Battersea Power Station)"/>
    <s v="Phase 4 (RS-5)"/>
    <n v="528934"/>
    <n v="177496"/>
    <x v="15"/>
    <d v="2016-05-16T00:00:00"/>
    <m/>
    <n v="0"/>
    <n v="883"/>
    <n v="883"/>
    <n v="2027"/>
    <n v="2027"/>
    <x v="0"/>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x v="0"/>
    <s v="Nil"/>
    <m/>
    <s v="BF"/>
    <s v="NB"/>
    <x v="0"/>
    <x v="0"/>
    <n v="0.79500000000000004"/>
    <m/>
    <x v="0"/>
    <m/>
    <x v="2"/>
    <s v="M"/>
    <s v="2.1.1"/>
    <m/>
    <n v="0"/>
    <m/>
    <n v="0"/>
    <m/>
    <n v="20"/>
    <n v="390"/>
    <n v="307"/>
    <n v="129"/>
    <n v="11"/>
    <n v="26"/>
    <n v="0"/>
    <n v="20"/>
    <n v="390"/>
    <n v="307"/>
    <n v="129"/>
    <n v="11"/>
    <n v="26"/>
    <n v="0"/>
    <n v="0"/>
    <n v="0"/>
    <n v="0"/>
    <n v="0"/>
    <n v="0"/>
    <n v="0"/>
    <n v="0"/>
    <n v="0"/>
    <n v="0"/>
    <n v="0"/>
    <n v="0"/>
    <n v="0"/>
    <n v="0"/>
    <n v="0"/>
    <x v="0"/>
    <x v="1"/>
    <x v="7"/>
    <n v="10"/>
    <m/>
    <m/>
    <m/>
    <m/>
    <n v="294.33333333333331"/>
    <n v="294.33333333333331"/>
    <n v="294.33333333333331"/>
    <m/>
    <m/>
    <m/>
    <m/>
    <m/>
    <m/>
    <m/>
    <m/>
    <m/>
    <m/>
    <m/>
    <m/>
    <m/>
    <n v="588.66666666666663"/>
    <n v="883"/>
  </r>
  <r>
    <n v="2411"/>
    <x v="1"/>
    <s v="2017/1680"/>
    <s v="South Lambeth Goods Depot, Cringle St./Battersea Park Rd., Kirtling Street (Battersea Power Station)"/>
    <s v="Phase 5 (RS-6)"/>
    <n v="528934"/>
    <n v="177496"/>
    <x v="15"/>
    <d v="2016-05-16T00:00:00"/>
    <m/>
    <n v="0"/>
    <n v="147"/>
    <n v="147"/>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0"/>
    <x v="0"/>
    <n v="0.186"/>
    <m/>
    <x v="0"/>
    <m/>
    <x v="0"/>
    <s v="IU"/>
    <s v="2.1.1"/>
    <m/>
    <n v="147"/>
    <m/>
    <n v="15"/>
    <m/>
    <n v="0"/>
    <n v="21"/>
    <n v="71"/>
    <n v="47"/>
    <n v="8"/>
    <n v="0"/>
    <n v="0"/>
    <n v="0"/>
    <n v="21"/>
    <n v="71"/>
    <n v="47"/>
    <n v="8"/>
    <n v="0"/>
    <n v="0"/>
    <n v="0"/>
    <n v="0"/>
    <n v="0"/>
    <n v="0"/>
    <n v="0"/>
    <n v="0"/>
    <n v="0"/>
    <n v="0"/>
    <n v="0"/>
    <n v="0"/>
    <n v="0"/>
    <n v="0"/>
    <n v="0"/>
    <n v="0"/>
    <x v="0"/>
    <x v="1"/>
    <x v="7"/>
    <n v="10"/>
    <m/>
    <m/>
    <m/>
    <m/>
    <n v="49"/>
    <n v="49"/>
    <n v="49"/>
    <m/>
    <m/>
    <m/>
    <m/>
    <m/>
    <m/>
    <m/>
    <m/>
    <m/>
    <m/>
    <m/>
    <m/>
    <m/>
    <n v="98"/>
    <n v="147"/>
  </r>
  <r>
    <n v="2411"/>
    <x v="1"/>
    <s v="2017/1680"/>
    <s v="South Lambeth Goods Depot, Cringle St./Battersea Park Rd., Kirtling Street (Battersea Power Station)"/>
    <s v="Phase 5 (RS-6)"/>
    <n v="528934"/>
    <n v="177496"/>
    <x v="15"/>
    <d v="2016-05-16T00:00:00"/>
    <m/>
    <n v="0"/>
    <n v="11"/>
    <n v="11"/>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0"/>
    <x v="0"/>
    <n v="1.4E-2"/>
    <m/>
    <x v="0"/>
    <m/>
    <x v="0"/>
    <s v="IR"/>
    <s v="2.1.1"/>
    <m/>
    <n v="11"/>
    <m/>
    <n v="1"/>
    <m/>
    <n v="0"/>
    <n v="11"/>
    <n v="0"/>
    <n v="0"/>
    <n v="0"/>
    <n v="0"/>
    <n v="0"/>
    <n v="0"/>
    <n v="11"/>
    <n v="0"/>
    <n v="0"/>
    <n v="0"/>
    <n v="0"/>
    <n v="0"/>
    <n v="0"/>
    <n v="0"/>
    <n v="0"/>
    <n v="0"/>
    <n v="0"/>
    <n v="0"/>
    <n v="0"/>
    <n v="0"/>
    <n v="0"/>
    <n v="0"/>
    <n v="0"/>
    <n v="0"/>
    <n v="0"/>
    <n v="0"/>
    <x v="0"/>
    <x v="1"/>
    <x v="7"/>
    <n v="10"/>
    <m/>
    <m/>
    <m/>
    <m/>
    <n v="3.6666666666666665"/>
    <n v="3.6666666666666665"/>
    <n v="3.6666666666666665"/>
    <m/>
    <m/>
    <m/>
    <m/>
    <m/>
    <m/>
    <m/>
    <m/>
    <m/>
    <m/>
    <m/>
    <m/>
    <m/>
    <n v="7.333333333333333"/>
    <n v="11"/>
  </r>
  <r>
    <n v="2502"/>
    <x v="2"/>
    <s v="2020/1779"/>
    <s v="Springfield Hospital site, 61 Glenburnie Road"/>
    <s v="Phase 5A - Block B1A"/>
    <n v="527221"/>
    <n v="172443"/>
    <x v="10"/>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4.2000000000000003E-2"/>
    <d v="2021-03-31T00:00:00"/>
    <x v="0"/>
    <m/>
    <x v="0"/>
    <s v="ISO"/>
    <s v="9.1"/>
    <m/>
    <n v="0"/>
    <m/>
    <n v="0"/>
    <m/>
    <n v="0"/>
    <n v="0"/>
    <n v="0"/>
    <n v="4"/>
    <n v="0"/>
    <n v="0"/>
    <n v="0"/>
    <n v="0"/>
    <n v="0"/>
    <n v="0"/>
    <n v="4"/>
    <n v="0"/>
    <n v="0"/>
    <n v="0"/>
    <n v="0"/>
    <n v="0"/>
    <n v="0"/>
    <n v="0"/>
    <n v="0"/>
    <n v="0"/>
    <n v="0"/>
    <n v="0"/>
    <n v="0"/>
    <n v="0"/>
    <n v="0"/>
    <n v="0"/>
    <n v="0"/>
    <n v="0"/>
    <x v="0"/>
    <x v="0"/>
    <x v="1"/>
    <n v="5"/>
    <m/>
    <n v="4"/>
    <m/>
    <m/>
    <m/>
    <m/>
    <m/>
    <m/>
    <m/>
    <m/>
    <m/>
    <m/>
    <m/>
    <m/>
    <m/>
    <m/>
    <m/>
    <m/>
    <m/>
    <m/>
    <n v="4"/>
    <n v="4"/>
  </r>
  <r>
    <n v="2502"/>
    <x v="2"/>
    <s v="2020/1779"/>
    <s v="Springfield Hospital site, 61 Glenburnie Road"/>
    <s v="Phase 5A - Block B2A"/>
    <n v="527221"/>
    <n v="172443"/>
    <x v="10"/>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3.9E-2"/>
    <d v="2021-03-31T00:00:00"/>
    <x v="0"/>
    <m/>
    <x v="1"/>
    <s v="AA"/>
    <s v="9.1"/>
    <m/>
    <n v="0"/>
    <m/>
    <n v="0"/>
    <m/>
    <n v="0"/>
    <n v="0"/>
    <n v="0"/>
    <n v="4"/>
    <n v="0"/>
    <n v="0"/>
    <n v="0"/>
    <n v="0"/>
    <n v="0"/>
    <n v="0"/>
    <n v="4"/>
    <n v="0"/>
    <n v="0"/>
    <n v="0"/>
    <n v="0"/>
    <n v="0"/>
    <n v="0"/>
    <n v="0"/>
    <n v="0"/>
    <n v="0"/>
    <n v="0"/>
    <n v="0"/>
    <n v="0"/>
    <n v="0"/>
    <n v="0"/>
    <n v="0"/>
    <n v="0"/>
    <n v="0"/>
    <x v="0"/>
    <x v="0"/>
    <x v="1"/>
    <n v="5"/>
    <m/>
    <n v="4"/>
    <m/>
    <m/>
    <m/>
    <m/>
    <m/>
    <m/>
    <m/>
    <m/>
    <m/>
    <m/>
    <m/>
    <m/>
    <m/>
    <m/>
    <m/>
    <m/>
    <m/>
    <m/>
    <n v="4"/>
    <n v="4"/>
  </r>
  <r>
    <n v="2502"/>
    <x v="2"/>
    <s v="2020/1779"/>
    <s v="Springfield Hospital site, 61 Glenburnie Road"/>
    <s v="Phase 5A - Block B2B"/>
    <n v="527221"/>
    <n v="172443"/>
    <x v="10"/>
    <d v="2021-03-31T00:00:00"/>
    <m/>
    <n v="0"/>
    <n v="1"/>
    <n v="1"/>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0.01"/>
    <d v="2021-03-31T00:00:00"/>
    <x v="0"/>
    <m/>
    <x v="1"/>
    <s v="AA"/>
    <s v="9.1"/>
    <m/>
    <n v="0"/>
    <m/>
    <n v="1"/>
    <m/>
    <n v="0"/>
    <n v="0"/>
    <n v="0"/>
    <n v="1"/>
    <n v="0"/>
    <n v="0"/>
    <n v="0"/>
    <n v="0"/>
    <n v="0"/>
    <n v="0"/>
    <n v="0"/>
    <n v="0"/>
    <n v="0"/>
    <n v="0"/>
    <n v="0"/>
    <n v="0"/>
    <n v="0"/>
    <n v="1"/>
    <n v="0"/>
    <n v="0"/>
    <n v="0"/>
    <n v="0"/>
    <n v="0"/>
    <n v="0"/>
    <n v="0"/>
    <n v="0"/>
    <n v="0"/>
    <n v="0"/>
    <x v="0"/>
    <x v="0"/>
    <x v="1"/>
    <n v="5"/>
    <m/>
    <n v="1"/>
    <m/>
    <m/>
    <m/>
    <m/>
    <m/>
    <m/>
    <m/>
    <m/>
    <m/>
    <m/>
    <m/>
    <m/>
    <m/>
    <m/>
    <m/>
    <m/>
    <m/>
    <m/>
    <n v="1"/>
    <n v="1"/>
  </r>
  <r>
    <n v="2502"/>
    <x v="2"/>
    <s v="2020/1779"/>
    <s v="Springfield Hospital site, 61 Glenburnie Road"/>
    <s v="Phase 5A - Block B2C"/>
    <n v="527221"/>
    <n v="172443"/>
    <x v="10"/>
    <d v="2021-03-31T00:00:00"/>
    <m/>
    <n v="0"/>
    <n v="1"/>
    <n v="1"/>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0.01"/>
    <d v="2021-03-31T00:00:00"/>
    <x v="0"/>
    <m/>
    <x v="1"/>
    <s v="AA"/>
    <s v="9.1"/>
    <m/>
    <n v="0"/>
    <m/>
    <n v="1"/>
    <m/>
    <n v="0"/>
    <n v="0"/>
    <n v="0"/>
    <n v="1"/>
    <n v="0"/>
    <n v="0"/>
    <n v="0"/>
    <n v="0"/>
    <n v="0"/>
    <n v="0"/>
    <n v="0"/>
    <n v="0"/>
    <n v="0"/>
    <n v="0"/>
    <n v="0"/>
    <n v="0"/>
    <n v="0"/>
    <n v="1"/>
    <n v="0"/>
    <n v="0"/>
    <n v="0"/>
    <n v="0"/>
    <n v="0"/>
    <n v="0"/>
    <n v="0"/>
    <n v="0"/>
    <n v="0"/>
    <n v="0"/>
    <x v="0"/>
    <x v="0"/>
    <x v="1"/>
    <n v="5"/>
    <m/>
    <n v="1"/>
    <m/>
    <m/>
    <m/>
    <m/>
    <m/>
    <m/>
    <m/>
    <m/>
    <m/>
    <m/>
    <m/>
    <m/>
    <m/>
    <m/>
    <m/>
    <m/>
    <m/>
    <m/>
    <n v="1"/>
    <n v="1"/>
  </r>
  <r>
    <n v="2502"/>
    <x v="2"/>
    <s v="2020/1779"/>
    <s v="Springfield Hospital site, 61 Glenburnie Road"/>
    <s v="Phase 5A - Block C1A"/>
    <n v="527221"/>
    <n v="172443"/>
    <x v="10"/>
    <d v="2021-03-31T00:00:00"/>
    <m/>
    <n v="0"/>
    <n v="8"/>
    <n v="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7.6999999999999999E-2"/>
    <d v="2021-03-31T00:00:00"/>
    <x v="0"/>
    <m/>
    <x v="1"/>
    <s v="AA"/>
    <s v="9.1"/>
    <m/>
    <n v="0"/>
    <m/>
    <n v="0"/>
    <m/>
    <n v="0"/>
    <n v="0"/>
    <n v="8"/>
    <n v="0"/>
    <n v="0"/>
    <n v="0"/>
    <n v="0"/>
    <n v="0"/>
    <n v="0"/>
    <n v="8"/>
    <n v="0"/>
    <n v="0"/>
    <n v="0"/>
    <n v="0"/>
    <n v="0"/>
    <n v="0"/>
    <n v="0"/>
    <n v="0"/>
    <n v="0"/>
    <n v="0"/>
    <n v="0"/>
    <n v="0"/>
    <n v="0"/>
    <n v="0"/>
    <n v="0"/>
    <n v="0"/>
    <n v="0"/>
    <n v="0"/>
    <x v="0"/>
    <x v="0"/>
    <x v="1"/>
    <n v="5"/>
    <m/>
    <n v="8"/>
    <m/>
    <m/>
    <m/>
    <m/>
    <m/>
    <m/>
    <m/>
    <m/>
    <m/>
    <m/>
    <m/>
    <m/>
    <m/>
    <m/>
    <m/>
    <m/>
    <m/>
    <m/>
    <n v="8"/>
    <n v="8"/>
  </r>
  <r>
    <n v="2502"/>
    <x v="2"/>
    <s v="2020/1779"/>
    <s v="Springfield Hospital site, 61 Glenburnie Road"/>
    <s v="Phase 5A - Block C1A"/>
    <n v="527221"/>
    <n v="172443"/>
    <x v="10"/>
    <d v="2021-03-31T00:00:00"/>
    <m/>
    <n v="0"/>
    <n v="8"/>
    <n v="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7.6999999999999999E-2"/>
    <d v="2021-03-31T00:00:00"/>
    <x v="0"/>
    <m/>
    <x v="0"/>
    <s v="ISO"/>
    <s v="9.1"/>
    <m/>
    <n v="0"/>
    <m/>
    <n v="8"/>
    <m/>
    <n v="0"/>
    <n v="4"/>
    <n v="4"/>
    <n v="0"/>
    <n v="0"/>
    <n v="0"/>
    <n v="0"/>
    <n v="0"/>
    <n v="4"/>
    <n v="4"/>
    <n v="0"/>
    <n v="0"/>
    <n v="0"/>
    <n v="0"/>
    <n v="0"/>
    <n v="0"/>
    <n v="0"/>
    <n v="0"/>
    <n v="0"/>
    <n v="0"/>
    <n v="0"/>
    <n v="0"/>
    <n v="0"/>
    <n v="0"/>
    <n v="0"/>
    <n v="0"/>
    <n v="0"/>
    <n v="0"/>
    <x v="0"/>
    <x v="0"/>
    <x v="1"/>
    <n v="5"/>
    <m/>
    <n v="8"/>
    <m/>
    <m/>
    <m/>
    <m/>
    <m/>
    <m/>
    <m/>
    <m/>
    <m/>
    <m/>
    <m/>
    <m/>
    <m/>
    <m/>
    <m/>
    <m/>
    <m/>
    <m/>
    <n v="8"/>
    <n v="8"/>
  </r>
  <r>
    <n v="2502"/>
    <x v="2"/>
    <s v="2020/1779"/>
    <s v="Springfield Hospital site, 61 Glenburnie Road"/>
    <s v="Phase 5A - Block C1B"/>
    <n v="527221"/>
    <n v="172443"/>
    <x v="10"/>
    <d v="2021-03-31T00:00:00"/>
    <m/>
    <n v="0"/>
    <n v="2"/>
    <n v="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1.9E-2"/>
    <d v="2021-03-31T00:00:00"/>
    <x v="0"/>
    <m/>
    <x v="1"/>
    <s v="AA"/>
    <s v="9.1"/>
    <m/>
    <n v="0"/>
    <m/>
    <n v="1"/>
    <m/>
    <n v="0"/>
    <n v="0"/>
    <n v="0"/>
    <n v="2"/>
    <n v="0"/>
    <n v="0"/>
    <n v="0"/>
    <n v="0"/>
    <n v="0"/>
    <n v="0"/>
    <n v="0"/>
    <n v="0"/>
    <n v="0"/>
    <n v="0"/>
    <n v="0"/>
    <n v="0"/>
    <n v="0"/>
    <n v="2"/>
    <n v="0"/>
    <n v="0"/>
    <n v="0"/>
    <n v="0"/>
    <n v="0"/>
    <n v="0"/>
    <n v="0"/>
    <n v="0"/>
    <n v="0"/>
    <n v="0"/>
    <x v="0"/>
    <x v="0"/>
    <x v="1"/>
    <n v="5"/>
    <m/>
    <n v="2"/>
    <m/>
    <m/>
    <m/>
    <m/>
    <m/>
    <m/>
    <m/>
    <m/>
    <m/>
    <m/>
    <m/>
    <m/>
    <m/>
    <m/>
    <m/>
    <m/>
    <m/>
    <m/>
    <n v="2"/>
    <n v="2"/>
  </r>
  <r>
    <n v="2502"/>
    <x v="2"/>
    <s v="2020/1779"/>
    <s v="Springfield Hospital site, 61 Glenburnie Road"/>
    <s v="Phase 5A - Block C1C"/>
    <n v="527221"/>
    <n v="172443"/>
    <x v="10"/>
    <d v="2021-03-31T00:00:00"/>
    <m/>
    <n v="0"/>
    <n v="2"/>
    <n v="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1.9E-2"/>
    <d v="2021-03-31T00:00:00"/>
    <x v="0"/>
    <m/>
    <x v="1"/>
    <s v="AA"/>
    <s v="9.1"/>
    <m/>
    <n v="0"/>
    <m/>
    <n v="0"/>
    <m/>
    <n v="0"/>
    <n v="0"/>
    <n v="0"/>
    <n v="2"/>
    <n v="0"/>
    <n v="0"/>
    <n v="0"/>
    <n v="0"/>
    <n v="0"/>
    <n v="0"/>
    <n v="0"/>
    <n v="0"/>
    <n v="0"/>
    <n v="0"/>
    <n v="0"/>
    <n v="0"/>
    <n v="0"/>
    <n v="2"/>
    <n v="0"/>
    <n v="0"/>
    <n v="0"/>
    <n v="0"/>
    <n v="0"/>
    <n v="0"/>
    <n v="0"/>
    <n v="0"/>
    <n v="0"/>
    <n v="0"/>
    <x v="0"/>
    <x v="0"/>
    <x v="1"/>
    <n v="5"/>
    <m/>
    <n v="2"/>
    <m/>
    <m/>
    <m/>
    <m/>
    <m/>
    <m/>
    <m/>
    <m/>
    <m/>
    <m/>
    <m/>
    <m/>
    <m/>
    <m/>
    <m/>
    <m/>
    <m/>
    <m/>
    <n v="2"/>
    <n v="2"/>
  </r>
  <r>
    <n v="2502"/>
    <x v="2"/>
    <s v="2020/1779"/>
    <s v="Springfield Hospital site, 61 Glenburnie Road"/>
    <s v="Phase 5A - Block C2B"/>
    <n v="527221"/>
    <n v="172443"/>
    <x v="10"/>
    <d v="2021-03-31T00:00:00"/>
    <m/>
    <n v="0"/>
    <n v="1"/>
    <n v="1"/>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0.01"/>
    <d v="2021-03-31T00:00:00"/>
    <x v="0"/>
    <m/>
    <x v="0"/>
    <s v="ISO"/>
    <s v="9.1"/>
    <m/>
    <n v="0"/>
    <m/>
    <n v="0"/>
    <m/>
    <n v="0"/>
    <n v="0"/>
    <n v="1"/>
    <n v="0"/>
    <n v="0"/>
    <n v="0"/>
    <n v="0"/>
    <n v="0"/>
    <n v="0"/>
    <n v="0"/>
    <n v="0"/>
    <n v="0"/>
    <n v="0"/>
    <n v="0"/>
    <n v="0"/>
    <n v="0"/>
    <n v="1"/>
    <n v="0"/>
    <n v="0"/>
    <n v="0"/>
    <n v="0"/>
    <n v="0"/>
    <n v="0"/>
    <n v="0"/>
    <n v="0"/>
    <n v="0"/>
    <n v="0"/>
    <n v="0"/>
    <x v="0"/>
    <x v="0"/>
    <x v="1"/>
    <n v="5"/>
    <m/>
    <n v="1"/>
    <m/>
    <m/>
    <m/>
    <m/>
    <m/>
    <m/>
    <m/>
    <m/>
    <m/>
    <m/>
    <m/>
    <m/>
    <m/>
    <m/>
    <m/>
    <m/>
    <m/>
    <m/>
    <n v="1"/>
    <n v="1"/>
  </r>
  <r>
    <n v="2502"/>
    <x v="2"/>
    <s v="2020/1779"/>
    <s v="Springfield Hospital site, 61 Glenburnie Road"/>
    <s v="Phase 5A - Block C2C"/>
    <n v="527221"/>
    <n v="172443"/>
    <x v="10"/>
    <d v="2021-03-31T00:00:00"/>
    <m/>
    <n v="0"/>
    <n v="5"/>
    <n v="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4.8000000000000001E-2"/>
    <d v="2021-03-31T00:00:00"/>
    <x v="0"/>
    <m/>
    <x v="0"/>
    <s v="ISO"/>
    <s v="9.1"/>
    <m/>
    <n v="0"/>
    <m/>
    <n v="0"/>
    <m/>
    <n v="0"/>
    <n v="0"/>
    <n v="5"/>
    <n v="0"/>
    <n v="0"/>
    <n v="0"/>
    <n v="0"/>
    <n v="0"/>
    <n v="0"/>
    <n v="0"/>
    <n v="0"/>
    <n v="0"/>
    <n v="0"/>
    <n v="0"/>
    <n v="0"/>
    <n v="0"/>
    <n v="5"/>
    <n v="0"/>
    <n v="0"/>
    <n v="0"/>
    <n v="0"/>
    <n v="0"/>
    <n v="0"/>
    <n v="0"/>
    <n v="0"/>
    <n v="0"/>
    <n v="0"/>
    <n v="0"/>
    <x v="0"/>
    <x v="0"/>
    <x v="1"/>
    <n v="5"/>
    <m/>
    <n v="5"/>
    <m/>
    <m/>
    <m/>
    <m/>
    <m/>
    <m/>
    <m/>
    <m/>
    <m/>
    <m/>
    <m/>
    <m/>
    <m/>
    <m/>
    <m/>
    <m/>
    <m/>
    <m/>
    <n v="5"/>
    <n v="5"/>
  </r>
  <r>
    <n v="2502"/>
    <x v="2"/>
    <s v="2020/1779"/>
    <s v="Springfield Hospital site, 61 Glenburnie Road"/>
    <s v="Phase 5A - Block D1A"/>
    <n v="527221"/>
    <n v="172443"/>
    <x v="10"/>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0.14499999999999999"/>
    <d v="2021-03-31T00:00:00"/>
    <x v="0"/>
    <m/>
    <x v="2"/>
    <s v="M"/>
    <s v="9.1"/>
    <m/>
    <n v="0"/>
    <m/>
    <n v="0"/>
    <m/>
    <n v="0"/>
    <n v="6"/>
    <n v="9"/>
    <n v="0"/>
    <n v="0"/>
    <n v="0"/>
    <n v="0"/>
    <n v="0"/>
    <n v="6"/>
    <n v="9"/>
    <n v="0"/>
    <n v="0"/>
    <n v="0"/>
    <n v="0"/>
    <n v="0"/>
    <n v="0"/>
    <n v="0"/>
    <n v="0"/>
    <n v="0"/>
    <n v="0"/>
    <n v="0"/>
    <n v="0"/>
    <n v="0"/>
    <n v="0"/>
    <n v="0"/>
    <n v="0"/>
    <n v="0"/>
    <n v="0"/>
    <x v="0"/>
    <x v="0"/>
    <x v="1"/>
    <n v="5"/>
    <m/>
    <n v="15"/>
    <m/>
    <m/>
    <m/>
    <m/>
    <m/>
    <m/>
    <m/>
    <m/>
    <m/>
    <m/>
    <m/>
    <m/>
    <m/>
    <m/>
    <m/>
    <m/>
    <m/>
    <m/>
    <n v="15"/>
    <n v="15"/>
  </r>
  <r>
    <n v="2502"/>
    <x v="2"/>
    <s v="2020/1779"/>
    <s v="Springfield Hospital site, 61 Glenburnie Road"/>
    <s v="Phase 5A - Block D1B"/>
    <n v="527221"/>
    <n v="172443"/>
    <x v="10"/>
    <d v="2021-03-31T00:00:00"/>
    <m/>
    <n v="0"/>
    <n v="9"/>
    <n v="9"/>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8.6999999999999994E-2"/>
    <d v="2021-03-31T00:00:00"/>
    <x v="0"/>
    <m/>
    <x v="2"/>
    <s v="M"/>
    <s v="9.1"/>
    <m/>
    <n v="0"/>
    <m/>
    <n v="0"/>
    <m/>
    <n v="0"/>
    <n v="0"/>
    <n v="7"/>
    <n v="2"/>
    <n v="0"/>
    <n v="0"/>
    <n v="0"/>
    <n v="0"/>
    <n v="0"/>
    <n v="0"/>
    <n v="0"/>
    <n v="0"/>
    <n v="0"/>
    <n v="0"/>
    <n v="0"/>
    <n v="0"/>
    <n v="7"/>
    <n v="2"/>
    <n v="0"/>
    <n v="0"/>
    <n v="0"/>
    <n v="0"/>
    <n v="0"/>
    <n v="0"/>
    <n v="0"/>
    <n v="0"/>
    <n v="0"/>
    <n v="0"/>
    <x v="0"/>
    <x v="0"/>
    <x v="1"/>
    <n v="5"/>
    <m/>
    <n v="9"/>
    <m/>
    <m/>
    <m/>
    <m/>
    <m/>
    <m/>
    <m/>
    <m/>
    <m/>
    <m/>
    <m/>
    <m/>
    <m/>
    <m/>
    <m/>
    <m/>
    <m/>
    <m/>
    <n v="9"/>
    <n v="9"/>
  </r>
  <r>
    <n v="2502"/>
    <x v="2"/>
    <s v="2020/1779"/>
    <s v="Springfield Hospital site, 61 Glenburnie Road"/>
    <s v="Phase 5A - Block D2A"/>
    <n v="527221"/>
    <n v="172443"/>
    <x v="10"/>
    <d v="2021-03-31T00:00:00"/>
    <m/>
    <n v="0"/>
    <n v="20"/>
    <n v="20"/>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0.193"/>
    <d v="2021-03-31T00:00:00"/>
    <x v="0"/>
    <m/>
    <x v="2"/>
    <s v="M"/>
    <s v="9.1"/>
    <m/>
    <n v="0"/>
    <m/>
    <n v="0"/>
    <m/>
    <n v="0"/>
    <n v="9"/>
    <n v="11"/>
    <n v="0"/>
    <n v="0"/>
    <n v="0"/>
    <n v="0"/>
    <n v="0"/>
    <n v="9"/>
    <n v="11"/>
    <n v="0"/>
    <n v="0"/>
    <n v="0"/>
    <n v="0"/>
    <n v="0"/>
    <n v="0"/>
    <n v="0"/>
    <n v="0"/>
    <n v="0"/>
    <n v="0"/>
    <n v="0"/>
    <n v="0"/>
    <n v="0"/>
    <n v="0"/>
    <n v="0"/>
    <n v="0"/>
    <n v="0"/>
    <n v="0"/>
    <x v="0"/>
    <x v="0"/>
    <x v="1"/>
    <n v="5"/>
    <m/>
    <n v="20"/>
    <m/>
    <m/>
    <m/>
    <m/>
    <m/>
    <m/>
    <m/>
    <m/>
    <m/>
    <m/>
    <m/>
    <m/>
    <m/>
    <m/>
    <m/>
    <m/>
    <m/>
    <m/>
    <n v="20"/>
    <n v="20"/>
  </r>
  <r>
    <n v="2502"/>
    <x v="2"/>
    <s v="2020/1779"/>
    <s v="Springfield Hospital site, 61 Glenburnie Road"/>
    <s v="Phase 5A - Block D2B"/>
    <n v="527221"/>
    <n v="172443"/>
    <x v="10"/>
    <d v="2021-03-31T00:00:00"/>
    <m/>
    <n v="0"/>
    <n v="5"/>
    <n v="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4.8000000000000001E-2"/>
    <d v="2021-03-31T00:00:00"/>
    <x v="0"/>
    <m/>
    <x v="2"/>
    <s v="M"/>
    <s v="9.1"/>
    <m/>
    <n v="0"/>
    <m/>
    <n v="0"/>
    <m/>
    <n v="0"/>
    <n v="0"/>
    <n v="0"/>
    <n v="5"/>
    <n v="0"/>
    <n v="0"/>
    <n v="0"/>
    <n v="0"/>
    <n v="0"/>
    <n v="0"/>
    <n v="5"/>
    <n v="0"/>
    <n v="0"/>
    <n v="0"/>
    <n v="0"/>
    <n v="0"/>
    <n v="0"/>
    <n v="0"/>
    <n v="0"/>
    <n v="0"/>
    <n v="0"/>
    <n v="0"/>
    <n v="0"/>
    <n v="0"/>
    <n v="0"/>
    <n v="0"/>
    <n v="0"/>
    <n v="0"/>
    <x v="0"/>
    <x v="0"/>
    <x v="1"/>
    <n v="5"/>
    <m/>
    <n v="5"/>
    <m/>
    <m/>
    <m/>
    <m/>
    <m/>
    <m/>
    <m/>
    <m/>
    <m/>
    <m/>
    <m/>
    <m/>
    <m/>
    <m/>
    <m/>
    <m/>
    <m/>
    <m/>
    <n v="5"/>
    <n v="5"/>
  </r>
  <r>
    <n v="2502"/>
    <x v="2"/>
    <s v="2020/1779"/>
    <s v="Springfield Hospital site, 61 Glenburnie Road"/>
    <s v="Phase 5A - Block D2C"/>
    <n v="527221"/>
    <n v="172443"/>
    <x v="10"/>
    <d v="2021-03-31T00:00:00"/>
    <m/>
    <n v="0"/>
    <n v="8"/>
    <n v="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7.6999999999999999E-2"/>
    <d v="2021-03-31T00:00:00"/>
    <x v="0"/>
    <m/>
    <x v="2"/>
    <s v="M"/>
    <s v="9.1"/>
    <m/>
    <n v="0"/>
    <m/>
    <n v="0"/>
    <m/>
    <n v="0"/>
    <n v="0"/>
    <n v="4"/>
    <n v="4"/>
    <n v="0"/>
    <n v="0"/>
    <n v="0"/>
    <n v="0"/>
    <n v="0"/>
    <n v="0"/>
    <n v="0"/>
    <n v="0"/>
    <n v="0"/>
    <n v="0"/>
    <n v="0"/>
    <n v="0"/>
    <n v="4"/>
    <n v="4"/>
    <n v="0"/>
    <n v="0"/>
    <n v="0"/>
    <n v="0"/>
    <n v="0"/>
    <n v="0"/>
    <n v="0"/>
    <n v="0"/>
    <n v="0"/>
    <n v="0"/>
    <x v="0"/>
    <x v="0"/>
    <x v="1"/>
    <n v="5"/>
    <m/>
    <n v="8"/>
    <m/>
    <m/>
    <m/>
    <m/>
    <m/>
    <m/>
    <m/>
    <m/>
    <m/>
    <m/>
    <m/>
    <m/>
    <m/>
    <m/>
    <m/>
    <m/>
    <m/>
    <m/>
    <n v="8"/>
    <n v="8"/>
  </r>
  <r>
    <n v="2502"/>
    <x v="2"/>
    <s v="2020/1779"/>
    <s v="Springfield Hospital site, 61 Glenburnie Road"/>
    <s v="Phase 5A - Block E1A"/>
    <n v="527221"/>
    <n v="172443"/>
    <x v="10"/>
    <d v="2021-03-31T00:00:00"/>
    <m/>
    <n v="0"/>
    <n v="20"/>
    <n v="20"/>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0.193"/>
    <d v="2021-03-31T00:00:00"/>
    <x v="0"/>
    <m/>
    <x v="2"/>
    <s v="M"/>
    <s v="9.1"/>
    <m/>
    <n v="0"/>
    <m/>
    <n v="0"/>
    <m/>
    <n v="0"/>
    <n v="9"/>
    <n v="11"/>
    <n v="0"/>
    <n v="0"/>
    <n v="0"/>
    <n v="0"/>
    <n v="0"/>
    <n v="9"/>
    <n v="11"/>
    <n v="0"/>
    <n v="0"/>
    <n v="0"/>
    <n v="0"/>
    <n v="0"/>
    <n v="0"/>
    <n v="0"/>
    <n v="0"/>
    <n v="0"/>
    <n v="0"/>
    <n v="0"/>
    <n v="0"/>
    <n v="0"/>
    <n v="0"/>
    <n v="0"/>
    <n v="0"/>
    <n v="0"/>
    <n v="0"/>
    <x v="0"/>
    <x v="0"/>
    <x v="1"/>
    <n v="5"/>
    <m/>
    <n v="20"/>
    <m/>
    <m/>
    <m/>
    <m/>
    <m/>
    <m/>
    <m/>
    <m/>
    <m/>
    <m/>
    <m/>
    <m/>
    <m/>
    <m/>
    <m/>
    <m/>
    <m/>
    <m/>
    <n v="20"/>
    <n v="20"/>
  </r>
  <r>
    <n v="2502"/>
    <x v="2"/>
    <s v="2020/1779"/>
    <s v="Springfield Hospital site, 61 Glenburnie Road"/>
    <s v="Phase 5A - Block E1B"/>
    <n v="527221"/>
    <n v="172443"/>
    <x v="10"/>
    <d v="2021-03-31T00:00:00"/>
    <m/>
    <n v="0"/>
    <n v="7"/>
    <n v="7"/>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6.8000000000000005E-2"/>
    <d v="2021-03-31T00:00:00"/>
    <x v="0"/>
    <m/>
    <x v="2"/>
    <s v="M"/>
    <s v="9.1"/>
    <m/>
    <n v="0"/>
    <m/>
    <n v="0"/>
    <m/>
    <n v="0"/>
    <n v="0"/>
    <n v="3"/>
    <n v="4"/>
    <n v="0"/>
    <n v="0"/>
    <n v="0"/>
    <n v="0"/>
    <n v="0"/>
    <n v="0"/>
    <n v="0"/>
    <n v="0"/>
    <n v="0"/>
    <n v="0"/>
    <n v="0"/>
    <n v="0"/>
    <n v="3"/>
    <n v="4"/>
    <n v="0"/>
    <n v="0"/>
    <n v="0"/>
    <n v="0"/>
    <n v="0"/>
    <n v="0"/>
    <n v="0"/>
    <n v="0"/>
    <n v="0"/>
    <n v="0"/>
    <x v="0"/>
    <x v="0"/>
    <x v="1"/>
    <n v="5"/>
    <m/>
    <n v="7"/>
    <m/>
    <m/>
    <m/>
    <m/>
    <m/>
    <m/>
    <m/>
    <m/>
    <m/>
    <m/>
    <m/>
    <m/>
    <m/>
    <m/>
    <m/>
    <m/>
    <m/>
    <m/>
    <n v="7"/>
    <n v="7"/>
  </r>
  <r>
    <n v="2502"/>
    <x v="2"/>
    <s v="2020/1779"/>
    <s v="Springfield Hospital site, 61 Glenburnie Road"/>
    <s v="Phase 5A - Block E1C"/>
    <n v="527221"/>
    <n v="172443"/>
    <x v="10"/>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0.14499999999999999"/>
    <d v="2021-03-31T00:00:00"/>
    <x v="0"/>
    <m/>
    <x v="2"/>
    <s v="M"/>
    <s v="9.1"/>
    <m/>
    <n v="0"/>
    <m/>
    <n v="0"/>
    <m/>
    <n v="0"/>
    <n v="12"/>
    <n v="2"/>
    <n v="1"/>
    <n v="0"/>
    <n v="0"/>
    <n v="0"/>
    <n v="0"/>
    <n v="12"/>
    <n v="2"/>
    <n v="1"/>
    <n v="0"/>
    <n v="0"/>
    <n v="0"/>
    <n v="0"/>
    <n v="0"/>
    <n v="0"/>
    <n v="0"/>
    <n v="0"/>
    <n v="0"/>
    <n v="0"/>
    <n v="0"/>
    <n v="0"/>
    <n v="0"/>
    <n v="0"/>
    <n v="0"/>
    <n v="0"/>
    <n v="0"/>
    <x v="0"/>
    <x v="0"/>
    <x v="1"/>
    <n v="5"/>
    <m/>
    <n v="15"/>
    <m/>
    <m/>
    <m/>
    <m/>
    <m/>
    <m/>
    <m/>
    <m/>
    <m/>
    <m/>
    <m/>
    <m/>
    <m/>
    <m/>
    <m/>
    <m/>
    <m/>
    <m/>
    <n v="15"/>
    <n v="15"/>
  </r>
  <r>
    <n v="2502"/>
    <x v="2"/>
    <s v="2020/1779"/>
    <s v="Springfield Hospital site, 61 Glenburnie Road"/>
    <s v="Phase 5A - Block E2A"/>
    <n v="527221"/>
    <n v="172443"/>
    <x v="10"/>
    <d v="2021-03-31T00:00:00"/>
    <m/>
    <n v="0"/>
    <n v="20"/>
    <n v="20"/>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0.193"/>
    <d v="2021-03-31T00:00:00"/>
    <x v="0"/>
    <m/>
    <x v="2"/>
    <s v="M"/>
    <s v="9.1"/>
    <m/>
    <n v="0"/>
    <m/>
    <n v="0"/>
    <m/>
    <n v="0"/>
    <n v="9"/>
    <n v="11"/>
    <n v="0"/>
    <n v="0"/>
    <n v="0"/>
    <n v="0"/>
    <n v="0"/>
    <n v="9"/>
    <n v="11"/>
    <n v="0"/>
    <n v="0"/>
    <n v="0"/>
    <n v="0"/>
    <n v="0"/>
    <n v="0"/>
    <n v="0"/>
    <n v="0"/>
    <n v="0"/>
    <n v="0"/>
    <n v="0"/>
    <n v="0"/>
    <n v="0"/>
    <n v="0"/>
    <n v="0"/>
    <n v="0"/>
    <n v="0"/>
    <n v="0"/>
    <x v="0"/>
    <x v="0"/>
    <x v="1"/>
    <n v="5"/>
    <m/>
    <n v="20"/>
    <m/>
    <m/>
    <m/>
    <m/>
    <m/>
    <m/>
    <m/>
    <m/>
    <m/>
    <m/>
    <m/>
    <m/>
    <m/>
    <m/>
    <m/>
    <m/>
    <m/>
    <m/>
    <n v="20"/>
    <n v="20"/>
  </r>
  <r>
    <n v="2502"/>
    <x v="2"/>
    <s v="2020/1779"/>
    <s v="Springfield Hospital site, 61 Glenburnie Road"/>
    <s v="Phase 5A - Block E2B"/>
    <n v="527221"/>
    <n v="172443"/>
    <x v="10"/>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0.14499999999999999"/>
    <d v="2021-03-31T00:00:00"/>
    <x v="0"/>
    <m/>
    <x v="2"/>
    <s v="M"/>
    <s v="9.1"/>
    <m/>
    <n v="0"/>
    <m/>
    <n v="0"/>
    <m/>
    <n v="0"/>
    <n v="6"/>
    <n v="8"/>
    <n v="1"/>
    <n v="0"/>
    <n v="0"/>
    <n v="0"/>
    <n v="0"/>
    <n v="6"/>
    <n v="8"/>
    <n v="1"/>
    <n v="0"/>
    <n v="0"/>
    <n v="0"/>
    <n v="0"/>
    <n v="0"/>
    <n v="0"/>
    <n v="0"/>
    <n v="0"/>
    <n v="0"/>
    <n v="0"/>
    <n v="0"/>
    <n v="0"/>
    <n v="0"/>
    <n v="0"/>
    <n v="0"/>
    <n v="0"/>
    <n v="0"/>
    <x v="0"/>
    <x v="0"/>
    <x v="1"/>
    <n v="5"/>
    <m/>
    <n v="15"/>
    <m/>
    <m/>
    <m/>
    <m/>
    <m/>
    <m/>
    <m/>
    <m/>
    <m/>
    <m/>
    <m/>
    <m/>
    <m/>
    <m/>
    <m/>
    <m/>
    <m/>
    <m/>
    <n v="15"/>
    <n v="15"/>
  </r>
  <r>
    <n v="2502"/>
    <x v="2"/>
    <s v="2020/1779"/>
    <s v="Springfield Hospital site, 61 Glenburnie Road"/>
    <s v="Phase 5A - Block E2C"/>
    <n v="527221"/>
    <n v="172443"/>
    <x v="10"/>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0"/>
    <s v="Nil"/>
    <m/>
    <s v="BF"/>
    <s v="NB"/>
    <x v="0"/>
    <x v="0"/>
    <n v="0.14499999999999999"/>
    <d v="2021-03-31T00:00:00"/>
    <x v="0"/>
    <m/>
    <x v="2"/>
    <s v="M"/>
    <s v="9.1"/>
    <m/>
    <n v="0"/>
    <m/>
    <n v="0"/>
    <m/>
    <n v="0"/>
    <n v="12"/>
    <n v="3"/>
    <n v="0"/>
    <n v="0"/>
    <n v="0"/>
    <n v="0"/>
    <n v="0"/>
    <n v="12"/>
    <n v="3"/>
    <n v="0"/>
    <n v="0"/>
    <n v="0"/>
    <n v="0"/>
    <n v="0"/>
    <n v="0"/>
    <n v="0"/>
    <n v="0"/>
    <n v="0"/>
    <n v="0"/>
    <n v="0"/>
    <n v="0"/>
    <n v="0"/>
    <n v="0"/>
    <n v="0"/>
    <n v="0"/>
    <n v="0"/>
    <n v="0"/>
    <x v="0"/>
    <x v="0"/>
    <x v="1"/>
    <n v="5"/>
    <m/>
    <n v="15"/>
    <m/>
    <m/>
    <m/>
    <m/>
    <m/>
    <m/>
    <m/>
    <m/>
    <m/>
    <m/>
    <m/>
    <m/>
    <m/>
    <m/>
    <m/>
    <m/>
    <m/>
    <m/>
    <n v="15"/>
    <n v="15"/>
  </r>
  <r>
    <n v="2502"/>
    <x v="2"/>
    <s v="2020/1490"/>
    <s v="Springfield Hospital site, 61 Glenburnie Road"/>
    <s v="Phase 6A - Block S"/>
    <n v="527221"/>
    <n v="172443"/>
    <x v="10"/>
    <d v="2021-03-31T00:00:00"/>
    <m/>
    <n v="0"/>
    <n v="29"/>
    <n v="29"/>
    <n v="72"/>
    <n v="72"/>
    <x v="0"/>
    <s v="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0-04-27T00:00:00"/>
    <d v="2020-07-27T00:00:00"/>
    <x v="0"/>
    <s v="Nil"/>
    <m/>
    <s v="BF"/>
    <s v="COU"/>
    <x v="5"/>
    <x v="0"/>
    <n v="0.878"/>
    <d v="2021-03-31T00:00:00"/>
    <x v="0"/>
    <m/>
    <x v="2"/>
    <s v="M"/>
    <s v="9.1"/>
    <m/>
    <n v="0"/>
    <m/>
    <n v="6"/>
    <m/>
    <n v="0"/>
    <n v="29"/>
    <n v="0"/>
    <n v="0"/>
    <n v="0"/>
    <n v="0"/>
    <n v="0"/>
    <n v="0"/>
    <n v="29"/>
    <n v="0"/>
    <n v="0"/>
    <n v="0"/>
    <n v="0"/>
    <n v="0"/>
    <n v="0"/>
    <n v="0"/>
    <n v="0"/>
    <n v="0"/>
    <n v="0"/>
    <n v="0"/>
    <n v="0"/>
    <n v="0"/>
    <n v="0"/>
    <n v="0"/>
    <n v="0"/>
    <n v="0"/>
    <n v="0"/>
    <n v="0"/>
    <x v="0"/>
    <x v="0"/>
    <x v="1"/>
    <n v="5"/>
    <m/>
    <n v="29"/>
    <m/>
    <m/>
    <m/>
    <m/>
    <m/>
    <m/>
    <m/>
    <m/>
    <m/>
    <m/>
    <m/>
    <m/>
    <m/>
    <m/>
    <m/>
    <m/>
    <m/>
    <m/>
    <n v="29"/>
    <n v="29"/>
  </r>
  <r>
    <n v="2502"/>
    <x v="2"/>
    <s v="2021/0447"/>
    <s v="Springfield Hospital site, 61 Glenburnie Road"/>
    <s v="Phase 6B [Boiler House]"/>
    <n v="527221"/>
    <n v="172443"/>
    <x v="10"/>
    <d v="2022-04-01T00:00:00"/>
    <m/>
    <n v="0"/>
    <n v="4"/>
    <n v="4"/>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5"/>
    <x v="0"/>
    <n v="3.696E-2"/>
    <d v="2022-04-01T00:00:00"/>
    <x v="1"/>
    <m/>
    <x v="2"/>
    <s v="M"/>
    <s v="9.1"/>
    <m/>
    <n v="0"/>
    <m/>
    <n v="0"/>
    <m/>
    <n v="0"/>
    <n v="0"/>
    <n v="4"/>
    <n v="0"/>
    <n v="0"/>
    <n v="0"/>
    <n v="0"/>
    <n v="0"/>
    <n v="0"/>
    <n v="4"/>
    <n v="0"/>
    <n v="0"/>
    <n v="0"/>
    <n v="0"/>
    <n v="0"/>
    <n v="0"/>
    <n v="0"/>
    <n v="0"/>
    <n v="0"/>
    <n v="0"/>
    <n v="0"/>
    <n v="0"/>
    <n v="0"/>
    <n v="0"/>
    <n v="0"/>
    <n v="0"/>
    <n v="0"/>
    <n v="0"/>
    <x v="0"/>
    <x v="0"/>
    <x v="1"/>
    <n v="5"/>
    <m/>
    <m/>
    <n v="4"/>
    <m/>
    <m/>
    <m/>
    <m/>
    <m/>
    <m/>
    <m/>
    <m/>
    <m/>
    <m/>
    <m/>
    <m/>
    <m/>
    <m/>
    <m/>
    <m/>
    <m/>
    <n v="4"/>
    <n v="4"/>
  </r>
  <r>
    <n v="2502"/>
    <x v="2"/>
    <s v="2021/0447"/>
    <s v="Springfield Hospital site, 61 Glenburnie Road"/>
    <s v="Phase 6B [Dormitory Wing]"/>
    <n v="527221"/>
    <n v="172443"/>
    <x v="10"/>
    <d v="2022-04-01T00:00:00"/>
    <m/>
    <n v="0"/>
    <n v="11"/>
    <n v="11"/>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5"/>
    <x v="0"/>
    <n v="0.10163999999999999"/>
    <d v="2022-04-01T00:00:00"/>
    <x v="1"/>
    <m/>
    <x v="2"/>
    <s v="M"/>
    <s v="9.1"/>
    <m/>
    <n v="0"/>
    <m/>
    <n v="0"/>
    <m/>
    <n v="1"/>
    <n v="1"/>
    <n v="6"/>
    <n v="3"/>
    <n v="0"/>
    <n v="0"/>
    <n v="0"/>
    <n v="1"/>
    <n v="1"/>
    <n v="6"/>
    <n v="3"/>
    <n v="0"/>
    <n v="0"/>
    <n v="0"/>
    <n v="0"/>
    <n v="0"/>
    <n v="0"/>
    <n v="0"/>
    <n v="0"/>
    <n v="0"/>
    <n v="0"/>
    <n v="0"/>
    <n v="0"/>
    <n v="0"/>
    <n v="0"/>
    <n v="0"/>
    <n v="0"/>
    <n v="0"/>
    <x v="0"/>
    <x v="0"/>
    <x v="1"/>
    <n v="5"/>
    <m/>
    <m/>
    <n v="11"/>
    <m/>
    <m/>
    <m/>
    <m/>
    <m/>
    <m/>
    <m/>
    <m/>
    <m/>
    <m/>
    <m/>
    <m/>
    <m/>
    <m/>
    <m/>
    <m/>
    <m/>
    <n v="11"/>
    <n v="11"/>
  </r>
  <r>
    <n v="2502"/>
    <x v="2"/>
    <s v="2021/0447"/>
    <s v="Springfield Hospital site, 61 Glenburnie Road"/>
    <s v="Phase 6B [Engineering Block]"/>
    <n v="527221"/>
    <n v="172443"/>
    <x v="10"/>
    <d v="2022-04-01T00:00:00"/>
    <m/>
    <n v="0"/>
    <n v="11"/>
    <n v="11"/>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5"/>
    <x v="0"/>
    <n v="0.10163999999999999"/>
    <d v="2022-04-01T00:00:00"/>
    <x v="1"/>
    <m/>
    <x v="2"/>
    <s v="M"/>
    <s v="9.1"/>
    <m/>
    <n v="0"/>
    <m/>
    <n v="0"/>
    <m/>
    <n v="0"/>
    <n v="8"/>
    <n v="3"/>
    <n v="0"/>
    <n v="0"/>
    <n v="0"/>
    <n v="0"/>
    <n v="0"/>
    <n v="8"/>
    <n v="3"/>
    <n v="0"/>
    <n v="0"/>
    <n v="0"/>
    <n v="0"/>
    <n v="0"/>
    <n v="0"/>
    <n v="0"/>
    <n v="0"/>
    <n v="0"/>
    <n v="0"/>
    <n v="0"/>
    <n v="0"/>
    <n v="0"/>
    <n v="0"/>
    <n v="0"/>
    <n v="0"/>
    <n v="0"/>
    <n v="0"/>
    <x v="0"/>
    <x v="0"/>
    <x v="1"/>
    <n v="5"/>
    <m/>
    <m/>
    <n v="11"/>
    <m/>
    <m/>
    <m/>
    <m/>
    <m/>
    <m/>
    <m/>
    <m/>
    <m/>
    <m/>
    <m/>
    <m/>
    <m/>
    <m/>
    <m/>
    <m/>
    <m/>
    <n v="11"/>
    <n v="11"/>
  </r>
  <r>
    <n v="2502"/>
    <x v="2"/>
    <s v="2021/0447"/>
    <s v="Springfield Hospital site, 61 Glenburnie Road"/>
    <s v="Phase 6B [Kitchen Block]"/>
    <n v="527221"/>
    <n v="172443"/>
    <x v="10"/>
    <d v="2022-04-01T00:00:00"/>
    <m/>
    <n v="0"/>
    <n v="20"/>
    <n v="20"/>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5"/>
    <x v="0"/>
    <n v="0.18479999999999999"/>
    <d v="2022-04-01T00:00:00"/>
    <x v="1"/>
    <m/>
    <x v="2"/>
    <s v="M"/>
    <s v="9.1"/>
    <m/>
    <n v="0"/>
    <m/>
    <n v="0"/>
    <m/>
    <n v="0"/>
    <n v="10"/>
    <n v="10"/>
    <n v="0"/>
    <n v="0"/>
    <n v="0"/>
    <n v="0"/>
    <n v="0"/>
    <n v="10"/>
    <n v="10"/>
    <n v="0"/>
    <n v="0"/>
    <n v="0"/>
    <n v="0"/>
    <n v="0"/>
    <n v="0"/>
    <n v="0"/>
    <n v="0"/>
    <n v="0"/>
    <n v="0"/>
    <n v="0"/>
    <n v="0"/>
    <n v="0"/>
    <n v="0"/>
    <n v="0"/>
    <n v="0"/>
    <n v="0"/>
    <n v="0"/>
    <x v="0"/>
    <x v="0"/>
    <x v="1"/>
    <n v="5"/>
    <m/>
    <m/>
    <n v="20"/>
    <m/>
    <m/>
    <m/>
    <m/>
    <m/>
    <m/>
    <m/>
    <m/>
    <m/>
    <m/>
    <m/>
    <m/>
    <m/>
    <m/>
    <m/>
    <m/>
    <m/>
    <n v="20"/>
    <n v="20"/>
  </r>
  <r>
    <n v="2502"/>
    <x v="2"/>
    <s v="2021/0447"/>
    <s v="Springfield Hospital site, 61 Glenburnie Road"/>
    <s v="Phase 6B [Matrons House]"/>
    <n v="527221"/>
    <n v="172443"/>
    <x v="10"/>
    <d v="2022-04-01T00:00:00"/>
    <m/>
    <n v="0"/>
    <n v="2"/>
    <n v="2"/>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5"/>
    <x v="0"/>
    <n v="1.848E-2"/>
    <d v="2022-04-01T00:00:00"/>
    <x v="1"/>
    <m/>
    <x v="2"/>
    <s v="M"/>
    <s v="9.1"/>
    <m/>
    <n v="0"/>
    <m/>
    <n v="0"/>
    <m/>
    <n v="0"/>
    <n v="1"/>
    <n v="0"/>
    <n v="1"/>
    <n v="0"/>
    <n v="0"/>
    <n v="0"/>
    <n v="0"/>
    <n v="1"/>
    <n v="0"/>
    <n v="1"/>
    <n v="0"/>
    <n v="0"/>
    <n v="0"/>
    <n v="0"/>
    <n v="0"/>
    <n v="0"/>
    <n v="0"/>
    <n v="0"/>
    <n v="0"/>
    <n v="0"/>
    <n v="0"/>
    <n v="0"/>
    <n v="0"/>
    <n v="0"/>
    <n v="0"/>
    <n v="0"/>
    <n v="0"/>
    <x v="0"/>
    <x v="0"/>
    <x v="1"/>
    <n v="5"/>
    <m/>
    <m/>
    <n v="2"/>
    <m/>
    <m/>
    <m/>
    <m/>
    <m/>
    <m/>
    <m/>
    <m/>
    <m/>
    <m/>
    <m/>
    <m/>
    <m/>
    <m/>
    <m/>
    <m/>
    <m/>
    <n v="2"/>
    <n v="2"/>
  </r>
  <r>
    <n v="2502"/>
    <x v="2"/>
    <s v="2021/0447"/>
    <s v="Springfield Hospital site, 61 Glenburnie Road"/>
    <s v="Phase 6B [Nurses Club Room]"/>
    <n v="527221"/>
    <n v="172443"/>
    <x v="10"/>
    <d v="2022-04-01T00:00:00"/>
    <m/>
    <n v="0"/>
    <n v="1"/>
    <n v="1"/>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5"/>
    <x v="0"/>
    <n v="9.2399999999999999E-3"/>
    <d v="2022-04-01T00:00:00"/>
    <x v="1"/>
    <m/>
    <x v="2"/>
    <s v="M"/>
    <s v="9.1"/>
    <m/>
    <n v="0"/>
    <m/>
    <n v="0"/>
    <m/>
    <n v="0"/>
    <n v="0"/>
    <n v="1"/>
    <n v="0"/>
    <n v="0"/>
    <n v="0"/>
    <n v="0"/>
    <n v="0"/>
    <n v="0"/>
    <n v="1"/>
    <n v="0"/>
    <n v="0"/>
    <n v="0"/>
    <n v="0"/>
    <n v="0"/>
    <n v="0"/>
    <n v="0"/>
    <n v="0"/>
    <n v="0"/>
    <n v="0"/>
    <n v="0"/>
    <n v="0"/>
    <n v="0"/>
    <n v="0"/>
    <n v="0"/>
    <n v="0"/>
    <n v="0"/>
    <n v="0"/>
    <x v="0"/>
    <x v="0"/>
    <x v="1"/>
    <n v="5"/>
    <m/>
    <m/>
    <n v="1"/>
    <m/>
    <m/>
    <m/>
    <m/>
    <m/>
    <m/>
    <m/>
    <m/>
    <m/>
    <m/>
    <m/>
    <m/>
    <m/>
    <m/>
    <m/>
    <m/>
    <m/>
    <n v="1"/>
    <n v="1"/>
  </r>
  <r>
    <n v="2502"/>
    <x v="2"/>
    <s v="2021/0447"/>
    <s v="Springfield Hospital site, 61 Glenburnie Road"/>
    <s v="Phase 6B [Orchid Wing]"/>
    <n v="527221"/>
    <n v="172443"/>
    <x v="10"/>
    <d v="2022-04-01T00:00:00"/>
    <m/>
    <n v="0"/>
    <n v="60"/>
    <n v="60"/>
    <n v="109"/>
    <n v="109"/>
    <x v="0"/>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x v="0"/>
    <s v="Nil"/>
    <m/>
    <s v="BF"/>
    <s v="CON"/>
    <x v="5"/>
    <x v="0"/>
    <n v="0.5544"/>
    <d v="2022-04-01T00:00:00"/>
    <x v="1"/>
    <m/>
    <x v="2"/>
    <s v="M"/>
    <s v="9.1"/>
    <m/>
    <n v="0"/>
    <m/>
    <n v="0"/>
    <m/>
    <n v="0"/>
    <n v="29"/>
    <n v="27"/>
    <n v="4"/>
    <n v="0"/>
    <n v="0"/>
    <n v="0"/>
    <n v="0"/>
    <n v="29"/>
    <n v="27"/>
    <n v="4"/>
    <n v="0"/>
    <n v="0"/>
    <n v="0"/>
    <n v="0"/>
    <n v="0"/>
    <n v="0"/>
    <n v="0"/>
    <n v="0"/>
    <n v="0"/>
    <n v="0"/>
    <n v="0"/>
    <n v="0"/>
    <n v="0"/>
    <n v="0"/>
    <n v="0"/>
    <n v="0"/>
    <n v="0"/>
    <x v="0"/>
    <x v="0"/>
    <x v="1"/>
    <n v="5"/>
    <m/>
    <m/>
    <n v="60"/>
    <m/>
    <m/>
    <m/>
    <m/>
    <m/>
    <m/>
    <m/>
    <m/>
    <m/>
    <m/>
    <m/>
    <m/>
    <m/>
    <m/>
    <m/>
    <m/>
    <m/>
    <n v="60"/>
    <n v="60"/>
  </r>
  <r>
    <n v="3943"/>
    <x v="2"/>
    <s v="2019/2324"/>
    <s v="Royal Mail Group Site, Ponton Road (Nine Elms Park)"/>
    <s v="Plot E - Block E1"/>
    <n v="529575"/>
    <n v="177401"/>
    <x v="15"/>
    <d v="2022-10-04T00:00:00"/>
    <m/>
    <n v="0"/>
    <n v="90"/>
    <n v="90"/>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0"/>
    <x v="0"/>
    <n v="0.9777576"/>
    <d v="2022-10-04T00:00:00"/>
    <x v="1"/>
    <m/>
    <x v="2"/>
    <s v="M"/>
    <s v="2.1.18"/>
    <m/>
    <n v="0"/>
    <n v="81"/>
    <n v="0"/>
    <n v="9"/>
    <n v="8"/>
    <n v="30"/>
    <n v="33"/>
    <n v="19"/>
    <n v="0"/>
    <n v="0"/>
    <n v="0"/>
    <n v="8"/>
    <n v="30"/>
    <n v="33"/>
    <n v="19"/>
    <n v="0"/>
    <n v="0"/>
    <n v="0"/>
    <n v="0"/>
    <n v="0"/>
    <n v="0"/>
    <n v="0"/>
    <n v="0"/>
    <n v="0"/>
    <n v="0"/>
    <n v="0"/>
    <n v="0"/>
    <n v="0"/>
    <n v="0"/>
    <n v="0"/>
    <n v="0"/>
    <n v="0"/>
    <x v="0"/>
    <x v="1"/>
    <x v="7"/>
    <n v="5"/>
    <m/>
    <m/>
    <n v="90"/>
    <m/>
    <m/>
    <m/>
    <m/>
    <m/>
    <m/>
    <m/>
    <m/>
    <m/>
    <m/>
    <m/>
    <m/>
    <m/>
    <m/>
    <m/>
    <m/>
    <m/>
    <n v="90"/>
    <n v="90"/>
  </r>
  <r>
    <n v="3943"/>
    <x v="2"/>
    <s v="2019/2324"/>
    <s v="Royal Mail Group Site, Ponton Road (Nine Elms Park)"/>
    <s v="Plot E - Block E2"/>
    <n v="529575"/>
    <n v="177401"/>
    <x v="15"/>
    <d v="2022-10-04T00:00:00"/>
    <m/>
    <n v="0"/>
    <n v="73"/>
    <n v="73"/>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0"/>
    <x v="0"/>
    <n v="0.79307000000000005"/>
    <d v="2022-10-04T00:00:00"/>
    <x v="1"/>
    <m/>
    <x v="2"/>
    <s v="M"/>
    <s v="2.1.18"/>
    <m/>
    <n v="0"/>
    <n v="66"/>
    <n v="0"/>
    <n v="7"/>
    <n v="3"/>
    <n v="17"/>
    <n v="44"/>
    <n v="9"/>
    <n v="0"/>
    <n v="0"/>
    <n v="0"/>
    <n v="3"/>
    <n v="17"/>
    <n v="44"/>
    <n v="9"/>
    <n v="0"/>
    <n v="0"/>
    <n v="0"/>
    <n v="0"/>
    <n v="0"/>
    <n v="0"/>
    <n v="0"/>
    <n v="0"/>
    <n v="0"/>
    <n v="0"/>
    <n v="0"/>
    <n v="0"/>
    <n v="0"/>
    <n v="0"/>
    <n v="0"/>
    <n v="0"/>
    <n v="0"/>
    <x v="0"/>
    <x v="1"/>
    <x v="7"/>
    <n v="5"/>
    <m/>
    <m/>
    <n v="73"/>
    <m/>
    <m/>
    <m/>
    <m/>
    <m/>
    <m/>
    <m/>
    <m/>
    <m/>
    <m/>
    <m/>
    <m/>
    <m/>
    <m/>
    <m/>
    <m/>
    <m/>
    <n v="73"/>
    <n v="73"/>
  </r>
  <r>
    <n v="3943"/>
    <x v="2"/>
    <s v="2019/2324"/>
    <s v="Royal Mail Group Site, Ponton Road (Nine Elms Park)"/>
    <s v="Plot E - Block E3"/>
    <n v="529575"/>
    <n v="177401"/>
    <x v="15"/>
    <d v="2022-10-04T00:00:00"/>
    <m/>
    <n v="0"/>
    <n v="77"/>
    <n v="77"/>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0"/>
    <x v="0"/>
    <n v="0.83652590000000004"/>
    <d v="2022-10-04T00:00:00"/>
    <x v="1"/>
    <m/>
    <x v="2"/>
    <s v="M"/>
    <s v="2.1.18"/>
    <m/>
    <n v="0"/>
    <n v="69"/>
    <n v="0"/>
    <n v="8"/>
    <n v="1"/>
    <n v="32"/>
    <n v="39"/>
    <n v="5"/>
    <n v="0"/>
    <n v="0"/>
    <n v="0"/>
    <n v="1"/>
    <n v="32"/>
    <n v="39"/>
    <n v="5"/>
    <n v="0"/>
    <n v="0"/>
    <n v="0"/>
    <n v="0"/>
    <n v="0"/>
    <n v="0"/>
    <n v="0"/>
    <n v="0"/>
    <n v="0"/>
    <n v="0"/>
    <n v="0"/>
    <n v="0"/>
    <n v="0"/>
    <n v="0"/>
    <n v="0"/>
    <n v="0"/>
    <n v="0"/>
    <x v="0"/>
    <x v="1"/>
    <x v="7"/>
    <n v="5"/>
    <m/>
    <m/>
    <n v="77"/>
    <m/>
    <m/>
    <m/>
    <m/>
    <m/>
    <m/>
    <m/>
    <m/>
    <m/>
    <m/>
    <m/>
    <m/>
    <m/>
    <m/>
    <m/>
    <m/>
    <m/>
    <n v="77"/>
    <n v="77"/>
  </r>
  <r>
    <n v="3943"/>
    <x v="2"/>
    <s v="2019/2324"/>
    <s v="Royal Mail Group Site, Ponton Road (Nine Elms Park)"/>
    <s v="Plot E - Block E4"/>
    <n v="529575"/>
    <n v="177401"/>
    <x v="15"/>
    <d v="2022-10-04T00:00:00"/>
    <m/>
    <n v="0"/>
    <n v="57"/>
    <n v="57"/>
    <n v="297"/>
    <n v="297"/>
    <x v="0"/>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x v="0"/>
    <s v="Nil"/>
    <m/>
    <s v="BF"/>
    <s v="NB"/>
    <x v="0"/>
    <x v="0"/>
    <n v="0.61924650000000003"/>
    <d v="2022-10-04T00:00:00"/>
    <x v="1"/>
    <m/>
    <x v="1"/>
    <s v="AA"/>
    <s v="2.1.18"/>
    <m/>
    <n v="0"/>
    <n v="51"/>
    <n v="0"/>
    <n v="6"/>
    <n v="0"/>
    <n v="8"/>
    <n v="31"/>
    <n v="15"/>
    <n v="3"/>
    <n v="0"/>
    <n v="0"/>
    <n v="0"/>
    <n v="8"/>
    <n v="31"/>
    <n v="15"/>
    <n v="3"/>
    <n v="0"/>
    <n v="0"/>
    <n v="0"/>
    <n v="0"/>
    <n v="0"/>
    <n v="0"/>
    <n v="0"/>
    <n v="0"/>
    <n v="0"/>
    <n v="0"/>
    <n v="0"/>
    <n v="0"/>
    <n v="0"/>
    <n v="0"/>
    <n v="0"/>
    <n v="0"/>
    <x v="0"/>
    <x v="1"/>
    <x v="7"/>
    <n v="5"/>
    <m/>
    <m/>
    <n v="57"/>
    <m/>
    <m/>
    <m/>
    <m/>
    <m/>
    <m/>
    <m/>
    <m/>
    <m/>
    <m/>
    <m/>
    <m/>
    <m/>
    <m/>
    <m/>
    <m/>
    <m/>
    <n v="57"/>
    <n v="57"/>
  </r>
  <r>
    <n v="3943"/>
    <x v="2"/>
    <s v="2021/2892"/>
    <s v="Royal Mail Group Site, Ponton Road (Nine Elms Park)"/>
    <s v="Plot F"/>
    <n v="529575"/>
    <n v="177401"/>
    <x v="15"/>
    <d v="2022-10-04T00:00:00"/>
    <m/>
    <n v="0"/>
    <n v="197"/>
    <n v="197"/>
    <n v="383"/>
    <n v="383"/>
    <x v="0"/>
    <s v="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An addendum to the Environmental Statement has been submitted under The Town and Country Planning (Environmental Impact Assessment) Regulations 2017 (as amended).&quot;)."/>
    <s v="DT"/>
    <d v="2021-06-18T00:00:00"/>
    <d v="2021-08-02T00:00:00"/>
    <x v="0"/>
    <s v="Nil"/>
    <m/>
    <s v="BF"/>
    <s v="MIX"/>
    <x v="0"/>
    <x v="0"/>
    <n v="2.57"/>
    <d v="2022-10-04T00:00:00"/>
    <x v="1"/>
    <m/>
    <x v="2"/>
    <s v="M"/>
    <s v="2.1.18"/>
    <m/>
    <n v="0"/>
    <n v="177"/>
    <n v="0"/>
    <n v="20"/>
    <n v="9"/>
    <n v="43"/>
    <n v="110"/>
    <n v="35"/>
    <n v="0"/>
    <n v="0"/>
    <n v="0"/>
    <n v="9"/>
    <n v="43"/>
    <n v="110"/>
    <n v="35"/>
    <n v="0"/>
    <n v="0"/>
    <n v="0"/>
    <n v="0"/>
    <n v="0"/>
    <n v="0"/>
    <n v="0"/>
    <n v="0"/>
    <n v="0"/>
    <n v="0"/>
    <n v="0"/>
    <n v="0"/>
    <n v="0"/>
    <n v="0"/>
    <n v="0"/>
    <n v="0"/>
    <n v="0"/>
    <x v="0"/>
    <x v="1"/>
    <x v="7"/>
    <n v="5"/>
    <m/>
    <m/>
    <n v="197"/>
    <m/>
    <m/>
    <m/>
    <m/>
    <m/>
    <m/>
    <m/>
    <m/>
    <m/>
    <m/>
    <m/>
    <m/>
    <m/>
    <m/>
    <m/>
    <m/>
    <m/>
    <n v="197"/>
    <n v="197"/>
  </r>
  <r>
    <n v="3943"/>
    <x v="2"/>
    <s v="2019/2325"/>
    <s v="Royal Mail Group Site, Ponton Road (Nine Elms Park)"/>
    <s v="Plot F"/>
    <n v="529575"/>
    <n v="177401"/>
    <x v="15"/>
    <d v="2022-10-04T00:00:00"/>
    <m/>
    <n v="0"/>
    <n v="46"/>
    <n v="46"/>
    <n v="459"/>
    <n v="459"/>
    <x v="0"/>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x v="0"/>
    <s v="Nil"/>
    <m/>
    <s v="BF"/>
    <s v="NB"/>
    <x v="0"/>
    <x v="0"/>
    <n v="0.6"/>
    <d v="2022-10-04T00:00:00"/>
    <x v="1"/>
    <m/>
    <x v="1"/>
    <s v="AA"/>
    <s v="2.1.18"/>
    <m/>
    <n v="0"/>
    <n v="41"/>
    <n v="0"/>
    <n v="5"/>
    <n v="0"/>
    <n v="12"/>
    <n v="18"/>
    <n v="14"/>
    <n v="2"/>
    <n v="0"/>
    <n v="0"/>
    <n v="0"/>
    <n v="12"/>
    <n v="18"/>
    <n v="14"/>
    <n v="2"/>
    <n v="0"/>
    <n v="0"/>
    <n v="0"/>
    <n v="0"/>
    <n v="0"/>
    <n v="0"/>
    <n v="0"/>
    <n v="0"/>
    <n v="0"/>
    <n v="0"/>
    <n v="0"/>
    <n v="0"/>
    <n v="0"/>
    <n v="0"/>
    <n v="0"/>
    <n v="0"/>
    <x v="0"/>
    <x v="1"/>
    <x v="7"/>
    <n v="5"/>
    <m/>
    <m/>
    <n v="46"/>
    <m/>
    <m/>
    <m/>
    <m/>
    <m/>
    <m/>
    <m/>
    <m/>
    <m/>
    <m/>
    <m/>
    <m/>
    <m/>
    <m/>
    <m/>
    <m/>
    <m/>
    <n v="46"/>
    <n v="46"/>
  </r>
  <r>
    <n v="3943"/>
    <x v="2"/>
    <s v="2019/2325"/>
    <s v="Royal Mail Group Site, Ponton Road (Nine Elms Park)"/>
    <s v="Plot F"/>
    <n v="529575"/>
    <n v="177401"/>
    <x v="15"/>
    <d v="2022-10-04T00:00:00"/>
    <m/>
    <n v="0"/>
    <n v="30"/>
    <n v="30"/>
    <n v="459"/>
    <n v="459"/>
    <x v="0"/>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x v="0"/>
    <s v="Nil"/>
    <m/>
    <s v="BF"/>
    <s v="NB"/>
    <x v="0"/>
    <x v="0"/>
    <n v="0.39129999999999998"/>
    <d v="2022-10-04T00:00:00"/>
    <x v="1"/>
    <m/>
    <x v="0"/>
    <s v="IU"/>
    <s v="2.1.18"/>
    <m/>
    <n v="0"/>
    <n v="27"/>
    <n v="0"/>
    <n v="3"/>
    <n v="0"/>
    <n v="13"/>
    <n v="17"/>
    <n v="0"/>
    <n v="0"/>
    <n v="0"/>
    <n v="0"/>
    <n v="0"/>
    <n v="13"/>
    <n v="17"/>
    <n v="0"/>
    <n v="0"/>
    <n v="0"/>
    <n v="0"/>
    <n v="0"/>
    <n v="0"/>
    <n v="0"/>
    <n v="0"/>
    <n v="0"/>
    <n v="0"/>
    <n v="0"/>
    <n v="0"/>
    <n v="0"/>
    <n v="0"/>
    <n v="0"/>
    <n v="0"/>
    <n v="0"/>
    <n v="0"/>
    <x v="0"/>
    <x v="1"/>
    <x v="7"/>
    <n v="5"/>
    <m/>
    <m/>
    <n v="30"/>
    <m/>
    <m/>
    <m/>
    <m/>
    <m/>
    <m/>
    <m/>
    <m/>
    <m/>
    <m/>
    <m/>
    <m/>
    <m/>
    <m/>
    <m/>
    <m/>
    <m/>
    <n v="30"/>
    <n v="30"/>
  </r>
  <r>
    <n v="3943"/>
    <x v="2"/>
    <s v="2022/4664"/>
    <s v="Royal Mail Group Site, Ponton Road (Nine Elms Park)"/>
    <s v="Plot G"/>
    <n v="529575"/>
    <n v="177401"/>
    <x v="15"/>
    <d v="2022-10-04T00:00:00"/>
    <m/>
    <n v="0"/>
    <n v="186"/>
    <n v="186"/>
    <n v="186"/>
    <n v="186"/>
    <x v="0"/>
    <s v="Application under Section 96A of the Town and Country Planning Act for a 'non-material amendment' to Condition 1 (approved drawings/documents) for design changes to Plot G (including changes to the residential mix; creation of additional residential space previously identified for plant; revised front entrance and canopy and revised top-level plant area) and 'Belfour Place' landscaping of reserved matters approval dated 2nd June 2021 reference 2019/2325."/>
    <s v="S96A"/>
    <d v="2022-11-15T00:00:00"/>
    <d v="2023-03-01T00:00:00"/>
    <x v="1"/>
    <s v="Nil"/>
    <m/>
    <s v="BF"/>
    <s v="NB"/>
    <x v="0"/>
    <x v="0"/>
    <n v="1.9470000000000001"/>
    <d v="2022-10-04T00:00:00"/>
    <x v="1"/>
    <m/>
    <x v="2"/>
    <s v="M"/>
    <s v="2.1.18"/>
    <m/>
    <n v="0"/>
    <n v="167"/>
    <n v="0"/>
    <n v="19"/>
    <n v="12"/>
    <n v="49"/>
    <n v="94"/>
    <n v="31"/>
    <n v="0"/>
    <n v="0"/>
    <n v="0"/>
    <n v="12"/>
    <n v="49"/>
    <n v="94"/>
    <n v="31"/>
    <n v="0"/>
    <n v="0"/>
    <n v="0"/>
    <n v="0"/>
    <n v="0"/>
    <n v="0"/>
    <n v="0"/>
    <n v="0"/>
    <n v="0"/>
    <n v="0"/>
    <n v="0"/>
    <n v="0"/>
    <n v="0"/>
    <n v="0"/>
    <n v="0"/>
    <n v="0"/>
    <n v="0"/>
    <x v="0"/>
    <x v="1"/>
    <x v="7"/>
    <n v="5"/>
    <m/>
    <m/>
    <m/>
    <n v="186"/>
    <m/>
    <m/>
    <m/>
    <m/>
    <m/>
    <m/>
    <m/>
    <m/>
    <m/>
    <m/>
    <m/>
    <m/>
    <m/>
    <m/>
    <m/>
    <m/>
    <n v="186"/>
    <n v="186"/>
  </r>
  <r>
    <n v="3943"/>
    <x v="2"/>
    <s v="2017/6764"/>
    <s v="Royal Mail Group Site, Ponton Road (Nine Elms Park)"/>
    <s v="Plots B and D2/D3"/>
    <n v="529575"/>
    <n v="177401"/>
    <x v="15"/>
    <d v="2019-09-03T00:00:00"/>
    <m/>
    <n v="0"/>
    <n v="622"/>
    <n v="622"/>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0"/>
    <s v="Nil"/>
    <m/>
    <s v="BF"/>
    <s v="NB"/>
    <x v="0"/>
    <x v="0"/>
    <n v="0.60799999999999998"/>
    <d v="2019-09-03T00:00:00"/>
    <x v="0"/>
    <m/>
    <x v="2"/>
    <s v="MR"/>
    <s v="2.1.18"/>
    <m/>
    <n v="0"/>
    <n v="560"/>
    <n v="0"/>
    <n v="62"/>
    <n v="160"/>
    <n v="133"/>
    <n v="264"/>
    <n v="65"/>
    <n v="0"/>
    <n v="0"/>
    <n v="0"/>
    <n v="160"/>
    <n v="133"/>
    <n v="264"/>
    <n v="65"/>
    <n v="0"/>
    <n v="0"/>
    <n v="0"/>
    <n v="0"/>
    <n v="0"/>
    <n v="0"/>
    <n v="0"/>
    <n v="0"/>
    <n v="0"/>
    <n v="0"/>
    <n v="0"/>
    <n v="0"/>
    <n v="0"/>
    <n v="0"/>
    <n v="0"/>
    <n v="0"/>
    <n v="0"/>
    <x v="0"/>
    <x v="1"/>
    <x v="7"/>
    <n v="5"/>
    <m/>
    <n v="622"/>
    <m/>
    <m/>
    <m/>
    <m/>
    <m/>
    <m/>
    <m/>
    <m/>
    <m/>
    <m/>
    <m/>
    <m/>
    <m/>
    <m/>
    <m/>
    <m/>
    <m/>
    <m/>
    <n v="622"/>
    <n v="622"/>
  </r>
  <r>
    <n v="3943"/>
    <x v="2"/>
    <s v="2017/6764"/>
    <s v="Royal Mail Group Site, Ponton Road (Nine Elms Park)"/>
    <s v="Plots B and D2/D3"/>
    <n v="529575"/>
    <n v="177401"/>
    <x v="15"/>
    <d v="2019-09-03T00:00:00"/>
    <m/>
    <n v="0"/>
    <n v="131"/>
    <n v="131"/>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0"/>
    <s v="Nil"/>
    <m/>
    <s v="BF"/>
    <s v="NB"/>
    <x v="0"/>
    <x v="0"/>
    <n v="0.128"/>
    <d v="2019-09-03T00:00:00"/>
    <x v="0"/>
    <m/>
    <x v="0"/>
    <s v="IRD"/>
    <s v="2.1.18"/>
    <m/>
    <n v="0"/>
    <n v="118"/>
    <n v="0"/>
    <n v="13"/>
    <n v="0"/>
    <n v="36"/>
    <n v="89"/>
    <n v="6"/>
    <n v="0"/>
    <n v="0"/>
    <n v="0"/>
    <n v="0"/>
    <n v="36"/>
    <n v="89"/>
    <n v="6"/>
    <n v="0"/>
    <n v="0"/>
    <n v="0"/>
    <n v="0"/>
    <n v="0"/>
    <n v="0"/>
    <n v="0"/>
    <n v="0"/>
    <n v="0"/>
    <n v="0"/>
    <n v="0"/>
    <n v="0"/>
    <n v="0"/>
    <n v="0"/>
    <n v="0"/>
    <n v="0"/>
    <n v="0"/>
    <x v="0"/>
    <x v="1"/>
    <x v="7"/>
    <n v="5"/>
    <m/>
    <n v="131"/>
    <m/>
    <m/>
    <m/>
    <m/>
    <m/>
    <m/>
    <m/>
    <m/>
    <m/>
    <m/>
    <m/>
    <m/>
    <m/>
    <m/>
    <m/>
    <m/>
    <m/>
    <m/>
    <n v="131"/>
    <n v="131"/>
  </r>
  <r>
    <n v="7347"/>
    <x v="2"/>
    <s v="2021/4626"/>
    <s v="157 Fallsbrook Road"/>
    <s v="private"/>
    <n v="529142"/>
    <n v="170477"/>
    <x v="13"/>
    <d v="2022-03-31T00:00:00"/>
    <m/>
    <n v="0"/>
    <n v="23"/>
    <n v="23"/>
    <n v="29"/>
    <n v="29"/>
    <x v="0"/>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9T00:00:00"/>
    <x v="0"/>
    <s v="Nil"/>
    <m/>
    <s v="BF"/>
    <s v="NB"/>
    <x v="0"/>
    <x v="0"/>
    <n v="0.169326"/>
    <d v="2022-04-01T00:00:00"/>
    <x v="1"/>
    <m/>
    <x v="2"/>
    <s v="M"/>
    <s v=""/>
    <m/>
    <n v="0"/>
    <m/>
    <n v="0"/>
    <m/>
    <n v="0"/>
    <n v="5"/>
    <n v="17"/>
    <n v="1"/>
    <n v="0"/>
    <n v="0"/>
    <n v="0"/>
    <n v="0"/>
    <n v="5"/>
    <n v="17"/>
    <n v="1"/>
    <n v="0"/>
    <n v="0"/>
    <n v="0"/>
    <n v="0"/>
    <n v="0"/>
    <n v="0"/>
    <n v="0"/>
    <n v="0"/>
    <n v="0"/>
    <n v="0"/>
    <n v="0"/>
    <n v="0"/>
    <n v="0"/>
    <n v="0"/>
    <n v="0"/>
    <n v="0"/>
    <n v="0"/>
    <x v="0"/>
    <x v="0"/>
    <x v="1"/>
    <n v="6"/>
    <m/>
    <m/>
    <n v="5.75"/>
    <n v="5.75"/>
    <n v="5.75"/>
    <n v="5.75"/>
    <m/>
    <m/>
    <m/>
    <m/>
    <m/>
    <m/>
    <m/>
    <m/>
    <m/>
    <m/>
    <m/>
    <m/>
    <m/>
    <m/>
    <n v="23"/>
    <n v="23"/>
  </r>
  <r>
    <n v="7194"/>
    <x v="2"/>
    <s v="2019/2251"/>
    <s v="22 Carlton Drive"/>
    <s v="Proposed"/>
    <n v="524291"/>
    <n v="174776"/>
    <x v="7"/>
    <d v="2021-10-18T00:00:00"/>
    <m/>
    <n v="0"/>
    <n v="8"/>
    <n v="8"/>
    <n v="8"/>
    <n v="-7"/>
    <x v="1"/>
    <s v="Alterations including erection of pitch roof to first floor front extension in connection with conversion of property 1 x1 bedroom flat, 6 x2 bedroom flats and 1 x3 bedroom flat. Erection of front boundary wall to 1.8m high"/>
    <s v="PF"/>
    <d v="2019-06-19T00:00:00"/>
    <d v="2019-08-19T00:00:00"/>
    <x v="0"/>
    <s v="Nil"/>
    <m/>
    <s v="BF"/>
    <s v="COU"/>
    <x v="2"/>
    <x v="9"/>
    <n v="0.107"/>
    <d v="2021-10-18T00:00:00"/>
    <x v="0"/>
    <m/>
    <x v="1"/>
    <s v="AU"/>
    <s v=""/>
    <m/>
    <n v="0"/>
    <m/>
    <n v="0"/>
    <m/>
    <n v="0"/>
    <n v="1"/>
    <n v="6"/>
    <n v="1"/>
    <n v="0"/>
    <n v="0"/>
    <n v="0"/>
    <n v="0"/>
    <n v="1"/>
    <n v="6"/>
    <n v="1"/>
    <n v="0"/>
    <n v="0"/>
    <n v="0"/>
    <n v="0"/>
    <n v="0"/>
    <n v="0"/>
    <n v="0"/>
    <n v="0"/>
    <n v="0"/>
    <n v="0"/>
    <n v="0"/>
    <n v="0"/>
    <n v="0"/>
    <n v="0"/>
    <n v="0"/>
    <n v="0"/>
    <n v="0"/>
    <x v="0"/>
    <x v="0"/>
    <x v="1"/>
    <n v="13"/>
    <m/>
    <n v="8"/>
    <m/>
    <m/>
    <m/>
    <m/>
    <m/>
    <m/>
    <m/>
    <m/>
    <m/>
    <m/>
    <m/>
    <m/>
    <m/>
    <m/>
    <m/>
    <m/>
    <m/>
    <m/>
    <n v="8"/>
    <n v="8"/>
  </r>
  <r>
    <n v="7296"/>
    <x v="2"/>
    <s v="2019/4697"/>
    <s v="Alton One O'clock Centre, Fontley Way"/>
    <s v="SECOND FLOOR"/>
    <n v="522049"/>
    <n v="173511"/>
    <x v="16"/>
    <d v="2022-04-01T00:00:00"/>
    <m/>
    <n v="0"/>
    <n v="7"/>
    <n v="7"/>
    <n v="14"/>
    <n v="14"/>
    <x v="0"/>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x v="0"/>
    <s v="Nil"/>
    <m/>
    <s v="BF"/>
    <s v="NB"/>
    <x v="0"/>
    <x v="0"/>
    <n v="4.1000000000000002E-2"/>
    <d v="2022-09-15T00:00:00"/>
    <x v="1"/>
    <m/>
    <x v="0"/>
    <s v="ISE"/>
    <s v=""/>
    <m/>
    <n v="0"/>
    <n v="7"/>
    <n v="0"/>
    <n v="0"/>
    <n v="0"/>
    <n v="0"/>
    <n v="0"/>
    <n v="7"/>
    <n v="0"/>
    <n v="0"/>
    <n v="0"/>
    <n v="0"/>
    <n v="0"/>
    <n v="0"/>
    <n v="7"/>
    <n v="0"/>
    <n v="0"/>
    <n v="0"/>
    <n v="0"/>
    <n v="0"/>
    <n v="0"/>
    <n v="0"/>
    <n v="0"/>
    <n v="0"/>
    <n v="0"/>
    <n v="0"/>
    <n v="0"/>
    <n v="0"/>
    <n v="0"/>
    <n v="0"/>
    <n v="0"/>
    <n v="0"/>
    <x v="0"/>
    <x v="0"/>
    <x v="1"/>
    <n v="2"/>
    <m/>
    <n v="7"/>
    <m/>
    <m/>
    <m/>
    <m/>
    <m/>
    <m/>
    <m/>
    <m/>
    <m/>
    <m/>
    <m/>
    <m/>
    <m/>
    <m/>
    <m/>
    <m/>
    <m/>
    <m/>
    <n v="7"/>
    <n v="7"/>
  </r>
  <r>
    <n v="967"/>
    <x v="2"/>
    <s v="2018/3390"/>
    <s v="29 Wimbledon Park Road"/>
    <s v="Second Floor"/>
    <n v="525095"/>
    <n v="174084"/>
    <x v="7"/>
    <d v="2021-09-29T00:00:00"/>
    <m/>
    <n v="0"/>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2"/>
    <x v="7"/>
    <n v="1.2999999999999999E-2"/>
    <d v="2021-09-29T00:00:00"/>
    <x v="0"/>
    <m/>
    <x v="2"/>
    <s v="M"/>
    <s v=""/>
    <m/>
    <n v="0"/>
    <m/>
    <n v="0"/>
    <m/>
    <n v="0"/>
    <n v="1"/>
    <n v="1"/>
    <n v="0"/>
    <n v="0"/>
    <n v="0"/>
    <n v="0"/>
    <n v="0"/>
    <n v="1"/>
    <n v="1"/>
    <n v="0"/>
    <n v="0"/>
    <n v="0"/>
    <n v="0"/>
    <n v="0"/>
    <n v="0"/>
    <n v="0"/>
    <n v="0"/>
    <n v="0"/>
    <n v="0"/>
    <n v="0"/>
    <n v="0"/>
    <n v="0"/>
    <n v="0"/>
    <n v="0"/>
    <n v="0"/>
    <n v="0"/>
    <n v="0"/>
    <x v="0"/>
    <x v="0"/>
    <x v="1"/>
    <n v="13"/>
    <m/>
    <n v="2"/>
    <m/>
    <m/>
    <m/>
    <m/>
    <m/>
    <m/>
    <m/>
    <m/>
    <m/>
    <m/>
    <m/>
    <m/>
    <m/>
    <m/>
    <m/>
    <m/>
    <m/>
    <m/>
    <n v="2"/>
    <n v="2"/>
  </r>
  <r>
    <n v="967"/>
    <x v="2"/>
    <s v="2018/3390"/>
    <s v="29 Wimbledon Park Road"/>
    <s v="Upper Ground"/>
    <n v="525095"/>
    <n v="174084"/>
    <x v="7"/>
    <d v="2021-09-29T00:00:00"/>
    <m/>
    <n v="0"/>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2"/>
    <x v="7"/>
    <n v="1.2999999999999999E-2"/>
    <d v="2021-09-29T00:00:00"/>
    <x v="0"/>
    <m/>
    <x v="2"/>
    <s v="M"/>
    <s v=""/>
    <m/>
    <n v="0"/>
    <m/>
    <n v="0"/>
    <m/>
    <n v="0"/>
    <n v="1"/>
    <n v="1"/>
    <n v="0"/>
    <n v="0"/>
    <n v="0"/>
    <n v="0"/>
    <n v="0"/>
    <n v="1"/>
    <n v="1"/>
    <n v="0"/>
    <n v="0"/>
    <n v="0"/>
    <n v="0"/>
    <n v="0"/>
    <n v="0"/>
    <n v="0"/>
    <n v="0"/>
    <n v="0"/>
    <n v="0"/>
    <n v="0"/>
    <n v="0"/>
    <n v="0"/>
    <n v="0"/>
    <n v="0"/>
    <n v="0"/>
    <n v="0"/>
    <n v="0"/>
    <x v="0"/>
    <x v="0"/>
    <x v="1"/>
    <n v="13"/>
    <m/>
    <n v="2"/>
    <m/>
    <m/>
    <m/>
    <m/>
    <m/>
    <m/>
    <m/>
    <m/>
    <m/>
    <m/>
    <m/>
    <m/>
    <m/>
    <m/>
    <m/>
    <m/>
    <m/>
    <m/>
    <n v="2"/>
    <n v="2"/>
  </r>
  <r>
    <n v="7338"/>
    <x v="2"/>
    <s v="2020/0376"/>
    <s v="51-53 Northcote Road"/>
    <s v=""/>
    <n v="527505"/>
    <n v="174973"/>
    <x v="12"/>
    <d v="2021-08-23T00:00:00"/>
    <m/>
    <n v="0"/>
    <n v="1"/>
    <n v="1"/>
    <n v="1"/>
    <n v="1"/>
    <x v="1"/>
    <s v="Alterations including erection of mansard roof extensions to front,_x000a_side and rear roof slopes in connection with creation of 1 x 2-_x000a_bedroom flat with associated refuse storage."/>
    <s v="RP"/>
    <d v="2020-02-11T00:00:00"/>
    <d v="2020-03-27T00:00:00"/>
    <x v="0"/>
    <s v="APG"/>
    <d v="2020-10-09T00:00:00"/>
    <s v="BF"/>
    <s v="EXT"/>
    <x v="2"/>
    <x v="2"/>
    <n v="5.0000000000000001E-3"/>
    <d v="2021-08-23T00:00:00"/>
    <x v="0"/>
    <m/>
    <x v="2"/>
    <s v="M"/>
    <s v=""/>
    <m/>
    <n v="0"/>
    <m/>
    <n v="0"/>
    <m/>
    <n v="0"/>
    <n v="0"/>
    <n v="1"/>
    <n v="0"/>
    <n v="0"/>
    <n v="0"/>
    <n v="0"/>
    <n v="0"/>
    <n v="0"/>
    <n v="1"/>
    <n v="0"/>
    <n v="0"/>
    <n v="0"/>
    <n v="0"/>
    <n v="0"/>
    <n v="0"/>
    <n v="0"/>
    <n v="0"/>
    <n v="0"/>
    <n v="0"/>
    <n v="0"/>
    <n v="0"/>
    <n v="0"/>
    <n v="0"/>
    <n v="0"/>
    <n v="0"/>
    <n v="0"/>
    <n v="0"/>
    <x v="5"/>
    <x v="0"/>
    <x v="5"/>
    <n v="13"/>
    <m/>
    <n v="1"/>
    <m/>
    <m/>
    <m/>
    <m/>
    <m/>
    <m/>
    <m/>
    <m/>
    <m/>
    <m/>
    <m/>
    <m/>
    <m/>
    <m/>
    <m/>
    <m/>
    <m/>
    <m/>
    <n v="1"/>
    <n v="1"/>
  </r>
  <r>
    <n v="6302"/>
    <x v="2"/>
    <s v="2019/1427"/>
    <s v="150a-170 &amp; 2-8 Thornsett Road, Penwith Road"/>
    <s v="Level 1"/>
    <n v="525938"/>
    <n v="173047"/>
    <x v="11"/>
    <d v="2021-07-12T00:00:00"/>
    <m/>
    <n v="0"/>
    <n v="4"/>
    <n v="4"/>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0"/>
    <s v="APG"/>
    <d v="2020-10-30T00:00:00"/>
    <s v="BF"/>
    <s v="NB"/>
    <x v="0"/>
    <x v="0"/>
    <n v="1.2999999999999999E-2"/>
    <d v="2021-07-12T00:00:00"/>
    <x v="0"/>
    <m/>
    <x v="0"/>
    <s v="ISO"/>
    <s v=""/>
    <m/>
    <n v="0"/>
    <n v="1"/>
    <m/>
    <m/>
    <n v="0"/>
    <n v="1"/>
    <n v="1"/>
    <n v="2"/>
    <n v="0"/>
    <n v="0"/>
    <n v="0"/>
    <n v="0"/>
    <n v="1"/>
    <n v="1"/>
    <n v="2"/>
    <n v="0"/>
    <n v="0"/>
    <n v="0"/>
    <n v="0"/>
    <n v="0"/>
    <n v="0"/>
    <n v="0"/>
    <n v="0"/>
    <n v="0"/>
    <n v="0"/>
    <n v="0"/>
    <n v="0"/>
    <n v="0"/>
    <n v="0"/>
    <n v="0"/>
    <n v="0"/>
    <n v="0"/>
    <x v="0"/>
    <x v="0"/>
    <x v="6"/>
    <n v="3"/>
    <m/>
    <n v="4"/>
    <m/>
    <m/>
    <m/>
    <m/>
    <m/>
    <m/>
    <m/>
    <m/>
    <m/>
    <m/>
    <m/>
    <m/>
    <m/>
    <m/>
    <m/>
    <m/>
    <m/>
    <m/>
    <n v="4"/>
    <n v="4"/>
  </r>
  <r>
    <n v="6302"/>
    <x v="2"/>
    <s v="2019/1427"/>
    <s v="150a-170 &amp; 2-8 Thornsett Road, Penwith Road"/>
    <s v="Level 2/3"/>
    <n v="525938"/>
    <n v="173047"/>
    <x v="11"/>
    <d v="2021-07-12T00:00:00"/>
    <m/>
    <n v="0"/>
    <n v="4"/>
    <n v="4"/>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0"/>
    <s v="APG"/>
    <d v="2020-10-30T00:00:00"/>
    <s v="BF"/>
    <s v="NB"/>
    <x v="0"/>
    <x v="0"/>
    <n v="1.2999999999999999E-2"/>
    <d v="2021-07-12T00:00:00"/>
    <x v="0"/>
    <m/>
    <x v="0"/>
    <s v="ISO"/>
    <s v=""/>
    <m/>
    <n v="0"/>
    <n v="1"/>
    <m/>
    <m/>
    <n v="0"/>
    <n v="3"/>
    <n v="1"/>
    <n v="0"/>
    <n v="0"/>
    <n v="0"/>
    <n v="0"/>
    <n v="0"/>
    <n v="3"/>
    <n v="1"/>
    <n v="0"/>
    <n v="0"/>
    <n v="0"/>
    <n v="0"/>
    <n v="0"/>
    <n v="0"/>
    <n v="0"/>
    <n v="0"/>
    <n v="0"/>
    <n v="0"/>
    <n v="0"/>
    <n v="0"/>
    <n v="0"/>
    <n v="0"/>
    <n v="0"/>
    <n v="0"/>
    <n v="0"/>
    <n v="0"/>
    <x v="0"/>
    <x v="0"/>
    <x v="6"/>
    <n v="3"/>
    <m/>
    <n v="4"/>
    <m/>
    <m/>
    <m/>
    <m/>
    <m/>
    <m/>
    <m/>
    <m/>
    <m/>
    <m/>
    <m/>
    <m/>
    <m/>
    <m/>
    <m/>
    <m/>
    <m/>
    <m/>
    <n v="4"/>
    <n v="4"/>
  </r>
  <r>
    <n v="6472"/>
    <x v="2"/>
    <s v="2020/3342"/>
    <s v="Land rear of 163-165, 163-165 Mitcham Road"/>
    <s v=""/>
    <n v="527866"/>
    <n v="171090"/>
    <x v="13"/>
    <d v="2023-03-01T00:00:00"/>
    <m/>
    <n v="0"/>
    <n v="3"/>
    <n v="3"/>
    <n v="3"/>
    <n v="3"/>
    <x v="1"/>
    <s v="Demolition of existing single-storey warehouse building (Class B8) and erection of  3-storey building to provide 3 x 1-bedroom flats."/>
    <s v="RP"/>
    <d v="2020-09-08T00:00:00"/>
    <d v="2020-11-03T00:00:00"/>
    <x v="0"/>
    <s v="APG"/>
    <d v="2021-03-29T00:00:00"/>
    <s v="BF"/>
    <s v="NB"/>
    <x v="2"/>
    <x v="1"/>
    <n v="1.2E-2"/>
    <d v="2023-03-01T00:00:00"/>
    <x v="1"/>
    <m/>
    <x v="2"/>
    <s v="M"/>
    <s v=""/>
    <m/>
    <n v="0"/>
    <m/>
    <n v="0"/>
    <m/>
    <n v="0"/>
    <n v="3"/>
    <n v="0"/>
    <n v="0"/>
    <n v="0"/>
    <n v="0"/>
    <n v="0"/>
    <n v="0"/>
    <n v="3"/>
    <n v="0"/>
    <n v="0"/>
    <n v="0"/>
    <n v="0"/>
    <n v="0"/>
    <n v="0"/>
    <n v="0"/>
    <n v="0"/>
    <n v="0"/>
    <n v="0"/>
    <n v="0"/>
    <n v="0"/>
    <n v="0"/>
    <n v="0"/>
    <n v="0"/>
    <n v="0"/>
    <n v="0"/>
    <n v="0"/>
    <n v="0"/>
    <x v="2"/>
    <x v="0"/>
    <x v="3"/>
    <n v="4"/>
    <m/>
    <n v="1.5"/>
    <n v="1.5"/>
    <m/>
    <m/>
    <m/>
    <m/>
    <m/>
    <m/>
    <m/>
    <m/>
    <m/>
    <m/>
    <m/>
    <m/>
    <m/>
    <m/>
    <m/>
    <m/>
    <m/>
    <n v="3"/>
    <n v="3"/>
  </r>
  <r>
    <n v="4964"/>
    <x v="2"/>
    <s v="2020/1724"/>
    <s v="86 Clapham Common West Side"/>
    <s v=""/>
    <n v="528166"/>
    <n v="174896"/>
    <x v="14"/>
    <d v="2023-03-31T00:00:00"/>
    <m/>
    <n v="0"/>
    <n v="1"/>
    <n v="1"/>
    <n v="1"/>
    <n v="1"/>
    <x v="1"/>
    <s v="Variation of condition 3  (in accordance with approved drawings) pursuant to planning permission dated 27/02/2012 ref 2011/5574 (Excavation of floorspace at basement level, including formation of front lightwell and insertion of new windows/doors, in connection with provision of a onebedroom flat within basement area; erection of a three storey (ground, first and second floor level) rear extension to the side of the back addition to provide additional floorspace for the existing flats.) to allow a change in the design and size of the approved three storey side extension."/>
    <s v="RP"/>
    <d v="2020-05-18T00:00:00"/>
    <d v="2020-06-23T00:00:00"/>
    <x v="0"/>
    <s v="APG"/>
    <d v="2021-09-24T00:00:00"/>
    <s v="BF"/>
    <s v="EXT"/>
    <x v="2"/>
    <x v="7"/>
    <n v="8.0000000000000002E-3"/>
    <d v="2023-03-31T00:00:00"/>
    <x v="1"/>
    <m/>
    <x v="2"/>
    <s v="M"/>
    <s v=""/>
    <m/>
    <n v="0"/>
    <m/>
    <n v="0"/>
    <m/>
    <n v="0"/>
    <n v="1"/>
    <n v="0"/>
    <n v="0"/>
    <n v="0"/>
    <n v="0"/>
    <n v="0"/>
    <n v="0"/>
    <n v="1"/>
    <n v="0"/>
    <n v="0"/>
    <n v="0"/>
    <n v="0"/>
    <n v="0"/>
    <n v="0"/>
    <n v="0"/>
    <n v="0"/>
    <n v="0"/>
    <n v="0"/>
    <n v="0"/>
    <n v="0"/>
    <n v="0"/>
    <n v="0"/>
    <n v="0"/>
    <n v="0"/>
    <n v="0"/>
    <n v="0"/>
    <n v="0"/>
    <x v="0"/>
    <x v="0"/>
    <x v="1"/>
    <n v="14"/>
    <m/>
    <n v="0.5"/>
    <n v="0.5"/>
    <m/>
    <m/>
    <m/>
    <m/>
    <m/>
    <m/>
    <m/>
    <m/>
    <m/>
    <m/>
    <m/>
    <m/>
    <m/>
    <m/>
    <m/>
    <m/>
    <m/>
    <n v="1"/>
    <n v="1"/>
  </r>
  <r>
    <n v="2502"/>
    <x v="1"/>
    <s v="2010/3703"/>
    <s v="Springfield Hospital site, 61 Glenburnie Road"/>
    <s v=""/>
    <n v="527221"/>
    <n v="172443"/>
    <x v="10"/>
    <d v="2015-08-28T00:00:00"/>
    <m/>
    <n v="0"/>
    <n v="145"/>
    <n v="145"/>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0"/>
    <x v="0"/>
    <n v="5.7229999999999999"/>
    <m/>
    <x v="0"/>
    <m/>
    <x v="2"/>
    <s v="M"/>
    <s v="9.1"/>
    <m/>
    <n v="409"/>
    <m/>
    <n v="40"/>
    <m/>
    <n v="0"/>
    <n v="0"/>
    <n v="0"/>
    <n v="0"/>
    <n v="0"/>
    <n v="0"/>
    <n v="145"/>
    <n v="0"/>
    <n v="0"/>
    <n v="0"/>
    <n v="0"/>
    <n v="0"/>
    <n v="0"/>
    <n v="0"/>
    <n v="0"/>
    <n v="0"/>
    <n v="0"/>
    <n v="0"/>
    <n v="0"/>
    <n v="0"/>
    <n v="145"/>
    <n v="0"/>
    <n v="0"/>
    <n v="0"/>
    <n v="0"/>
    <n v="0"/>
    <n v="0"/>
    <n v="0"/>
    <x v="0"/>
    <x v="0"/>
    <x v="1"/>
    <n v="17"/>
    <m/>
    <m/>
    <m/>
    <m/>
    <m/>
    <m/>
    <n v="36.25"/>
    <n v="36.25"/>
    <n v="36.25"/>
    <n v="36.25"/>
    <m/>
    <m/>
    <m/>
    <m/>
    <m/>
    <m/>
    <m/>
    <m/>
    <m/>
    <m/>
    <n v="0"/>
    <n v="145"/>
  </r>
  <r>
    <n v="2502"/>
    <x v="1"/>
    <s v="2010/3703"/>
    <s v="Springfield Hospital site, 61 Glenburnie Road"/>
    <s v=""/>
    <n v="527221"/>
    <n v="172443"/>
    <x v="10"/>
    <d v="2015-08-28T00:00:00"/>
    <m/>
    <n v="0"/>
    <n v="110"/>
    <n v="110"/>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5"/>
    <x v="0"/>
    <n v="3.6659999999999999"/>
    <m/>
    <x v="0"/>
    <m/>
    <x v="2"/>
    <s v="M"/>
    <s v="9.1"/>
    <m/>
    <n v="262"/>
    <m/>
    <n v="26"/>
    <m/>
    <n v="0"/>
    <n v="0"/>
    <n v="0"/>
    <n v="0"/>
    <n v="0"/>
    <n v="0"/>
    <n v="110"/>
    <n v="0"/>
    <n v="0"/>
    <n v="0"/>
    <n v="0"/>
    <n v="0"/>
    <n v="0"/>
    <n v="109"/>
    <n v="0"/>
    <n v="0"/>
    <n v="0"/>
    <n v="0"/>
    <n v="0"/>
    <n v="0"/>
    <n v="1"/>
    <n v="0"/>
    <n v="0"/>
    <n v="0"/>
    <n v="0"/>
    <n v="0"/>
    <n v="0"/>
    <n v="0"/>
    <x v="0"/>
    <x v="0"/>
    <x v="1"/>
    <n v="17"/>
    <m/>
    <m/>
    <m/>
    <m/>
    <m/>
    <m/>
    <n v="27.5"/>
    <n v="27.5"/>
    <n v="27.5"/>
    <n v="27.5"/>
    <m/>
    <m/>
    <m/>
    <m/>
    <m/>
    <m/>
    <m/>
    <m/>
    <m/>
    <m/>
    <n v="0"/>
    <n v="110"/>
  </r>
  <r>
    <n v="2502"/>
    <x v="1"/>
    <s v="2010/3703"/>
    <s v="Springfield Hospital site, 61 Glenburnie Road"/>
    <s v=""/>
    <n v="527221"/>
    <n v="172443"/>
    <x v="10"/>
    <d v="2015-08-28T00:00:00"/>
    <m/>
    <n v="0"/>
    <n v="37"/>
    <n v="37"/>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0"/>
    <x v="0"/>
    <n v="0.96599999999999997"/>
    <m/>
    <x v="0"/>
    <m/>
    <x v="1"/>
    <s v="AA"/>
    <s v="9.1"/>
    <m/>
    <n v="69"/>
    <m/>
    <n v="6"/>
    <m/>
    <n v="0"/>
    <n v="0"/>
    <n v="0"/>
    <n v="0"/>
    <n v="0"/>
    <n v="0"/>
    <n v="37"/>
    <n v="0"/>
    <n v="0"/>
    <n v="0"/>
    <n v="0"/>
    <n v="0"/>
    <n v="0"/>
    <n v="0"/>
    <n v="0"/>
    <n v="0"/>
    <n v="0"/>
    <n v="0"/>
    <n v="0"/>
    <n v="0"/>
    <n v="37"/>
    <n v="0"/>
    <n v="0"/>
    <n v="0"/>
    <n v="0"/>
    <n v="0"/>
    <n v="0"/>
    <n v="0"/>
    <x v="0"/>
    <x v="0"/>
    <x v="1"/>
    <n v="17"/>
    <m/>
    <m/>
    <m/>
    <m/>
    <m/>
    <m/>
    <n v="9.25"/>
    <n v="9.25"/>
    <n v="9.25"/>
    <n v="9.25"/>
    <m/>
    <m/>
    <m/>
    <m/>
    <m/>
    <m/>
    <m/>
    <m/>
    <m/>
    <m/>
    <n v="0"/>
    <n v="37"/>
  </r>
  <r>
    <n v="2502"/>
    <x v="1"/>
    <s v="2010/3703"/>
    <s v="Springfield Hospital site, 61 Glenburnie Road"/>
    <s v=""/>
    <n v="527221"/>
    <n v="172443"/>
    <x v="10"/>
    <d v="2015-08-28T00:00:00"/>
    <m/>
    <n v="0"/>
    <n v="15"/>
    <n v="15"/>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0"/>
    <x v="0"/>
    <n v="0.60199999999999998"/>
    <m/>
    <x v="0"/>
    <m/>
    <x v="0"/>
    <s v="ISO"/>
    <s v="9.1"/>
    <m/>
    <n v="43"/>
    <m/>
    <n v="4"/>
    <m/>
    <n v="0"/>
    <n v="0"/>
    <n v="0"/>
    <n v="0"/>
    <n v="0"/>
    <n v="0"/>
    <n v="15"/>
    <n v="0"/>
    <n v="0"/>
    <n v="0"/>
    <n v="0"/>
    <n v="0"/>
    <n v="0"/>
    <n v="14"/>
    <n v="0"/>
    <n v="0"/>
    <n v="0"/>
    <n v="0"/>
    <n v="0"/>
    <n v="0"/>
    <n v="1"/>
    <n v="0"/>
    <n v="0"/>
    <n v="0"/>
    <n v="0"/>
    <n v="0"/>
    <n v="0"/>
    <n v="0"/>
    <x v="0"/>
    <x v="0"/>
    <x v="1"/>
    <n v="17"/>
    <m/>
    <m/>
    <m/>
    <m/>
    <m/>
    <m/>
    <n v="3.75"/>
    <n v="3.75"/>
    <n v="3.75"/>
    <n v="3.75"/>
    <m/>
    <m/>
    <m/>
    <m/>
    <m/>
    <m/>
    <m/>
    <m/>
    <m/>
    <m/>
    <n v="0"/>
    <n v="15"/>
  </r>
  <r>
    <n v="2502"/>
    <x v="1"/>
    <s v="2010/3703"/>
    <s v="Springfield Hospital site, 61 Glenburnie Road"/>
    <s v="Extra Care"/>
    <n v="527221"/>
    <n v="172443"/>
    <x v="10"/>
    <d v="2015-08-28T00:00:00"/>
    <m/>
    <n v="0"/>
    <n v="46"/>
    <n v="46"/>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0"/>
    <x v="0"/>
    <n v="0.64400000000000002"/>
    <m/>
    <x v="0"/>
    <m/>
    <x v="1"/>
    <s v="AS"/>
    <s v="9.1"/>
    <m/>
    <n v="46"/>
    <m/>
    <n v="4"/>
    <m/>
    <n v="0"/>
    <n v="40"/>
    <n v="6"/>
    <n v="0"/>
    <n v="0"/>
    <n v="0"/>
    <n v="0"/>
    <n v="0"/>
    <n v="40"/>
    <n v="6"/>
    <n v="0"/>
    <n v="0"/>
    <n v="0"/>
    <n v="0"/>
    <n v="0"/>
    <n v="0"/>
    <n v="0"/>
    <n v="0"/>
    <n v="0"/>
    <n v="0"/>
    <n v="0"/>
    <n v="0"/>
    <n v="0"/>
    <n v="0"/>
    <n v="0"/>
    <n v="0"/>
    <n v="0"/>
    <n v="0"/>
    <x v="0"/>
    <x v="0"/>
    <x v="1"/>
    <n v="17"/>
    <m/>
    <m/>
    <m/>
    <m/>
    <m/>
    <m/>
    <n v="11.5"/>
    <n v="11.5"/>
    <n v="11.5"/>
    <n v="11.5"/>
    <m/>
    <m/>
    <m/>
    <m/>
    <m/>
    <m/>
    <m/>
    <m/>
    <m/>
    <m/>
    <n v="0"/>
    <n v="46"/>
  </r>
  <r>
    <n v="2502"/>
    <x v="1"/>
    <s v="2010/3703"/>
    <s v="Springfield Hospital site, 61 Glenburnie Road"/>
    <s v="For People with Disabilities"/>
    <n v="527221"/>
    <n v="172443"/>
    <x v="10"/>
    <d v="2015-08-28T00:00:00"/>
    <m/>
    <n v="0"/>
    <n v="10"/>
    <n v="10"/>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0"/>
    <x v="0"/>
    <n v="1.4E-2"/>
    <m/>
    <x v="0"/>
    <m/>
    <x v="1"/>
    <s v="AA"/>
    <s v="9.1"/>
    <m/>
    <n v="10"/>
    <m/>
    <n v="1"/>
    <m/>
    <n v="0"/>
    <n v="10"/>
    <n v="0"/>
    <n v="0"/>
    <n v="0"/>
    <n v="0"/>
    <n v="0"/>
    <n v="0"/>
    <n v="10"/>
    <n v="0"/>
    <n v="0"/>
    <n v="0"/>
    <n v="0"/>
    <n v="0"/>
    <n v="0"/>
    <n v="0"/>
    <n v="0"/>
    <n v="0"/>
    <n v="0"/>
    <n v="0"/>
    <n v="0"/>
    <n v="0"/>
    <n v="0"/>
    <n v="0"/>
    <n v="0"/>
    <n v="0"/>
    <n v="0"/>
    <n v="0"/>
    <x v="0"/>
    <x v="0"/>
    <x v="1"/>
    <n v="17"/>
    <m/>
    <m/>
    <m/>
    <m/>
    <m/>
    <m/>
    <n v="2.5"/>
    <n v="2.5"/>
    <n v="2.5"/>
    <n v="2.5"/>
    <m/>
    <m/>
    <m/>
    <m/>
    <m/>
    <m/>
    <m/>
    <m/>
    <m/>
    <m/>
    <n v="0"/>
    <n v="10"/>
  </r>
  <r>
    <n v="6419"/>
    <x v="1"/>
    <s v="2016/2027"/>
    <s v="15-27 Falcon Road"/>
    <s v=""/>
    <n v="527130"/>
    <n v="176085"/>
    <x v="21"/>
    <d v="2020-05-26T00:00:00"/>
    <s v=""/>
    <n v="0"/>
    <n v="25"/>
    <n v="25"/>
    <n v="25"/>
    <n v="25"/>
    <x v="0"/>
    <s v="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
    <s v="PFLA"/>
    <d v="2016-04-12T00:00:00"/>
    <d v="2017-02-24T00:00:00"/>
    <x v="0"/>
    <s v="Nil"/>
    <s v=""/>
    <s v="BF"/>
    <s v="NB"/>
    <x v="0"/>
    <x v="0"/>
    <n v="7.0999999999999994E-2"/>
    <s v=""/>
    <x v="0"/>
    <s v=""/>
    <x v="2"/>
    <s v="M"/>
    <s v=""/>
    <m/>
    <n v="3"/>
    <m/>
    <n v="25"/>
    <m/>
    <n v="0"/>
    <n v="8"/>
    <n v="13"/>
    <n v="4"/>
    <n v="0"/>
    <n v="0"/>
    <n v="0"/>
    <n v="0"/>
    <n v="8"/>
    <n v="13"/>
    <n v="4"/>
    <n v="0"/>
    <n v="0"/>
    <n v="0"/>
    <n v="0"/>
    <n v="0"/>
    <n v="0"/>
    <n v="0"/>
    <n v="0"/>
    <n v="0"/>
    <n v="0"/>
    <n v="0"/>
    <n v="0"/>
    <n v="0"/>
    <n v="0"/>
    <n v="0"/>
    <n v="0"/>
    <n v="0"/>
    <x v="0"/>
    <x v="0"/>
    <x v="1"/>
    <n v="3"/>
    <m/>
    <n v="25"/>
    <m/>
    <m/>
    <m/>
    <m/>
    <m/>
    <m/>
    <m/>
    <m/>
    <m/>
    <m/>
    <m/>
    <m/>
    <m/>
    <m/>
    <m/>
    <m/>
    <m/>
    <m/>
    <n v="25"/>
    <n v="25"/>
  </r>
  <r>
    <n v="6280"/>
    <x v="1"/>
    <s v="2019/5092"/>
    <s v="Belvedere Court, 372-374 Upper Richmond Road"/>
    <s v=""/>
    <n v="523210"/>
    <n v="175380"/>
    <x v="18"/>
    <m/>
    <m/>
    <n v="0"/>
    <n v="9"/>
    <n v="9"/>
    <n v="9"/>
    <n v="9"/>
    <x v="1"/>
    <s v="Alterations including extension to main roof for the creation of 6 X 2 bedroom, 2 X 1 bedroom and 1 X 3 bedroom flats at 6th and 7th floor level.. Associated landscaping and refuse provision. Formation of additional 9 parking spaces."/>
    <s v="PF"/>
    <d v="2019-12-16T00:00:00"/>
    <d v="2020-06-18T00:00:00"/>
    <x v="0"/>
    <s v="Nil"/>
    <m/>
    <s v="BF"/>
    <s v="EXT"/>
    <x v="2"/>
    <x v="2"/>
    <n v="3.9E-2"/>
    <m/>
    <x v="0"/>
    <m/>
    <x v="2"/>
    <s v="M"/>
    <s v=""/>
    <m/>
    <n v="0"/>
    <m/>
    <n v="0"/>
    <m/>
    <n v="0"/>
    <n v="2"/>
    <n v="6"/>
    <n v="1"/>
    <n v="0"/>
    <n v="0"/>
    <n v="0"/>
    <n v="0"/>
    <n v="2"/>
    <n v="6"/>
    <n v="1"/>
    <n v="0"/>
    <n v="0"/>
    <n v="0"/>
    <n v="0"/>
    <n v="0"/>
    <n v="0"/>
    <n v="0"/>
    <n v="0"/>
    <n v="0"/>
    <n v="0"/>
    <n v="0"/>
    <n v="0"/>
    <n v="0"/>
    <n v="0"/>
    <n v="0"/>
    <n v="0"/>
    <n v="0"/>
    <x v="0"/>
    <x v="0"/>
    <x v="1"/>
    <n v="18"/>
    <m/>
    <n v="2.25"/>
    <n v="2.25"/>
    <n v="2.25"/>
    <n v="2.25"/>
    <m/>
    <m/>
    <m/>
    <m/>
    <m/>
    <m/>
    <m/>
    <m/>
    <m/>
    <m/>
    <m/>
    <m/>
    <m/>
    <m/>
    <m/>
    <n v="9"/>
    <n v="9"/>
  </r>
  <r>
    <n v="7190"/>
    <x v="1"/>
    <s v="2019/2585"/>
    <s v="Wildcroft Manor, Wildcroft Road"/>
    <s v=""/>
    <n v="523349"/>
    <n v="173599"/>
    <x v="18"/>
    <m/>
    <m/>
    <n v="0"/>
    <n v="9"/>
    <n v="9"/>
    <n v="9"/>
    <n v="9"/>
    <x v="1"/>
    <s v="Alterations including erection of front and rear dormer roof extensions to all blocks to provide to 6 x 2-bedroom and 3 x 3-bedroom flats; 18 cycle storage spaces ."/>
    <s v="PF"/>
    <d v="2019-06-27T00:00:00"/>
    <d v="2019-09-18T00:00:00"/>
    <x v="0"/>
    <s v="Nil"/>
    <m/>
    <s v="BF"/>
    <s v="EXT"/>
    <x v="2"/>
    <x v="2"/>
    <n v="3.5999999999999997E-2"/>
    <m/>
    <x v="0"/>
    <m/>
    <x v="2"/>
    <s v="M"/>
    <s v=""/>
    <m/>
    <n v="0"/>
    <m/>
    <n v="0"/>
    <m/>
    <n v="0"/>
    <n v="0"/>
    <n v="6"/>
    <n v="3"/>
    <n v="0"/>
    <n v="0"/>
    <n v="0"/>
    <n v="0"/>
    <n v="0"/>
    <n v="6"/>
    <n v="3"/>
    <n v="0"/>
    <n v="0"/>
    <n v="0"/>
    <n v="0"/>
    <n v="0"/>
    <n v="0"/>
    <n v="0"/>
    <n v="0"/>
    <n v="0"/>
    <n v="0"/>
    <n v="0"/>
    <n v="0"/>
    <n v="0"/>
    <n v="0"/>
    <n v="0"/>
    <n v="0"/>
    <n v="0"/>
    <x v="0"/>
    <x v="0"/>
    <x v="1"/>
    <n v="18"/>
    <m/>
    <n v="2.25"/>
    <n v="2.25"/>
    <n v="2.25"/>
    <n v="2.25"/>
    <m/>
    <m/>
    <m/>
    <m/>
    <m/>
    <m/>
    <m/>
    <m/>
    <m/>
    <m/>
    <m/>
    <m/>
    <m/>
    <m/>
    <m/>
    <n v="9"/>
    <n v="9"/>
  </r>
  <r>
    <n v="7610"/>
    <x v="1"/>
    <s v="2021/1858"/>
    <s v="172-174 Upper Richmond Road"/>
    <s v=""/>
    <n v="524107"/>
    <n v="175023"/>
    <x v="7"/>
    <m/>
    <m/>
    <n v="0"/>
    <n v="8"/>
    <n v="8"/>
    <n v="8"/>
    <n v="8"/>
    <x v="1"/>
    <s v="Alterations including erection of first floor rear extension; extension to form three additional floors of accommodation at second, third and fourth floor levels; formation of front roof terrace at fourth floor level; formation of balconies at rear first, second and third floor levels; alterations to ground floor frontage. Works in connection with provision of 8 flats (7 x 2-bedroom and 1 x 1-bedroom) on the upper floors of the extended building, with ground and basement floors retained in commercial use, with associated cycle parking and refuse storage facilities."/>
    <s v="PF"/>
    <d v="2021-04-19T00:00:00"/>
    <d v="2022-01-25T00:00:00"/>
    <x v="0"/>
    <s v="Nil"/>
    <m/>
    <s v="BF"/>
    <s v="EXT"/>
    <x v="2"/>
    <x v="2"/>
    <n v="8.9999999999999993E-3"/>
    <m/>
    <x v="0"/>
    <m/>
    <x v="2"/>
    <s v="M"/>
    <s v=""/>
    <m/>
    <n v="0"/>
    <m/>
    <n v="0"/>
    <m/>
    <n v="0"/>
    <n v="1"/>
    <n v="7"/>
    <n v="0"/>
    <n v="0"/>
    <n v="0"/>
    <n v="0"/>
    <n v="0"/>
    <n v="1"/>
    <n v="7"/>
    <n v="0"/>
    <n v="0"/>
    <n v="0"/>
    <n v="0"/>
    <n v="0"/>
    <n v="0"/>
    <n v="0"/>
    <n v="0"/>
    <n v="0"/>
    <n v="0"/>
    <n v="0"/>
    <n v="0"/>
    <n v="0"/>
    <n v="0"/>
    <n v="0"/>
    <n v="0"/>
    <n v="0"/>
    <n v="0"/>
    <x v="4"/>
    <x v="0"/>
    <x v="4"/>
    <n v="18"/>
    <m/>
    <n v="2"/>
    <n v="2"/>
    <n v="2"/>
    <n v="2"/>
    <m/>
    <m/>
    <m/>
    <m/>
    <m/>
    <m/>
    <m/>
    <m/>
    <m/>
    <m/>
    <m/>
    <m/>
    <m/>
    <m/>
    <m/>
    <n v="8"/>
    <n v="8"/>
  </r>
  <r>
    <n v="6707"/>
    <x v="1"/>
    <s v="2022/4571"/>
    <s v="158-160 Balham High Road"/>
    <s v=""/>
    <n v="528529"/>
    <n v="173387"/>
    <x v="2"/>
    <m/>
    <m/>
    <n v="0"/>
    <n v="7"/>
    <n v="7"/>
    <n v="7"/>
    <n v="7"/>
    <x v="1"/>
    <s v="Alterations including erection of single storey extension and mansard roof extension above existing two storey building in connection with creation 7 self-contained flats all with private balconies/terraces at each level and associated cycle and refuse storage."/>
    <s v="PF"/>
    <d v="2022-11-08T00:00:00"/>
    <d v="2023-03-03T00:00:00"/>
    <x v="1"/>
    <s v="Nil"/>
    <m/>
    <s v="BF"/>
    <s v="EXT"/>
    <x v="2"/>
    <x v="2"/>
    <n v="2.2349999999999998E-2"/>
    <m/>
    <x v="0"/>
    <m/>
    <x v="2"/>
    <s v="M"/>
    <s v=""/>
    <m/>
    <n v="0"/>
    <m/>
    <n v="0"/>
    <m/>
    <n v="0"/>
    <n v="3"/>
    <n v="4"/>
    <n v="0"/>
    <n v="0"/>
    <n v="0"/>
    <n v="0"/>
    <n v="0"/>
    <n v="3"/>
    <n v="4"/>
    <n v="0"/>
    <n v="0"/>
    <n v="0"/>
    <n v="0"/>
    <n v="0"/>
    <n v="0"/>
    <n v="0"/>
    <n v="0"/>
    <n v="0"/>
    <n v="0"/>
    <n v="0"/>
    <n v="0"/>
    <n v="0"/>
    <n v="0"/>
    <n v="0"/>
    <n v="0"/>
    <n v="0"/>
    <n v="0"/>
    <x v="1"/>
    <x v="0"/>
    <x v="2"/>
    <n v="18"/>
    <m/>
    <n v="1.75"/>
    <n v="1.75"/>
    <n v="1.75"/>
    <n v="1.75"/>
    <m/>
    <m/>
    <m/>
    <m/>
    <m/>
    <m/>
    <m/>
    <m/>
    <m/>
    <m/>
    <m/>
    <m/>
    <m/>
    <m/>
    <m/>
    <n v="7"/>
    <n v="7"/>
  </r>
  <r>
    <n v="7441"/>
    <x v="1"/>
    <s v="2020/2483"/>
    <s v="61-63 St Johns Road"/>
    <s v=""/>
    <n v="527417"/>
    <n v="175225"/>
    <x v="12"/>
    <m/>
    <m/>
    <n v="0"/>
    <n v="7"/>
    <n v="7"/>
    <n v="7"/>
    <n v="7"/>
    <x v="1"/>
    <s v="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
    <s v="PF"/>
    <d v="2020-07-10T00:00:00"/>
    <d v="2020-11-02T00:00:00"/>
    <x v="0"/>
    <s v="Nil"/>
    <m/>
    <s v="BF"/>
    <s v="COU"/>
    <x v="2"/>
    <x v="4"/>
    <n v="1.4E-2"/>
    <m/>
    <x v="0"/>
    <m/>
    <x v="2"/>
    <s v="M"/>
    <s v=""/>
    <m/>
    <n v="0"/>
    <m/>
    <n v="0"/>
    <m/>
    <n v="0"/>
    <n v="6"/>
    <n v="1"/>
    <n v="0"/>
    <n v="0"/>
    <n v="0"/>
    <n v="0"/>
    <n v="0"/>
    <n v="6"/>
    <n v="1"/>
    <n v="0"/>
    <n v="0"/>
    <n v="0"/>
    <n v="0"/>
    <n v="0"/>
    <n v="0"/>
    <n v="0"/>
    <n v="0"/>
    <n v="0"/>
    <n v="0"/>
    <n v="0"/>
    <n v="0"/>
    <n v="0"/>
    <n v="0"/>
    <n v="0"/>
    <n v="0"/>
    <n v="0"/>
    <n v="0"/>
    <x v="5"/>
    <x v="0"/>
    <x v="5"/>
    <n v="18"/>
    <m/>
    <n v="1.75"/>
    <n v="1.75"/>
    <n v="1.75"/>
    <n v="1.75"/>
    <m/>
    <m/>
    <m/>
    <m/>
    <m/>
    <m/>
    <m/>
    <m/>
    <m/>
    <m/>
    <m/>
    <m/>
    <m/>
    <m/>
    <m/>
    <n v="7"/>
    <n v="7"/>
  </r>
  <r>
    <n v="6221"/>
    <x v="1"/>
    <s v="2022/1088"/>
    <s v="67-85 Aslett Street"/>
    <s v=""/>
    <n v="526099"/>
    <n v="173957"/>
    <x v="11"/>
    <m/>
    <m/>
    <n v="0"/>
    <n v="7"/>
    <n v="7"/>
    <n v="7"/>
    <n v="7"/>
    <x v="1"/>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to the rear obscure glass balustrade from 1.1m to 1.7 m in height (same description as application ref: 2016/1393 and application ref: 2019/2479)."/>
    <s v="PF"/>
    <d v="2022-03-22T00:00:00"/>
    <d v="2023-01-24T00:00:00"/>
    <x v="1"/>
    <s v="Nil"/>
    <m/>
    <s v="BF"/>
    <s v="MIX"/>
    <x v="2"/>
    <x v="2"/>
    <n v="0"/>
    <m/>
    <x v="0"/>
    <m/>
    <x v="2"/>
    <s v="M"/>
    <s v=""/>
    <m/>
    <n v="0"/>
    <m/>
    <n v="0"/>
    <m/>
    <n v="0"/>
    <n v="0"/>
    <n v="7"/>
    <n v="0"/>
    <n v="0"/>
    <n v="0"/>
    <n v="0"/>
    <n v="0"/>
    <n v="0"/>
    <n v="7"/>
    <n v="0"/>
    <n v="0"/>
    <n v="0"/>
    <n v="0"/>
    <n v="0"/>
    <n v="0"/>
    <n v="0"/>
    <n v="0"/>
    <n v="0"/>
    <n v="0"/>
    <n v="0"/>
    <n v="0"/>
    <n v="0"/>
    <n v="0"/>
    <n v="0"/>
    <n v="0"/>
    <n v="0"/>
    <n v="0"/>
    <x v="0"/>
    <x v="0"/>
    <x v="1"/>
    <n v="18"/>
    <m/>
    <n v="1.75"/>
    <n v="1.75"/>
    <n v="1.75"/>
    <n v="1.75"/>
    <m/>
    <m/>
    <m/>
    <m/>
    <m/>
    <m/>
    <m/>
    <m/>
    <m/>
    <m/>
    <m/>
    <m/>
    <m/>
    <m/>
    <m/>
    <n v="7"/>
    <n v="7"/>
  </r>
  <r>
    <n v="4750"/>
    <x v="1"/>
    <s v="2021/0928"/>
    <s v="111-113 Wandsworth High Street"/>
    <s v=""/>
    <n v="525522"/>
    <n v="174660"/>
    <x v="6"/>
    <m/>
    <m/>
    <n v="0"/>
    <n v="6"/>
    <n v="6"/>
    <n v="6"/>
    <n v="6"/>
    <x v="1"/>
    <s v="Alterations including erection of two storey roof extension including front and rear mansard and excavation to create basement in connection with provision of retail at ground floor level with ancillary office and storage floorspace on the basement and first floor levels (Class E), and 4 x 2-bedroom, 1 x 1-bedroom and 1 x studio flats with front and rear roof terraces and associated refuse storage accessed from the rear"/>
    <s v="PF"/>
    <d v="2021-02-26T00:00:00"/>
    <d v="2021-07-27T00:00:00"/>
    <x v="0"/>
    <s v="Nil"/>
    <m/>
    <s v="BF"/>
    <s v="MIX"/>
    <x v="2"/>
    <x v="3"/>
    <n v="2.9000000000000001E-2"/>
    <m/>
    <x v="0"/>
    <m/>
    <x v="2"/>
    <s v="M"/>
    <s v=""/>
    <m/>
    <n v="0"/>
    <m/>
    <n v="0"/>
    <m/>
    <n v="1"/>
    <n v="1"/>
    <n v="4"/>
    <n v="0"/>
    <n v="0"/>
    <n v="0"/>
    <n v="0"/>
    <n v="1"/>
    <n v="1"/>
    <n v="4"/>
    <n v="0"/>
    <n v="0"/>
    <n v="0"/>
    <n v="0"/>
    <n v="0"/>
    <n v="0"/>
    <n v="0"/>
    <n v="0"/>
    <n v="0"/>
    <n v="0"/>
    <n v="0"/>
    <n v="0"/>
    <n v="0"/>
    <n v="0"/>
    <n v="0"/>
    <n v="0"/>
    <n v="0"/>
    <n v="0"/>
    <x v="3"/>
    <x v="0"/>
    <x v="0"/>
    <n v="18"/>
    <m/>
    <n v="1.5"/>
    <n v="1.5"/>
    <n v="1.5"/>
    <n v="1.5"/>
    <m/>
    <m/>
    <m/>
    <m/>
    <m/>
    <m/>
    <m/>
    <m/>
    <m/>
    <m/>
    <m/>
    <m/>
    <m/>
    <m/>
    <m/>
    <n v="6"/>
    <n v="6"/>
  </r>
  <r>
    <n v="6805"/>
    <x v="1"/>
    <s v="2020/2542"/>
    <s v="231 Putney Bridge Road"/>
    <s v=""/>
    <n v="524490"/>
    <n v="175266"/>
    <x v="0"/>
    <m/>
    <m/>
    <n v="0"/>
    <n v="6"/>
    <n v="6"/>
    <n v="8"/>
    <n v="8"/>
    <x v="1"/>
    <s v="Alterations including erection of front and rear mansard extensions to main roof and erection of extension at second and third floor level to side elevation in connection with conversion of 6 x 1-bedroom and 2 x 2-bedroom flats."/>
    <s v="PF"/>
    <d v="2020-08-05T00:00:00"/>
    <d v="2020-11-27T00:00:00"/>
    <x v="0"/>
    <s v="Nil"/>
    <m/>
    <s v="BF"/>
    <s v="MIX"/>
    <x v="2"/>
    <x v="3"/>
    <n v="1.4E-2"/>
    <m/>
    <x v="0"/>
    <m/>
    <x v="2"/>
    <s v="M"/>
    <s v=""/>
    <m/>
    <n v="0"/>
    <m/>
    <n v="0"/>
    <m/>
    <n v="0"/>
    <n v="5"/>
    <n v="1"/>
    <n v="0"/>
    <n v="0"/>
    <n v="0"/>
    <n v="0"/>
    <n v="0"/>
    <n v="5"/>
    <n v="1"/>
    <n v="0"/>
    <n v="0"/>
    <n v="0"/>
    <n v="0"/>
    <n v="0"/>
    <n v="0"/>
    <n v="0"/>
    <n v="0"/>
    <n v="0"/>
    <n v="0"/>
    <n v="0"/>
    <n v="0"/>
    <n v="0"/>
    <n v="0"/>
    <n v="0"/>
    <n v="0"/>
    <n v="0"/>
    <n v="0"/>
    <x v="0"/>
    <x v="0"/>
    <x v="1"/>
    <n v="18"/>
    <m/>
    <n v="1.5"/>
    <n v="1.5"/>
    <n v="1.5"/>
    <n v="1.5"/>
    <m/>
    <m/>
    <m/>
    <m/>
    <m/>
    <m/>
    <m/>
    <m/>
    <m/>
    <m/>
    <m/>
    <m/>
    <m/>
    <m/>
    <m/>
    <n v="6"/>
    <n v="6"/>
  </r>
  <r>
    <n v="2304"/>
    <x v="1"/>
    <s v="2020/4088"/>
    <s v="Chelsea Bridge Wharf (southern site), Queenstown Road (Phase 5, Residential Blocks F &amp; G (Lanson House &amp; Burnelli House))"/>
    <s v=""/>
    <n v="528666"/>
    <n v="177450"/>
    <x v="17"/>
    <m/>
    <m/>
    <n v="0"/>
    <n v="6"/>
    <n v="6"/>
    <n v="6"/>
    <n v="6"/>
    <x v="1"/>
    <s v="Change of use of the ground floor of the Lanson building from commercial floorspace to form 6 residential units (Class C3), comprising 2 x 1 beds, 3 x 2 bed and 1 x 3 bed units, along with associated internal and external alterations."/>
    <s v="PF"/>
    <d v="2020-10-28T00:00:00"/>
    <d v="2021-04-30T00:00:00"/>
    <x v="0"/>
    <s v="Nil"/>
    <m/>
    <s v="BF"/>
    <s v="CON"/>
    <x v="2"/>
    <x v="6"/>
    <n v="8.0000000000000002E-3"/>
    <m/>
    <x v="0"/>
    <m/>
    <x v="2"/>
    <s v="M"/>
    <s v=""/>
    <m/>
    <n v="0"/>
    <m/>
    <n v="0"/>
    <m/>
    <n v="0"/>
    <n v="2"/>
    <n v="3"/>
    <n v="1"/>
    <n v="0"/>
    <n v="0"/>
    <n v="0"/>
    <n v="0"/>
    <n v="2"/>
    <n v="3"/>
    <n v="1"/>
    <n v="0"/>
    <n v="0"/>
    <n v="0"/>
    <n v="0"/>
    <n v="0"/>
    <n v="0"/>
    <n v="0"/>
    <n v="0"/>
    <n v="0"/>
    <n v="0"/>
    <n v="0"/>
    <n v="0"/>
    <n v="0"/>
    <n v="0"/>
    <n v="0"/>
    <n v="0"/>
    <n v="0"/>
    <x v="0"/>
    <x v="1"/>
    <x v="7"/>
    <n v="18"/>
    <m/>
    <n v="1.5"/>
    <n v="1.5"/>
    <n v="1.5"/>
    <n v="1.5"/>
    <m/>
    <m/>
    <m/>
    <m/>
    <m/>
    <m/>
    <m/>
    <m/>
    <m/>
    <m/>
    <m/>
    <m/>
    <m/>
    <m/>
    <m/>
    <n v="6"/>
    <n v="6"/>
  </r>
  <r>
    <n v="2102"/>
    <x v="1"/>
    <s v="2022/0920"/>
    <s v="Chivelston, 78 Wimbledon Park Side"/>
    <s v=""/>
    <n v="523637"/>
    <n v="173150"/>
    <x v="19"/>
    <m/>
    <m/>
    <n v="0"/>
    <n v="6"/>
    <n v="6"/>
    <n v="6"/>
    <n v="6"/>
    <x v="1"/>
    <s v="Alterations including the erection of an additional floor of accommodation containing 6 flats (2 x 3-bedroom and 4 x 2-bedroom)."/>
    <s v="PF"/>
    <d v="2022-03-11T00:00:00"/>
    <d v="2022-10-07T00:00:00"/>
    <x v="1"/>
    <s v="Nil"/>
    <m/>
    <s v="BF"/>
    <s v="EXT"/>
    <x v="2"/>
    <x v="2"/>
    <n v="4.6300000000000001E-2"/>
    <m/>
    <x v="0"/>
    <m/>
    <x v="2"/>
    <s v="M"/>
    <s v=""/>
    <m/>
    <n v="0"/>
    <m/>
    <n v="0"/>
    <m/>
    <n v="0"/>
    <n v="0"/>
    <n v="4"/>
    <n v="2"/>
    <n v="0"/>
    <n v="0"/>
    <n v="0"/>
    <n v="0"/>
    <n v="0"/>
    <n v="4"/>
    <n v="2"/>
    <n v="0"/>
    <n v="0"/>
    <n v="0"/>
    <n v="0"/>
    <n v="0"/>
    <n v="0"/>
    <n v="0"/>
    <n v="0"/>
    <n v="0"/>
    <n v="0"/>
    <n v="0"/>
    <n v="0"/>
    <n v="0"/>
    <n v="0"/>
    <n v="0"/>
    <n v="0"/>
    <n v="0"/>
    <x v="0"/>
    <x v="0"/>
    <x v="1"/>
    <n v="18"/>
    <m/>
    <n v="1.5"/>
    <n v="1.5"/>
    <n v="1.5"/>
    <n v="1.5"/>
    <m/>
    <m/>
    <m/>
    <m/>
    <m/>
    <m/>
    <m/>
    <m/>
    <m/>
    <m/>
    <m/>
    <m/>
    <m/>
    <m/>
    <m/>
    <n v="6"/>
    <n v="6"/>
  </r>
  <r>
    <n v="5803"/>
    <x v="1"/>
    <s v="2020/0685"/>
    <s v="Units 2, 3, 4, 5, 6, &amp; 7 Leeward House, Square Rigger Row (Plantation Wharf)"/>
    <s v=""/>
    <n v="526534"/>
    <n v="175822"/>
    <x v="5"/>
    <m/>
    <m/>
    <n v="0"/>
    <n v="6"/>
    <n v="6"/>
    <n v="6"/>
    <n v="6"/>
    <x v="1"/>
    <s v="Determination as to whether prior approval is required for change of use from office (Class B1) to 6 x 1-bedroom flats (Class C3)."/>
    <s v="PAG"/>
    <d v="2020-03-02T00:00:00"/>
    <d v="2020-04-17T00:00:00"/>
    <x v="0"/>
    <s v="Nil"/>
    <m/>
    <s v="BF"/>
    <s v="COU"/>
    <x v="2"/>
    <x v="6"/>
    <n v="8.0000000000000002E-3"/>
    <m/>
    <x v="0"/>
    <m/>
    <x v="2"/>
    <s v="M"/>
    <s v="10.15"/>
    <m/>
    <n v="0"/>
    <m/>
    <n v="0"/>
    <m/>
    <n v="0"/>
    <n v="6"/>
    <n v="0"/>
    <n v="0"/>
    <n v="0"/>
    <n v="0"/>
    <n v="0"/>
    <n v="0"/>
    <n v="6"/>
    <n v="0"/>
    <n v="0"/>
    <n v="0"/>
    <n v="0"/>
    <n v="0"/>
    <n v="0"/>
    <n v="0"/>
    <n v="0"/>
    <n v="0"/>
    <n v="0"/>
    <n v="0"/>
    <n v="0"/>
    <n v="0"/>
    <n v="0"/>
    <n v="0"/>
    <n v="0"/>
    <n v="0"/>
    <n v="0"/>
    <n v="0"/>
    <x v="0"/>
    <x v="0"/>
    <x v="8"/>
    <n v="18"/>
    <m/>
    <n v="1.5"/>
    <n v="1.5"/>
    <n v="1.5"/>
    <n v="1.5"/>
    <m/>
    <m/>
    <m/>
    <m/>
    <m/>
    <m/>
    <m/>
    <m/>
    <m/>
    <m/>
    <m/>
    <m/>
    <m/>
    <m/>
    <m/>
    <n v="6"/>
    <n v="6"/>
  </r>
  <r>
    <n v="7358"/>
    <x v="1"/>
    <s v="2020/0679"/>
    <s v="Units 3 to 8 Windward House, Square Rigger Row"/>
    <s v=""/>
    <n v="526467"/>
    <n v="175725"/>
    <x v="5"/>
    <m/>
    <m/>
    <n v="0"/>
    <n v="6"/>
    <n v="6"/>
    <n v="6"/>
    <n v="6"/>
    <x v="1"/>
    <s v="Determination as to whether prior approval is required for change of use from office (Class B1a) to 3 x 2-bedroom flats and 3 x 1-bedroom flats (Class C3)."/>
    <s v="PAG"/>
    <d v="2020-03-05T00:00:00"/>
    <d v="2020-04-17T00:00:00"/>
    <x v="0"/>
    <s v="Nil"/>
    <m/>
    <s v="BF"/>
    <s v="COU"/>
    <x v="2"/>
    <x v="6"/>
    <n v="1.4999999999999999E-2"/>
    <m/>
    <x v="0"/>
    <m/>
    <x v="2"/>
    <s v="M"/>
    <s v=""/>
    <m/>
    <n v="0"/>
    <m/>
    <n v="0"/>
    <m/>
    <n v="0"/>
    <n v="3"/>
    <n v="3"/>
    <n v="0"/>
    <n v="0"/>
    <n v="0"/>
    <n v="0"/>
    <n v="0"/>
    <n v="3"/>
    <n v="3"/>
    <n v="0"/>
    <n v="0"/>
    <n v="0"/>
    <n v="0"/>
    <n v="0"/>
    <n v="0"/>
    <n v="0"/>
    <n v="0"/>
    <n v="0"/>
    <n v="0"/>
    <n v="0"/>
    <n v="0"/>
    <n v="0"/>
    <n v="0"/>
    <n v="0"/>
    <n v="0"/>
    <n v="0"/>
    <n v="0"/>
    <x v="0"/>
    <x v="0"/>
    <x v="8"/>
    <n v="18"/>
    <m/>
    <n v="1.5"/>
    <n v="1.5"/>
    <n v="1.5"/>
    <n v="1.5"/>
    <m/>
    <m/>
    <m/>
    <m/>
    <m/>
    <m/>
    <m/>
    <m/>
    <m/>
    <m/>
    <m/>
    <m/>
    <m/>
    <m/>
    <m/>
    <n v="6"/>
    <n v="6"/>
  </r>
  <r>
    <n v="7786"/>
    <x v="1"/>
    <s v="2022/0455"/>
    <s v="170-172 Mitcham Road"/>
    <s v=""/>
    <n v="527853"/>
    <n v="171000"/>
    <x v="3"/>
    <m/>
    <m/>
    <n v="2"/>
    <n v="7"/>
    <n v="5"/>
    <n v="7"/>
    <n v="5"/>
    <x v="1"/>
    <s v="Alterations including change of use of rear ground floor from commercial (Class E) to residential (Class C3) at both properties. Erection of part single, part two, part three-storey side/rear extension at both properties and formation of second floor rear roof terraces. Provision of 2x 1-bedroom flats at ground level and conversion of existing 2x flats on 1st and 2nd floor into 3x 2-bedroom and 1x 1-bedroom studio flats. Erection of a dormer extension to main rear roof slopes with French windows and safety balustrade at both properties to create 1x 1-bedroom flat."/>
    <s v="PF"/>
    <d v="2022-02-21T00:00:00"/>
    <d v="2022-11-24T00:00:00"/>
    <x v="1"/>
    <s v="Nil"/>
    <m/>
    <s v="BF"/>
    <s v="MIX"/>
    <x v="2"/>
    <x v="4"/>
    <n v="1.6566669999999999E-2"/>
    <m/>
    <x v="0"/>
    <m/>
    <x v="2"/>
    <s v="MR"/>
    <s v=""/>
    <m/>
    <n v="0"/>
    <m/>
    <n v="0"/>
    <m/>
    <n v="1"/>
    <n v="3"/>
    <n v="3"/>
    <n v="0"/>
    <n v="-2"/>
    <n v="0"/>
    <n v="0"/>
    <n v="1"/>
    <n v="3"/>
    <n v="3"/>
    <n v="0"/>
    <n v="-2"/>
    <n v="0"/>
    <n v="0"/>
    <n v="0"/>
    <n v="0"/>
    <n v="0"/>
    <n v="0"/>
    <n v="0"/>
    <n v="0"/>
    <n v="0"/>
    <n v="0"/>
    <n v="0"/>
    <n v="0"/>
    <n v="0"/>
    <n v="0"/>
    <n v="0"/>
    <n v="0"/>
    <x v="0"/>
    <x v="0"/>
    <x v="3"/>
    <n v="15"/>
    <m/>
    <n v="1.25"/>
    <n v="1.25"/>
    <n v="1.25"/>
    <n v="1.25"/>
    <m/>
    <m/>
    <m/>
    <m/>
    <m/>
    <m/>
    <m/>
    <m/>
    <m/>
    <m/>
    <m/>
    <m/>
    <m/>
    <m/>
    <m/>
    <n v="5"/>
    <n v="5"/>
  </r>
  <r>
    <n v="7822"/>
    <x v="1"/>
    <s v="2022/1358"/>
    <s v="31 Veronica Road"/>
    <s v=""/>
    <n v="528706"/>
    <n v="172468"/>
    <x v="8"/>
    <m/>
    <m/>
    <n v="1"/>
    <n v="6"/>
    <n v="5"/>
    <n v="6"/>
    <n v="5"/>
    <x v="1"/>
    <s v="Alterations including erection of two-storey side extension with habitable roofspace; Erection of single-storey rear extension; Excavation of basement with formation of front lightwell; Alterations to garage to create bike store; Addition of bin stores to front; Replacement roof tiles and windows; Addition of railings to front and side boundaries and associated landscaping in connection with the conversion of property from single dwelling into 7 self-contained flats (3 x 3 bedroom flats, 2 X 2 bedroom flats and 2 X 1 bedroom flats)."/>
    <s v="PF"/>
    <d v="2022-04-04T00:00:00"/>
    <d v="2022-07-29T00:00:00"/>
    <x v="1"/>
    <s v="Nil"/>
    <m/>
    <s v="BF"/>
    <s v="MIX"/>
    <x v="2"/>
    <x v="5"/>
    <n v="1.7000000000000001E-2"/>
    <m/>
    <x v="0"/>
    <m/>
    <x v="2"/>
    <s v="M"/>
    <s v=""/>
    <m/>
    <n v="0"/>
    <m/>
    <n v="0"/>
    <m/>
    <n v="0"/>
    <n v="1"/>
    <n v="2"/>
    <n v="3"/>
    <n v="0"/>
    <n v="-1"/>
    <n v="0"/>
    <n v="0"/>
    <n v="1"/>
    <n v="2"/>
    <n v="3"/>
    <n v="0"/>
    <n v="0"/>
    <n v="0"/>
    <n v="0"/>
    <n v="0"/>
    <n v="0"/>
    <n v="0"/>
    <n v="0"/>
    <n v="-1"/>
    <n v="0"/>
    <n v="0"/>
    <n v="0"/>
    <n v="0"/>
    <n v="0"/>
    <n v="0"/>
    <n v="0"/>
    <n v="0"/>
    <x v="0"/>
    <x v="0"/>
    <x v="1"/>
    <n v="15"/>
    <m/>
    <n v="1.25"/>
    <n v="1.25"/>
    <n v="1.25"/>
    <n v="1.25"/>
    <m/>
    <m/>
    <m/>
    <m/>
    <m/>
    <m/>
    <m/>
    <m/>
    <m/>
    <m/>
    <m/>
    <m/>
    <m/>
    <m/>
    <m/>
    <n v="5"/>
    <n v="5"/>
  </r>
  <r>
    <n v="6348"/>
    <x v="1"/>
    <s v="2022/2791"/>
    <s v="39-43 and 39-43a, 39-43 West Hill"/>
    <s v=""/>
    <n v="525098"/>
    <n v="174608"/>
    <x v="7"/>
    <m/>
    <m/>
    <n v="0"/>
    <n v="5"/>
    <n v="5"/>
    <n v="5"/>
    <n v="5"/>
    <x v="1"/>
    <s v="Alterations to include the excavation to form basement with rear lightwells in conjunction with change of use from retail (Class E) and provision of 1 x 1-bedroom, 4 x 2-bedroom flats (Class C3) at basement and ground floor levels; refuse and cycle stores fronting Lebanon Road."/>
    <s v="PF"/>
    <d v="2022-07-01T00:00:00"/>
    <d v="2022-08-25T00:00:00"/>
    <x v="1"/>
    <s v="Nil"/>
    <m/>
    <s v="BF"/>
    <s v="MIX"/>
    <x v="2"/>
    <x v="2"/>
    <n v="2.4549999999999999E-2"/>
    <m/>
    <x v="0"/>
    <m/>
    <x v="2"/>
    <s v="M"/>
    <s v=""/>
    <m/>
    <n v="0"/>
    <m/>
    <n v="0"/>
    <m/>
    <n v="0"/>
    <n v="1"/>
    <n v="4"/>
    <n v="0"/>
    <n v="0"/>
    <n v="0"/>
    <n v="0"/>
    <n v="0"/>
    <n v="1"/>
    <n v="4"/>
    <n v="0"/>
    <n v="0"/>
    <n v="0"/>
    <n v="0"/>
    <n v="0"/>
    <n v="0"/>
    <n v="0"/>
    <n v="0"/>
    <n v="0"/>
    <n v="0"/>
    <n v="0"/>
    <n v="0"/>
    <n v="0"/>
    <n v="0"/>
    <n v="0"/>
    <n v="0"/>
    <n v="0"/>
    <n v="0"/>
    <x v="0"/>
    <x v="0"/>
    <x v="1"/>
    <n v="15"/>
    <m/>
    <n v="1.25"/>
    <n v="1.25"/>
    <n v="1.25"/>
    <n v="1.25"/>
    <m/>
    <m/>
    <m/>
    <m/>
    <m/>
    <m/>
    <m/>
    <m/>
    <m/>
    <m/>
    <m/>
    <m/>
    <m/>
    <m/>
    <m/>
    <n v="5"/>
    <n v="5"/>
  </r>
  <r>
    <n v="5804"/>
    <x v="1"/>
    <s v="2020/0686"/>
    <s v="East &amp; West 1,2,3,4, &amp; 8, Square Rigger Row (Plantation Wharf)"/>
    <s v=""/>
    <n v="526485"/>
    <n v="175743"/>
    <x v="5"/>
    <m/>
    <m/>
    <n v="0"/>
    <n v="5"/>
    <n v="5"/>
    <n v="5"/>
    <n v="5"/>
    <x v="1"/>
    <s v="Determination as to whether prior approval is required for change of use from office (Class B1a) to 5 x 3-bedroom flats (Class C3)."/>
    <s v="PAG"/>
    <d v="2020-03-05T00:00:00"/>
    <d v="2020-04-17T00:00:00"/>
    <x v="0"/>
    <s v="Nil"/>
    <m/>
    <s v="BF"/>
    <s v="COU"/>
    <x v="2"/>
    <x v="6"/>
    <n v="3.5999999999999997E-2"/>
    <m/>
    <x v="0"/>
    <m/>
    <x v="2"/>
    <s v="M"/>
    <s v="10.15"/>
    <m/>
    <n v="0"/>
    <m/>
    <n v="0"/>
    <m/>
    <n v="0"/>
    <n v="0"/>
    <n v="0"/>
    <n v="5"/>
    <n v="0"/>
    <n v="0"/>
    <n v="0"/>
    <n v="0"/>
    <n v="0"/>
    <n v="0"/>
    <n v="5"/>
    <n v="0"/>
    <n v="0"/>
    <n v="0"/>
    <n v="0"/>
    <n v="0"/>
    <n v="0"/>
    <n v="0"/>
    <n v="0"/>
    <n v="0"/>
    <n v="0"/>
    <n v="0"/>
    <n v="0"/>
    <n v="0"/>
    <n v="0"/>
    <n v="0"/>
    <n v="0"/>
    <n v="0"/>
    <x v="0"/>
    <x v="0"/>
    <x v="8"/>
    <n v="15"/>
    <m/>
    <n v="1.25"/>
    <n v="1.25"/>
    <n v="1.25"/>
    <n v="1.25"/>
    <m/>
    <m/>
    <m/>
    <m/>
    <m/>
    <m/>
    <m/>
    <m/>
    <m/>
    <m/>
    <m/>
    <m/>
    <m/>
    <m/>
    <m/>
    <n v="5"/>
    <n v="5"/>
  </r>
  <r>
    <n v="54"/>
    <x v="1"/>
    <s v="2019/4915"/>
    <s v="Ransomes Dock, 35-37 Parkgate Road (Ransomes Dock Business Centre)"/>
    <s v=""/>
    <n v="527320"/>
    <n v="177144"/>
    <x v="17"/>
    <m/>
    <m/>
    <n v="0"/>
    <n v="5"/>
    <n v="5"/>
    <n v="5"/>
    <n v="5"/>
    <x v="1"/>
    <s v="Demolition of the existing second floor extension to Buildings 1 &amp; 2. Alterations including erection of two-storey extension above Buildings 1 &amp; 2 at second and third floor levels; installation of replacement electricity substation; installation of new link bridge between Building 2 and Building 3; installation of new and replacement external access staircases, in connection with the provision of five new residential units (4 x 3-bedroom units and 1 x 4-bedroom unit) and use of basement for flexible B1/D1 uses, with associated new cycle parking at ground floor level."/>
    <s v="PFLA"/>
    <d v="2020-10-08T00:00:00"/>
    <d v="2021-03-01T00:00:00"/>
    <x v="0"/>
    <s v="Nil"/>
    <m/>
    <s v="BF"/>
    <s v="EXT"/>
    <x v="2"/>
    <x v="2"/>
    <n v="0.02"/>
    <m/>
    <x v="0"/>
    <m/>
    <x v="2"/>
    <s v="M"/>
    <s v=""/>
    <m/>
    <n v="0"/>
    <m/>
    <n v="0"/>
    <m/>
    <n v="0"/>
    <n v="0"/>
    <n v="0"/>
    <n v="4"/>
    <n v="1"/>
    <n v="0"/>
    <n v="0"/>
    <n v="0"/>
    <n v="0"/>
    <n v="0"/>
    <n v="4"/>
    <n v="1"/>
    <n v="0"/>
    <n v="0"/>
    <n v="0"/>
    <n v="0"/>
    <n v="0"/>
    <n v="0"/>
    <n v="0"/>
    <n v="0"/>
    <n v="0"/>
    <n v="0"/>
    <n v="0"/>
    <n v="0"/>
    <n v="0"/>
    <n v="0"/>
    <n v="0"/>
    <n v="0"/>
    <x v="0"/>
    <x v="0"/>
    <x v="8"/>
    <n v="15"/>
    <m/>
    <n v="1.25"/>
    <n v="1.25"/>
    <n v="1.25"/>
    <n v="1.25"/>
    <m/>
    <m/>
    <m/>
    <m/>
    <m/>
    <m/>
    <m/>
    <m/>
    <m/>
    <m/>
    <m/>
    <m/>
    <m/>
    <m/>
    <m/>
    <n v="5"/>
    <n v="5"/>
  </r>
  <r>
    <n v="2356"/>
    <x v="1"/>
    <s v="2020/4991"/>
    <s v="The Forester, 114 Allfarthing Lane"/>
    <s v=""/>
    <n v="525955"/>
    <n v="174077"/>
    <x v="6"/>
    <m/>
    <m/>
    <n v="0"/>
    <n v="5"/>
    <n v="5"/>
    <n v="5"/>
    <n v="5"/>
    <x v="1"/>
    <s v="Alterations including erection of side extensions at second floor level and part single/part two storey side extensions at first floor level, formation of front and side lightwells and alterations to fenestration in connection with change of use from day nursery (Class D) to residential (Class C3) to provide 1 x 3-bedroom, 1 x 2-bedroom and 3 x 1-bedroom flats with associated refuse storage."/>
    <s v="PF"/>
    <d v="2020-12-21T00:00:00"/>
    <d v="2021-03-24T00:00:00"/>
    <x v="0"/>
    <s v="Nil"/>
    <m/>
    <s v="BF"/>
    <s v="MIX"/>
    <x v="2"/>
    <x v="3"/>
    <n v="4.1000000000000002E-2"/>
    <m/>
    <x v="0"/>
    <m/>
    <x v="2"/>
    <s v="M"/>
    <s v=""/>
    <m/>
    <n v="0"/>
    <m/>
    <n v="0"/>
    <m/>
    <n v="0"/>
    <n v="3"/>
    <n v="1"/>
    <n v="1"/>
    <n v="0"/>
    <n v="0"/>
    <n v="0"/>
    <n v="0"/>
    <n v="3"/>
    <n v="1"/>
    <n v="1"/>
    <n v="0"/>
    <n v="0"/>
    <n v="0"/>
    <n v="0"/>
    <n v="0"/>
    <n v="0"/>
    <n v="0"/>
    <n v="0"/>
    <n v="0"/>
    <n v="0"/>
    <n v="0"/>
    <n v="0"/>
    <n v="0"/>
    <n v="0"/>
    <n v="0"/>
    <n v="0"/>
    <n v="0"/>
    <x v="0"/>
    <x v="0"/>
    <x v="1"/>
    <n v="15"/>
    <m/>
    <n v="1.25"/>
    <n v="1.25"/>
    <n v="1.25"/>
    <n v="1.25"/>
    <m/>
    <m/>
    <m/>
    <m/>
    <m/>
    <m/>
    <m/>
    <m/>
    <m/>
    <m/>
    <m/>
    <m/>
    <m/>
    <m/>
    <m/>
    <n v="5"/>
    <n v="5"/>
  </r>
  <r>
    <n v="7343"/>
    <x v="1"/>
    <s v="2022/3829"/>
    <s v="Unit B, Molasses House, Clove Hitch Quay (Plantation Wharf)"/>
    <s v=""/>
    <n v="526450"/>
    <n v="175834"/>
    <x v="5"/>
    <m/>
    <m/>
    <n v="0"/>
    <n v="5"/>
    <n v="5"/>
    <n v="5"/>
    <n v="5"/>
    <x v="1"/>
    <s v="Determination as to whether prior approval is required for change of use from office at ground floor level from (Class E) to residential (Class C3) to provide 5 x 1-bedroom flats."/>
    <s v="PAG"/>
    <d v="2022-09-02T00:00:00"/>
    <d v="2022-10-21T00:00:00"/>
    <x v="1"/>
    <s v="Nil"/>
    <m/>
    <s v="BF"/>
    <s v="COU"/>
    <x v="2"/>
    <x v="6"/>
    <n v="3.0300000000000001E-2"/>
    <m/>
    <x v="0"/>
    <m/>
    <x v="2"/>
    <s v="M"/>
    <s v=""/>
    <m/>
    <n v="0"/>
    <m/>
    <n v="0"/>
    <m/>
    <n v="0"/>
    <n v="5"/>
    <n v="0"/>
    <n v="0"/>
    <n v="0"/>
    <n v="0"/>
    <n v="0"/>
    <n v="0"/>
    <n v="5"/>
    <n v="0"/>
    <n v="0"/>
    <n v="0"/>
    <n v="0"/>
    <n v="0"/>
    <n v="0"/>
    <n v="0"/>
    <n v="0"/>
    <n v="0"/>
    <n v="0"/>
    <n v="0"/>
    <n v="0"/>
    <n v="0"/>
    <n v="0"/>
    <n v="0"/>
    <n v="0"/>
    <n v="0"/>
    <n v="0"/>
    <n v="0"/>
    <x v="0"/>
    <x v="0"/>
    <x v="8"/>
    <n v="15"/>
    <m/>
    <n v="1.25"/>
    <n v="1.25"/>
    <n v="1.25"/>
    <n v="1.25"/>
    <m/>
    <m/>
    <m/>
    <m/>
    <m/>
    <m/>
    <m/>
    <m/>
    <m/>
    <m/>
    <m/>
    <m/>
    <m/>
    <m/>
    <m/>
    <n v="5"/>
    <n v="5"/>
  </r>
  <r>
    <n v="7382"/>
    <x v="1"/>
    <s v="2022/1789"/>
    <s v="133 Lavender Hill"/>
    <s v=""/>
    <n v="528107"/>
    <n v="175629"/>
    <x v="12"/>
    <m/>
    <m/>
    <n v="1"/>
    <n v="5"/>
    <n v="4"/>
    <n v="5"/>
    <n v="4"/>
    <x v="1"/>
    <s v="Erection of part single, part three-storey rear extension (top floor within roof) with first floor roof terrace, side dormer and external access stairs; replacement of shopfront with wall, windows and two entrance doors; Alterations and extensions in connection with change of use from restaurant (Class E) to 5 x 1-bedroom flats (Class C3)."/>
    <s v="PF"/>
    <d v="2022-10-12T00:00:00"/>
    <d v="2022-12-16T00:00:00"/>
    <x v="1"/>
    <s v="Nil"/>
    <m/>
    <s v="BF"/>
    <s v="MIX"/>
    <x v="2"/>
    <x v="3"/>
    <n v="0.01"/>
    <m/>
    <x v="0"/>
    <m/>
    <x v="2"/>
    <s v="M"/>
    <s v=""/>
    <m/>
    <n v="0"/>
    <m/>
    <n v="0"/>
    <m/>
    <n v="0"/>
    <n v="5"/>
    <n v="-1"/>
    <n v="0"/>
    <n v="0"/>
    <n v="0"/>
    <n v="0"/>
    <n v="0"/>
    <n v="5"/>
    <n v="-1"/>
    <n v="0"/>
    <n v="0"/>
    <n v="0"/>
    <n v="0"/>
    <n v="0"/>
    <n v="0"/>
    <n v="0"/>
    <n v="0"/>
    <n v="0"/>
    <n v="0"/>
    <n v="0"/>
    <n v="0"/>
    <n v="0"/>
    <n v="0"/>
    <n v="0"/>
    <n v="0"/>
    <n v="0"/>
    <n v="0"/>
    <x v="0"/>
    <x v="0"/>
    <x v="1"/>
    <n v="15"/>
    <m/>
    <n v="1"/>
    <n v="1"/>
    <n v="1"/>
    <n v="1"/>
    <m/>
    <m/>
    <m/>
    <m/>
    <m/>
    <m/>
    <m/>
    <m/>
    <m/>
    <m/>
    <m/>
    <m/>
    <m/>
    <m/>
    <m/>
    <n v="4"/>
    <n v="4"/>
  </r>
  <r>
    <n v="7494"/>
    <x v="1"/>
    <s v="2020/4047"/>
    <s v="140a and142a, Putney High Street"/>
    <s v=""/>
    <n v="523975"/>
    <n v="175188"/>
    <x v="0"/>
    <m/>
    <m/>
    <n v="2"/>
    <n v="6"/>
    <n v="4"/>
    <n v="6"/>
    <n v="4"/>
    <x v="1"/>
    <s v="Alterations including erection of roof extension to provide additional floor of accommodation, erection of part single/part three storey rear extensions in connection with creation of 2 x 2-bedroom and 4 x 1- bedroom flats."/>
    <s v="PF"/>
    <d v="2020-11-23T00:00:00"/>
    <d v="2021-04-22T00:00:00"/>
    <x v="0"/>
    <s v="Nil"/>
    <m/>
    <s v="BF"/>
    <s v="MIX"/>
    <x v="2"/>
    <x v="2"/>
    <n v="8.9999999999999993E-3"/>
    <m/>
    <x v="0"/>
    <m/>
    <x v="2"/>
    <s v="M"/>
    <s v=""/>
    <m/>
    <n v="0"/>
    <m/>
    <n v="0"/>
    <m/>
    <n v="0"/>
    <n v="4"/>
    <n v="1"/>
    <n v="-1"/>
    <n v="0"/>
    <n v="0"/>
    <n v="0"/>
    <n v="0"/>
    <n v="4"/>
    <n v="1"/>
    <n v="-1"/>
    <n v="0"/>
    <n v="0"/>
    <n v="0"/>
    <n v="0"/>
    <n v="0"/>
    <n v="0"/>
    <n v="0"/>
    <n v="0"/>
    <n v="0"/>
    <n v="0"/>
    <n v="0"/>
    <n v="0"/>
    <n v="0"/>
    <n v="0"/>
    <n v="0"/>
    <n v="0"/>
    <n v="0"/>
    <x v="4"/>
    <x v="0"/>
    <x v="4"/>
    <n v="15"/>
    <m/>
    <n v="1"/>
    <n v="1"/>
    <n v="1"/>
    <n v="1"/>
    <m/>
    <m/>
    <m/>
    <m/>
    <m/>
    <m/>
    <m/>
    <m/>
    <m/>
    <m/>
    <m/>
    <m/>
    <m/>
    <m/>
    <m/>
    <n v="4"/>
    <n v="4"/>
  </r>
  <r>
    <n v="7024"/>
    <x v="1"/>
    <s v="2021/3556"/>
    <s v="17-19 St Anns Park Road"/>
    <s v=""/>
    <n v="526226"/>
    <n v="174119"/>
    <x v="11"/>
    <m/>
    <m/>
    <n v="5"/>
    <n v="6"/>
    <n v="1"/>
    <n v="6"/>
    <n v="1"/>
    <x v="1"/>
    <s v="Alterations including erection of replacement main roof, raising the ridge by 1.1m with dormers to all elevations; infilling extension to first floor; replacement fenestration throughout in connection with use as 1 x studio, 2 x 2-bed and 3 x 1-bed flats; enlarge refuse and cycle stores in front garden."/>
    <s v="PF"/>
    <d v="2021-07-28T00:00:00"/>
    <d v="2021-12-15T00:00:00"/>
    <x v="0"/>
    <s v="Nil"/>
    <m/>
    <s v="BF"/>
    <s v="CON"/>
    <x v="2"/>
    <x v="7"/>
    <n v="1.0999999999999999E-2"/>
    <m/>
    <x v="0"/>
    <m/>
    <x v="2"/>
    <s v="M"/>
    <s v=""/>
    <m/>
    <n v="0"/>
    <m/>
    <n v="0"/>
    <m/>
    <n v="0"/>
    <n v="0"/>
    <n v="1"/>
    <n v="0"/>
    <n v="0"/>
    <n v="0"/>
    <n v="0"/>
    <n v="0"/>
    <n v="0"/>
    <n v="1"/>
    <n v="0"/>
    <n v="0"/>
    <n v="0"/>
    <n v="0"/>
    <n v="0"/>
    <n v="0"/>
    <n v="0"/>
    <n v="0"/>
    <n v="0"/>
    <n v="0"/>
    <n v="0"/>
    <n v="0"/>
    <n v="0"/>
    <n v="0"/>
    <n v="0"/>
    <n v="0"/>
    <n v="0"/>
    <n v="0"/>
    <x v="0"/>
    <x v="0"/>
    <x v="1"/>
    <n v="12"/>
    <m/>
    <n v="1"/>
    <m/>
    <m/>
    <m/>
    <m/>
    <m/>
    <m/>
    <m/>
    <m/>
    <m/>
    <m/>
    <m/>
    <m/>
    <m/>
    <m/>
    <m/>
    <m/>
    <m/>
    <m/>
    <n v="1"/>
    <n v="1"/>
  </r>
  <r>
    <n v="7633"/>
    <x v="1"/>
    <s v="2021/1938"/>
    <s v="34 Putney Hill"/>
    <s v=""/>
    <n v="523910"/>
    <n v="174891"/>
    <x v="18"/>
    <m/>
    <m/>
    <n v="2"/>
    <n v="6"/>
    <n v="4"/>
    <n v="6"/>
    <n v="4"/>
    <x v="1"/>
    <s v="Alterations including erection of a two storey (including basement) rear extension; Erection of a single storey outbuilding to rear garden; Alterations to front entrance stair; Alterations to side boundary wall, installation of a metal side access gate and removal of roller shutter door, in connection with conversion to 2 x 3-bed, 3 x 2-bed and 1 x 1- bed flats, with associated refuse and cycle storage."/>
    <s v="PF"/>
    <d v="2021-05-20T00:00:00"/>
    <d v="2021-07-28T00:00:00"/>
    <x v="0"/>
    <s v="Nil"/>
    <m/>
    <s v="BF"/>
    <s v="MIX"/>
    <x v="2"/>
    <x v="7"/>
    <n v="9.7000000000000003E-3"/>
    <m/>
    <x v="0"/>
    <m/>
    <x v="2"/>
    <s v="M"/>
    <s v=""/>
    <m/>
    <n v="0"/>
    <m/>
    <n v="0"/>
    <m/>
    <n v="0"/>
    <n v="1"/>
    <n v="2"/>
    <n v="2"/>
    <n v="0"/>
    <n v="-1"/>
    <n v="0"/>
    <n v="0"/>
    <n v="1"/>
    <n v="2"/>
    <n v="2"/>
    <n v="0"/>
    <n v="-1"/>
    <n v="0"/>
    <n v="0"/>
    <n v="0"/>
    <n v="0"/>
    <n v="0"/>
    <n v="0"/>
    <n v="0"/>
    <n v="0"/>
    <n v="0"/>
    <n v="0"/>
    <n v="0"/>
    <n v="0"/>
    <n v="0"/>
    <n v="0"/>
    <n v="0"/>
    <x v="0"/>
    <x v="0"/>
    <x v="1"/>
    <n v="15"/>
    <m/>
    <n v="1"/>
    <n v="1"/>
    <n v="1"/>
    <n v="1"/>
    <m/>
    <m/>
    <m/>
    <m/>
    <m/>
    <m/>
    <m/>
    <m/>
    <m/>
    <m/>
    <m/>
    <m/>
    <m/>
    <m/>
    <m/>
    <n v="4"/>
    <n v="4"/>
  </r>
  <r>
    <n v="6979"/>
    <x v="1"/>
    <s v="2019/4409"/>
    <s v="99-105 Moyser Road"/>
    <s v=""/>
    <n v="528847"/>
    <n v="171190"/>
    <x v="13"/>
    <m/>
    <m/>
    <n v="0"/>
    <n v="4"/>
    <n v="4"/>
    <n v="4"/>
    <n v="4"/>
    <x v="1"/>
    <s v="Alterations including erection of roof extension to provide additional floor of accommodation and creation of 3 x 1-bedroom and a studio flats."/>
    <s v="PF"/>
    <d v="2019-10-31T00:00:00"/>
    <d v="2020-07-07T00:00:00"/>
    <x v="0"/>
    <s v="Nil"/>
    <m/>
    <s v="BF"/>
    <s v="EXT"/>
    <x v="2"/>
    <x v="2"/>
    <n v="7.0000000000000001E-3"/>
    <m/>
    <x v="0"/>
    <m/>
    <x v="2"/>
    <s v="M"/>
    <s v=""/>
    <m/>
    <n v="0"/>
    <m/>
    <n v="0"/>
    <m/>
    <n v="1"/>
    <n v="3"/>
    <n v="0"/>
    <n v="0"/>
    <n v="0"/>
    <n v="0"/>
    <n v="0"/>
    <n v="1"/>
    <n v="3"/>
    <n v="0"/>
    <n v="0"/>
    <n v="0"/>
    <n v="0"/>
    <n v="0"/>
    <n v="0"/>
    <n v="0"/>
    <n v="0"/>
    <n v="0"/>
    <n v="0"/>
    <n v="0"/>
    <n v="0"/>
    <n v="0"/>
    <n v="0"/>
    <n v="0"/>
    <n v="0"/>
    <n v="0"/>
    <n v="0"/>
    <n v="0"/>
    <x v="0"/>
    <x v="0"/>
    <x v="1"/>
    <n v="15"/>
    <m/>
    <n v="1"/>
    <n v="1"/>
    <n v="1"/>
    <n v="1"/>
    <m/>
    <m/>
    <m/>
    <m/>
    <m/>
    <m/>
    <m/>
    <m/>
    <m/>
    <m/>
    <m/>
    <m/>
    <m/>
    <m/>
    <m/>
    <n v="4"/>
    <n v="4"/>
  </r>
  <r>
    <n v="7182"/>
    <x v="1"/>
    <s v="2019/1945"/>
    <s v="Burdwood Court, 46 Putney Hill"/>
    <s v=""/>
    <n v="523838"/>
    <n v="174742"/>
    <x v="18"/>
    <m/>
    <m/>
    <n v="0"/>
    <n v="4"/>
    <n v="4"/>
    <n v="4"/>
    <n v="4"/>
    <x v="1"/>
    <s v="Erection of additional storey of at fourth floor level to provide 4 x 1-bedroom flats including two roof terraces;  installation of replacement fenestration to all elevations."/>
    <s v="PF"/>
    <d v="2019-05-03T00:00:00"/>
    <d v="2019-11-28T00:00:00"/>
    <x v="0"/>
    <s v="Nil"/>
    <m/>
    <s v="BF"/>
    <s v="MIX"/>
    <x v="2"/>
    <x v="3"/>
    <n v="1.7999999999999999E-2"/>
    <m/>
    <x v="0"/>
    <m/>
    <x v="2"/>
    <s v="M"/>
    <s v=""/>
    <m/>
    <n v="0"/>
    <m/>
    <n v="0"/>
    <m/>
    <n v="0"/>
    <n v="4"/>
    <n v="0"/>
    <n v="0"/>
    <n v="0"/>
    <n v="0"/>
    <n v="0"/>
    <n v="0"/>
    <n v="4"/>
    <n v="0"/>
    <n v="0"/>
    <n v="0"/>
    <n v="0"/>
    <n v="0"/>
    <n v="0"/>
    <n v="0"/>
    <n v="0"/>
    <n v="0"/>
    <n v="0"/>
    <n v="0"/>
    <n v="0"/>
    <n v="0"/>
    <n v="0"/>
    <n v="0"/>
    <n v="0"/>
    <n v="0"/>
    <n v="0"/>
    <n v="0"/>
    <x v="0"/>
    <x v="0"/>
    <x v="1"/>
    <n v="15"/>
    <m/>
    <n v="1"/>
    <n v="1"/>
    <n v="1"/>
    <n v="1"/>
    <m/>
    <m/>
    <m/>
    <m/>
    <m/>
    <m/>
    <m/>
    <m/>
    <m/>
    <m/>
    <m/>
    <m/>
    <m/>
    <m/>
    <m/>
    <n v="4"/>
    <n v="4"/>
  </r>
  <r>
    <n v="6374"/>
    <x v="1"/>
    <s v="2021/3860"/>
    <s v="Unit C, Molasses House, Clove Hitch Quay (Plantation Wharf)"/>
    <s v=""/>
    <n v="526468"/>
    <n v="175853"/>
    <x v="5"/>
    <m/>
    <m/>
    <n v="0"/>
    <n v="4"/>
    <n v="4"/>
    <n v="4"/>
    <n v="4"/>
    <x v="1"/>
    <s v="Determination as to whether prior approval required for change of use from Commercial use (Class E) to residential (Class C3) to provide 4 x 1-bedroom flats."/>
    <s v="PAG"/>
    <d v="2021-08-16T00:00:00"/>
    <d v="2021-10-13T00:00:00"/>
    <x v="0"/>
    <s v="Nil"/>
    <m/>
    <s v="BF"/>
    <s v="COU"/>
    <x v="2"/>
    <x v="3"/>
    <n v="6.0000000000000001E-3"/>
    <m/>
    <x v="0"/>
    <m/>
    <x v="2"/>
    <s v="M"/>
    <s v="10.15"/>
    <m/>
    <n v="0"/>
    <m/>
    <n v="0"/>
    <m/>
    <n v="0"/>
    <n v="4"/>
    <n v="0"/>
    <n v="0"/>
    <n v="0"/>
    <n v="0"/>
    <n v="0"/>
    <n v="0"/>
    <n v="4"/>
    <n v="0"/>
    <n v="0"/>
    <n v="0"/>
    <n v="0"/>
    <n v="0"/>
    <n v="0"/>
    <n v="0"/>
    <n v="0"/>
    <n v="0"/>
    <n v="0"/>
    <n v="0"/>
    <n v="0"/>
    <n v="0"/>
    <n v="0"/>
    <n v="0"/>
    <n v="0"/>
    <n v="0"/>
    <n v="0"/>
    <n v="0"/>
    <x v="0"/>
    <x v="0"/>
    <x v="8"/>
    <n v="15"/>
    <m/>
    <n v="1"/>
    <n v="1"/>
    <n v="1"/>
    <n v="1"/>
    <m/>
    <m/>
    <m/>
    <m/>
    <m/>
    <m/>
    <m/>
    <m/>
    <m/>
    <m/>
    <m/>
    <m/>
    <m/>
    <m/>
    <m/>
    <n v="4"/>
    <n v="4"/>
  </r>
  <r>
    <n v="2482"/>
    <x v="1"/>
    <s v="2021/2183"/>
    <s v="1 Wadham Road"/>
    <s v=""/>
    <n v="524517"/>
    <n v="175256"/>
    <x v="0"/>
    <m/>
    <m/>
    <n v="2"/>
    <n v="5"/>
    <n v="3"/>
    <n v="5"/>
    <n v="3"/>
    <x v="1"/>
    <s v="Alterations including erection of roof extension to provide an additional_x000a_floor of accommodation and side dormer (with French doors and safety_x000a_railings) and formation of roof terrace above three-storey addition in_x000a_connection change of use from retail (class A1) to residential (Class_x000a_C3) 3 x1 bedroom flats"/>
    <s v="PF"/>
    <d v="2021-05-27T00:00:00"/>
    <d v="2021-09-06T00:00:00"/>
    <x v="0"/>
    <s v="Nil"/>
    <m/>
    <s v="BF"/>
    <s v="MIX"/>
    <x v="2"/>
    <x v="4"/>
    <n v="7.7999999999999996E-3"/>
    <m/>
    <x v="0"/>
    <m/>
    <x v="2"/>
    <s v="MR"/>
    <s v=""/>
    <m/>
    <n v="0"/>
    <m/>
    <n v="0"/>
    <m/>
    <n v="1"/>
    <n v="3"/>
    <n v="-1"/>
    <n v="0"/>
    <n v="0"/>
    <n v="0"/>
    <n v="0"/>
    <n v="1"/>
    <n v="3"/>
    <n v="-1"/>
    <n v="0"/>
    <n v="0"/>
    <n v="0"/>
    <n v="0"/>
    <n v="0"/>
    <n v="0"/>
    <n v="0"/>
    <n v="0"/>
    <n v="0"/>
    <n v="0"/>
    <n v="0"/>
    <n v="0"/>
    <n v="0"/>
    <n v="0"/>
    <n v="0"/>
    <n v="0"/>
    <n v="0"/>
    <n v="0"/>
    <x v="0"/>
    <x v="0"/>
    <x v="1"/>
    <n v="15"/>
    <m/>
    <n v="0.75"/>
    <n v="0.75"/>
    <n v="0.75"/>
    <n v="0.75"/>
    <m/>
    <m/>
    <m/>
    <m/>
    <m/>
    <m/>
    <m/>
    <m/>
    <m/>
    <m/>
    <m/>
    <m/>
    <m/>
    <m/>
    <m/>
    <n v="3"/>
    <n v="3"/>
  </r>
  <r>
    <n v="7829"/>
    <x v="1"/>
    <s v="2022/1557"/>
    <s v="116 Disraeli Road"/>
    <s v=""/>
    <n v="524414"/>
    <n v="175024"/>
    <x v="0"/>
    <m/>
    <m/>
    <n v="1"/>
    <n v="4"/>
    <n v="3"/>
    <n v="4"/>
    <n v="3"/>
    <x v="1"/>
    <s v="Alterations including excavation to create basement with formation of front lightwell. Erection of ground and first floor rear extensions and a mansard roof extension to main rear roof (with French doors and balcony.) in connection with the conversion of the property into 4 self-contained residential units (2 x 2-bedroom and 2 x 3-bedroom units)"/>
    <s v="PF"/>
    <d v="2022-04-13T00:00:00"/>
    <d v="2022-06-16T00:00:00"/>
    <x v="1"/>
    <s v="Nil"/>
    <m/>
    <s v="BF"/>
    <s v="MIX"/>
    <x v="2"/>
    <x v="5"/>
    <n v="1.0264000000000001E-2"/>
    <m/>
    <x v="0"/>
    <m/>
    <x v="2"/>
    <s v="M"/>
    <s v=""/>
    <m/>
    <n v="0"/>
    <m/>
    <n v="0"/>
    <m/>
    <n v="0"/>
    <n v="0"/>
    <n v="3"/>
    <n v="1"/>
    <n v="0"/>
    <n v="-1"/>
    <n v="0"/>
    <n v="0"/>
    <n v="0"/>
    <n v="3"/>
    <n v="1"/>
    <n v="0"/>
    <n v="0"/>
    <n v="0"/>
    <n v="0"/>
    <n v="0"/>
    <n v="0"/>
    <n v="0"/>
    <n v="0"/>
    <n v="-1"/>
    <n v="0"/>
    <n v="0"/>
    <n v="0"/>
    <n v="0"/>
    <n v="0"/>
    <n v="0"/>
    <n v="0"/>
    <n v="0"/>
    <x v="0"/>
    <x v="0"/>
    <x v="1"/>
    <n v="15"/>
    <m/>
    <n v="0.75"/>
    <n v="0.75"/>
    <n v="0.75"/>
    <n v="0.75"/>
    <m/>
    <m/>
    <m/>
    <m/>
    <m/>
    <m/>
    <m/>
    <m/>
    <m/>
    <m/>
    <m/>
    <m/>
    <m/>
    <m/>
    <m/>
    <n v="3"/>
    <n v="3"/>
  </r>
  <r>
    <n v="6810"/>
    <x v="1"/>
    <s v="2018/0576"/>
    <s v="123 Roehampton Vale"/>
    <s v=""/>
    <n v="521688"/>
    <n v="172441"/>
    <x v="16"/>
    <m/>
    <m/>
    <n v="1"/>
    <n v="4"/>
    <n v="3"/>
    <n v="4"/>
    <n v="3"/>
    <x v="1"/>
    <s v="Erection of a side and rear roof extension; erection of a part-single, part-two-storey rear extension; conversion of property to 1 x 1-bedroom, 2 x 2-bedroom and 1 x 3-bedroom flats."/>
    <s v="PF"/>
    <d v="2018-02-16T00:00:00"/>
    <d v="2018-05-21T00:00:00"/>
    <x v="0"/>
    <s v="Nil"/>
    <m/>
    <s v="BF"/>
    <s v="MIX"/>
    <x v="2"/>
    <x v="5"/>
    <n v="0.05"/>
    <m/>
    <x v="0"/>
    <m/>
    <x v="2"/>
    <s v="M"/>
    <s v=""/>
    <m/>
    <n v="0"/>
    <m/>
    <n v="0"/>
    <m/>
    <n v="0"/>
    <n v="1"/>
    <n v="2"/>
    <n v="1"/>
    <n v="0"/>
    <n v="-1"/>
    <n v="0"/>
    <n v="0"/>
    <n v="1"/>
    <n v="2"/>
    <n v="1"/>
    <n v="0"/>
    <n v="0"/>
    <n v="0"/>
    <n v="0"/>
    <n v="0"/>
    <n v="0"/>
    <n v="0"/>
    <n v="0"/>
    <n v="-1"/>
    <n v="0"/>
    <n v="0"/>
    <n v="0"/>
    <n v="0"/>
    <n v="0"/>
    <n v="0"/>
    <n v="0"/>
    <n v="0"/>
    <x v="0"/>
    <x v="0"/>
    <x v="1"/>
    <n v="15"/>
    <m/>
    <n v="0.75"/>
    <n v="0.75"/>
    <n v="0.75"/>
    <n v="0.75"/>
    <m/>
    <m/>
    <m/>
    <m/>
    <m/>
    <m/>
    <m/>
    <m/>
    <m/>
    <m/>
    <m/>
    <m/>
    <m/>
    <m/>
    <m/>
    <n v="3"/>
    <n v="3"/>
  </r>
  <r>
    <n v="5410"/>
    <x v="1"/>
    <s v="2021/2262"/>
    <s v="129-139 Beaumont Road"/>
    <s v=""/>
    <n v="524095"/>
    <n v="173645"/>
    <x v="19"/>
    <m/>
    <m/>
    <n v="0"/>
    <n v="3"/>
    <n v="3"/>
    <n v="3"/>
    <n v="3"/>
    <x v="1"/>
    <s v="Erection of an additional floor to the roof of the existing building, to accommodate 3no. flats (1x1Bed, 1x2Bed &amp; 1x3Bed)."/>
    <s v="PFLA"/>
    <d v="2021-06-29T00:00:00"/>
    <d v="2022-04-21T00:00:00"/>
    <x v="1"/>
    <s v="Nil"/>
    <m/>
    <s v="BF"/>
    <s v="EXT"/>
    <x v="2"/>
    <x v="2"/>
    <n v="2.8400000000000002E-2"/>
    <m/>
    <x v="0"/>
    <m/>
    <x v="2"/>
    <s v="M"/>
    <s v=""/>
    <m/>
    <n v="0"/>
    <m/>
    <n v="0"/>
    <m/>
    <n v="0"/>
    <n v="1"/>
    <n v="1"/>
    <n v="1"/>
    <n v="0"/>
    <n v="0"/>
    <n v="0"/>
    <n v="0"/>
    <n v="1"/>
    <n v="1"/>
    <n v="1"/>
    <n v="0"/>
    <n v="0"/>
    <n v="0"/>
    <n v="0"/>
    <n v="0"/>
    <n v="0"/>
    <n v="0"/>
    <n v="0"/>
    <n v="0"/>
    <n v="0"/>
    <n v="0"/>
    <n v="0"/>
    <n v="0"/>
    <n v="0"/>
    <n v="0"/>
    <n v="0"/>
    <n v="0"/>
    <x v="0"/>
    <x v="0"/>
    <x v="1"/>
    <n v="15"/>
    <m/>
    <n v="0.75"/>
    <n v="0.75"/>
    <n v="0.75"/>
    <n v="0.75"/>
    <m/>
    <m/>
    <m/>
    <m/>
    <m/>
    <m/>
    <m/>
    <m/>
    <m/>
    <m/>
    <m/>
    <m/>
    <m/>
    <m/>
    <m/>
    <n v="3"/>
    <n v="3"/>
  </r>
  <r>
    <n v="6817"/>
    <x v="1"/>
    <s v="2022/4091"/>
    <s v="142-144 Tooting Bec Road"/>
    <s v=""/>
    <n v="528402"/>
    <n v="172041"/>
    <x v="9"/>
    <m/>
    <m/>
    <n v="1"/>
    <n v="4"/>
    <n v="3"/>
    <n v="4"/>
    <n v="3"/>
    <x v="1"/>
    <s v="Alterations including erection of front and rear dormer roof extensions to the main roof, including raising the ridge by 500mm;  Erection of a first floor (plus roof) rear extension and installation of French doors and safety railing to first floor rear elevation; replacement of windows; alterations to shopfront and rear access including staircase enclosure, in connection with conversion to 3 x studios and 1 x 2 bedroom flats, with associated refuse and cycle storage; and part change of use of rear ground floor from commercial (Class E) to residential (Class C3)."/>
    <s v="PF"/>
    <d v="2022-10-19T00:00:00"/>
    <d v="2023-03-28T00:00:00"/>
    <x v="1"/>
    <s v="Nil"/>
    <m/>
    <s v="BF"/>
    <s v="MIX"/>
    <x v="2"/>
    <x v="7"/>
    <n v="1.4E-2"/>
    <m/>
    <x v="0"/>
    <m/>
    <x v="2"/>
    <s v="MR"/>
    <s v=""/>
    <m/>
    <n v="0"/>
    <m/>
    <n v="0"/>
    <m/>
    <n v="3"/>
    <n v="0"/>
    <n v="0"/>
    <n v="0"/>
    <n v="0"/>
    <n v="0"/>
    <n v="0"/>
    <n v="3"/>
    <n v="0"/>
    <n v="0"/>
    <n v="0"/>
    <n v="0"/>
    <n v="0"/>
    <n v="0"/>
    <n v="0"/>
    <n v="0"/>
    <n v="0"/>
    <n v="0"/>
    <n v="0"/>
    <n v="0"/>
    <n v="0"/>
    <n v="0"/>
    <n v="0"/>
    <n v="0"/>
    <n v="0"/>
    <n v="0"/>
    <n v="0"/>
    <n v="0"/>
    <x v="0"/>
    <x v="0"/>
    <x v="1"/>
    <n v="15"/>
    <m/>
    <n v="0.75"/>
    <n v="0.75"/>
    <n v="0.75"/>
    <n v="0.75"/>
    <m/>
    <m/>
    <m/>
    <m/>
    <m/>
    <m/>
    <m/>
    <m/>
    <m/>
    <m/>
    <m/>
    <m/>
    <m/>
    <m/>
    <m/>
    <n v="3"/>
    <n v="3"/>
  </r>
  <r>
    <n v="7640"/>
    <x v="1"/>
    <s v="2022/4451"/>
    <s v="172-174 Tooting High Street"/>
    <s v=""/>
    <n v="527216"/>
    <n v="171096"/>
    <x v="3"/>
    <d v="2023-03-11T00:00:00"/>
    <m/>
    <n v="0"/>
    <n v="3"/>
    <n v="3"/>
    <n v="3"/>
    <n v="3"/>
    <x v="1"/>
    <s v="Alterations including erection of ground and first floor side/rear extension and part change of use from commercial (Class E) to residential (Class C3) to form 2 x 1 bedroom residential units; erection of an additional storey at third floor level to form 1 x 2 bedroom residential unit. Erection of single-storey side extension to the Class E Commercial floorspace at ground floor level and external alterations."/>
    <s v="PF"/>
    <d v="2022-10-31T00:00:00"/>
    <d v="2023-01-24T00:00:00"/>
    <x v="1"/>
    <s v="Nil"/>
    <m/>
    <s v="BF"/>
    <s v="MIX"/>
    <x v="2"/>
    <x v="2"/>
    <n v="5.3666670000000003E-3"/>
    <m/>
    <x v="0"/>
    <m/>
    <x v="2"/>
    <s v="MR"/>
    <s v=""/>
    <m/>
    <n v="0"/>
    <m/>
    <n v="0"/>
    <m/>
    <n v="0"/>
    <n v="2"/>
    <n v="1"/>
    <n v="0"/>
    <n v="0"/>
    <n v="0"/>
    <n v="0"/>
    <n v="0"/>
    <n v="2"/>
    <n v="1"/>
    <n v="0"/>
    <n v="0"/>
    <n v="0"/>
    <n v="0"/>
    <n v="0"/>
    <n v="0"/>
    <n v="0"/>
    <n v="0"/>
    <n v="0"/>
    <n v="0"/>
    <n v="0"/>
    <n v="0"/>
    <n v="0"/>
    <n v="0"/>
    <n v="0"/>
    <n v="0"/>
    <n v="0"/>
    <n v="0"/>
    <x v="0"/>
    <x v="0"/>
    <x v="3"/>
    <n v="15"/>
    <m/>
    <n v="0.75"/>
    <n v="0.75"/>
    <n v="0.75"/>
    <n v="0.75"/>
    <m/>
    <m/>
    <m/>
    <m/>
    <m/>
    <m/>
    <m/>
    <m/>
    <m/>
    <m/>
    <m/>
    <m/>
    <m/>
    <m/>
    <m/>
    <n v="3"/>
    <n v="3"/>
  </r>
  <r>
    <n v="7799"/>
    <x v="1"/>
    <s v="2022/0892"/>
    <s v="173 Earlsfield Road"/>
    <s v=""/>
    <n v="526281"/>
    <n v="173564"/>
    <x v="11"/>
    <d v="2022-07-31T00:00:00"/>
    <m/>
    <n v="1"/>
    <n v="4"/>
    <n v="3"/>
    <n v="4"/>
    <n v="3"/>
    <x v="1"/>
    <s v="Alterations in connection with conversion of existing dwellinghouse into 2 x 3-bedroom, 1 x 2-bedroom and 1 x 1-bedroom flats with associated refuse and cycle storage."/>
    <s v="PF"/>
    <d v="2022-03-02T00:00:00"/>
    <d v="2022-05-05T00:00:00"/>
    <x v="1"/>
    <s v="Nil"/>
    <m/>
    <s v="BF"/>
    <s v="CON"/>
    <x v="2"/>
    <x v="5"/>
    <n v="8.2749999999999994E-3"/>
    <m/>
    <x v="0"/>
    <m/>
    <x v="2"/>
    <s v="M"/>
    <s v=""/>
    <m/>
    <n v="0"/>
    <m/>
    <n v="0"/>
    <m/>
    <n v="0"/>
    <n v="1"/>
    <n v="1"/>
    <n v="2"/>
    <n v="0"/>
    <n v="-1"/>
    <n v="0"/>
    <n v="0"/>
    <n v="1"/>
    <n v="1"/>
    <n v="2"/>
    <n v="0"/>
    <n v="0"/>
    <n v="0"/>
    <n v="0"/>
    <n v="0"/>
    <n v="0"/>
    <n v="0"/>
    <n v="0"/>
    <n v="-1"/>
    <n v="0"/>
    <n v="0"/>
    <n v="0"/>
    <n v="0"/>
    <n v="0"/>
    <n v="0"/>
    <n v="0"/>
    <n v="0"/>
    <x v="0"/>
    <x v="0"/>
    <x v="1"/>
    <n v="15"/>
    <m/>
    <n v="0.75"/>
    <n v="0.75"/>
    <n v="0.75"/>
    <n v="0.75"/>
    <m/>
    <m/>
    <m/>
    <m/>
    <m/>
    <m/>
    <m/>
    <m/>
    <m/>
    <m/>
    <m/>
    <m/>
    <m/>
    <m/>
    <m/>
    <n v="3"/>
    <n v="3"/>
  </r>
  <r>
    <n v="3722"/>
    <x v="1"/>
    <s v="2020/3876"/>
    <s v="178 Upper Tooting Road"/>
    <s v=""/>
    <n v="527721"/>
    <n v="171876"/>
    <x v="9"/>
    <m/>
    <m/>
    <n v="0"/>
    <n v="3"/>
    <n v="3"/>
    <n v="3"/>
    <n v="3"/>
    <x v="1"/>
    <s v="Alterations including erection of a three-storey rear extension and mansard roof extension to create an additional floor of accommodation to form three x 1-bedroom flats."/>
    <s v="PF"/>
    <d v="2020-10-14T00:00:00"/>
    <d v="2021-10-19T00:00:00"/>
    <x v="0"/>
    <s v="Nil"/>
    <m/>
    <s v="BF"/>
    <s v="EXT"/>
    <x v="2"/>
    <x v="2"/>
    <n v="7.0000000000000001E-3"/>
    <m/>
    <x v="0"/>
    <m/>
    <x v="2"/>
    <s v="M"/>
    <s v=""/>
    <m/>
    <n v="0"/>
    <m/>
    <n v="0"/>
    <m/>
    <n v="0"/>
    <n v="3"/>
    <n v="0"/>
    <n v="0"/>
    <n v="0"/>
    <n v="0"/>
    <n v="0"/>
    <n v="0"/>
    <n v="3"/>
    <n v="0"/>
    <n v="0"/>
    <n v="0"/>
    <n v="0"/>
    <n v="0"/>
    <n v="0"/>
    <n v="0"/>
    <n v="0"/>
    <n v="0"/>
    <n v="0"/>
    <n v="0"/>
    <n v="0"/>
    <n v="0"/>
    <n v="0"/>
    <n v="0"/>
    <n v="0"/>
    <n v="0"/>
    <n v="0"/>
    <n v="0"/>
    <x v="2"/>
    <x v="0"/>
    <x v="3"/>
    <n v="15"/>
    <m/>
    <n v="0.75"/>
    <n v="0.75"/>
    <n v="0.75"/>
    <n v="0.75"/>
    <m/>
    <m/>
    <m/>
    <m/>
    <m/>
    <m/>
    <m/>
    <m/>
    <m/>
    <m/>
    <m/>
    <m/>
    <m/>
    <m/>
    <m/>
    <n v="3"/>
    <n v="3"/>
  </r>
  <r>
    <n v="2060"/>
    <x v="1"/>
    <s v="2020/3209"/>
    <s v="181-185 Wandsworth High Street"/>
    <s v=""/>
    <n v="525346"/>
    <n v="174649"/>
    <x v="6"/>
    <m/>
    <m/>
    <n v="0"/>
    <n v="3"/>
    <n v="3"/>
    <n v="6"/>
    <n v="3"/>
    <x v="1"/>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x v="0"/>
    <s v="Nil"/>
    <m/>
    <s v="BF"/>
    <s v="MIX"/>
    <x v="2"/>
    <x v="2"/>
    <n v="6.0000000000000001E-3"/>
    <m/>
    <x v="0"/>
    <m/>
    <x v="2"/>
    <s v="M"/>
    <s v=""/>
    <m/>
    <n v="0"/>
    <m/>
    <n v="0"/>
    <m/>
    <n v="0"/>
    <n v="3"/>
    <n v="0"/>
    <n v="0"/>
    <n v="0"/>
    <n v="0"/>
    <n v="0"/>
    <n v="0"/>
    <n v="3"/>
    <n v="0"/>
    <n v="0"/>
    <n v="0"/>
    <n v="0"/>
    <n v="0"/>
    <n v="0"/>
    <n v="0"/>
    <n v="0"/>
    <n v="0"/>
    <n v="0"/>
    <n v="0"/>
    <n v="0"/>
    <n v="0"/>
    <n v="0"/>
    <n v="0"/>
    <n v="0"/>
    <n v="0"/>
    <n v="0"/>
    <n v="0"/>
    <x v="3"/>
    <x v="0"/>
    <x v="0"/>
    <n v="15"/>
    <m/>
    <n v="0.75"/>
    <n v="0.75"/>
    <n v="0.75"/>
    <n v="0.75"/>
    <m/>
    <m/>
    <m/>
    <m/>
    <m/>
    <m/>
    <m/>
    <m/>
    <m/>
    <m/>
    <m/>
    <m/>
    <m/>
    <m/>
    <m/>
    <n v="3"/>
    <n v="3"/>
  </r>
  <r>
    <n v="5958"/>
    <x v="1"/>
    <s v="2020/4021"/>
    <s v="250 Upper Tooting Road"/>
    <s v=""/>
    <n v="527576"/>
    <n v="171713"/>
    <x v="9"/>
    <m/>
    <m/>
    <n v="0"/>
    <n v="3"/>
    <n v="3"/>
    <n v="4"/>
    <n v="2"/>
    <x v="1"/>
    <s v="Reconfiguration of first and second floors to form 4 units (1 x 2-bedroom and 3 x 1-bedroom) with the erection of ground, first and second floor rear and side extensions and installation of AC units."/>
    <s v="PF"/>
    <d v="2020-10-23T00:00:00"/>
    <d v="2020-12-18T00:00:00"/>
    <x v="0"/>
    <s v="Nil"/>
    <m/>
    <s v="BF"/>
    <s v="MIX"/>
    <x v="2"/>
    <x v="2"/>
    <n v="5.0000000000000001E-3"/>
    <m/>
    <x v="0"/>
    <m/>
    <x v="2"/>
    <s v="M"/>
    <s v=""/>
    <m/>
    <n v="0"/>
    <m/>
    <n v="0"/>
    <m/>
    <n v="0"/>
    <n v="3"/>
    <n v="0"/>
    <n v="0"/>
    <n v="0"/>
    <n v="0"/>
    <n v="0"/>
    <n v="0"/>
    <n v="3"/>
    <n v="0"/>
    <n v="0"/>
    <n v="0"/>
    <n v="0"/>
    <n v="0"/>
    <n v="0"/>
    <n v="0"/>
    <n v="0"/>
    <n v="0"/>
    <n v="0"/>
    <n v="0"/>
    <n v="0"/>
    <n v="0"/>
    <n v="0"/>
    <n v="0"/>
    <n v="0"/>
    <n v="0"/>
    <n v="0"/>
    <n v="0"/>
    <x v="2"/>
    <x v="0"/>
    <x v="3"/>
    <n v="15"/>
    <m/>
    <n v="0.75"/>
    <n v="0.75"/>
    <n v="0.75"/>
    <n v="0.75"/>
    <m/>
    <m/>
    <m/>
    <m/>
    <m/>
    <m/>
    <m/>
    <m/>
    <m/>
    <m/>
    <m/>
    <m/>
    <m/>
    <m/>
    <m/>
    <n v="3"/>
    <n v="3"/>
  </r>
  <r>
    <n v="378"/>
    <x v="1"/>
    <s v="2022/3878"/>
    <s v="190-194 Mitcham Road"/>
    <s v=""/>
    <n v="527913"/>
    <n v="170958"/>
    <x v="3"/>
    <m/>
    <m/>
    <n v="0"/>
    <n v="21"/>
    <n v="21"/>
    <n v="21"/>
    <n v="21"/>
    <x v="0"/>
    <s v="Demolition of existing building and erection of part 3 and part 4 storey building to provide 21 no. residential apartments (use class C3), and commercial/community space (use class E) together with private amenity space, blue badge parking space, access and landscaping."/>
    <s v="PFLA"/>
    <d v="2022-09-16T00:00:00"/>
    <d v="2023-03-31T00:00:00"/>
    <x v="1"/>
    <s v="Nil"/>
    <m/>
    <s v="BF"/>
    <s v="NB"/>
    <x v="0"/>
    <x v="0"/>
    <n v="4.5874999999999999E-2"/>
    <m/>
    <x v="0"/>
    <m/>
    <x v="2"/>
    <s v="M"/>
    <s v=""/>
    <m/>
    <n v="0"/>
    <n v="19"/>
    <n v="0"/>
    <n v="2"/>
    <n v="1"/>
    <n v="4"/>
    <n v="14"/>
    <n v="2"/>
    <n v="0"/>
    <n v="0"/>
    <n v="0"/>
    <n v="1"/>
    <n v="4"/>
    <n v="14"/>
    <n v="2"/>
    <n v="0"/>
    <n v="0"/>
    <n v="0"/>
    <n v="0"/>
    <n v="0"/>
    <n v="0"/>
    <n v="0"/>
    <n v="0"/>
    <n v="0"/>
    <n v="0"/>
    <n v="0"/>
    <n v="0"/>
    <n v="0"/>
    <n v="0"/>
    <n v="0"/>
    <n v="0"/>
    <n v="0"/>
    <x v="0"/>
    <x v="0"/>
    <x v="1"/>
    <n v="8"/>
    <m/>
    <m/>
    <m/>
    <n v="21"/>
    <m/>
    <m/>
    <m/>
    <m/>
    <m/>
    <m/>
    <m/>
    <m/>
    <m/>
    <m/>
    <m/>
    <m/>
    <m/>
    <m/>
    <m/>
    <m/>
    <n v="21"/>
    <n v="21"/>
  </r>
  <r>
    <n v="5122"/>
    <x v="1"/>
    <s v="2020/4248"/>
    <s v="206-208 &amp; 2A Stella Road, Mitcham Road"/>
    <s v=""/>
    <n v="527968"/>
    <n v="170921"/>
    <x v="3"/>
    <m/>
    <m/>
    <n v="4"/>
    <n v="14"/>
    <n v="10"/>
    <n v="14"/>
    <n v="10"/>
    <x v="0"/>
    <s v="Demolition of existing extensions and garage at rear of site (2A Stella Road); Erection of single-storey front extensions, part single, two and three-storey rear extensions and roof extension (to create four-storey building); Changes to design of front fenestration and addition of balconies; Erection of single-storey (with basement) building at the rear. Change of use of ground floor from Class E (retail and estate agents) to Class C3 (residential) in connection with creation of 10 additional residential units (14 in total); Provision of plant, solar panels, landscaping, boundary treatment, refuse and cycle storage, and new gated and covered access from Stella Road."/>
    <s v="PFLA"/>
    <d v="2020-11-09T00:00:00"/>
    <d v="2021-10-22T00:00:00"/>
    <x v="0"/>
    <s v="Nil"/>
    <m/>
    <s v="BF"/>
    <s v="MIX"/>
    <x v="0"/>
    <x v="0"/>
    <n v="9.9000000000000005E-2"/>
    <m/>
    <x v="0"/>
    <m/>
    <x v="2"/>
    <s v="M"/>
    <s v=""/>
    <m/>
    <n v="0"/>
    <m/>
    <n v="0"/>
    <m/>
    <n v="0"/>
    <n v="4"/>
    <n v="5"/>
    <n v="1"/>
    <n v="0"/>
    <n v="0"/>
    <n v="0"/>
    <n v="0"/>
    <n v="4"/>
    <n v="5"/>
    <n v="1"/>
    <n v="0"/>
    <n v="0"/>
    <n v="0"/>
    <n v="0"/>
    <n v="0"/>
    <n v="0"/>
    <n v="0"/>
    <n v="0"/>
    <n v="0"/>
    <n v="0"/>
    <n v="0"/>
    <n v="0"/>
    <n v="0"/>
    <n v="0"/>
    <n v="0"/>
    <n v="0"/>
    <n v="0"/>
    <x v="0"/>
    <x v="0"/>
    <x v="1"/>
    <n v="17"/>
    <m/>
    <m/>
    <m/>
    <m/>
    <m/>
    <m/>
    <n v="2.5"/>
    <n v="2.5"/>
    <n v="2.5"/>
    <n v="2.5"/>
    <m/>
    <m/>
    <m/>
    <m/>
    <m/>
    <m/>
    <m/>
    <m/>
    <m/>
    <m/>
    <n v="0"/>
    <n v="10"/>
  </r>
  <r>
    <n v="4419"/>
    <x v="1"/>
    <s v="2022/0600"/>
    <s v="214 Upper Richmond Road"/>
    <s v=""/>
    <n v="523893"/>
    <n v="175089"/>
    <x v="18"/>
    <m/>
    <m/>
    <n v="0"/>
    <n v="15"/>
    <n v="15"/>
    <n v="15"/>
    <n v="15"/>
    <x v="0"/>
    <s v="Alterations including associated external alterations to the rear of the building to install new fenestration on the first to fourth floors, the provision cycle and waste storage facilities and installation of 30 PV panels on the roof in connection with change of use from hotel (Class C1) to residential (Class C3) to provide 9 x 1-bed and 6 x 2-bed flats."/>
    <s v="PFLA"/>
    <d v="2022-03-01T00:00:00"/>
    <d v="2023-01-18T00:00:00"/>
    <x v="1"/>
    <s v="Nil"/>
    <m/>
    <s v="BF"/>
    <s v="CON"/>
    <x v="5"/>
    <x v="0"/>
    <n v="1.8259999999999998E-2"/>
    <m/>
    <x v="0"/>
    <m/>
    <x v="2"/>
    <s v="M"/>
    <s v=""/>
    <m/>
    <n v="0"/>
    <m/>
    <n v="0"/>
    <m/>
    <n v="0"/>
    <n v="9"/>
    <n v="6"/>
    <n v="0"/>
    <n v="0"/>
    <n v="0"/>
    <n v="0"/>
    <n v="0"/>
    <n v="9"/>
    <n v="6"/>
    <n v="0"/>
    <n v="0"/>
    <n v="0"/>
    <n v="0"/>
    <n v="0"/>
    <n v="0"/>
    <n v="0"/>
    <n v="0"/>
    <n v="0"/>
    <n v="0"/>
    <n v="0"/>
    <n v="0"/>
    <n v="0"/>
    <n v="0"/>
    <n v="0"/>
    <n v="0"/>
    <n v="0"/>
    <n v="0"/>
    <x v="4"/>
    <x v="0"/>
    <x v="4"/>
    <n v="16"/>
    <m/>
    <m/>
    <m/>
    <n v="15"/>
    <m/>
    <m/>
    <m/>
    <m/>
    <m/>
    <m/>
    <m/>
    <m/>
    <m/>
    <m/>
    <m/>
    <m/>
    <m/>
    <m/>
    <m/>
    <m/>
    <n v="15"/>
    <n v="15"/>
  </r>
  <r>
    <n v="4258"/>
    <x v="1"/>
    <s v="2020/1276"/>
    <s v="Badric Court Estate, Yelverton Road"/>
    <s v=""/>
    <n v="526831"/>
    <n v="176179"/>
    <x v="5"/>
    <m/>
    <m/>
    <n v="0"/>
    <n v="6"/>
    <n v="6"/>
    <n v="6"/>
    <n v="6"/>
    <x v="1"/>
    <s v="Infill of undercroft space beneath the blocks to provide 6 self-contained flats (4 x 2-bedroom and 2 x 4-bedroom) with associated amenity space and the provision of cycle storages."/>
    <s v="PF"/>
    <d v="2020-04-01T00:00:00"/>
    <d v="2021-10-19T00:00:00"/>
    <x v="0"/>
    <s v="Nil"/>
    <m/>
    <s v="BF"/>
    <s v="NB"/>
    <x v="2"/>
    <x v="1"/>
    <n v="5.8999999999999997E-2"/>
    <m/>
    <x v="0"/>
    <m/>
    <x v="1"/>
    <s v="AS"/>
    <s v=""/>
    <n v="17320336"/>
    <n v="0"/>
    <m/>
    <n v="0"/>
    <m/>
    <n v="0"/>
    <n v="0"/>
    <n v="4"/>
    <n v="0"/>
    <n v="2"/>
    <n v="0"/>
    <n v="0"/>
    <n v="0"/>
    <n v="0"/>
    <n v="4"/>
    <n v="0"/>
    <n v="2"/>
    <n v="0"/>
    <n v="0"/>
    <n v="0"/>
    <n v="0"/>
    <n v="0"/>
    <n v="0"/>
    <n v="0"/>
    <n v="0"/>
    <n v="0"/>
    <n v="0"/>
    <n v="0"/>
    <n v="0"/>
    <n v="0"/>
    <n v="0"/>
    <n v="0"/>
    <n v="0"/>
    <x v="0"/>
    <x v="0"/>
    <x v="8"/>
    <n v="8"/>
    <m/>
    <m/>
    <n v="6"/>
    <m/>
    <m/>
    <m/>
    <m/>
    <m/>
    <m/>
    <m/>
    <m/>
    <m/>
    <m/>
    <m/>
    <m/>
    <m/>
    <m/>
    <m/>
    <m/>
    <m/>
    <n v="6"/>
    <n v="6"/>
  </r>
  <r>
    <n v="7711"/>
    <x v="1"/>
    <s v="2022/4594"/>
    <s v="Land and Garages Between Phelps House and The Platt Christian Centre, Felsham Road (Platt South)"/>
    <s v=""/>
    <n v="523281"/>
    <n v="175733"/>
    <x v="0"/>
    <m/>
    <m/>
    <n v="0"/>
    <n v="8"/>
    <n v="8"/>
    <n v="8"/>
    <n v="8"/>
    <x v="1"/>
    <s v="Variation of condition 2 (in accordance approved drawings) of planning permission dated 25/04/2022 ref 2021/2879 (Demolition of existing garages and erection of a four storey building providing 9 x 1-bed and 2 x 2-bed flats, with roof terraces and balconies to all elevations and covered refuse and cycle storage.) to allow a reduction in the number of dwellings to 8, alterations to fenestration, alterations to roof design, omission of basement plant level, and various minor design amendments."/>
    <s v="S73"/>
    <d v="2022-12-06T00:00:00"/>
    <d v="2023-03-07T00:00:00"/>
    <x v="1"/>
    <s v="Nil"/>
    <m/>
    <s v="BF"/>
    <s v="NB"/>
    <x v="2"/>
    <x v="1"/>
    <n v="1.4375000000000001E-2"/>
    <m/>
    <x v="0"/>
    <m/>
    <x v="1"/>
    <s v="AL"/>
    <s v=""/>
    <m/>
    <n v="0"/>
    <n v="6"/>
    <n v="0"/>
    <n v="2"/>
    <n v="0"/>
    <n v="3"/>
    <n v="2"/>
    <n v="3"/>
    <n v="0"/>
    <n v="0"/>
    <n v="0"/>
    <n v="0"/>
    <n v="3"/>
    <n v="2"/>
    <n v="3"/>
    <n v="0"/>
    <n v="0"/>
    <n v="0"/>
    <n v="0"/>
    <n v="0"/>
    <n v="0"/>
    <n v="0"/>
    <n v="0"/>
    <n v="0"/>
    <n v="0"/>
    <n v="0"/>
    <n v="0"/>
    <n v="0"/>
    <n v="0"/>
    <n v="0"/>
    <n v="0"/>
    <n v="0"/>
    <x v="0"/>
    <x v="0"/>
    <x v="1"/>
    <n v="8"/>
    <m/>
    <m/>
    <m/>
    <n v="8"/>
    <m/>
    <m/>
    <m/>
    <m/>
    <m/>
    <m/>
    <m/>
    <m/>
    <m/>
    <m/>
    <m/>
    <m/>
    <m/>
    <m/>
    <m/>
    <m/>
    <n v="8"/>
    <n v="8"/>
  </r>
  <r>
    <n v="7377"/>
    <x v="1"/>
    <s v="2021/1324"/>
    <s v="35 Garratt Terrace"/>
    <s v=""/>
    <n v="527306"/>
    <n v="171495"/>
    <x v="3"/>
    <m/>
    <m/>
    <n v="1"/>
    <n v="4"/>
    <n v="3"/>
    <n v="4"/>
    <n v="3"/>
    <x v="1"/>
    <s v="Erection of a mansard roof extension to rear roof slope and raising ridge 300mm. Erection of an extension above three-storey rear addition with French doors and safety railings. Erection of a single-storey rear/side extension at ground floor level. Alterations to include front fenestration and conversion of property into 4 self contained units ( 1 x 3-bedroom, 1 x 2-bedroom, 2 x 1-bedroom) with associated refuse and cycle storage"/>
    <s v="PF"/>
    <d v="2021-03-19T00:00:00"/>
    <d v="2021-05-12T00:00:00"/>
    <x v="0"/>
    <s v="Nil"/>
    <m/>
    <s v="BF"/>
    <s v="MIX"/>
    <x v="2"/>
    <x v="5"/>
    <n v="6.1749999999999999E-3"/>
    <m/>
    <x v="0"/>
    <m/>
    <x v="2"/>
    <s v="M"/>
    <s v=""/>
    <m/>
    <n v="0"/>
    <m/>
    <n v="0"/>
    <m/>
    <n v="0"/>
    <n v="2"/>
    <n v="1"/>
    <n v="1"/>
    <n v="0"/>
    <n v="-1"/>
    <n v="0"/>
    <n v="0"/>
    <n v="2"/>
    <n v="1"/>
    <n v="1"/>
    <n v="0"/>
    <n v="0"/>
    <n v="0"/>
    <n v="0"/>
    <n v="0"/>
    <n v="0"/>
    <n v="0"/>
    <n v="0"/>
    <n v="-1"/>
    <n v="0"/>
    <n v="0"/>
    <n v="0"/>
    <n v="0"/>
    <n v="0"/>
    <n v="0"/>
    <n v="0"/>
    <n v="0"/>
    <x v="0"/>
    <x v="0"/>
    <x v="3"/>
    <n v="15"/>
    <m/>
    <n v="0.75"/>
    <n v="0.75"/>
    <n v="0.75"/>
    <n v="0.75"/>
    <m/>
    <m/>
    <m/>
    <m/>
    <m/>
    <m/>
    <m/>
    <m/>
    <m/>
    <m/>
    <m/>
    <m/>
    <m/>
    <m/>
    <m/>
    <n v="3"/>
    <n v="3"/>
  </r>
  <r>
    <n v="4316"/>
    <x v="1"/>
    <s v="2020/0457"/>
    <s v="25-29 Tooting High Street"/>
    <s v=""/>
    <n v="527567"/>
    <n v="171576"/>
    <x v="3"/>
    <m/>
    <m/>
    <n v="0"/>
    <n v="23"/>
    <n v="23"/>
    <n v="29"/>
    <n v="29"/>
    <x v="0"/>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x v="0"/>
    <s v="Nil"/>
    <m/>
    <s v="BF"/>
    <s v="MIX"/>
    <x v="0"/>
    <x v="0"/>
    <n v="0.08"/>
    <m/>
    <x v="0"/>
    <m/>
    <x v="2"/>
    <s v="M"/>
    <s v="5.2"/>
    <m/>
    <n v="0"/>
    <n v="2"/>
    <n v="0"/>
    <m/>
    <n v="0"/>
    <n v="10"/>
    <n v="8"/>
    <n v="5"/>
    <n v="0"/>
    <n v="0"/>
    <n v="0"/>
    <n v="0"/>
    <n v="10"/>
    <n v="8"/>
    <n v="5"/>
    <n v="0"/>
    <n v="0"/>
    <n v="0"/>
    <n v="0"/>
    <n v="0"/>
    <n v="0"/>
    <n v="0"/>
    <n v="0"/>
    <n v="0"/>
    <n v="0"/>
    <n v="0"/>
    <n v="0"/>
    <n v="0"/>
    <n v="0"/>
    <n v="0"/>
    <n v="0"/>
    <n v="0"/>
    <x v="2"/>
    <x v="0"/>
    <x v="3"/>
    <n v="16"/>
    <m/>
    <m/>
    <m/>
    <m/>
    <n v="23"/>
    <m/>
    <m/>
    <m/>
    <m/>
    <m/>
    <m/>
    <m/>
    <m/>
    <m/>
    <m/>
    <m/>
    <m/>
    <m/>
    <m/>
    <m/>
    <n v="23"/>
    <n v="23"/>
  </r>
  <r>
    <n v="4316"/>
    <x v="1"/>
    <s v="2020/0457"/>
    <s v="25-29 Tooting High Street"/>
    <s v=""/>
    <n v="527567"/>
    <n v="171576"/>
    <x v="3"/>
    <m/>
    <m/>
    <n v="0"/>
    <n v="6"/>
    <n v="6"/>
    <n v="29"/>
    <n v="29"/>
    <x v="0"/>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x v="0"/>
    <s v="Nil"/>
    <m/>
    <s v="BF"/>
    <s v="MIX"/>
    <x v="0"/>
    <x v="0"/>
    <n v="0.01"/>
    <m/>
    <x v="0"/>
    <m/>
    <x v="0"/>
    <s v="ISL"/>
    <s v="5.2"/>
    <m/>
    <n v="0"/>
    <n v="1"/>
    <n v="0"/>
    <m/>
    <n v="0"/>
    <n v="3"/>
    <n v="2"/>
    <n v="1"/>
    <n v="0"/>
    <n v="0"/>
    <n v="0"/>
    <n v="0"/>
    <n v="3"/>
    <n v="2"/>
    <n v="1"/>
    <n v="0"/>
    <n v="0"/>
    <n v="0"/>
    <n v="0"/>
    <n v="0"/>
    <n v="0"/>
    <n v="0"/>
    <n v="0"/>
    <n v="0"/>
    <n v="0"/>
    <n v="0"/>
    <n v="0"/>
    <n v="0"/>
    <n v="0"/>
    <n v="0"/>
    <n v="0"/>
    <n v="0"/>
    <x v="2"/>
    <x v="0"/>
    <x v="3"/>
    <n v="16"/>
    <m/>
    <m/>
    <m/>
    <m/>
    <n v="6"/>
    <m/>
    <m/>
    <m/>
    <m/>
    <m/>
    <m/>
    <m/>
    <m/>
    <m/>
    <m/>
    <m/>
    <m/>
    <m/>
    <m/>
    <m/>
    <n v="6"/>
    <n v="6"/>
  </r>
  <r>
    <n v="5245"/>
    <x v="1"/>
    <s v="2021/3661"/>
    <s v="28 Thessaly Road"/>
    <s v=""/>
    <n v="529554"/>
    <n v="176699"/>
    <x v="1"/>
    <m/>
    <m/>
    <n v="0"/>
    <n v="17"/>
    <n v="17"/>
    <n v="17"/>
    <n v="17"/>
    <x v="0"/>
    <s v="The development of the site comprising the erection of a five storey building comprising 17 flats (3 x studios, 11 x 2-bedroom and 3 x 3-bedroom) with ancillary cycle and plant areas accommodated in a basement, and associated refuse storage and landscaping."/>
    <s v="PFLA"/>
    <d v="2021-09-03T00:00:00"/>
    <d v="2023-01-04T00:00:00"/>
    <x v="1"/>
    <s v="Nil"/>
    <m/>
    <s v="BF"/>
    <s v="NB"/>
    <x v="0"/>
    <x v="0"/>
    <n v="3.1E-2"/>
    <m/>
    <x v="0"/>
    <m/>
    <x v="2"/>
    <s v="M"/>
    <s v=""/>
    <m/>
    <n v="0"/>
    <n v="15"/>
    <n v="0"/>
    <n v="2"/>
    <n v="3"/>
    <n v="0"/>
    <n v="11"/>
    <n v="3"/>
    <n v="0"/>
    <n v="0"/>
    <n v="0"/>
    <n v="3"/>
    <n v="0"/>
    <n v="11"/>
    <n v="3"/>
    <n v="0"/>
    <n v="0"/>
    <n v="0"/>
    <n v="0"/>
    <n v="0"/>
    <n v="0"/>
    <n v="0"/>
    <n v="0"/>
    <n v="0"/>
    <n v="0"/>
    <n v="0"/>
    <n v="0"/>
    <n v="0"/>
    <n v="0"/>
    <n v="0"/>
    <n v="0"/>
    <n v="0"/>
    <x v="0"/>
    <x v="1"/>
    <x v="7"/>
    <n v="10"/>
    <m/>
    <m/>
    <m/>
    <m/>
    <n v="5.666666666666667"/>
    <n v="5.666666666666667"/>
    <n v="5.666666666666667"/>
    <m/>
    <m/>
    <m/>
    <m/>
    <m/>
    <m/>
    <m/>
    <m/>
    <m/>
    <m/>
    <m/>
    <m/>
    <m/>
    <n v="11.333333333333334"/>
    <n v="17"/>
  </r>
  <r>
    <n v="7779"/>
    <x v="1"/>
    <s v="2021/1445"/>
    <s v="36-44 Aldrington Road"/>
    <s v=""/>
    <n v="529455"/>
    <n v="171646"/>
    <x v="13"/>
    <m/>
    <m/>
    <n v="0"/>
    <n v="34"/>
    <n v="34"/>
    <n v="34"/>
    <n v="34"/>
    <x v="0"/>
    <s v="Demolition of existing single storey garages, residents refuse and ancillary storage sheds and redevelopment of the site for affordable residential units within a part three, four and six storey building together with ancillary residents storage, car parking, bicycle storage, refuse storage, landscaping and communal amenity space."/>
    <s v="PFLA"/>
    <d v="2021-03-26T00:00:00"/>
    <d v="2022-01-04T00:00:00"/>
    <x v="0"/>
    <s v="Nil"/>
    <m/>
    <s v="BF"/>
    <s v="NB"/>
    <x v="0"/>
    <x v="0"/>
    <n v="5.2999999999999999E-2"/>
    <m/>
    <x v="0"/>
    <m/>
    <x v="1"/>
    <s v="AL"/>
    <s v=""/>
    <m/>
    <n v="0"/>
    <m/>
    <n v="0"/>
    <m/>
    <n v="0"/>
    <n v="14"/>
    <n v="16"/>
    <n v="4"/>
    <n v="0"/>
    <n v="0"/>
    <n v="0"/>
    <n v="0"/>
    <n v="14"/>
    <n v="16"/>
    <n v="0"/>
    <n v="0"/>
    <n v="0"/>
    <n v="0"/>
    <n v="0"/>
    <n v="0"/>
    <n v="0"/>
    <n v="4"/>
    <n v="0"/>
    <n v="0"/>
    <n v="0"/>
    <n v="0"/>
    <n v="0"/>
    <n v="0"/>
    <n v="0"/>
    <n v="0"/>
    <n v="0"/>
    <n v="0"/>
    <x v="0"/>
    <x v="0"/>
    <x v="1"/>
    <n v="8"/>
    <m/>
    <m/>
    <m/>
    <m/>
    <n v="34"/>
    <m/>
    <m/>
    <m/>
    <m/>
    <m/>
    <m/>
    <m/>
    <m/>
    <m/>
    <m/>
    <m/>
    <m/>
    <m/>
    <m/>
    <m/>
    <n v="34"/>
    <n v="34"/>
  </r>
  <r>
    <n v="7791"/>
    <x v="1"/>
    <s v="2022/0749"/>
    <s v="37 Garratt Terrace"/>
    <s v=""/>
    <n v="527303"/>
    <n v="171501"/>
    <x v="3"/>
    <m/>
    <m/>
    <n v="1"/>
    <n v="4"/>
    <n v="3"/>
    <n v="4"/>
    <n v="3"/>
    <x v="1"/>
    <s v="Alterations including erection of a mansard roof extension to main rear roof (with French doors and safety railings) including raising ridge by 300mm and extension above the two storey back addition; Erection of single storey rear/side extension; Formation of second floor rear roof terrace with 1.7m screen surround;, in connection with creation of 1 x 3-bedroom, 1 x 2-bedroom and 1 x 1-bedroom and 1 x studio flats, with associated refuse storage to front garden and associate internal cycle storage."/>
    <s v="PF"/>
    <d v="2022-02-22T00:00:00"/>
    <d v="2022-06-09T00:00:00"/>
    <x v="1"/>
    <s v="Nil"/>
    <m/>
    <s v="BF"/>
    <s v="MIX"/>
    <x v="2"/>
    <x v="5"/>
    <n v="6.0000000000000001E-3"/>
    <m/>
    <x v="0"/>
    <m/>
    <x v="2"/>
    <s v="M"/>
    <s v=""/>
    <m/>
    <n v="0"/>
    <m/>
    <n v="0"/>
    <m/>
    <n v="1"/>
    <n v="1"/>
    <n v="1"/>
    <n v="1"/>
    <n v="0"/>
    <n v="-1"/>
    <n v="0"/>
    <n v="1"/>
    <n v="1"/>
    <n v="1"/>
    <n v="1"/>
    <n v="0"/>
    <n v="0"/>
    <n v="0"/>
    <n v="0"/>
    <n v="0"/>
    <n v="0"/>
    <n v="0"/>
    <n v="0"/>
    <n v="-1"/>
    <n v="0"/>
    <n v="0"/>
    <n v="0"/>
    <n v="0"/>
    <n v="0"/>
    <n v="0"/>
    <n v="0"/>
    <n v="0"/>
    <x v="0"/>
    <x v="0"/>
    <x v="3"/>
    <n v="15"/>
    <m/>
    <n v="0.75"/>
    <n v="0.75"/>
    <n v="0.75"/>
    <n v="0.75"/>
    <m/>
    <m/>
    <m/>
    <m/>
    <m/>
    <m/>
    <m/>
    <m/>
    <m/>
    <m/>
    <m/>
    <m/>
    <m/>
    <m/>
    <m/>
    <n v="3"/>
    <n v="3"/>
  </r>
  <r>
    <n v="7161"/>
    <x v="1"/>
    <s v="2019/2233"/>
    <s v="43 Sisters Avenue"/>
    <s v=""/>
    <n v="528016"/>
    <n v="175405"/>
    <x v="12"/>
    <m/>
    <m/>
    <n v="1"/>
    <n v="4"/>
    <n v="3"/>
    <n v="4"/>
    <n v="3"/>
    <x v="1"/>
    <s v="Creation of a rear courtyard in connection with conversion from a single dwelling to 3 x 3-bed and 1 x 1-bed flats, with associated cycle and refuse storage to front garden"/>
    <s v="PF"/>
    <d v="2019-05-22T00:00:00"/>
    <d v="2019-07-17T00:00:00"/>
    <x v="0"/>
    <s v="Nil"/>
    <m/>
    <s v="BF"/>
    <s v="CON"/>
    <x v="2"/>
    <x v="5"/>
    <n v="2.5000000000000001E-2"/>
    <m/>
    <x v="0"/>
    <m/>
    <x v="2"/>
    <s v="M"/>
    <s v=""/>
    <m/>
    <n v="0"/>
    <m/>
    <n v="0"/>
    <m/>
    <n v="0"/>
    <n v="1"/>
    <n v="0"/>
    <n v="3"/>
    <n v="-1"/>
    <n v="0"/>
    <n v="0"/>
    <n v="0"/>
    <n v="1"/>
    <n v="0"/>
    <n v="3"/>
    <n v="0"/>
    <n v="0"/>
    <n v="0"/>
    <n v="0"/>
    <n v="0"/>
    <n v="0"/>
    <n v="0"/>
    <n v="-1"/>
    <n v="0"/>
    <n v="0"/>
    <n v="0"/>
    <n v="0"/>
    <n v="0"/>
    <n v="0"/>
    <n v="0"/>
    <n v="0"/>
    <n v="0"/>
    <x v="0"/>
    <x v="0"/>
    <x v="1"/>
    <n v="15"/>
    <m/>
    <n v="0.75"/>
    <n v="0.75"/>
    <n v="0.75"/>
    <n v="0.75"/>
    <m/>
    <m/>
    <m/>
    <m/>
    <m/>
    <m/>
    <m/>
    <m/>
    <m/>
    <m/>
    <m/>
    <m/>
    <m/>
    <m/>
    <m/>
    <n v="3"/>
    <n v="3"/>
  </r>
  <r>
    <n v="6789"/>
    <x v="1"/>
    <s v="2021/0546"/>
    <s v="47-51 Lavender Hill"/>
    <s v=""/>
    <n v="528385"/>
    <n v="175721"/>
    <x v="12"/>
    <m/>
    <m/>
    <n v="0"/>
    <n v="3"/>
    <n v="3"/>
    <n v="3"/>
    <n v="3"/>
    <x v="1"/>
    <s v="Erection of a new storey of accommodation to main roof, extensions above back additions, formation of roof terraces above back additions with obscured glazed screen surround, extension and re-configuration of internal staircase, in connection with creation of 2 x 1 bedroom flats and 1 studio flat."/>
    <s v="PF"/>
    <d v="2021-02-08T00:00:00"/>
    <d v="2021-04-22T00:00:00"/>
    <x v="0"/>
    <s v="Nil"/>
    <m/>
    <s v="BF"/>
    <s v="EXT"/>
    <x v="2"/>
    <x v="2"/>
    <n v="5.0000000000000001E-3"/>
    <m/>
    <x v="0"/>
    <m/>
    <x v="2"/>
    <s v="M"/>
    <s v=""/>
    <m/>
    <n v="0"/>
    <m/>
    <n v="0"/>
    <m/>
    <n v="1"/>
    <n v="2"/>
    <n v="0"/>
    <n v="0"/>
    <n v="0"/>
    <n v="0"/>
    <n v="0"/>
    <n v="1"/>
    <n v="2"/>
    <n v="0"/>
    <n v="0"/>
    <n v="0"/>
    <n v="0"/>
    <n v="0"/>
    <n v="0"/>
    <n v="0"/>
    <n v="0"/>
    <n v="0"/>
    <n v="0"/>
    <n v="0"/>
    <n v="0"/>
    <n v="0"/>
    <n v="0"/>
    <n v="0"/>
    <n v="0"/>
    <n v="0"/>
    <n v="0"/>
    <n v="0"/>
    <x v="0"/>
    <x v="0"/>
    <x v="1"/>
    <n v="15"/>
    <m/>
    <n v="0.75"/>
    <n v="0.75"/>
    <n v="0.75"/>
    <n v="0.75"/>
    <m/>
    <m/>
    <m/>
    <m/>
    <m/>
    <m/>
    <m/>
    <m/>
    <m/>
    <m/>
    <m/>
    <m/>
    <m/>
    <m/>
    <m/>
    <n v="3"/>
    <n v="3"/>
  </r>
  <r>
    <n v="5830"/>
    <x v="1"/>
    <s v="2018/3068"/>
    <s v="58 Wandsworth High Street"/>
    <s v=""/>
    <n v="525688"/>
    <n v="174648"/>
    <x v="6"/>
    <m/>
    <m/>
    <n v="0"/>
    <n v="3"/>
    <n v="3"/>
    <n v="3"/>
    <n v="3"/>
    <x v="1"/>
    <s v="Alterations including erection of roof extension to provide additional floor of accommodation in connection with formation of 1 x 1-bedroom, 1 x 2-bedroom and 1 x 3-bedroom flats."/>
    <s v="PF"/>
    <d v="2018-06-25T00:00:00"/>
    <d v="2018-09-05T00:00:00"/>
    <x v="0"/>
    <s v="Nil"/>
    <m/>
    <s v="BF"/>
    <s v="EXT"/>
    <x v="2"/>
    <x v="2"/>
    <n v="8.9999999999999993E-3"/>
    <m/>
    <x v="0"/>
    <m/>
    <x v="2"/>
    <s v="M"/>
    <s v=""/>
    <m/>
    <n v="0"/>
    <m/>
    <n v="0"/>
    <m/>
    <n v="0"/>
    <n v="1"/>
    <n v="1"/>
    <n v="1"/>
    <n v="0"/>
    <n v="0"/>
    <n v="0"/>
    <n v="0"/>
    <n v="1"/>
    <n v="1"/>
    <n v="1"/>
    <n v="0"/>
    <n v="0"/>
    <n v="0"/>
    <n v="0"/>
    <n v="0"/>
    <n v="0"/>
    <n v="0"/>
    <n v="0"/>
    <n v="0"/>
    <n v="0"/>
    <n v="0"/>
    <n v="0"/>
    <n v="0"/>
    <n v="0"/>
    <n v="0"/>
    <n v="0"/>
    <n v="0"/>
    <x v="3"/>
    <x v="0"/>
    <x v="0"/>
    <n v="15"/>
    <m/>
    <n v="0.75"/>
    <n v="0.75"/>
    <n v="0.75"/>
    <n v="0.75"/>
    <m/>
    <m/>
    <m/>
    <m/>
    <m/>
    <m/>
    <m/>
    <m/>
    <m/>
    <m/>
    <m/>
    <m/>
    <m/>
    <m/>
    <m/>
    <n v="3"/>
    <n v="3"/>
  </r>
  <r>
    <n v="6995"/>
    <x v="1"/>
    <s v="2021/2255"/>
    <s v="64 Tooting High Street"/>
    <s v=""/>
    <n v="527398"/>
    <n v="171432"/>
    <x v="3"/>
    <m/>
    <m/>
    <n v="1"/>
    <n v="4"/>
    <n v="3"/>
    <n v="4"/>
    <n v="3"/>
    <x v="1"/>
    <s v="Alterations including erection of an extension to provide an additional floor of accommodation, including a front roof terrace, and French doors with safety railing to rear; Erection of first and second floor rear extensions; Formation of rear roof terraces with 1.7m high screen surround at first and second floors; Change of use of part of ground floor commercial unit (Class E) to residential (Class C3) in connection with conversion into 1 x studio, 1 x 1-bedroom and 2 x 2-bedroom flats, with associated cycle and refuse storage"/>
    <s v="PF"/>
    <d v="2021-06-07T00:00:00"/>
    <d v="2021-09-24T00:00:00"/>
    <x v="0"/>
    <s v="Nil"/>
    <m/>
    <s v="BF"/>
    <s v="MIX"/>
    <x v="2"/>
    <x v="4"/>
    <n v="5.2750000000000002E-3"/>
    <m/>
    <x v="0"/>
    <m/>
    <x v="2"/>
    <s v="M"/>
    <s v=""/>
    <m/>
    <n v="0"/>
    <m/>
    <n v="0"/>
    <m/>
    <n v="1"/>
    <n v="1"/>
    <n v="1"/>
    <n v="0"/>
    <n v="0"/>
    <n v="0"/>
    <n v="0"/>
    <n v="1"/>
    <n v="1"/>
    <n v="1"/>
    <n v="0"/>
    <n v="0"/>
    <n v="0"/>
    <n v="0"/>
    <n v="0"/>
    <n v="0"/>
    <n v="0"/>
    <n v="0"/>
    <n v="0"/>
    <n v="0"/>
    <n v="0"/>
    <n v="0"/>
    <n v="0"/>
    <n v="0"/>
    <n v="0"/>
    <n v="0"/>
    <n v="0"/>
    <n v="0"/>
    <x v="2"/>
    <x v="0"/>
    <x v="3"/>
    <n v="15"/>
    <m/>
    <n v="0.75"/>
    <n v="0.75"/>
    <n v="0.75"/>
    <n v="0.75"/>
    <m/>
    <m/>
    <m/>
    <m/>
    <m/>
    <m/>
    <m/>
    <m/>
    <m/>
    <m/>
    <m/>
    <m/>
    <m/>
    <m/>
    <m/>
    <n v="3"/>
    <n v="3"/>
  </r>
  <r>
    <n v="5920"/>
    <x v="1"/>
    <s v="2018/6128"/>
    <s v="Bright Cook House, 139 Upper Richmond Road"/>
    <s v=""/>
    <n v="524021"/>
    <n v="175002"/>
    <x v="7"/>
    <m/>
    <m/>
    <n v="0"/>
    <n v="3"/>
    <n v="3"/>
    <n v="3"/>
    <n v="3"/>
    <x v="1"/>
    <s v="Determination as to whether prior approval is required for change of use of office at first floor level from (Class B1a) to residential (Class C3) to provide 2 x 1-bedroom flats and 1 x 2-bedroom flat and cycle stands."/>
    <s v="PANR"/>
    <d v="2018-12-27T00:00:00"/>
    <d v="2019-01-31T00:00:00"/>
    <x v="0"/>
    <s v="Nil"/>
    <m/>
    <s v="BF"/>
    <s v="COU"/>
    <x v="2"/>
    <x v="6"/>
    <n v="3.0000000000000001E-3"/>
    <m/>
    <x v="0"/>
    <m/>
    <x v="2"/>
    <s v="M"/>
    <s v=""/>
    <m/>
    <n v="0"/>
    <m/>
    <n v="0"/>
    <m/>
    <n v="0"/>
    <n v="2"/>
    <n v="1"/>
    <n v="0"/>
    <n v="0"/>
    <n v="0"/>
    <n v="0"/>
    <n v="0"/>
    <n v="2"/>
    <n v="1"/>
    <n v="0"/>
    <n v="0"/>
    <n v="0"/>
    <n v="0"/>
    <n v="0"/>
    <n v="0"/>
    <n v="0"/>
    <n v="0"/>
    <n v="0"/>
    <n v="0"/>
    <n v="0"/>
    <n v="0"/>
    <n v="0"/>
    <n v="0"/>
    <n v="0"/>
    <n v="0"/>
    <n v="0"/>
    <n v="0"/>
    <x v="4"/>
    <x v="0"/>
    <x v="4"/>
    <n v="15"/>
    <m/>
    <n v="0.75"/>
    <n v="0.75"/>
    <n v="0.75"/>
    <n v="0.75"/>
    <m/>
    <m/>
    <m/>
    <m/>
    <m/>
    <m/>
    <m/>
    <m/>
    <m/>
    <m/>
    <m/>
    <m/>
    <m/>
    <m/>
    <m/>
    <n v="3"/>
    <n v="3"/>
  </r>
  <r>
    <n v="4775"/>
    <x v="1"/>
    <s v="2019/2498"/>
    <s v="Templeton, 118 Priory Lane"/>
    <s v=""/>
    <n v="521333"/>
    <n v="174425"/>
    <x v="16"/>
    <m/>
    <m/>
    <n v="0"/>
    <n v="3"/>
    <n v="3"/>
    <n v="3"/>
    <n v="3"/>
    <x v="1"/>
    <s v="Alterations in connection with conversion of part ground and first floor of garage building to 3 x 1 bedroom  flats ancilliary to the main house."/>
    <s v="PF"/>
    <d v="2019-06-27T00:00:00"/>
    <d v="2019-07-31T00:00:00"/>
    <x v="0"/>
    <s v="Nil"/>
    <m/>
    <s v="BF"/>
    <s v="COU"/>
    <x v="2"/>
    <x v="3"/>
    <n v="1.4999999999999999E-2"/>
    <m/>
    <x v="0"/>
    <m/>
    <x v="2"/>
    <s v="M"/>
    <s v=""/>
    <m/>
    <n v="0"/>
    <m/>
    <n v="0"/>
    <m/>
    <n v="0"/>
    <n v="3"/>
    <n v="0"/>
    <n v="0"/>
    <n v="0"/>
    <n v="0"/>
    <n v="0"/>
    <n v="0"/>
    <n v="3"/>
    <n v="0"/>
    <n v="0"/>
    <n v="0"/>
    <n v="0"/>
    <n v="0"/>
    <n v="0"/>
    <n v="0"/>
    <n v="0"/>
    <n v="0"/>
    <n v="0"/>
    <n v="0"/>
    <n v="0"/>
    <n v="0"/>
    <n v="0"/>
    <n v="0"/>
    <n v="0"/>
    <n v="0"/>
    <n v="0"/>
    <n v="0"/>
    <x v="0"/>
    <x v="0"/>
    <x v="1"/>
    <n v="15"/>
    <m/>
    <n v="0.75"/>
    <n v="0.75"/>
    <n v="0.75"/>
    <n v="0.75"/>
    <m/>
    <m/>
    <m/>
    <m/>
    <m/>
    <m/>
    <m/>
    <m/>
    <m/>
    <m/>
    <m/>
    <m/>
    <m/>
    <m/>
    <m/>
    <n v="3"/>
    <n v="3"/>
  </r>
  <r>
    <n v="7342"/>
    <x v="1"/>
    <s v="2020/0301"/>
    <s v="Unit 1, Ivory House, Clove Hitch Quay (Plantation Wharf)"/>
    <s v=""/>
    <n v="526368"/>
    <n v="175721"/>
    <x v="5"/>
    <m/>
    <m/>
    <n v="0"/>
    <n v="3"/>
    <n v="3"/>
    <n v="3"/>
    <n v="3"/>
    <x v="1"/>
    <s v="Determination as to whether prior approval is required for change of use of office at ground floor level from (Class B1a) to residential (Class C3) to provide 1 x 2-bedroom flat and 2 x 1bedroom flats."/>
    <s v="PAG"/>
    <d v="2020-02-12T00:00:00"/>
    <d v="2020-03-16T00:00:00"/>
    <x v="0"/>
    <s v="Nil"/>
    <m/>
    <s v="BF"/>
    <s v="COU"/>
    <x v="2"/>
    <x v="6"/>
    <n v="8.0000000000000002E-3"/>
    <m/>
    <x v="0"/>
    <m/>
    <x v="2"/>
    <s v="M"/>
    <s v=""/>
    <m/>
    <n v="0"/>
    <m/>
    <n v="0"/>
    <m/>
    <n v="0"/>
    <n v="2"/>
    <n v="1"/>
    <n v="0"/>
    <n v="0"/>
    <n v="0"/>
    <n v="0"/>
    <n v="0"/>
    <n v="2"/>
    <n v="1"/>
    <n v="0"/>
    <n v="0"/>
    <n v="0"/>
    <n v="0"/>
    <n v="0"/>
    <n v="0"/>
    <n v="0"/>
    <n v="0"/>
    <n v="0"/>
    <n v="0"/>
    <n v="0"/>
    <n v="0"/>
    <n v="0"/>
    <n v="0"/>
    <n v="0"/>
    <n v="0"/>
    <n v="0"/>
    <n v="0"/>
    <x v="0"/>
    <x v="0"/>
    <x v="8"/>
    <n v="15"/>
    <m/>
    <n v="0.75"/>
    <n v="0.75"/>
    <n v="0.75"/>
    <n v="0.75"/>
    <m/>
    <m/>
    <m/>
    <m/>
    <m/>
    <m/>
    <m/>
    <m/>
    <m/>
    <m/>
    <m/>
    <m/>
    <m/>
    <m/>
    <m/>
    <n v="3"/>
    <n v="3"/>
  </r>
  <r>
    <n v="7344"/>
    <x v="1"/>
    <s v="2020/0490"/>
    <s v="Unit D, Molasses House, Clove Hitch Quay (Plantation Wharf)"/>
    <s v=""/>
    <n v="526471"/>
    <n v="175874"/>
    <x v="5"/>
    <m/>
    <m/>
    <n v="0"/>
    <n v="3"/>
    <n v="3"/>
    <n v="3"/>
    <n v="3"/>
    <x v="1"/>
    <s v="Determination as to whether prior approval is required for change of use from Office (Class B1) to 2 x 1-bedroom flats 1 x 2-bedroom flat (Class C3)."/>
    <s v="PAG"/>
    <d v="2020-02-12T00:00:00"/>
    <d v="2020-03-30T00:00:00"/>
    <x v="0"/>
    <s v="Nil"/>
    <m/>
    <s v="BF"/>
    <s v="COU"/>
    <x v="2"/>
    <x v="6"/>
    <n v="3.0000000000000001E-3"/>
    <m/>
    <x v="0"/>
    <m/>
    <x v="2"/>
    <s v="M"/>
    <s v=""/>
    <m/>
    <n v="0"/>
    <m/>
    <n v="0"/>
    <m/>
    <n v="0"/>
    <n v="2"/>
    <n v="1"/>
    <n v="0"/>
    <n v="0"/>
    <n v="0"/>
    <n v="0"/>
    <n v="0"/>
    <n v="2"/>
    <n v="1"/>
    <n v="0"/>
    <n v="0"/>
    <n v="0"/>
    <n v="0"/>
    <n v="0"/>
    <n v="0"/>
    <n v="0"/>
    <n v="0"/>
    <n v="0"/>
    <n v="0"/>
    <n v="0"/>
    <n v="0"/>
    <n v="0"/>
    <n v="0"/>
    <n v="0"/>
    <n v="0"/>
    <n v="0"/>
    <n v="0"/>
    <x v="0"/>
    <x v="0"/>
    <x v="8"/>
    <n v="15"/>
    <m/>
    <n v="0.75"/>
    <n v="0.75"/>
    <n v="0.75"/>
    <n v="0.75"/>
    <m/>
    <m/>
    <m/>
    <m/>
    <m/>
    <m/>
    <m/>
    <m/>
    <m/>
    <m/>
    <m/>
    <m/>
    <m/>
    <m/>
    <m/>
    <n v="3"/>
    <n v="3"/>
  </r>
  <r>
    <n v="5800"/>
    <x v="1"/>
    <s v="2020/0684"/>
    <s v="Units 1, 9 &amp; 10 Port House, Square Rigger Row (Plantation Wharf)"/>
    <s v=""/>
    <n v="526505"/>
    <n v="175773"/>
    <x v="5"/>
    <m/>
    <m/>
    <n v="0"/>
    <n v="3"/>
    <n v="3"/>
    <n v="3"/>
    <n v="3"/>
    <x v="1"/>
    <s v="Determination as to whether prior approval is required for change of use from office (Class B1a) to 3 x 1-bedroom flats (Class C3)."/>
    <s v="PAG"/>
    <d v="2020-03-05T00:00:00"/>
    <d v="2020-04-17T00:00:00"/>
    <x v="0"/>
    <s v="Nil"/>
    <m/>
    <s v="BF"/>
    <s v="COU"/>
    <x v="2"/>
    <x v="6"/>
    <n v="1.2999999999999999E-2"/>
    <m/>
    <x v="0"/>
    <m/>
    <x v="2"/>
    <s v="M"/>
    <s v="10.15"/>
    <m/>
    <n v="0"/>
    <m/>
    <n v="0"/>
    <m/>
    <n v="0"/>
    <n v="3"/>
    <n v="0"/>
    <n v="0"/>
    <n v="0"/>
    <n v="0"/>
    <n v="0"/>
    <n v="0"/>
    <n v="3"/>
    <n v="0"/>
    <n v="0"/>
    <n v="0"/>
    <n v="0"/>
    <n v="0"/>
    <n v="0"/>
    <n v="0"/>
    <n v="0"/>
    <n v="0"/>
    <n v="0"/>
    <n v="0"/>
    <n v="0"/>
    <n v="0"/>
    <n v="0"/>
    <n v="0"/>
    <n v="0"/>
    <n v="0"/>
    <n v="0"/>
    <n v="0"/>
    <x v="0"/>
    <x v="0"/>
    <x v="8"/>
    <n v="15"/>
    <m/>
    <n v="0.75"/>
    <n v="0.75"/>
    <n v="0.75"/>
    <n v="0.75"/>
    <m/>
    <m/>
    <m/>
    <m/>
    <m/>
    <m/>
    <m/>
    <m/>
    <m/>
    <m/>
    <m/>
    <m/>
    <m/>
    <m/>
    <m/>
    <n v="3"/>
    <n v="3"/>
  </r>
  <r>
    <n v="6600"/>
    <x v="1"/>
    <s v="2021/0438"/>
    <s v="107 Allfarthing Lane"/>
    <s v=""/>
    <n v="525959"/>
    <n v="174033"/>
    <x v="11"/>
    <m/>
    <m/>
    <n v="0"/>
    <n v="2"/>
    <n v="2"/>
    <n v="2"/>
    <n v="2"/>
    <x v="1"/>
    <s v="Determination as to whether prior approval is required for change of use from retail (Class A1) to 1 x 1-bedroom flat and 1 studio flat (Class C3)."/>
    <s v="PANR"/>
    <d v="2021-01-26T00:00:00"/>
    <d v="2021-03-25T00:00:00"/>
    <x v="0"/>
    <s v="Nil"/>
    <m/>
    <s v="BF"/>
    <s v="COU"/>
    <x v="2"/>
    <x v="4"/>
    <n v="6.0000000000000001E-3"/>
    <m/>
    <x v="0"/>
    <m/>
    <x v="2"/>
    <s v="M"/>
    <s v=""/>
    <m/>
    <n v="0"/>
    <m/>
    <n v="0"/>
    <m/>
    <n v="1"/>
    <n v="1"/>
    <n v="0"/>
    <n v="0"/>
    <n v="0"/>
    <n v="0"/>
    <n v="0"/>
    <n v="1"/>
    <n v="1"/>
    <n v="0"/>
    <n v="0"/>
    <n v="0"/>
    <n v="0"/>
    <n v="0"/>
    <n v="0"/>
    <n v="0"/>
    <n v="0"/>
    <n v="0"/>
    <n v="0"/>
    <n v="0"/>
    <n v="0"/>
    <n v="0"/>
    <n v="0"/>
    <n v="0"/>
    <n v="0"/>
    <n v="0"/>
    <n v="0"/>
    <n v="0"/>
    <x v="0"/>
    <x v="0"/>
    <x v="1"/>
    <n v="15"/>
    <m/>
    <n v="0.5"/>
    <n v="0.5"/>
    <n v="0.5"/>
    <n v="0.5"/>
    <m/>
    <m/>
    <m/>
    <m/>
    <m/>
    <m/>
    <m/>
    <m/>
    <m/>
    <m/>
    <m/>
    <m/>
    <m/>
    <m/>
    <m/>
    <n v="2"/>
    <n v="2"/>
  </r>
  <r>
    <n v="6059"/>
    <x v="1"/>
    <s v="2018/4316"/>
    <s v="11 Roehampton Lane"/>
    <s v=""/>
    <n v="522113"/>
    <n v="175402"/>
    <x v="16"/>
    <m/>
    <m/>
    <n v="1"/>
    <n v="3"/>
    <n v="2"/>
    <n v="3"/>
    <n v="2"/>
    <x v="1"/>
    <s v="Alterations including erection of hip-to-gable and rear dormer roof extensions (with french doors and safety railings), replacement single-storey rear/side extension in connection with conversion of property into 1 x 3 bedroom, 1 x 2-bedroom and 1 x 1-bedroom flats."/>
    <s v="PF"/>
    <d v="2018-09-07T00:00:00"/>
    <d v="2018-11-02T00:00:00"/>
    <x v="0"/>
    <s v="Nil"/>
    <m/>
    <s v="BF"/>
    <s v="MIX"/>
    <x v="2"/>
    <x v="5"/>
    <n v="2.8000000000000001E-2"/>
    <m/>
    <x v="0"/>
    <m/>
    <x v="2"/>
    <s v="M"/>
    <s v=""/>
    <m/>
    <n v="0"/>
    <m/>
    <n v="0"/>
    <m/>
    <n v="0"/>
    <n v="1"/>
    <n v="1"/>
    <n v="1"/>
    <n v="0"/>
    <n v="-1"/>
    <n v="0"/>
    <n v="0"/>
    <n v="1"/>
    <n v="1"/>
    <n v="1"/>
    <n v="0"/>
    <n v="0"/>
    <n v="0"/>
    <n v="0"/>
    <n v="0"/>
    <n v="0"/>
    <n v="0"/>
    <n v="0"/>
    <n v="-1"/>
    <n v="0"/>
    <n v="0"/>
    <n v="0"/>
    <n v="0"/>
    <n v="0"/>
    <n v="0"/>
    <n v="0"/>
    <n v="0"/>
    <x v="0"/>
    <x v="0"/>
    <x v="1"/>
    <n v="15"/>
    <m/>
    <n v="0.5"/>
    <n v="0.5"/>
    <n v="0.5"/>
    <n v="0.5"/>
    <m/>
    <m/>
    <m/>
    <m/>
    <m/>
    <m/>
    <m/>
    <m/>
    <m/>
    <m/>
    <m/>
    <m/>
    <m/>
    <m/>
    <m/>
    <n v="2"/>
    <n v="2"/>
  </r>
  <r>
    <n v="7435"/>
    <x v="1"/>
    <s v="2020/2870"/>
    <s v="119 Boundaries Road"/>
    <s v=""/>
    <n v="527953"/>
    <n v="172977"/>
    <x v="4"/>
    <m/>
    <m/>
    <n v="1"/>
    <n v="3"/>
    <n v="2"/>
    <n v="3"/>
    <n v="2"/>
    <x v="1"/>
    <s v="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
    <s v="PF"/>
    <d v="2020-08-04T00:00:00"/>
    <d v="2020-10-08T00:00:00"/>
    <x v="0"/>
    <s v="Nil"/>
    <m/>
    <s v="BF"/>
    <s v="MIX"/>
    <x v="2"/>
    <x v="5"/>
    <n v="2.7E-2"/>
    <m/>
    <x v="0"/>
    <m/>
    <x v="2"/>
    <s v="M"/>
    <s v=""/>
    <m/>
    <n v="0"/>
    <m/>
    <n v="0"/>
    <m/>
    <n v="0"/>
    <n v="0"/>
    <n v="2"/>
    <n v="1"/>
    <n v="0"/>
    <n v="-1"/>
    <n v="0"/>
    <n v="0"/>
    <n v="0"/>
    <n v="2"/>
    <n v="1"/>
    <n v="0"/>
    <n v="0"/>
    <n v="0"/>
    <n v="0"/>
    <n v="0"/>
    <n v="0"/>
    <n v="0"/>
    <n v="0"/>
    <n v="-1"/>
    <n v="0"/>
    <n v="0"/>
    <n v="0"/>
    <n v="0"/>
    <n v="0"/>
    <n v="0"/>
    <n v="0"/>
    <n v="0"/>
    <x v="0"/>
    <x v="0"/>
    <x v="1"/>
    <n v="15"/>
    <m/>
    <n v="0.5"/>
    <n v="0.5"/>
    <n v="0.5"/>
    <n v="0.5"/>
    <m/>
    <m/>
    <m/>
    <m/>
    <m/>
    <m/>
    <m/>
    <m/>
    <m/>
    <m/>
    <m/>
    <m/>
    <m/>
    <m/>
    <m/>
    <n v="2"/>
    <n v="2"/>
  </r>
  <r>
    <n v="7057"/>
    <x v="1"/>
    <s v="2018/5309"/>
    <s v="121 Roehampton Vale"/>
    <s v=""/>
    <n v="521700"/>
    <n v="172445"/>
    <x v="16"/>
    <m/>
    <m/>
    <n v="1"/>
    <n v="3"/>
    <n v="2"/>
    <n v="3"/>
    <n v="2"/>
    <x v="1"/>
    <s v="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
    <s v="PF"/>
    <d v="2019-02-21T00:00:00"/>
    <d v="2019-04-29T00:00:00"/>
    <x v="0"/>
    <s v="Nil"/>
    <m/>
    <s v="BF"/>
    <s v="MIX"/>
    <x v="2"/>
    <x v="5"/>
    <n v="5.5E-2"/>
    <m/>
    <x v="0"/>
    <m/>
    <x v="2"/>
    <s v="M"/>
    <s v=""/>
    <m/>
    <n v="0"/>
    <m/>
    <n v="0"/>
    <m/>
    <n v="0"/>
    <n v="1"/>
    <n v="0"/>
    <n v="2"/>
    <n v="-1"/>
    <n v="0"/>
    <n v="0"/>
    <n v="0"/>
    <n v="1"/>
    <n v="0"/>
    <n v="2"/>
    <n v="0"/>
    <n v="0"/>
    <n v="0"/>
    <n v="0"/>
    <n v="0"/>
    <n v="0"/>
    <n v="0"/>
    <n v="-1"/>
    <n v="0"/>
    <n v="0"/>
    <n v="0"/>
    <n v="0"/>
    <n v="0"/>
    <n v="0"/>
    <n v="0"/>
    <n v="0"/>
    <n v="0"/>
    <x v="0"/>
    <x v="0"/>
    <x v="1"/>
    <n v="15"/>
    <m/>
    <n v="0.5"/>
    <n v="0.5"/>
    <n v="0.5"/>
    <n v="0.5"/>
    <m/>
    <m/>
    <m/>
    <m/>
    <m/>
    <m/>
    <m/>
    <m/>
    <m/>
    <m/>
    <m/>
    <m/>
    <m/>
    <m/>
    <m/>
    <n v="2"/>
    <n v="2"/>
  </r>
  <r>
    <n v="6277"/>
    <x v="1"/>
    <s v="2020/3102"/>
    <s v="130 Longley Road"/>
    <s v=""/>
    <n v="527645"/>
    <n v="170659"/>
    <x v="3"/>
    <m/>
    <m/>
    <n v="1"/>
    <n v="3"/>
    <n v="2"/>
    <n v="4"/>
    <n v="3"/>
    <x v="1"/>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x v="0"/>
    <s v="Nil"/>
    <m/>
    <s v="BF"/>
    <s v="MIX"/>
    <x v="2"/>
    <x v="5"/>
    <n v="8.9999999999999993E-3"/>
    <m/>
    <x v="0"/>
    <m/>
    <x v="2"/>
    <s v="M"/>
    <s v=""/>
    <m/>
    <n v="0"/>
    <m/>
    <n v="0"/>
    <m/>
    <n v="0"/>
    <n v="0"/>
    <n v="1"/>
    <n v="2"/>
    <n v="0"/>
    <n v="-1"/>
    <n v="0"/>
    <n v="0"/>
    <n v="0"/>
    <n v="1"/>
    <n v="2"/>
    <n v="0"/>
    <n v="0"/>
    <n v="0"/>
    <n v="0"/>
    <n v="0"/>
    <n v="0"/>
    <n v="0"/>
    <n v="0"/>
    <n v="-1"/>
    <n v="0"/>
    <n v="0"/>
    <n v="0"/>
    <n v="0"/>
    <n v="0"/>
    <n v="0"/>
    <n v="0"/>
    <n v="0"/>
    <x v="0"/>
    <x v="0"/>
    <x v="1"/>
    <n v="15"/>
    <m/>
    <n v="0.5"/>
    <n v="0.5"/>
    <n v="0.5"/>
    <n v="0.5"/>
    <m/>
    <m/>
    <m/>
    <m/>
    <m/>
    <m/>
    <m/>
    <m/>
    <m/>
    <m/>
    <m/>
    <m/>
    <m/>
    <m/>
    <m/>
    <n v="2"/>
    <n v="2"/>
  </r>
  <r>
    <n v="7437"/>
    <x v="1"/>
    <s v="2020/2954"/>
    <s v="133 Wandsworth High Street"/>
    <s v=""/>
    <n v="525471"/>
    <n v="174681"/>
    <x v="6"/>
    <m/>
    <m/>
    <n v="0"/>
    <n v="2"/>
    <n v="2"/>
    <n v="2"/>
    <n v="2"/>
    <x v="1"/>
    <s v="Change of use of ground floor to use class A2 and alterations including erection of roof extension to main rear roof, erection of first storey rear extension and excavation of rear lightwells in connection with the creation of 1 x 1 -bedroom and 1 x 2-bedroom flat"/>
    <s v="PF"/>
    <d v="2020-08-11T00:00:00"/>
    <d v="2021-03-17T00:00:00"/>
    <x v="0"/>
    <s v="Nil"/>
    <m/>
    <s v="BF"/>
    <s v="MIX"/>
    <x v="2"/>
    <x v="2"/>
    <n v="2E-3"/>
    <m/>
    <x v="0"/>
    <m/>
    <x v="2"/>
    <s v="M"/>
    <s v=""/>
    <m/>
    <n v="0"/>
    <m/>
    <n v="0"/>
    <m/>
    <n v="0"/>
    <n v="1"/>
    <n v="1"/>
    <n v="0"/>
    <n v="0"/>
    <n v="0"/>
    <n v="0"/>
    <n v="0"/>
    <n v="1"/>
    <n v="1"/>
    <n v="0"/>
    <n v="0"/>
    <n v="0"/>
    <n v="0"/>
    <n v="0"/>
    <n v="0"/>
    <n v="0"/>
    <n v="0"/>
    <n v="0"/>
    <n v="0"/>
    <n v="0"/>
    <n v="0"/>
    <n v="0"/>
    <n v="0"/>
    <n v="0"/>
    <n v="0"/>
    <n v="0"/>
    <n v="0"/>
    <x v="3"/>
    <x v="0"/>
    <x v="0"/>
    <n v="15"/>
    <m/>
    <n v="0.5"/>
    <n v="0.5"/>
    <n v="0.5"/>
    <n v="0.5"/>
    <m/>
    <m/>
    <m/>
    <m/>
    <m/>
    <m/>
    <m/>
    <m/>
    <m/>
    <m/>
    <m/>
    <m/>
    <m/>
    <m/>
    <m/>
    <n v="2"/>
    <n v="2"/>
  </r>
  <r>
    <n v="7858"/>
    <x v="1"/>
    <s v="2022/2246"/>
    <s v="148 Church Lane"/>
    <s v=""/>
    <n v="528443"/>
    <n v="171438"/>
    <x v="9"/>
    <m/>
    <m/>
    <n v="1"/>
    <n v="3"/>
    <n v="2"/>
    <n v="3"/>
    <n v="2"/>
    <x v="1"/>
    <s v="Alterations including erection of side and rear roof extensions with ridge raise, extension above two-storey back addition and erection of single storey side/rear extension, in connection with conversion of property into 1 x 3- bedroom  and 2 x 2-bedroom flats with associated boundary treatment, landscaping, refuse and cycle storage within front garden."/>
    <s v="PF"/>
    <d v="2022-05-30T00:00:00"/>
    <d v="2022-07-25T00:00:00"/>
    <x v="1"/>
    <s v="Nil"/>
    <m/>
    <s v="BF"/>
    <s v="MIX"/>
    <x v="2"/>
    <x v="5"/>
    <n v="8.0333330000000001E-3"/>
    <m/>
    <x v="0"/>
    <m/>
    <x v="2"/>
    <s v="M"/>
    <s v=""/>
    <m/>
    <n v="0"/>
    <m/>
    <n v="0"/>
    <m/>
    <n v="0"/>
    <n v="0"/>
    <n v="2"/>
    <n v="0"/>
    <n v="0"/>
    <n v="0"/>
    <n v="0"/>
    <n v="0"/>
    <n v="0"/>
    <n v="2"/>
    <n v="1"/>
    <n v="0"/>
    <n v="0"/>
    <n v="0"/>
    <n v="0"/>
    <n v="0"/>
    <n v="0"/>
    <n v="-1"/>
    <n v="0"/>
    <n v="0"/>
    <n v="0"/>
    <n v="0"/>
    <n v="0"/>
    <n v="0"/>
    <n v="0"/>
    <n v="0"/>
    <n v="0"/>
    <n v="0"/>
    <x v="0"/>
    <x v="0"/>
    <x v="1"/>
    <n v="15"/>
    <m/>
    <n v="0.5"/>
    <n v="0.5"/>
    <n v="0.5"/>
    <n v="0.5"/>
    <m/>
    <m/>
    <m/>
    <m/>
    <m/>
    <m/>
    <m/>
    <m/>
    <m/>
    <m/>
    <m/>
    <m/>
    <m/>
    <m/>
    <m/>
    <n v="2"/>
    <n v="2"/>
  </r>
  <r>
    <n v="2654"/>
    <x v="1"/>
    <s v="2022/0788"/>
    <s v="15 Balham High Road"/>
    <s v=""/>
    <n v="528760"/>
    <n v="173705"/>
    <x v="2"/>
    <m/>
    <m/>
    <n v="1"/>
    <n v="3"/>
    <n v="2"/>
    <n v="3"/>
    <n v="2"/>
    <x v="1"/>
    <s v="Alterations including erection of two-storey side extension at first floor, second floor rear extension, rear roof extension, rear terraces at first and second floor and associated bin and bike storage in connection with conversion from C3 Dwelling into 2 x 2-bedroom flats and 1 x studio flat."/>
    <s v="PF"/>
    <d v="2022-04-28T00:00:00"/>
    <d v="2022-07-28T00:00:00"/>
    <x v="1"/>
    <s v="Nil"/>
    <m/>
    <s v="BF"/>
    <s v="CON"/>
    <x v="2"/>
    <x v="5"/>
    <n v="7.0000000000000001E-3"/>
    <m/>
    <x v="0"/>
    <m/>
    <x v="2"/>
    <s v="MR"/>
    <s v=""/>
    <m/>
    <n v="0"/>
    <m/>
    <n v="0"/>
    <m/>
    <n v="1"/>
    <n v="0"/>
    <n v="2"/>
    <n v="0"/>
    <n v="-1"/>
    <n v="0"/>
    <n v="0"/>
    <n v="1"/>
    <n v="0"/>
    <n v="2"/>
    <n v="0"/>
    <n v="0"/>
    <n v="0"/>
    <n v="0"/>
    <n v="0"/>
    <n v="0"/>
    <n v="0"/>
    <n v="0"/>
    <n v="-1"/>
    <n v="0"/>
    <n v="0"/>
    <n v="0"/>
    <n v="0"/>
    <n v="0"/>
    <n v="0"/>
    <n v="0"/>
    <n v="0"/>
    <n v="0"/>
    <x v="0"/>
    <x v="0"/>
    <x v="2"/>
    <n v="15"/>
    <m/>
    <n v="0.5"/>
    <n v="0.5"/>
    <n v="0.5"/>
    <n v="0.5"/>
    <m/>
    <m/>
    <m/>
    <m/>
    <m/>
    <m/>
    <m/>
    <m/>
    <m/>
    <m/>
    <m/>
    <m/>
    <m/>
    <m/>
    <m/>
    <n v="2"/>
    <n v="2"/>
  </r>
  <r>
    <n v="7704"/>
    <x v="1"/>
    <s v="2021/1285"/>
    <s v="153 Upper Tooting Road"/>
    <s v=""/>
    <n v="527741"/>
    <n v="171921"/>
    <x v="9"/>
    <m/>
    <m/>
    <n v="1"/>
    <n v="3"/>
    <n v="2"/>
    <n v="3"/>
    <n v="2"/>
    <x v="1"/>
    <s v="Alterations including erection of roof extension to main rear roof and two-storey rear extension above ground floor extension in connection with conversion of upper floor flat into 2 x 2 bedroom and 1 x studio flats."/>
    <s v="PF"/>
    <d v="2021-01-29T00:00:00"/>
    <d v="2022-03-09T00:00:00"/>
    <x v="0"/>
    <s v="Nil"/>
    <m/>
    <s v="BF"/>
    <s v="MIX"/>
    <x v="2"/>
    <x v="2"/>
    <n v="6.0000000000000001E-3"/>
    <m/>
    <x v="0"/>
    <m/>
    <x v="2"/>
    <s v="M"/>
    <s v=""/>
    <m/>
    <n v="0"/>
    <m/>
    <n v="0"/>
    <m/>
    <n v="1"/>
    <n v="1"/>
    <n v="1"/>
    <n v="0"/>
    <n v="0"/>
    <n v="-1"/>
    <n v="0"/>
    <n v="1"/>
    <n v="1"/>
    <n v="1"/>
    <n v="0"/>
    <n v="0"/>
    <n v="-1"/>
    <n v="0"/>
    <n v="0"/>
    <n v="0"/>
    <n v="0"/>
    <n v="0"/>
    <n v="0"/>
    <n v="0"/>
    <n v="0"/>
    <n v="0"/>
    <n v="0"/>
    <n v="0"/>
    <n v="0"/>
    <n v="0"/>
    <n v="0"/>
    <n v="0"/>
    <x v="2"/>
    <x v="0"/>
    <x v="3"/>
    <n v="15"/>
    <m/>
    <n v="0.5"/>
    <n v="0.5"/>
    <n v="0.5"/>
    <n v="0.5"/>
    <m/>
    <m/>
    <m/>
    <m/>
    <m/>
    <m/>
    <m/>
    <m/>
    <m/>
    <m/>
    <m/>
    <m/>
    <m/>
    <m/>
    <m/>
    <n v="2"/>
    <n v="2"/>
  </r>
  <r>
    <n v="7850"/>
    <x v="1"/>
    <s v="2022/2092"/>
    <s v="199-201 Wandsworth High Street"/>
    <s v=""/>
    <n v="525311"/>
    <n v="174644"/>
    <x v="6"/>
    <m/>
    <m/>
    <n v="0"/>
    <n v="2"/>
    <n v="2"/>
    <n v="2"/>
    <n v="2"/>
    <x v="1"/>
    <s v="Alterations including demolition of rear store to commercial units (Use Class E); erection of part single, part two-storey rear extension and change of use of rear ground floor to provide a commercial unit (Class E), 1 x 1-bed flat and 1 x 3-bed house with associated cycle and refuse storage."/>
    <s v="PF"/>
    <d v="2022-06-21T00:00:00"/>
    <d v="2022-09-16T00:00:00"/>
    <x v="1"/>
    <s v="Nil"/>
    <m/>
    <s v="BF"/>
    <s v="MIX"/>
    <x v="2"/>
    <x v="6"/>
    <n v="1.189E-2"/>
    <m/>
    <x v="0"/>
    <m/>
    <x v="2"/>
    <s v="M"/>
    <s v="3.1.1"/>
    <m/>
    <n v="0"/>
    <m/>
    <n v="0"/>
    <m/>
    <n v="0"/>
    <n v="1"/>
    <n v="0"/>
    <n v="1"/>
    <n v="0"/>
    <n v="0"/>
    <n v="0"/>
    <n v="0"/>
    <n v="1"/>
    <n v="0"/>
    <n v="0"/>
    <n v="0"/>
    <n v="0"/>
    <n v="0"/>
    <n v="0"/>
    <n v="0"/>
    <n v="0"/>
    <n v="1"/>
    <n v="0"/>
    <n v="0"/>
    <n v="0"/>
    <n v="0"/>
    <n v="0"/>
    <n v="0"/>
    <n v="0"/>
    <n v="0"/>
    <n v="0"/>
    <n v="0"/>
    <x v="3"/>
    <x v="0"/>
    <x v="0"/>
    <n v="15"/>
    <m/>
    <n v="0.5"/>
    <n v="0.5"/>
    <n v="0.5"/>
    <n v="0.5"/>
    <m/>
    <m/>
    <m/>
    <m/>
    <m/>
    <m/>
    <m/>
    <m/>
    <m/>
    <m/>
    <m/>
    <m/>
    <m/>
    <m/>
    <m/>
    <n v="2"/>
    <n v="2"/>
  </r>
  <r>
    <n v="6149"/>
    <x v="1"/>
    <s v="2016/5183"/>
    <s v="8 Ravensbury Terrace"/>
    <s v=""/>
    <n v="525867"/>
    <n v="172948"/>
    <x v="20"/>
    <d v="2021-08-01T00:00:00"/>
    <m/>
    <n v="0"/>
    <n v="14"/>
    <n v="14"/>
    <n v="14"/>
    <n v="14"/>
    <x v="0"/>
    <s v="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
    <s v="PFLA"/>
    <d v="2016-09-02T00:00:00"/>
    <d v="2019-11-01T00:00:00"/>
    <x v="0"/>
    <s v="Nil"/>
    <m/>
    <s v="BF"/>
    <s v="NB"/>
    <x v="0"/>
    <x v="0"/>
    <n v="6.7000000000000004E-2"/>
    <m/>
    <x v="0"/>
    <m/>
    <x v="2"/>
    <s v="M"/>
    <s v=""/>
    <m/>
    <n v="0"/>
    <n v="1"/>
    <n v="2"/>
    <n v="1"/>
    <n v="0"/>
    <n v="3"/>
    <n v="10"/>
    <n v="1"/>
    <n v="0"/>
    <n v="0"/>
    <n v="0"/>
    <n v="0"/>
    <n v="3"/>
    <n v="10"/>
    <n v="1"/>
    <n v="0"/>
    <n v="0"/>
    <n v="0"/>
    <n v="0"/>
    <n v="0"/>
    <n v="0"/>
    <n v="0"/>
    <n v="0"/>
    <n v="0"/>
    <n v="0"/>
    <n v="0"/>
    <n v="0"/>
    <n v="0"/>
    <n v="0"/>
    <n v="0"/>
    <n v="0"/>
    <n v="0"/>
    <x v="0"/>
    <x v="0"/>
    <x v="6"/>
    <n v="10"/>
    <m/>
    <m/>
    <m/>
    <m/>
    <n v="4.666666666666667"/>
    <n v="4.666666666666667"/>
    <n v="4.666666666666667"/>
    <m/>
    <m/>
    <m/>
    <m/>
    <m/>
    <m/>
    <m/>
    <m/>
    <m/>
    <m/>
    <m/>
    <m/>
    <m/>
    <n v="9.3333333333333339"/>
    <n v="14"/>
  </r>
  <r>
    <n v="7756"/>
    <x v="1"/>
    <s v="2021/5781"/>
    <s v="8 Alderbrook Road"/>
    <s v=""/>
    <n v="528535"/>
    <n v="174164"/>
    <x v="2"/>
    <m/>
    <m/>
    <n v="1"/>
    <n v="6"/>
    <n v="5"/>
    <n v="6"/>
    <n v="5"/>
    <x v="1"/>
    <s v="Demolition of existing building and erection of three-storey (plus basement and roof levels) building comprising 2 x 1 bedroom flats, 2 x 2-bedroom flats and 2 x 3-bedroom flats with associated landscaping works, cycle parking and refuse storage."/>
    <s v="PF"/>
    <d v="2021-12-22T00:00:00"/>
    <d v="2022-03-28T00:00:00"/>
    <x v="0"/>
    <s v="Nil"/>
    <m/>
    <s v="BF"/>
    <s v="NB"/>
    <x v="2"/>
    <x v="1"/>
    <n v="1.439E-2"/>
    <m/>
    <x v="0"/>
    <m/>
    <x v="2"/>
    <s v="M"/>
    <s v=""/>
    <m/>
    <n v="0"/>
    <m/>
    <n v="0"/>
    <m/>
    <n v="0"/>
    <n v="2"/>
    <n v="2"/>
    <n v="2"/>
    <n v="-1"/>
    <n v="0"/>
    <n v="0"/>
    <n v="0"/>
    <n v="2"/>
    <n v="2"/>
    <n v="2"/>
    <n v="0"/>
    <n v="0"/>
    <n v="0"/>
    <n v="0"/>
    <n v="0"/>
    <n v="0"/>
    <n v="0"/>
    <n v="-1"/>
    <n v="0"/>
    <n v="0"/>
    <n v="0"/>
    <n v="0"/>
    <n v="0"/>
    <n v="0"/>
    <n v="0"/>
    <n v="0"/>
    <n v="0"/>
    <x v="0"/>
    <x v="0"/>
    <x v="1"/>
    <n v="7"/>
    <m/>
    <m/>
    <n v="1.25"/>
    <n v="1.25"/>
    <n v="1.25"/>
    <n v="1.25"/>
    <m/>
    <m/>
    <m/>
    <m/>
    <m/>
    <m/>
    <m/>
    <m/>
    <m/>
    <m/>
    <m/>
    <m/>
    <m/>
    <m/>
    <n v="5"/>
    <n v="5"/>
  </r>
  <r>
    <n v="7036"/>
    <x v="1"/>
    <s v="2019/5259"/>
    <s v="2 Worcester Gardens"/>
    <s v=""/>
    <n v="527828"/>
    <n v="175000"/>
    <x v="14"/>
    <m/>
    <m/>
    <n v="1"/>
    <n v="3"/>
    <n v="2"/>
    <n v="3"/>
    <n v="2"/>
    <x v="1"/>
    <s v="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
    <s v="PF"/>
    <d v="2020-01-09T00:00:00"/>
    <d v="2020-04-28T00:00:00"/>
    <x v="0"/>
    <s v="Nil"/>
    <m/>
    <s v="BF"/>
    <s v="MIX"/>
    <x v="2"/>
    <x v="5"/>
    <n v="1.4E-2"/>
    <m/>
    <x v="0"/>
    <m/>
    <x v="2"/>
    <s v="M"/>
    <s v=""/>
    <m/>
    <n v="0"/>
    <m/>
    <n v="0"/>
    <m/>
    <n v="0"/>
    <n v="0"/>
    <n v="1"/>
    <n v="2"/>
    <n v="-1"/>
    <n v="0"/>
    <n v="0"/>
    <n v="0"/>
    <n v="0"/>
    <n v="1"/>
    <n v="2"/>
    <n v="0"/>
    <n v="0"/>
    <n v="0"/>
    <n v="0"/>
    <n v="0"/>
    <n v="0"/>
    <n v="0"/>
    <n v="-1"/>
    <n v="0"/>
    <n v="0"/>
    <n v="0"/>
    <n v="0"/>
    <n v="0"/>
    <n v="0"/>
    <n v="0"/>
    <n v="0"/>
    <n v="0"/>
    <x v="0"/>
    <x v="0"/>
    <x v="1"/>
    <n v="15"/>
    <m/>
    <n v="0.5"/>
    <n v="0.5"/>
    <n v="0.5"/>
    <n v="0.5"/>
    <m/>
    <m/>
    <m/>
    <m/>
    <m/>
    <m/>
    <m/>
    <m/>
    <m/>
    <m/>
    <m/>
    <m/>
    <m/>
    <m/>
    <m/>
    <n v="2"/>
    <n v="2"/>
  </r>
  <r>
    <n v="6016"/>
    <x v="1"/>
    <s v="2021/1667"/>
    <s v="203 Replingham Road"/>
    <s v=""/>
    <n v="525206"/>
    <n v="173428"/>
    <x v="20"/>
    <m/>
    <m/>
    <n v="0"/>
    <n v="2"/>
    <n v="2"/>
    <n v="2"/>
    <n v="2"/>
    <x v="1"/>
    <s v="Determination as to whether prior approval is required for change of use from retail (Class A1) to 2 x 1-bedroom flats (Class C3) on the ground floor with associated external alterations to front and rear elevations."/>
    <s v="PAG"/>
    <d v="2021-03-31T00:00:00"/>
    <d v="2021-05-24T00:00:00"/>
    <x v="0"/>
    <s v="Nil"/>
    <m/>
    <s v="BF"/>
    <s v="COU"/>
    <x v="2"/>
    <x v="4"/>
    <n v="5.0000000000000001E-3"/>
    <m/>
    <x v="0"/>
    <m/>
    <x v="2"/>
    <s v="M"/>
    <s v=""/>
    <m/>
    <n v="0"/>
    <m/>
    <n v="0"/>
    <m/>
    <n v="0"/>
    <n v="2"/>
    <n v="0"/>
    <n v="0"/>
    <n v="0"/>
    <n v="0"/>
    <n v="0"/>
    <n v="0"/>
    <n v="2"/>
    <n v="0"/>
    <n v="0"/>
    <n v="0"/>
    <n v="0"/>
    <n v="0"/>
    <n v="0"/>
    <n v="0"/>
    <n v="0"/>
    <n v="0"/>
    <n v="0"/>
    <n v="0"/>
    <n v="0"/>
    <n v="0"/>
    <n v="0"/>
    <n v="0"/>
    <n v="0"/>
    <n v="0"/>
    <n v="0"/>
    <n v="0"/>
    <x v="0"/>
    <x v="0"/>
    <x v="1"/>
    <n v="15"/>
    <m/>
    <n v="0.5"/>
    <n v="0.5"/>
    <n v="0.5"/>
    <n v="0.5"/>
    <m/>
    <m/>
    <m/>
    <m/>
    <m/>
    <m/>
    <m/>
    <m/>
    <m/>
    <m/>
    <m/>
    <m/>
    <m/>
    <m/>
    <m/>
    <n v="2"/>
    <n v="2"/>
  </r>
  <r>
    <n v="6709"/>
    <x v="1"/>
    <s v="2019/4846"/>
    <s v="21 Lavender Hill"/>
    <s v=""/>
    <n v="528478"/>
    <n v="175737"/>
    <x v="12"/>
    <m/>
    <m/>
    <n v="0"/>
    <n v="2"/>
    <n v="2"/>
    <n v="2"/>
    <n v="2"/>
    <x v="1"/>
    <s v="Determination as to whether prior approval is required for change of use from hot food takeaway (Class A5) to residential (Class C3) to provide 2 x 1-bedroom flats with associated external alteration side elevation."/>
    <s v="PAG"/>
    <d v="2019-11-15T00:00:00"/>
    <d v="2020-01-02T00:00:00"/>
    <x v="0"/>
    <s v="Nil"/>
    <m/>
    <s v="BF"/>
    <s v="COU"/>
    <x v="2"/>
    <x v="3"/>
    <n v="7.0000000000000001E-3"/>
    <m/>
    <x v="0"/>
    <m/>
    <x v="2"/>
    <s v="M"/>
    <s v=""/>
    <m/>
    <n v="0"/>
    <m/>
    <n v="0"/>
    <m/>
    <n v="0"/>
    <n v="2"/>
    <n v="0"/>
    <n v="0"/>
    <n v="0"/>
    <n v="0"/>
    <n v="0"/>
    <n v="0"/>
    <n v="2"/>
    <n v="0"/>
    <n v="0"/>
    <n v="0"/>
    <n v="0"/>
    <n v="0"/>
    <n v="0"/>
    <n v="0"/>
    <n v="0"/>
    <n v="0"/>
    <n v="0"/>
    <n v="0"/>
    <n v="0"/>
    <n v="0"/>
    <n v="0"/>
    <n v="0"/>
    <n v="0"/>
    <n v="0"/>
    <n v="0"/>
    <n v="0"/>
    <x v="0"/>
    <x v="0"/>
    <x v="1"/>
    <n v="15"/>
    <m/>
    <n v="0.5"/>
    <n v="0.5"/>
    <n v="0.5"/>
    <n v="0.5"/>
    <m/>
    <m/>
    <m/>
    <m/>
    <m/>
    <m/>
    <m/>
    <m/>
    <m/>
    <m/>
    <m/>
    <m/>
    <m/>
    <m/>
    <m/>
    <n v="2"/>
    <n v="2"/>
  </r>
  <r>
    <n v="6499"/>
    <x v="1"/>
    <s v="2021/0888"/>
    <s v="Albany House, Portslade Road"/>
    <s v=""/>
    <n v="529152"/>
    <n v="176426"/>
    <x v="1"/>
    <m/>
    <m/>
    <n v="2"/>
    <n v="1"/>
    <n v="-1"/>
    <n v="1"/>
    <n v="-1"/>
    <x v="1"/>
    <s v="Outline consent for the demolition of Albany House and erection of a five-storey plus basement building containing business suites (Use Class E(g)) on ground to second floors and a three-bedroom residential unit on third and fourth floors with a private roof terrace and associated cycle parking and refuse storage facilities at ground floor, with all matters reserved except access and scale."/>
    <s v="PO"/>
    <d v="2021-04-16T00:00:00"/>
    <d v="2021-08-24T00:00:00"/>
    <x v="0"/>
    <s v="Nil"/>
    <m/>
    <s v="BF"/>
    <s v="NB"/>
    <x v="2"/>
    <x v="1"/>
    <n v="2E-3"/>
    <m/>
    <x v="0"/>
    <m/>
    <x v="2"/>
    <s v="M"/>
    <s v=""/>
    <m/>
    <n v="0"/>
    <m/>
    <n v="0"/>
    <m/>
    <n v="-1"/>
    <n v="-1"/>
    <n v="0"/>
    <n v="1"/>
    <n v="0"/>
    <n v="0"/>
    <n v="0"/>
    <n v="-1"/>
    <n v="-1"/>
    <n v="0"/>
    <n v="1"/>
    <n v="0"/>
    <n v="0"/>
    <n v="0"/>
    <n v="0"/>
    <n v="0"/>
    <n v="0"/>
    <n v="0"/>
    <n v="0"/>
    <n v="0"/>
    <n v="0"/>
    <n v="0"/>
    <n v="0"/>
    <n v="0"/>
    <n v="0"/>
    <n v="0"/>
    <n v="0"/>
    <n v="0"/>
    <x v="0"/>
    <x v="1"/>
    <x v="7"/>
    <n v="7"/>
    <m/>
    <m/>
    <n v="-0.25"/>
    <n v="-0.25"/>
    <n v="-0.25"/>
    <n v="-0.25"/>
    <m/>
    <m/>
    <m/>
    <m/>
    <m/>
    <m/>
    <m/>
    <m/>
    <m/>
    <m/>
    <m/>
    <m/>
    <m/>
    <m/>
    <n v="-1"/>
    <n v="-1"/>
  </r>
  <r>
    <n v="3716"/>
    <x v="1"/>
    <s v="2022/0854"/>
    <s v="211 Garratt Lane"/>
    <s v=""/>
    <n v="525905"/>
    <n v="173871"/>
    <x v="11"/>
    <m/>
    <m/>
    <n v="1"/>
    <n v="3"/>
    <n v="2"/>
    <n v="3"/>
    <n v="2"/>
    <x v="1"/>
    <s v="Erection of a mansard roof extension to main rear roof slope and extension above part of two-storey rear addition with the formation of a roof terrace with glazed 1.7m screen surround in connection with the conversion of the upper floors into 2 x 1-bedroom flats and one studio flat."/>
    <s v="PF"/>
    <d v="2022-04-29T00:00:00"/>
    <d v="2022-07-13T00:00:00"/>
    <x v="1"/>
    <s v="Nil"/>
    <m/>
    <s v="BF"/>
    <s v="MIX"/>
    <x v="2"/>
    <x v="7"/>
    <n v="5.0000000000000001E-3"/>
    <m/>
    <x v="0"/>
    <m/>
    <x v="2"/>
    <s v="M"/>
    <s v=""/>
    <m/>
    <n v="0"/>
    <m/>
    <n v="0"/>
    <m/>
    <n v="1"/>
    <n v="2"/>
    <n v="0"/>
    <n v="-1"/>
    <n v="0"/>
    <n v="0"/>
    <n v="0"/>
    <n v="1"/>
    <n v="2"/>
    <n v="0"/>
    <n v="-1"/>
    <n v="0"/>
    <n v="0"/>
    <n v="0"/>
    <n v="0"/>
    <n v="0"/>
    <n v="0"/>
    <n v="0"/>
    <n v="0"/>
    <n v="0"/>
    <n v="0"/>
    <n v="0"/>
    <n v="0"/>
    <n v="0"/>
    <n v="0"/>
    <n v="0"/>
    <n v="0"/>
    <n v="0"/>
    <x v="0"/>
    <x v="0"/>
    <x v="6"/>
    <n v="15"/>
    <m/>
    <n v="0.5"/>
    <n v="0.5"/>
    <n v="0.5"/>
    <n v="0.5"/>
    <m/>
    <m/>
    <m/>
    <m/>
    <m/>
    <m/>
    <m/>
    <m/>
    <m/>
    <m/>
    <m/>
    <m/>
    <m/>
    <m/>
    <m/>
    <n v="2"/>
    <n v="2"/>
  </r>
  <r>
    <n v="6805"/>
    <x v="1"/>
    <s v="2020/2542"/>
    <s v="231 Putney Bridge Road"/>
    <s v=""/>
    <n v="524490"/>
    <n v="175266"/>
    <x v="0"/>
    <m/>
    <m/>
    <n v="0"/>
    <n v="2"/>
    <n v="2"/>
    <n v="8"/>
    <n v="8"/>
    <x v="1"/>
    <s v="Alterations including erection of front and rear mansard extensions to main roof and erection of extension at second and third floor level to side elevation in connection with conversion of 6 x 1-bedroom and 2 x 2-bedroom flats."/>
    <s v="PF"/>
    <d v="2020-08-05T00:00:00"/>
    <d v="2020-11-27T00:00:00"/>
    <x v="0"/>
    <s v="Nil"/>
    <m/>
    <s v="BF"/>
    <s v="MIX"/>
    <x v="2"/>
    <x v="2"/>
    <n v="5.0000000000000001E-3"/>
    <m/>
    <x v="0"/>
    <m/>
    <x v="2"/>
    <s v="M"/>
    <s v=""/>
    <m/>
    <n v="0"/>
    <m/>
    <n v="0"/>
    <m/>
    <n v="0"/>
    <n v="1"/>
    <n v="1"/>
    <n v="0"/>
    <n v="0"/>
    <n v="0"/>
    <n v="0"/>
    <n v="0"/>
    <n v="1"/>
    <n v="1"/>
    <n v="0"/>
    <n v="0"/>
    <n v="0"/>
    <n v="0"/>
    <n v="0"/>
    <n v="0"/>
    <n v="0"/>
    <n v="0"/>
    <n v="0"/>
    <n v="0"/>
    <n v="0"/>
    <n v="0"/>
    <n v="0"/>
    <n v="0"/>
    <n v="0"/>
    <n v="0"/>
    <n v="0"/>
    <n v="0"/>
    <x v="0"/>
    <x v="0"/>
    <x v="1"/>
    <n v="18"/>
    <m/>
    <n v="0.5"/>
    <n v="0.5"/>
    <n v="0.5"/>
    <n v="0.5"/>
    <m/>
    <m/>
    <m/>
    <m/>
    <m/>
    <m/>
    <m/>
    <m/>
    <m/>
    <m/>
    <m/>
    <m/>
    <m/>
    <m/>
    <m/>
    <n v="2"/>
    <n v="2"/>
  </r>
  <r>
    <n v="7887"/>
    <x v="1"/>
    <s v="2022/3526"/>
    <s v="40 Roedean Crescent"/>
    <s v=""/>
    <n v="521118"/>
    <n v="174326"/>
    <x v="16"/>
    <m/>
    <m/>
    <n v="1"/>
    <n v="1"/>
    <n v="0"/>
    <n v="1"/>
    <n v="0"/>
    <x v="1"/>
    <s v="Demolition of existing building and erection of a two-storey (plus basement and roof levels) 5-bedroom house with associated landscaping and single storey outbuilding and plant room in rear garden."/>
    <s v="PF"/>
    <d v="2022-09-13T00:00:00"/>
    <d v="2023-01-11T00:00:00"/>
    <x v="1"/>
    <s v="Nil"/>
    <m/>
    <s v="BF"/>
    <s v="NB"/>
    <x v="2"/>
    <x v="1"/>
    <n v="2.8000000000000001E-2"/>
    <m/>
    <x v="0"/>
    <m/>
    <x v="2"/>
    <s v="M"/>
    <s v=""/>
    <m/>
    <n v="0"/>
    <m/>
    <n v="0"/>
    <m/>
    <n v="0"/>
    <n v="0"/>
    <n v="0"/>
    <n v="0"/>
    <n v="-1"/>
    <n v="1"/>
    <n v="0"/>
    <n v="0"/>
    <n v="0"/>
    <n v="0"/>
    <n v="0"/>
    <n v="0"/>
    <n v="0"/>
    <n v="0"/>
    <n v="0"/>
    <n v="0"/>
    <n v="0"/>
    <n v="0"/>
    <n v="-1"/>
    <n v="1"/>
    <n v="0"/>
    <n v="0"/>
    <n v="0"/>
    <n v="0"/>
    <n v="0"/>
    <n v="0"/>
    <n v="0"/>
    <n v="0"/>
    <x v="0"/>
    <x v="0"/>
    <x v="1"/>
    <n v="7"/>
    <m/>
    <m/>
    <n v="0"/>
    <n v="0"/>
    <n v="0"/>
    <n v="0"/>
    <m/>
    <m/>
    <m/>
    <m/>
    <m/>
    <m/>
    <m/>
    <m/>
    <m/>
    <m/>
    <m/>
    <m/>
    <m/>
    <m/>
    <n v="0"/>
    <n v="0"/>
  </r>
  <r>
    <n v="2032"/>
    <x v="1"/>
    <s v="2021/0659"/>
    <s v="297-301 Balham High Road (1-9 Belgravia House, 301)"/>
    <s v=""/>
    <n v="528095"/>
    <n v="172380"/>
    <x v="8"/>
    <m/>
    <m/>
    <n v="0"/>
    <n v="2"/>
    <n v="2"/>
    <n v="2"/>
    <n v="2"/>
    <x v="1"/>
    <s v="Alterations including erection of front and rear roof extensions to main rear roof including raising the ridge, formation of roof terraces to the front and rear in connection with the creation of 2 x two-bedroom flats."/>
    <s v="PF"/>
    <d v="2021-02-12T00:00:00"/>
    <d v="2021-06-21T00:00:00"/>
    <x v="0"/>
    <s v="Nil"/>
    <m/>
    <s v="BF"/>
    <s v="EXT"/>
    <x v="2"/>
    <x v="2"/>
    <n v="8.9999999999999993E-3"/>
    <m/>
    <x v="0"/>
    <m/>
    <x v="2"/>
    <s v="M"/>
    <s v=""/>
    <m/>
    <n v="0"/>
    <m/>
    <n v="0"/>
    <m/>
    <n v="0"/>
    <n v="0"/>
    <n v="2"/>
    <n v="0"/>
    <n v="0"/>
    <n v="0"/>
    <n v="0"/>
    <n v="0"/>
    <n v="0"/>
    <n v="2"/>
    <n v="0"/>
    <n v="0"/>
    <n v="0"/>
    <n v="0"/>
    <n v="0"/>
    <n v="0"/>
    <n v="0"/>
    <n v="0"/>
    <n v="0"/>
    <n v="0"/>
    <n v="0"/>
    <n v="0"/>
    <n v="0"/>
    <n v="0"/>
    <n v="0"/>
    <n v="0"/>
    <n v="0"/>
    <n v="0"/>
    <x v="0"/>
    <x v="0"/>
    <x v="1"/>
    <n v="15"/>
    <m/>
    <n v="0.5"/>
    <n v="0.5"/>
    <n v="0.5"/>
    <n v="0.5"/>
    <m/>
    <m/>
    <m/>
    <m/>
    <m/>
    <m/>
    <m/>
    <m/>
    <m/>
    <m/>
    <m/>
    <m/>
    <m/>
    <m/>
    <m/>
    <n v="2"/>
    <n v="2"/>
  </r>
  <r>
    <n v="7729"/>
    <x v="1"/>
    <s v="2022/1190"/>
    <s v="31 Bellevue Road"/>
    <s v=""/>
    <n v="527446"/>
    <n v="173267"/>
    <x v="4"/>
    <m/>
    <m/>
    <n v="0"/>
    <n v="2"/>
    <n v="2"/>
    <n v="2"/>
    <n v="2"/>
    <x v="1"/>
    <s v="Change of use of first floor from Artist Studio (Class E) to residential (Class C3). Erection of one additional storey of accommodation above first floor, formation of first and second floors lightwells and roof terraces with screening in connection with provision of 1 x 1 bedroom and 1 x 2-bedroom flats."/>
    <s v="PF"/>
    <d v="2022-03-21T00:00:00"/>
    <d v="2022-08-24T00:00:00"/>
    <x v="1"/>
    <s v="Nil"/>
    <m/>
    <s v="BF"/>
    <s v="EXT"/>
    <x v="2"/>
    <x v="6"/>
    <n v="6.3E-3"/>
    <m/>
    <x v="0"/>
    <m/>
    <x v="2"/>
    <s v="M"/>
    <s v=""/>
    <m/>
    <n v="0"/>
    <m/>
    <n v="0"/>
    <m/>
    <n v="0"/>
    <n v="1"/>
    <n v="1"/>
    <n v="0"/>
    <n v="0"/>
    <n v="0"/>
    <n v="0"/>
    <n v="0"/>
    <n v="1"/>
    <n v="1"/>
    <n v="0"/>
    <n v="0"/>
    <n v="0"/>
    <n v="0"/>
    <n v="0"/>
    <n v="0"/>
    <n v="0"/>
    <n v="0"/>
    <n v="0"/>
    <n v="0"/>
    <n v="0"/>
    <n v="0"/>
    <n v="0"/>
    <n v="0"/>
    <n v="0"/>
    <n v="0"/>
    <n v="0"/>
    <n v="0"/>
    <x v="0"/>
    <x v="0"/>
    <x v="1"/>
    <n v="15"/>
    <m/>
    <n v="0.5"/>
    <n v="0.5"/>
    <n v="0.5"/>
    <n v="0.5"/>
    <m/>
    <m/>
    <m/>
    <m/>
    <m/>
    <m/>
    <m/>
    <m/>
    <m/>
    <m/>
    <m/>
    <m/>
    <m/>
    <m/>
    <m/>
    <n v="2"/>
    <n v="2"/>
  </r>
  <r>
    <n v="7692"/>
    <x v="1"/>
    <s v="2021/5175"/>
    <s v="367 Garratt Lane"/>
    <s v=""/>
    <n v="525937"/>
    <n v="173389"/>
    <x v="11"/>
    <m/>
    <m/>
    <n v="0"/>
    <n v="2"/>
    <n v="2"/>
    <n v="2"/>
    <n v="2"/>
    <x v="1"/>
    <s v="Alterations including erection of mansard roof extension to main rear roof and extension above two-storey back addition including formation of roof terrace with screen surround; replacement fenestration to front elevation, railings to front forecourt with cycle and refuse store in connection with change of use from ground floor retail (Class E(b)) to residential (Class C3) in the form of 2 x 2 bedroom flats."/>
    <s v="PF"/>
    <d v="2021-11-25T00:00:00"/>
    <d v="2022-01-28T00:00:00"/>
    <x v="0"/>
    <s v="Nil"/>
    <m/>
    <s v="BF"/>
    <s v="MIX"/>
    <x v="2"/>
    <x v="4"/>
    <n v="6.0000000000000001E-3"/>
    <m/>
    <x v="0"/>
    <m/>
    <x v="2"/>
    <s v="M"/>
    <s v=""/>
    <m/>
    <n v="0"/>
    <m/>
    <n v="0"/>
    <m/>
    <n v="0"/>
    <n v="0"/>
    <n v="2"/>
    <n v="0"/>
    <n v="0"/>
    <n v="0"/>
    <n v="0"/>
    <n v="0"/>
    <n v="0"/>
    <n v="2"/>
    <n v="0"/>
    <n v="0"/>
    <n v="0"/>
    <n v="0"/>
    <n v="0"/>
    <n v="0"/>
    <n v="0"/>
    <n v="0"/>
    <n v="0"/>
    <n v="0"/>
    <n v="0"/>
    <n v="0"/>
    <n v="0"/>
    <n v="0"/>
    <n v="0"/>
    <n v="0"/>
    <n v="0"/>
    <n v="0"/>
    <x v="0"/>
    <x v="0"/>
    <x v="6"/>
    <n v="15"/>
    <m/>
    <n v="0.5"/>
    <n v="0.5"/>
    <n v="0.5"/>
    <n v="0.5"/>
    <m/>
    <m/>
    <m/>
    <m/>
    <m/>
    <m/>
    <m/>
    <m/>
    <m/>
    <m/>
    <m/>
    <m/>
    <m/>
    <m/>
    <m/>
    <n v="2"/>
    <n v="2"/>
  </r>
  <r>
    <n v="7748"/>
    <x v="1"/>
    <s v="2022/4578"/>
    <s v="19 St Maragret's Crescent"/>
    <s v=""/>
    <n v="522924"/>
    <n v="174688"/>
    <x v="18"/>
    <m/>
    <m/>
    <n v="0"/>
    <n v="1"/>
    <n v="1"/>
    <n v="1"/>
    <n v="1"/>
    <x v="1"/>
    <s v="Demolition of existing building and erection of a two-storey 3-bedroom house."/>
    <s v="PF"/>
    <d v="2022-11-09T00:00:00"/>
    <d v="2023-01-04T00:00:00"/>
    <x v="1"/>
    <s v="Nil"/>
    <m/>
    <s v="BF"/>
    <s v="NB"/>
    <x v="2"/>
    <x v="1"/>
    <n v="1.09E-2"/>
    <m/>
    <x v="0"/>
    <m/>
    <x v="2"/>
    <s v="M"/>
    <s v=""/>
    <m/>
    <n v="0"/>
    <m/>
    <n v="0"/>
    <m/>
    <n v="0"/>
    <n v="0"/>
    <n v="0"/>
    <n v="1"/>
    <n v="0"/>
    <n v="0"/>
    <n v="0"/>
    <n v="0"/>
    <n v="0"/>
    <n v="0"/>
    <n v="0"/>
    <n v="0"/>
    <n v="0"/>
    <n v="0"/>
    <n v="0"/>
    <n v="0"/>
    <n v="0"/>
    <n v="1"/>
    <n v="0"/>
    <n v="0"/>
    <n v="0"/>
    <n v="0"/>
    <n v="0"/>
    <n v="0"/>
    <n v="0"/>
    <n v="0"/>
    <n v="0"/>
    <n v="0"/>
    <x v="0"/>
    <x v="0"/>
    <x v="1"/>
    <n v="7"/>
    <m/>
    <m/>
    <n v="0.25"/>
    <n v="0.25"/>
    <n v="0.25"/>
    <n v="0.25"/>
    <m/>
    <m/>
    <m/>
    <m/>
    <m/>
    <m/>
    <m/>
    <m/>
    <m/>
    <m/>
    <m/>
    <m/>
    <m/>
    <m/>
    <n v="1"/>
    <n v="1"/>
  </r>
  <r>
    <n v="7153"/>
    <x v="1"/>
    <s v="2018/2174"/>
    <s v="42-43 Halston Close"/>
    <s v=""/>
    <n v="527497"/>
    <n v="174444"/>
    <x v="14"/>
    <m/>
    <m/>
    <n v="3"/>
    <n v="5"/>
    <n v="2"/>
    <n v="5"/>
    <n v="2"/>
    <x v="1"/>
    <s v="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
    <s v="PF"/>
    <d v="2018-05-16T00:00:00"/>
    <d v="2018-09-24T00:00:00"/>
    <x v="0"/>
    <s v="Nil"/>
    <m/>
    <s v="BF"/>
    <s v="CON"/>
    <x v="2"/>
    <x v="5"/>
    <n v="3.5000000000000003E-2"/>
    <m/>
    <x v="0"/>
    <m/>
    <x v="2"/>
    <s v="M"/>
    <s v=""/>
    <m/>
    <n v="0"/>
    <m/>
    <n v="0"/>
    <m/>
    <n v="1"/>
    <n v="1"/>
    <n v="0"/>
    <n v="0"/>
    <n v="0"/>
    <n v="0"/>
    <n v="0"/>
    <n v="1"/>
    <n v="1"/>
    <n v="0"/>
    <n v="1"/>
    <n v="0"/>
    <n v="0"/>
    <n v="0"/>
    <n v="0"/>
    <n v="0"/>
    <n v="0"/>
    <n v="-1"/>
    <n v="0"/>
    <n v="0"/>
    <n v="0"/>
    <n v="0"/>
    <n v="0"/>
    <n v="0"/>
    <n v="0"/>
    <n v="0"/>
    <n v="0"/>
    <n v="0"/>
    <x v="0"/>
    <x v="0"/>
    <x v="1"/>
    <n v="15"/>
    <m/>
    <n v="0.5"/>
    <n v="0.5"/>
    <n v="0.5"/>
    <n v="0.5"/>
    <m/>
    <m/>
    <m/>
    <m/>
    <m/>
    <m/>
    <m/>
    <m/>
    <m/>
    <m/>
    <m/>
    <m/>
    <m/>
    <m/>
    <m/>
    <n v="2"/>
    <n v="2"/>
  </r>
  <r>
    <n v="7857"/>
    <x v="1"/>
    <s v="2022/2207"/>
    <s v="360 Old York Road"/>
    <s v=""/>
    <n v="525896"/>
    <n v="174999"/>
    <x v="6"/>
    <m/>
    <m/>
    <n v="0"/>
    <n v="2"/>
    <n v="2"/>
    <n v="2"/>
    <n v="2"/>
    <x v="1"/>
    <s v="Part demolition and the erection of a part single-storey, part two-storey extension to provide 2 x 1-bedroom flats with associated private amenity space"/>
    <s v="PF"/>
    <d v="2022-05-26T00:00:00"/>
    <d v="2022-12-20T00:00:00"/>
    <x v="1"/>
    <s v="Nil"/>
    <m/>
    <s v="BF"/>
    <s v="NB"/>
    <x v="2"/>
    <x v="1"/>
    <n v="4.7999999999999996E-3"/>
    <m/>
    <x v="0"/>
    <m/>
    <x v="2"/>
    <s v="M"/>
    <s v=""/>
    <m/>
    <n v="0"/>
    <m/>
    <n v="0"/>
    <m/>
    <n v="1"/>
    <n v="1"/>
    <n v="0"/>
    <n v="0"/>
    <n v="0"/>
    <n v="0"/>
    <n v="0"/>
    <n v="1"/>
    <n v="1"/>
    <n v="0"/>
    <n v="0"/>
    <n v="0"/>
    <n v="0"/>
    <n v="0"/>
    <n v="0"/>
    <n v="0"/>
    <n v="0"/>
    <n v="0"/>
    <n v="0"/>
    <n v="0"/>
    <n v="0"/>
    <n v="0"/>
    <n v="0"/>
    <n v="0"/>
    <n v="0"/>
    <n v="0"/>
    <n v="0"/>
    <n v="0"/>
    <x v="0"/>
    <x v="0"/>
    <x v="0"/>
    <n v="7"/>
    <m/>
    <m/>
    <n v="0.5"/>
    <n v="0.5"/>
    <n v="0.5"/>
    <n v="0.5"/>
    <m/>
    <m/>
    <m/>
    <m/>
    <m/>
    <m/>
    <m/>
    <m/>
    <m/>
    <m/>
    <m/>
    <m/>
    <m/>
    <m/>
    <n v="2"/>
    <n v="2"/>
  </r>
  <r>
    <n v="7833"/>
    <x v="1"/>
    <s v="2022/1644"/>
    <s v="51 Dryburgh Road"/>
    <s v=""/>
    <n v="522849"/>
    <n v="175561"/>
    <x v="0"/>
    <m/>
    <m/>
    <n v="1"/>
    <n v="1"/>
    <n v="0"/>
    <n v="1"/>
    <n v="0"/>
    <x v="1"/>
    <s v="Demolition of existing building and erection of a 2-storey (plus loft and basement) house including rear first floor level terrace, front second floor level balcony and front lightwell; with associated cycle and refuse storage."/>
    <s v="PF"/>
    <d v="2022-05-23T00:00:00"/>
    <d v="2022-12-20T00:00:00"/>
    <x v="1"/>
    <s v="Nil"/>
    <m/>
    <s v="BF"/>
    <s v="NB"/>
    <x v="2"/>
    <x v="1"/>
    <n v="7.0000000000000001E-3"/>
    <m/>
    <x v="0"/>
    <m/>
    <x v="2"/>
    <s v="M"/>
    <s v=""/>
    <m/>
    <n v="0"/>
    <m/>
    <n v="0"/>
    <m/>
    <n v="0"/>
    <n v="0"/>
    <n v="0"/>
    <n v="0"/>
    <n v="0"/>
    <n v="0"/>
    <n v="0"/>
    <n v="0"/>
    <n v="0"/>
    <n v="0"/>
    <n v="0"/>
    <n v="0"/>
    <n v="0"/>
    <n v="0"/>
    <n v="0"/>
    <n v="0"/>
    <n v="0"/>
    <n v="0"/>
    <n v="0"/>
    <n v="0"/>
    <n v="0"/>
    <n v="0"/>
    <n v="0"/>
    <n v="0"/>
    <n v="0"/>
    <n v="0"/>
    <n v="0"/>
    <n v="0"/>
    <x v="0"/>
    <x v="0"/>
    <x v="1"/>
    <n v="7"/>
    <m/>
    <m/>
    <n v="0"/>
    <n v="0"/>
    <n v="0"/>
    <n v="0"/>
    <m/>
    <m/>
    <m/>
    <m/>
    <m/>
    <m/>
    <m/>
    <m/>
    <m/>
    <m/>
    <m/>
    <m/>
    <m/>
    <m/>
    <n v="0"/>
    <n v="0"/>
  </r>
  <r>
    <n v="7902"/>
    <x v="1"/>
    <s v="2022/4180"/>
    <s v="Land at Rear of, 211 Burntwood Lane"/>
    <s v=""/>
    <n v="526640"/>
    <n v="172690"/>
    <x v="10"/>
    <m/>
    <m/>
    <n v="0"/>
    <n v="1"/>
    <n v="1"/>
    <n v="1"/>
    <n v="1"/>
    <x v="1"/>
    <s v="Demolition of existing building and erection of a single storey (plus basement) one bedroom house, with associated refuse and cycle storage."/>
    <s v="PF"/>
    <d v="2022-10-11T00:00:00"/>
    <d v="2022-12-05T00:00:00"/>
    <x v="1"/>
    <s v="Nil"/>
    <m/>
    <s v="BF"/>
    <s v="NB"/>
    <x v="2"/>
    <x v="1"/>
    <n v="3.0000000000000001E-3"/>
    <m/>
    <x v="0"/>
    <m/>
    <x v="2"/>
    <s v="M"/>
    <s v=""/>
    <m/>
    <n v="0"/>
    <m/>
    <n v="0"/>
    <m/>
    <n v="0"/>
    <n v="1"/>
    <n v="0"/>
    <n v="0"/>
    <n v="0"/>
    <n v="0"/>
    <n v="0"/>
    <n v="0"/>
    <n v="0"/>
    <n v="0"/>
    <n v="0"/>
    <n v="0"/>
    <n v="0"/>
    <n v="0"/>
    <n v="0"/>
    <n v="1"/>
    <n v="0"/>
    <n v="0"/>
    <n v="0"/>
    <n v="0"/>
    <n v="0"/>
    <n v="0"/>
    <n v="0"/>
    <n v="0"/>
    <n v="0"/>
    <n v="0"/>
    <n v="0"/>
    <n v="0"/>
    <x v="0"/>
    <x v="0"/>
    <x v="1"/>
    <n v="7"/>
    <m/>
    <m/>
    <n v="0.25"/>
    <n v="0.25"/>
    <n v="0.25"/>
    <n v="0.25"/>
    <m/>
    <m/>
    <m/>
    <m/>
    <m/>
    <m/>
    <m/>
    <m/>
    <m/>
    <m/>
    <m/>
    <m/>
    <m/>
    <m/>
    <n v="1"/>
    <n v="1"/>
  </r>
  <r>
    <n v="7069"/>
    <x v="1"/>
    <s v="2018/5669"/>
    <s v="Ferrier Street Industrial Estate and 322 Old York Road, 1 Ferrier Street"/>
    <s v=""/>
    <n v="525885"/>
    <n v="175045"/>
    <x v="6"/>
    <m/>
    <m/>
    <n v="1"/>
    <n v="65"/>
    <n v="64"/>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x v="1"/>
    <s v="Nil"/>
    <m/>
    <s v="BF"/>
    <s v="NB"/>
    <x v="0"/>
    <x v="0"/>
    <n v="0.19700000000000001"/>
    <m/>
    <x v="0"/>
    <m/>
    <x v="2"/>
    <s v="M"/>
    <s v=""/>
    <m/>
    <n v="0"/>
    <n v="0"/>
    <n v="0"/>
    <n v="0"/>
    <n v="12"/>
    <n v="25"/>
    <n v="24"/>
    <n v="3"/>
    <n v="0"/>
    <n v="0"/>
    <n v="0"/>
    <n v="12"/>
    <n v="25"/>
    <n v="24"/>
    <n v="3"/>
    <n v="0"/>
    <n v="0"/>
    <n v="0"/>
    <n v="0"/>
    <n v="0"/>
    <n v="0"/>
    <n v="0"/>
    <n v="0"/>
    <n v="0"/>
    <n v="0"/>
    <n v="0"/>
    <n v="0"/>
    <n v="0"/>
    <n v="0"/>
    <n v="0"/>
    <n v="0"/>
    <n v="0"/>
    <x v="0"/>
    <x v="0"/>
    <x v="0"/>
    <n v="8"/>
    <m/>
    <m/>
    <m/>
    <m/>
    <m/>
    <n v="64"/>
    <m/>
    <m/>
    <m/>
    <m/>
    <m/>
    <m/>
    <m/>
    <m/>
    <m/>
    <m/>
    <m/>
    <m/>
    <m/>
    <m/>
    <n v="64"/>
    <n v="64"/>
  </r>
  <r>
    <n v="7069"/>
    <x v="1"/>
    <s v="2018/5669"/>
    <s v="Ferrier Street Industrial Estate and 322 Old York Road, 1 Ferrier Street"/>
    <s v=""/>
    <n v="525885"/>
    <n v="175045"/>
    <x v="6"/>
    <m/>
    <m/>
    <n v="0"/>
    <n v="21"/>
    <n v="21"/>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x v="1"/>
    <s v="Nil"/>
    <m/>
    <s v="BF"/>
    <s v="NB"/>
    <x v="0"/>
    <x v="0"/>
    <n v="0.04"/>
    <m/>
    <x v="0"/>
    <m/>
    <x v="0"/>
    <s v="ISL"/>
    <s v=""/>
    <m/>
    <n v="0"/>
    <n v="0"/>
    <n v="0"/>
    <n v="0"/>
    <n v="0"/>
    <n v="15"/>
    <n v="3"/>
    <n v="3"/>
    <n v="0"/>
    <n v="0"/>
    <n v="0"/>
    <n v="0"/>
    <n v="15"/>
    <n v="3"/>
    <n v="3"/>
    <n v="0"/>
    <n v="0"/>
    <n v="0"/>
    <n v="0"/>
    <n v="0"/>
    <n v="0"/>
    <n v="0"/>
    <n v="0"/>
    <n v="0"/>
    <n v="0"/>
    <n v="0"/>
    <n v="0"/>
    <n v="0"/>
    <n v="0"/>
    <n v="0"/>
    <n v="0"/>
    <n v="0"/>
    <x v="0"/>
    <x v="0"/>
    <x v="0"/>
    <n v="8"/>
    <m/>
    <m/>
    <m/>
    <m/>
    <m/>
    <n v="21"/>
    <m/>
    <m/>
    <m/>
    <m/>
    <m/>
    <m/>
    <m/>
    <m/>
    <m/>
    <m/>
    <m/>
    <m/>
    <m/>
    <m/>
    <n v="21"/>
    <n v="21"/>
  </r>
  <r>
    <n v="7069"/>
    <x v="1"/>
    <s v="2018/5669"/>
    <s v="Ferrier Street Industrial Estate and 322 Old York Road, 1 Ferrier Street"/>
    <s v=""/>
    <n v="525885"/>
    <n v="175045"/>
    <x v="6"/>
    <m/>
    <m/>
    <n v="0"/>
    <n v="20"/>
    <n v="20"/>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x v="1"/>
    <s v="Nil"/>
    <m/>
    <s v="BF"/>
    <s v="NB"/>
    <x v="0"/>
    <x v="0"/>
    <n v="4.4999999999999998E-2"/>
    <m/>
    <x v="0"/>
    <m/>
    <x v="1"/>
    <s v="AL"/>
    <s v=""/>
    <m/>
    <n v="0"/>
    <n v="0"/>
    <n v="0"/>
    <n v="11"/>
    <n v="0"/>
    <n v="5"/>
    <n v="10"/>
    <n v="5"/>
    <n v="0"/>
    <n v="0"/>
    <n v="0"/>
    <n v="0"/>
    <n v="5"/>
    <n v="10"/>
    <n v="5"/>
    <n v="0"/>
    <n v="0"/>
    <n v="0"/>
    <n v="0"/>
    <n v="0"/>
    <n v="0"/>
    <n v="0"/>
    <n v="0"/>
    <n v="0"/>
    <n v="0"/>
    <n v="0"/>
    <n v="0"/>
    <n v="0"/>
    <n v="0"/>
    <n v="0"/>
    <n v="0"/>
    <n v="0"/>
    <x v="0"/>
    <x v="0"/>
    <x v="0"/>
    <n v="8"/>
    <m/>
    <m/>
    <m/>
    <m/>
    <m/>
    <n v="20"/>
    <m/>
    <m/>
    <m/>
    <m/>
    <m/>
    <m/>
    <m/>
    <m/>
    <m/>
    <m/>
    <m/>
    <m/>
    <m/>
    <m/>
    <n v="20"/>
    <n v="20"/>
  </r>
  <r>
    <n v="2320"/>
    <x v="1"/>
    <s v="2014/3837"/>
    <s v="Former Domus Tiles site, 31-33 Parkgate Road/Elcho Street (27-33 Parkgate Road &amp; 2-42 Elcho Street)"/>
    <s v=""/>
    <n v="527260"/>
    <n v="177215"/>
    <x v="17"/>
    <d v="2018-03-31T00:00:00"/>
    <m/>
    <n v="0"/>
    <n v="94"/>
    <n v="94"/>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0"/>
    <x v="0"/>
    <n v="0.247"/>
    <m/>
    <x v="0"/>
    <m/>
    <x v="2"/>
    <s v="M"/>
    <s v="10.1.1"/>
    <m/>
    <n v="94"/>
    <m/>
    <n v="94"/>
    <m/>
    <n v="0"/>
    <n v="21"/>
    <n v="47"/>
    <n v="23"/>
    <n v="3"/>
    <n v="0"/>
    <n v="0"/>
    <n v="0"/>
    <n v="21"/>
    <n v="47"/>
    <n v="23"/>
    <n v="3"/>
    <n v="0"/>
    <n v="0"/>
    <n v="0"/>
    <n v="0"/>
    <n v="0"/>
    <n v="0"/>
    <n v="0"/>
    <n v="0"/>
    <n v="0"/>
    <n v="0"/>
    <n v="0"/>
    <n v="0"/>
    <n v="0"/>
    <n v="0"/>
    <n v="0"/>
    <n v="0"/>
    <x v="0"/>
    <x v="0"/>
    <x v="8"/>
    <n v="10"/>
    <m/>
    <m/>
    <m/>
    <m/>
    <n v="31.333333333333332"/>
    <n v="31.333333333333332"/>
    <n v="31.333333333333332"/>
    <m/>
    <m/>
    <m/>
    <m/>
    <m/>
    <m/>
    <m/>
    <m/>
    <m/>
    <m/>
    <m/>
    <m/>
    <m/>
    <n v="62.666666666666664"/>
    <n v="94"/>
  </r>
  <r>
    <n v="2320"/>
    <x v="1"/>
    <s v="2014/3837"/>
    <s v="Former Domus Tiles site, 31-33 Parkgate Road/Elcho Street (27-33 Parkgate Road &amp; 2-42 Elcho Street)"/>
    <s v=""/>
    <n v="527260"/>
    <n v="177215"/>
    <x v="17"/>
    <d v="2018-03-31T00:00:00"/>
    <m/>
    <n v="0"/>
    <n v="14"/>
    <n v="14"/>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0"/>
    <x v="0"/>
    <n v="3.6999999999999998E-2"/>
    <m/>
    <x v="0"/>
    <m/>
    <x v="1"/>
    <s v="AS"/>
    <s v="10.1.1"/>
    <m/>
    <n v="14"/>
    <m/>
    <n v="14"/>
    <m/>
    <n v="0"/>
    <n v="1"/>
    <n v="0"/>
    <n v="13"/>
    <n v="0"/>
    <n v="0"/>
    <n v="0"/>
    <n v="0"/>
    <n v="1"/>
    <n v="0"/>
    <n v="13"/>
    <n v="0"/>
    <n v="0"/>
    <n v="0"/>
    <n v="0"/>
    <n v="0"/>
    <n v="0"/>
    <n v="0"/>
    <n v="0"/>
    <n v="0"/>
    <n v="0"/>
    <n v="0"/>
    <n v="0"/>
    <n v="0"/>
    <n v="0"/>
    <n v="0"/>
    <n v="0"/>
    <n v="0"/>
    <x v="0"/>
    <x v="0"/>
    <x v="8"/>
    <n v="10"/>
    <m/>
    <m/>
    <m/>
    <m/>
    <n v="4.666666666666667"/>
    <n v="4.666666666666667"/>
    <n v="4.666666666666667"/>
    <m/>
    <m/>
    <m/>
    <m/>
    <m/>
    <m/>
    <m/>
    <m/>
    <m/>
    <m/>
    <m/>
    <m/>
    <m/>
    <n v="9.3333333333333339"/>
    <n v="14"/>
  </r>
  <r>
    <n v="2320"/>
    <x v="1"/>
    <s v="2014/3837"/>
    <s v="Former Domus Tiles site, 31-33 Parkgate Road/Elcho Street (27-33 Parkgate Road &amp; 2-42 Elcho Street)"/>
    <s v=""/>
    <n v="527260"/>
    <n v="177215"/>
    <x v="17"/>
    <d v="2018-03-31T00:00:00"/>
    <m/>
    <n v="0"/>
    <n v="10"/>
    <n v="10"/>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0"/>
    <x v="0"/>
    <n v="2.5999999999999999E-2"/>
    <m/>
    <x v="0"/>
    <m/>
    <x v="0"/>
    <s v="ISO"/>
    <s v="10.1.1"/>
    <m/>
    <n v="10"/>
    <m/>
    <n v="10"/>
    <m/>
    <n v="0"/>
    <n v="6"/>
    <n v="2"/>
    <n v="2"/>
    <n v="0"/>
    <n v="0"/>
    <n v="0"/>
    <n v="0"/>
    <n v="6"/>
    <n v="2"/>
    <n v="2"/>
    <n v="0"/>
    <n v="0"/>
    <n v="0"/>
    <n v="0"/>
    <n v="0"/>
    <n v="0"/>
    <n v="0"/>
    <n v="0"/>
    <n v="0"/>
    <n v="0"/>
    <n v="0"/>
    <n v="0"/>
    <n v="0"/>
    <n v="0"/>
    <n v="0"/>
    <n v="0"/>
    <n v="0"/>
    <x v="0"/>
    <x v="0"/>
    <x v="8"/>
    <n v="10"/>
    <m/>
    <m/>
    <m/>
    <m/>
    <n v="3.3333333333333335"/>
    <n v="3.3333333333333335"/>
    <n v="3.3333333333333335"/>
    <m/>
    <m/>
    <m/>
    <m/>
    <m/>
    <m/>
    <m/>
    <m/>
    <m/>
    <m/>
    <m/>
    <m/>
    <m/>
    <n v="6.666666666666667"/>
    <n v="10"/>
  </r>
  <r>
    <n v="6847"/>
    <x v="1"/>
    <s v="2018/1311"/>
    <s v="Glassmill 1, 1 Battersea Bridge Road"/>
    <s v=""/>
    <n v="527092"/>
    <n v="177253"/>
    <x v="17"/>
    <m/>
    <m/>
    <n v="0"/>
    <n v="28"/>
    <n v="28"/>
    <n v="28"/>
    <n v="28"/>
    <x v="0"/>
    <s v="Determination as to whether prior approval is required for change of use from offices on first, second, third, fourth and fifth floors (Class B1(a)) to residential (Class C3) to provide 13 x 1-bedroom, 14 x 2-bedroom and 1 x 3-bedroom flats with associated basement bin/cycle storage and 23 parking spaces."/>
    <s v="PAG"/>
    <d v="2018-03-21T00:00:00"/>
    <d v="2018-05-03T00:00:00"/>
    <x v="0"/>
    <s v="Nil"/>
    <m/>
    <s v="BF"/>
    <s v="COU"/>
    <x v="6"/>
    <x v="0"/>
    <n v="9.1999999999999998E-2"/>
    <m/>
    <x v="0"/>
    <m/>
    <x v="2"/>
    <s v="M"/>
    <s v=""/>
    <m/>
    <n v="0"/>
    <m/>
    <n v="0"/>
    <m/>
    <n v="0"/>
    <n v="13"/>
    <n v="14"/>
    <n v="1"/>
    <n v="0"/>
    <n v="0"/>
    <n v="0"/>
    <n v="0"/>
    <n v="13"/>
    <n v="14"/>
    <n v="1"/>
    <n v="0"/>
    <n v="0"/>
    <n v="0"/>
    <n v="0"/>
    <n v="0"/>
    <n v="0"/>
    <n v="0"/>
    <n v="0"/>
    <n v="0"/>
    <n v="0"/>
    <n v="0"/>
    <n v="0"/>
    <n v="0"/>
    <n v="0"/>
    <n v="0"/>
    <n v="0"/>
    <n v="0"/>
    <x v="0"/>
    <x v="0"/>
    <x v="8"/>
    <n v="17"/>
    <m/>
    <m/>
    <m/>
    <m/>
    <m/>
    <m/>
    <n v="7"/>
    <n v="7"/>
    <n v="7"/>
    <n v="7"/>
    <m/>
    <m/>
    <m/>
    <m/>
    <m/>
    <m/>
    <m/>
    <m/>
    <m/>
    <m/>
    <n v="0"/>
    <n v="28"/>
  </r>
  <r>
    <n v="4326"/>
    <x v="1"/>
    <s v="2021/0376"/>
    <s v="480 Garratt Lane"/>
    <s v=""/>
    <n v="526105"/>
    <n v="172589"/>
    <x v="10"/>
    <m/>
    <m/>
    <n v="1"/>
    <n v="3"/>
    <n v="2"/>
    <n v="3"/>
    <n v="2"/>
    <x v="1"/>
    <s v="Alterations including excavation to enlarge basement including formation of front lightwell; erection of replacement single storey extension at rear and erection of single-storey side extension in connection with conversion of lower ground and ground floors into 1 x 2-bedroom and 1 x 1-bedroom flats."/>
    <s v="PF"/>
    <d v="2021-01-28T00:00:00"/>
    <d v="2021-07-08T00:00:00"/>
    <x v="0"/>
    <s v="Nil"/>
    <m/>
    <s v="BF"/>
    <s v="COU"/>
    <x v="2"/>
    <x v="3"/>
    <n v="1.2999999999999999E-2"/>
    <m/>
    <x v="0"/>
    <m/>
    <x v="2"/>
    <s v="M"/>
    <s v=""/>
    <m/>
    <n v="0"/>
    <m/>
    <n v="0"/>
    <m/>
    <n v="0"/>
    <n v="0"/>
    <n v="2"/>
    <n v="0"/>
    <n v="0"/>
    <n v="0"/>
    <n v="0"/>
    <n v="0"/>
    <n v="0"/>
    <n v="2"/>
    <n v="0"/>
    <n v="0"/>
    <n v="0"/>
    <n v="0"/>
    <n v="0"/>
    <n v="0"/>
    <n v="0"/>
    <n v="0"/>
    <n v="0"/>
    <n v="0"/>
    <n v="0"/>
    <n v="0"/>
    <n v="0"/>
    <n v="0"/>
    <n v="0"/>
    <n v="0"/>
    <n v="0"/>
    <n v="0"/>
    <x v="0"/>
    <x v="0"/>
    <x v="6"/>
    <n v="15"/>
    <m/>
    <n v="0.5"/>
    <n v="0.5"/>
    <n v="0.5"/>
    <n v="0.5"/>
    <m/>
    <m/>
    <m/>
    <m/>
    <m/>
    <m/>
    <m/>
    <m/>
    <m/>
    <m/>
    <m/>
    <m/>
    <m/>
    <m/>
    <m/>
    <n v="2"/>
    <n v="2"/>
  </r>
  <r>
    <n v="5333"/>
    <x v="1"/>
    <s v="2021/1184"/>
    <s v="54 Gilbey Road"/>
    <s v=""/>
    <n v="527255"/>
    <n v="171509"/>
    <x v="3"/>
    <m/>
    <m/>
    <n v="2"/>
    <n v="4"/>
    <n v="2"/>
    <n v="4"/>
    <n v="2"/>
    <x v="1"/>
    <s v="Alterations including erection of mansard roof extension to main rear roof (with french doors and safety railings) including raising ridge by 300mm and roof extension above two storey back addition, erection of single storey rear and side extension and formation of rear roof terrace with 1.7m glazed safety surround at second floor level in connection with creation of 1 x 3-bedroom, 1 x 2-bedroom and 2 x 1-bedroom flats"/>
    <s v="PF"/>
    <d v="2021-03-11T00:00:00"/>
    <d v="2021-06-10T00:00:00"/>
    <x v="0"/>
    <s v="Nil"/>
    <m/>
    <s v="BF"/>
    <s v="CON"/>
    <x v="2"/>
    <x v="7"/>
    <n v="1.4E-2"/>
    <m/>
    <x v="0"/>
    <m/>
    <x v="2"/>
    <s v="M"/>
    <s v=""/>
    <m/>
    <n v="0"/>
    <m/>
    <n v="0"/>
    <m/>
    <n v="0"/>
    <n v="2"/>
    <n v="0"/>
    <n v="0"/>
    <n v="0"/>
    <n v="0"/>
    <n v="0"/>
    <n v="0"/>
    <n v="2"/>
    <n v="0"/>
    <n v="0"/>
    <n v="0"/>
    <n v="0"/>
    <n v="0"/>
    <n v="0"/>
    <n v="0"/>
    <n v="0"/>
    <n v="0"/>
    <n v="0"/>
    <n v="0"/>
    <n v="0"/>
    <n v="0"/>
    <n v="0"/>
    <n v="0"/>
    <n v="0"/>
    <n v="0"/>
    <n v="0"/>
    <n v="0"/>
    <x v="0"/>
    <x v="0"/>
    <x v="3"/>
    <n v="15"/>
    <m/>
    <n v="0.5"/>
    <n v="0.5"/>
    <n v="0.5"/>
    <n v="0.5"/>
    <m/>
    <m/>
    <m/>
    <m/>
    <m/>
    <m/>
    <m/>
    <m/>
    <m/>
    <m/>
    <m/>
    <m/>
    <m/>
    <m/>
    <m/>
    <n v="2"/>
    <n v="2"/>
  </r>
  <r>
    <n v="5767"/>
    <x v="1"/>
    <s v="2022/3346"/>
    <s v="56-66 Gwynne Road (26-28)"/>
    <s v=""/>
    <n v="526797"/>
    <n v="176325"/>
    <x v="5"/>
    <m/>
    <m/>
    <n v="0"/>
    <n v="2"/>
    <n v="2"/>
    <n v="2"/>
    <n v="2"/>
    <x v="1"/>
    <s v="Alterations to mezzanine floor in connection with change of use from commercial use (Class E) to residential (Class C3) to create 2 x 1-bedroom flats with associated balconies."/>
    <s v="PFLA"/>
    <d v="2022-10-24T00:00:00"/>
    <d v="2023-03-08T00:00:00"/>
    <x v="1"/>
    <s v="Nil"/>
    <m/>
    <s v="BF"/>
    <s v="COU"/>
    <x v="2"/>
    <x v="4"/>
    <n v="0.01"/>
    <m/>
    <x v="0"/>
    <m/>
    <x v="2"/>
    <s v="M"/>
    <s v=""/>
    <m/>
    <n v="0"/>
    <m/>
    <n v="0"/>
    <m/>
    <n v="0"/>
    <n v="2"/>
    <n v="0"/>
    <n v="0"/>
    <n v="0"/>
    <n v="0"/>
    <n v="0"/>
    <n v="0"/>
    <n v="2"/>
    <n v="0"/>
    <n v="0"/>
    <n v="0"/>
    <n v="0"/>
    <n v="0"/>
    <n v="0"/>
    <n v="0"/>
    <n v="0"/>
    <n v="0"/>
    <n v="0"/>
    <n v="0"/>
    <n v="0"/>
    <n v="0"/>
    <n v="0"/>
    <n v="0"/>
    <n v="0"/>
    <n v="0"/>
    <n v="0"/>
    <n v="0"/>
    <x v="0"/>
    <x v="0"/>
    <x v="8"/>
    <n v="15"/>
    <m/>
    <n v="0.5"/>
    <n v="0.5"/>
    <n v="0.5"/>
    <n v="0.5"/>
    <m/>
    <m/>
    <m/>
    <m/>
    <m/>
    <m/>
    <m/>
    <m/>
    <m/>
    <m/>
    <m/>
    <m/>
    <m/>
    <m/>
    <m/>
    <n v="2"/>
    <n v="2"/>
  </r>
  <r>
    <n v="7245"/>
    <x v="1"/>
    <s v="2019/3563"/>
    <s v="58a Gosberton Road"/>
    <s v=""/>
    <n v="528090"/>
    <n v="173486"/>
    <x v="2"/>
    <m/>
    <m/>
    <n v="0"/>
    <n v="2"/>
    <n v="2"/>
    <n v="2"/>
    <n v="2"/>
    <x v="1"/>
    <s v="Determination as to whether prior approval is required for change of use from retail (Class A1) to 2 x studio flats (Class C3) with associated external alterations to front and side elevations."/>
    <s v="PANR"/>
    <d v="2019-09-12T00:00:00"/>
    <d v="2019-11-04T00:00:00"/>
    <x v="0"/>
    <s v="Nil"/>
    <m/>
    <s v="BF"/>
    <s v="COU"/>
    <x v="2"/>
    <x v="4"/>
    <n v="7.0000000000000001E-3"/>
    <m/>
    <x v="0"/>
    <m/>
    <x v="2"/>
    <s v="M"/>
    <s v=""/>
    <m/>
    <n v="0"/>
    <m/>
    <n v="0"/>
    <m/>
    <n v="2"/>
    <n v="0"/>
    <n v="0"/>
    <n v="0"/>
    <n v="0"/>
    <n v="0"/>
    <n v="0"/>
    <n v="2"/>
    <n v="0"/>
    <n v="0"/>
    <n v="0"/>
    <n v="0"/>
    <n v="0"/>
    <n v="0"/>
    <n v="0"/>
    <n v="0"/>
    <n v="0"/>
    <n v="0"/>
    <n v="0"/>
    <n v="0"/>
    <n v="0"/>
    <n v="0"/>
    <n v="0"/>
    <n v="0"/>
    <n v="0"/>
    <n v="0"/>
    <n v="0"/>
    <n v="0"/>
    <x v="0"/>
    <x v="0"/>
    <x v="1"/>
    <n v="15"/>
    <m/>
    <n v="0.5"/>
    <n v="0.5"/>
    <n v="0.5"/>
    <n v="0.5"/>
    <m/>
    <m/>
    <m/>
    <m/>
    <m/>
    <m/>
    <m/>
    <m/>
    <m/>
    <m/>
    <m/>
    <m/>
    <m/>
    <m/>
    <m/>
    <n v="2"/>
    <n v="2"/>
  </r>
  <r>
    <n v="7870"/>
    <x v="1"/>
    <s v="2022/3913"/>
    <s v="59 Byrne Road"/>
    <s v=""/>
    <n v="528923"/>
    <n v="173012"/>
    <x v="8"/>
    <m/>
    <m/>
    <n v="1"/>
    <n v="3"/>
    <n v="2"/>
    <n v="3"/>
    <n v="2"/>
    <x v="1"/>
    <s v="Erection of hip to gable side roof extension and mansard roof extension to main rear roof including raising the ridge by 300mm; erection of extension above part of three-storey back addition and formation of roof terrace with 1.7m high screen surround; erection of single storey side/rear extension and rear extension of back addition at first and second floors; formation of first floor roof terrace with 1.7m high screen surround and conversion of property into 1 x 3-bedroom and 2 x 2-bedroom flats with associated cycle and refuse storage."/>
    <s v="PF"/>
    <d v="2022-09-20T00:00:00"/>
    <d v="2022-12-02T00:00:00"/>
    <x v="1"/>
    <s v="Nil"/>
    <m/>
    <s v="BF"/>
    <s v="CON"/>
    <x v="2"/>
    <x v="5"/>
    <n v="8.0000000000000002E-3"/>
    <m/>
    <x v="0"/>
    <m/>
    <x v="2"/>
    <s v="M"/>
    <s v=""/>
    <m/>
    <n v="0"/>
    <m/>
    <n v="0"/>
    <m/>
    <n v="0"/>
    <n v="0"/>
    <n v="2"/>
    <n v="1"/>
    <n v="0"/>
    <n v="-1"/>
    <n v="0"/>
    <n v="0"/>
    <n v="0"/>
    <n v="2"/>
    <n v="1"/>
    <n v="0"/>
    <n v="0"/>
    <n v="0"/>
    <n v="0"/>
    <n v="0"/>
    <n v="0"/>
    <n v="0"/>
    <n v="0"/>
    <n v="-1"/>
    <n v="0"/>
    <n v="0"/>
    <n v="0"/>
    <n v="0"/>
    <n v="0"/>
    <n v="0"/>
    <n v="0"/>
    <n v="0"/>
    <x v="0"/>
    <x v="0"/>
    <x v="1"/>
    <n v="15"/>
    <m/>
    <n v="0.5"/>
    <n v="0.5"/>
    <n v="0.5"/>
    <n v="0.5"/>
    <m/>
    <m/>
    <m/>
    <m/>
    <m/>
    <m/>
    <m/>
    <m/>
    <m/>
    <m/>
    <m/>
    <m/>
    <m/>
    <m/>
    <m/>
    <n v="2"/>
    <n v="2"/>
  </r>
  <r>
    <n v="3577"/>
    <x v="1"/>
    <s v="2020/2249"/>
    <s v="74 St Rule Street"/>
    <s v=""/>
    <n v="529035"/>
    <n v="176328"/>
    <x v="1"/>
    <m/>
    <m/>
    <n v="0"/>
    <n v="2"/>
    <n v="2"/>
    <n v="2"/>
    <n v="2"/>
    <x v="1"/>
    <s v="Change of use of ground floor from 2 x Class A1 and 1 x Class A3 units to C3 residential, and internal reconfiguration and fenestration alterations to ground and first floor to create a total of 2 no. additional dwellings."/>
    <s v="PF"/>
    <d v="2020-06-25T00:00:00"/>
    <d v="2020-09-23T00:00:00"/>
    <x v="0"/>
    <s v="Nil"/>
    <m/>
    <s v="BF"/>
    <s v="COU"/>
    <x v="2"/>
    <x v="4"/>
    <n v="1.7000000000000001E-2"/>
    <m/>
    <x v="0"/>
    <m/>
    <x v="2"/>
    <s v="M"/>
    <s v=""/>
    <m/>
    <n v="0"/>
    <m/>
    <n v="0"/>
    <m/>
    <n v="0"/>
    <n v="2"/>
    <n v="0"/>
    <n v="0"/>
    <n v="0"/>
    <n v="0"/>
    <n v="0"/>
    <n v="0"/>
    <n v="2"/>
    <n v="0"/>
    <n v="0"/>
    <n v="0"/>
    <n v="0"/>
    <n v="0"/>
    <n v="0"/>
    <n v="0"/>
    <n v="0"/>
    <n v="0"/>
    <n v="0"/>
    <n v="0"/>
    <n v="0"/>
    <n v="0"/>
    <n v="0"/>
    <n v="0"/>
    <n v="0"/>
    <n v="0"/>
    <n v="0"/>
    <n v="0"/>
    <x v="0"/>
    <x v="1"/>
    <x v="7"/>
    <n v="15"/>
    <m/>
    <n v="0.5"/>
    <n v="0.5"/>
    <n v="0.5"/>
    <n v="0.5"/>
    <m/>
    <m/>
    <m/>
    <m/>
    <m/>
    <m/>
    <m/>
    <m/>
    <m/>
    <m/>
    <m/>
    <m/>
    <m/>
    <m/>
    <m/>
    <n v="2"/>
    <n v="2"/>
  </r>
  <r>
    <n v="340"/>
    <x v="1"/>
    <s v="2019/2689"/>
    <s v="76 a &amp; b, 76 Moyser Road"/>
    <s v=""/>
    <n v="528898"/>
    <n v="171088"/>
    <x v="13"/>
    <m/>
    <m/>
    <n v="0"/>
    <n v="2"/>
    <n v="2"/>
    <n v="2"/>
    <n v="2"/>
    <x v="1"/>
    <s v="Determination as to whether prior approval is required for change of use from business (Class B1) to 2 x 1-bedroom flat (Class C3)."/>
    <s v="PAG"/>
    <d v="2019-07-05T00:00:00"/>
    <d v="2019-08-16T00:00:00"/>
    <x v="0"/>
    <s v="Nil"/>
    <m/>
    <s v="BF"/>
    <s v="COU"/>
    <x v="2"/>
    <x v="6"/>
    <n v="5.0000000000000001E-3"/>
    <m/>
    <x v="0"/>
    <m/>
    <x v="2"/>
    <s v="M"/>
    <s v=""/>
    <m/>
    <n v="0"/>
    <m/>
    <n v="0"/>
    <m/>
    <n v="0"/>
    <n v="2"/>
    <n v="0"/>
    <n v="0"/>
    <n v="0"/>
    <n v="0"/>
    <n v="0"/>
    <n v="0"/>
    <n v="2"/>
    <n v="0"/>
    <n v="0"/>
    <n v="0"/>
    <n v="0"/>
    <n v="0"/>
    <n v="0"/>
    <n v="0"/>
    <n v="0"/>
    <n v="0"/>
    <n v="0"/>
    <n v="0"/>
    <n v="0"/>
    <n v="0"/>
    <n v="0"/>
    <n v="0"/>
    <n v="0"/>
    <n v="0"/>
    <n v="0"/>
    <n v="0"/>
    <x v="0"/>
    <x v="0"/>
    <x v="1"/>
    <n v="15"/>
    <m/>
    <n v="0.5"/>
    <n v="0.5"/>
    <n v="0.5"/>
    <n v="0.5"/>
    <m/>
    <m/>
    <m/>
    <m/>
    <m/>
    <m/>
    <m/>
    <m/>
    <m/>
    <m/>
    <m/>
    <m/>
    <m/>
    <m/>
    <m/>
    <n v="2"/>
    <n v="2"/>
  </r>
  <r>
    <n v="7416"/>
    <x v="1"/>
    <s v="2022/4157"/>
    <s v="788 Garratt Lane"/>
    <s v=""/>
    <n v="526860"/>
    <n v="171851"/>
    <x v="3"/>
    <m/>
    <m/>
    <n v="1"/>
    <n v="3"/>
    <n v="2"/>
    <n v="3"/>
    <n v="2"/>
    <x v="1"/>
    <s v="Erection of part single, part two-storey side/rear extension, erection of mansard roof extension to main rear roof (with French doors and safety railings) and extension above part of back addition in connection with conversion of the property into 1 x 2 bedroom, 1 x 1- bedroom and 1 x studio flats at 788 Garratt Lane with formation of rear roof terraces at first and second floor levels. Erection of first floor rear extension at 790 Garratt Lane."/>
    <s v="PF"/>
    <d v="2022-11-25T00:00:00"/>
    <d v="2023-01-26T00:00:00"/>
    <x v="1"/>
    <s v="Nil"/>
    <m/>
    <s v="BF"/>
    <s v="CON"/>
    <x v="2"/>
    <x v="2"/>
    <n v="6.3200000000000001E-3"/>
    <m/>
    <x v="0"/>
    <m/>
    <x v="2"/>
    <s v="M"/>
    <s v=""/>
    <m/>
    <n v="0"/>
    <m/>
    <n v="0"/>
    <m/>
    <n v="1"/>
    <n v="1"/>
    <n v="0"/>
    <n v="0"/>
    <n v="0"/>
    <n v="0"/>
    <n v="0"/>
    <n v="1"/>
    <n v="1"/>
    <n v="0"/>
    <n v="0"/>
    <n v="0"/>
    <n v="0"/>
    <n v="0"/>
    <n v="0"/>
    <n v="0"/>
    <n v="0"/>
    <n v="0"/>
    <n v="0"/>
    <n v="0"/>
    <n v="0"/>
    <n v="0"/>
    <n v="0"/>
    <n v="0"/>
    <n v="0"/>
    <n v="0"/>
    <n v="0"/>
    <n v="0"/>
    <x v="0"/>
    <x v="0"/>
    <x v="1"/>
    <n v="15"/>
    <m/>
    <n v="0.5"/>
    <n v="0.5"/>
    <n v="0.5"/>
    <n v="0.5"/>
    <m/>
    <m/>
    <m/>
    <m/>
    <m/>
    <m/>
    <m/>
    <m/>
    <m/>
    <m/>
    <m/>
    <m/>
    <m/>
    <m/>
    <m/>
    <n v="2"/>
    <n v="2"/>
  </r>
  <r>
    <n v="2641"/>
    <x v="1"/>
    <s v="2022/1883"/>
    <s v="Garages between 77 &amp; 85, Ravenslea Road"/>
    <s v=""/>
    <n v="527902"/>
    <n v="173411"/>
    <x v="2"/>
    <m/>
    <m/>
    <n v="0"/>
    <n v="5"/>
    <n v="5"/>
    <n v="5"/>
    <n v="5"/>
    <x v="1"/>
    <s v="Erection of a three storey block comprising 5 apartments (2 x 2-bedroom, 2 x 1 -bedroom and 1 x 3-bedroom)  associated amenity space including balconies and gardens with cycle store and relocation of entrance to existing allotments at rear."/>
    <s v="PF"/>
    <d v="2022-05-24T00:00:00"/>
    <d v="2022-11-24T00:00:00"/>
    <x v="1"/>
    <s v="Nil"/>
    <m/>
    <s v="BF"/>
    <s v="NB"/>
    <x v="2"/>
    <x v="1"/>
    <n v="1.17333E-2"/>
    <m/>
    <x v="0"/>
    <m/>
    <x v="2"/>
    <s v="M"/>
    <s v=""/>
    <m/>
    <n v="0"/>
    <m/>
    <n v="0"/>
    <m/>
    <n v="0"/>
    <n v="2"/>
    <n v="2"/>
    <n v="1"/>
    <n v="0"/>
    <n v="0"/>
    <n v="0"/>
    <n v="0"/>
    <n v="2"/>
    <n v="2"/>
    <n v="1"/>
    <n v="0"/>
    <n v="0"/>
    <n v="0"/>
    <n v="0"/>
    <n v="0"/>
    <n v="0"/>
    <n v="0"/>
    <n v="0"/>
    <n v="0"/>
    <n v="0"/>
    <n v="0"/>
    <n v="0"/>
    <n v="0"/>
    <n v="0"/>
    <n v="0"/>
    <n v="0"/>
    <n v="0"/>
    <x v="0"/>
    <x v="0"/>
    <x v="1"/>
    <n v="7"/>
    <m/>
    <m/>
    <n v="1.25"/>
    <n v="1.25"/>
    <n v="1.25"/>
    <n v="1.25"/>
    <m/>
    <m/>
    <m/>
    <m/>
    <m/>
    <m/>
    <m/>
    <m/>
    <m/>
    <m/>
    <m/>
    <m/>
    <m/>
    <m/>
    <n v="5"/>
    <n v="5"/>
  </r>
  <r>
    <n v="7845"/>
    <x v="1"/>
    <s v="2022/3574"/>
    <s v="80 Lavender Sweep"/>
    <s v=""/>
    <n v="527616"/>
    <n v="175185"/>
    <x v="12"/>
    <m/>
    <m/>
    <n v="1"/>
    <n v="3"/>
    <n v="2"/>
    <n v="3"/>
    <n v="2"/>
    <x v="1"/>
    <s v="Alterations including erection of mansard roof extension to main rear roof (with french doors and safety railings) including raising ridge; formation of roof terrace with 1.7m glazed safety surround; erection of single storey rear and side extension and excavation to enlarge basement and formation of rear lightwell in connection with conversion to 1 x 3-bedroom, 1 x 2-bedroom and 1 x 1-bedroom flats."/>
    <s v="PF"/>
    <d v="2022-08-25T00:00:00"/>
    <d v="2022-10-26T00:00:00"/>
    <x v="1"/>
    <s v="Nil"/>
    <m/>
    <s v="BF"/>
    <s v="EXT"/>
    <x v="2"/>
    <x v="5"/>
    <n v="5.4250000000000001E-3"/>
    <m/>
    <x v="0"/>
    <m/>
    <x v="2"/>
    <s v="M"/>
    <s v=""/>
    <m/>
    <n v="0"/>
    <m/>
    <n v="0"/>
    <m/>
    <n v="0"/>
    <n v="1"/>
    <n v="1"/>
    <n v="1"/>
    <n v="0"/>
    <n v="-1"/>
    <n v="0"/>
    <n v="0"/>
    <n v="1"/>
    <n v="1"/>
    <n v="1"/>
    <n v="0"/>
    <n v="0"/>
    <n v="0"/>
    <n v="0"/>
    <n v="0"/>
    <n v="0"/>
    <n v="0"/>
    <n v="0"/>
    <n v="-1"/>
    <n v="0"/>
    <n v="0"/>
    <n v="0"/>
    <n v="0"/>
    <n v="0"/>
    <n v="0"/>
    <n v="0"/>
    <n v="0"/>
    <x v="0"/>
    <x v="0"/>
    <x v="5"/>
    <n v="15"/>
    <m/>
    <n v="0.5"/>
    <n v="0.5"/>
    <n v="0.5"/>
    <n v="0.5"/>
    <m/>
    <m/>
    <m/>
    <m/>
    <m/>
    <m/>
    <m/>
    <m/>
    <m/>
    <m/>
    <m/>
    <m/>
    <m/>
    <m/>
    <m/>
    <n v="2"/>
    <n v="2"/>
  </r>
  <r>
    <n v="7479"/>
    <x v="1"/>
    <s v="2020/2172"/>
    <s v="38 Rookstone Road"/>
    <s v=""/>
    <n v="527606"/>
    <n v="171102"/>
    <x v="3"/>
    <d v="2022-07-01T00:00:00"/>
    <m/>
    <n v="1"/>
    <n v="9"/>
    <n v="8"/>
    <n v="9"/>
    <n v="8"/>
    <x v="1"/>
    <s v="Demolition of existing building and erection of three storey (plus basement and roof level accommodation) building with front a rear lightwells to provide 4 x 1-bedroom, 3 x 2-bedroom and 2 x 3-bedroom flats with associated refuse and cycle storage."/>
    <s v="PF"/>
    <d v="2020-06-19T00:00:00"/>
    <d v="2020-10-28T00:00:00"/>
    <x v="0"/>
    <s v="Nil"/>
    <m/>
    <s v="BF"/>
    <s v="NB"/>
    <x v="2"/>
    <x v="1"/>
    <n v="2.5999999999999999E-2"/>
    <m/>
    <x v="0"/>
    <m/>
    <x v="2"/>
    <s v="M"/>
    <s v=""/>
    <m/>
    <n v="0"/>
    <m/>
    <n v="0"/>
    <m/>
    <n v="0"/>
    <n v="4"/>
    <n v="3"/>
    <n v="2"/>
    <n v="-1"/>
    <n v="0"/>
    <n v="0"/>
    <n v="0"/>
    <n v="4"/>
    <n v="3"/>
    <n v="2"/>
    <n v="0"/>
    <n v="0"/>
    <n v="0"/>
    <n v="0"/>
    <n v="0"/>
    <n v="0"/>
    <n v="0"/>
    <n v="-1"/>
    <n v="0"/>
    <n v="0"/>
    <n v="0"/>
    <n v="0"/>
    <n v="0"/>
    <n v="0"/>
    <n v="0"/>
    <n v="0"/>
    <n v="0"/>
    <x v="0"/>
    <x v="0"/>
    <x v="1"/>
    <n v="10"/>
    <m/>
    <m/>
    <m/>
    <m/>
    <n v="2.6666666666666665"/>
    <n v="2.6666666666666665"/>
    <n v="2.6666666666666665"/>
    <m/>
    <m/>
    <m/>
    <m/>
    <m/>
    <m/>
    <m/>
    <m/>
    <m/>
    <m/>
    <m/>
    <m/>
    <m/>
    <n v="5.333333333333333"/>
    <n v="8"/>
  </r>
  <r>
    <n v="7937"/>
    <x v="1"/>
    <s v="2022/5151"/>
    <s v="822 Garratt Lane"/>
    <s v=""/>
    <n v="526929"/>
    <n v="171778"/>
    <x v="3"/>
    <m/>
    <m/>
    <n v="1"/>
    <n v="3"/>
    <n v="2"/>
    <n v="3"/>
    <n v="2"/>
    <x v="1"/>
    <s v="Erection of a mansard extension to main rear roof with French doors and safety balustrade and extension above two-storey rear addition with formation of a roof terrace with safety balustrade. Erection of single-storey side/rear and rear ground floor extensions and installation of French doors and safety balustrade in connection with part change of use of commercial unit (Use Class E) and provision of 1 studio, 1 x 1-bedroom and 1 x 2-bedroom flats (Class C3)."/>
    <s v="PF"/>
    <d v="2022-12-15T00:00:00"/>
    <d v="2023-02-23T00:00:00"/>
    <x v="1"/>
    <s v="Nil"/>
    <m/>
    <s v="BF"/>
    <s v="MIX"/>
    <x v="2"/>
    <x v="2"/>
    <n v="4.8566E-3"/>
    <m/>
    <x v="0"/>
    <m/>
    <x v="2"/>
    <s v="MR"/>
    <s v=""/>
    <m/>
    <n v="0"/>
    <m/>
    <n v="0"/>
    <m/>
    <n v="1"/>
    <n v="1"/>
    <n v="1"/>
    <n v="0"/>
    <n v="-1"/>
    <n v="0"/>
    <n v="0"/>
    <n v="1"/>
    <n v="1"/>
    <n v="1"/>
    <n v="0"/>
    <n v="-1"/>
    <n v="0"/>
    <n v="0"/>
    <n v="0"/>
    <n v="0"/>
    <n v="0"/>
    <n v="0"/>
    <n v="0"/>
    <n v="0"/>
    <n v="0"/>
    <n v="0"/>
    <n v="0"/>
    <n v="0"/>
    <n v="0"/>
    <n v="0"/>
    <n v="0"/>
    <n v="0"/>
    <x v="0"/>
    <x v="0"/>
    <x v="1"/>
    <n v="15"/>
    <m/>
    <n v="0.5"/>
    <n v="0.5"/>
    <n v="0.5"/>
    <n v="0.5"/>
    <m/>
    <m/>
    <m/>
    <m/>
    <m/>
    <m/>
    <m/>
    <m/>
    <m/>
    <m/>
    <m/>
    <m/>
    <m/>
    <m/>
    <m/>
    <n v="2"/>
    <n v="2"/>
  </r>
  <r>
    <n v="6618"/>
    <x v="1"/>
    <s v="2018/4798"/>
    <s v="94-96, 94-96 Mitcham Lane"/>
    <s v=""/>
    <n v="529335"/>
    <n v="171178"/>
    <x v="13"/>
    <m/>
    <m/>
    <n v="2"/>
    <n v="8"/>
    <n v="6"/>
    <n v="8"/>
    <n v="6"/>
    <x v="1"/>
    <s v="Demolition of existing building and erection of a four-storey building to provide 6 x 2-bedroom and 2 x 1-bedroom flats and two retails units (Class A1 Shops) at ground floor level."/>
    <s v="RP"/>
    <d v="2018-10-08T00:00:00"/>
    <d v="2019-03-22T00:00:00"/>
    <x v="0"/>
    <s v="APG"/>
    <d v="2019-11-27T00:00:00"/>
    <s v="BF"/>
    <s v="NB"/>
    <x v="2"/>
    <x v="1"/>
    <n v="2.5999999999999999E-2"/>
    <m/>
    <x v="0"/>
    <m/>
    <x v="2"/>
    <s v="M"/>
    <s v=""/>
    <m/>
    <n v="0"/>
    <m/>
    <n v="0"/>
    <m/>
    <n v="0"/>
    <n v="2"/>
    <n v="6"/>
    <n v="0"/>
    <n v="0"/>
    <n v="0"/>
    <n v="-2"/>
    <n v="0"/>
    <n v="2"/>
    <n v="6"/>
    <n v="0"/>
    <n v="0"/>
    <n v="0"/>
    <n v="0"/>
    <n v="0"/>
    <n v="0"/>
    <n v="0"/>
    <n v="0"/>
    <n v="0"/>
    <n v="0"/>
    <n v="-2"/>
    <n v="0"/>
    <n v="0"/>
    <n v="0"/>
    <n v="0"/>
    <n v="0"/>
    <n v="0"/>
    <n v="0"/>
    <x v="0"/>
    <x v="0"/>
    <x v="1"/>
    <n v="10"/>
    <m/>
    <m/>
    <m/>
    <m/>
    <n v="2"/>
    <n v="2"/>
    <n v="2"/>
    <m/>
    <m/>
    <m/>
    <m/>
    <m/>
    <m/>
    <m/>
    <m/>
    <m/>
    <m/>
    <m/>
    <m/>
    <m/>
    <n v="4"/>
    <n v="6"/>
  </r>
  <r>
    <n v="4327"/>
    <x v="1"/>
    <s v="2022/3185"/>
    <s v="rear of, 102-104 Upper Tooting Road"/>
    <s v=""/>
    <n v="527751"/>
    <n v="172127"/>
    <x v="9"/>
    <m/>
    <m/>
    <n v="0"/>
    <n v="5"/>
    <n v="5"/>
    <n v="5"/>
    <n v="5"/>
    <x v="1"/>
    <s v="Demolition of existing buildings and erection of 5 x two storey (plus basement) 3-bedroom dwelling houses accessed via Holmbury Court."/>
    <s v="PF"/>
    <d v="2022-07-29T00:00:00"/>
    <d v="2022-11-24T00:00:00"/>
    <x v="1"/>
    <s v="Nil"/>
    <m/>
    <s v="BF"/>
    <s v="NB"/>
    <x v="2"/>
    <x v="1"/>
    <n v="1.923333E-2"/>
    <m/>
    <x v="0"/>
    <m/>
    <x v="2"/>
    <s v="M"/>
    <s v=""/>
    <m/>
    <n v="0"/>
    <m/>
    <n v="0"/>
    <m/>
    <n v="0"/>
    <n v="0"/>
    <n v="0"/>
    <n v="5"/>
    <n v="0"/>
    <n v="0"/>
    <n v="0"/>
    <n v="0"/>
    <n v="0"/>
    <n v="0"/>
    <n v="0"/>
    <n v="0"/>
    <n v="0"/>
    <n v="0"/>
    <n v="0"/>
    <n v="0"/>
    <n v="0"/>
    <n v="5"/>
    <n v="0"/>
    <n v="0"/>
    <n v="0"/>
    <n v="0"/>
    <n v="0"/>
    <n v="0"/>
    <n v="0"/>
    <n v="0"/>
    <n v="0"/>
    <n v="0"/>
    <x v="0"/>
    <x v="0"/>
    <x v="1"/>
    <n v="7"/>
    <m/>
    <m/>
    <n v="1.25"/>
    <n v="1.25"/>
    <n v="1.25"/>
    <n v="1.25"/>
    <m/>
    <m/>
    <m/>
    <m/>
    <m/>
    <m/>
    <m/>
    <m/>
    <m/>
    <m/>
    <m/>
    <m/>
    <m/>
    <m/>
    <n v="5"/>
    <n v="5"/>
  </r>
  <r>
    <n v="7294"/>
    <x v="1"/>
    <s v="2019/3492"/>
    <s v="9-11 Delia Street"/>
    <s v=""/>
    <n v="525948"/>
    <n v="173961"/>
    <x v="11"/>
    <m/>
    <m/>
    <n v="0"/>
    <n v="2"/>
    <n v="2"/>
    <n v="2"/>
    <n v="2"/>
    <x v="1"/>
    <s v="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
    <s v="PF"/>
    <d v="2019-10-25T00:00:00"/>
    <d v="2020-02-21T00:00:00"/>
    <x v="0"/>
    <s v="Nil"/>
    <m/>
    <s v="BF"/>
    <s v="EXT"/>
    <x v="2"/>
    <x v="2"/>
    <n v="4.0000000000000001E-3"/>
    <m/>
    <x v="0"/>
    <m/>
    <x v="2"/>
    <s v="M"/>
    <s v=""/>
    <m/>
    <n v="0"/>
    <m/>
    <n v="0"/>
    <m/>
    <n v="0"/>
    <n v="0"/>
    <n v="2"/>
    <n v="0"/>
    <n v="0"/>
    <n v="0"/>
    <n v="0"/>
    <n v="0"/>
    <n v="0"/>
    <n v="2"/>
    <n v="0"/>
    <n v="0"/>
    <n v="0"/>
    <n v="0"/>
    <n v="0"/>
    <n v="0"/>
    <n v="0"/>
    <n v="0"/>
    <n v="0"/>
    <n v="0"/>
    <n v="0"/>
    <n v="0"/>
    <n v="0"/>
    <n v="0"/>
    <n v="0"/>
    <n v="0"/>
    <n v="0"/>
    <n v="0"/>
    <x v="0"/>
    <x v="0"/>
    <x v="1"/>
    <n v="15"/>
    <m/>
    <n v="0.5"/>
    <n v="0.5"/>
    <n v="0.5"/>
    <n v="0.5"/>
    <m/>
    <m/>
    <m/>
    <m/>
    <m/>
    <m/>
    <m/>
    <m/>
    <m/>
    <m/>
    <m/>
    <m/>
    <m/>
    <m/>
    <m/>
    <n v="2"/>
    <n v="2"/>
  </r>
  <r>
    <n v="177"/>
    <x v="1"/>
    <s v="2022/3107"/>
    <s v="BISHOPS WHF, RANSOME'S DK, Parkgate Road"/>
    <s v=""/>
    <n v="527351"/>
    <n v="177209"/>
    <x v="17"/>
    <m/>
    <m/>
    <n v="0"/>
    <n v="2"/>
    <n v="2"/>
    <n v="2"/>
    <n v="2"/>
    <x v="1"/>
    <s v="Alterations including installation of barrier to river walk frontage in connection with change of use of the ground floor from office (Class E) to residential (Class C3) to provide 2 x 3-bedroom flats."/>
    <s v="PF"/>
    <d v="2022-08-25T00:00:00"/>
    <d v="2022-10-31T00:00:00"/>
    <x v="1"/>
    <s v="Nil"/>
    <m/>
    <s v="BF"/>
    <s v="COU"/>
    <x v="2"/>
    <x v="6"/>
    <n v="3.2599999999999997E-2"/>
    <m/>
    <x v="0"/>
    <m/>
    <x v="2"/>
    <s v="M"/>
    <s v=""/>
    <m/>
    <n v="0"/>
    <m/>
    <n v="0"/>
    <m/>
    <n v="0"/>
    <n v="0"/>
    <n v="0"/>
    <n v="2"/>
    <n v="0"/>
    <n v="0"/>
    <n v="0"/>
    <n v="0"/>
    <n v="0"/>
    <n v="0"/>
    <n v="2"/>
    <n v="0"/>
    <n v="0"/>
    <n v="0"/>
    <n v="0"/>
    <n v="0"/>
    <n v="0"/>
    <n v="0"/>
    <n v="0"/>
    <n v="0"/>
    <n v="0"/>
    <n v="0"/>
    <n v="0"/>
    <n v="0"/>
    <n v="0"/>
    <n v="0"/>
    <n v="0"/>
    <n v="0"/>
    <x v="0"/>
    <x v="0"/>
    <x v="8"/>
    <n v="15"/>
    <m/>
    <n v="0.5"/>
    <n v="0.5"/>
    <n v="0.5"/>
    <n v="0.5"/>
    <m/>
    <m/>
    <m/>
    <m/>
    <m/>
    <m/>
    <m/>
    <m/>
    <m/>
    <m/>
    <m/>
    <m/>
    <m/>
    <m/>
    <m/>
    <n v="2"/>
    <n v="2"/>
  </r>
  <r>
    <n v="5197"/>
    <x v="1"/>
    <s v="2022/2608"/>
    <s v="Rear of 667-669, 667-669 Garratt Lane"/>
    <s v=""/>
    <n v="526177"/>
    <n v="172334"/>
    <x v="10"/>
    <m/>
    <m/>
    <n v="0"/>
    <n v="2"/>
    <n v="2"/>
    <n v="2"/>
    <n v="2"/>
    <x v="1"/>
    <s v="Erection of a two-storey rear extension to provide 1 x 1-bedroom flat and 1 x studio flat."/>
    <s v="PF"/>
    <d v="2022-07-13T00:00:00"/>
    <d v="2022-09-05T00:00:00"/>
    <x v="1"/>
    <s v="Nil"/>
    <m/>
    <s v="BF"/>
    <s v="EXT"/>
    <x v="2"/>
    <x v="2"/>
    <n v="4.5500000000000002E-3"/>
    <m/>
    <x v="0"/>
    <m/>
    <x v="2"/>
    <s v="MR"/>
    <s v=""/>
    <m/>
    <n v="0"/>
    <m/>
    <n v="0"/>
    <m/>
    <n v="1"/>
    <n v="1"/>
    <n v="0"/>
    <n v="0"/>
    <n v="0"/>
    <n v="0"/>
    <n v="0"/>
    <n v="1"/>
    <n v="1"/>
    <n v="0"/>
    <n v="0"/>
    <n v="0"/>
    <n v="0"/>
    <n v="0"/>
    <n v="0"/>
    <n v="0"/>
    <n v="0"/>
    <n v="0"/>
    <n v="0"/>
    <n v="0"/>
    <n v="0"/>
    <n v="0"/>
    <n v="0"/>
    <n v="0"/>
    <n v="0"/>
    <n v="0"/>
    <n v="0"/>
    <n v="0"/>
    <x v="0"/>
    <x v="0"/>
    <x v="6"/>
    <n v="15"/>
    <m/>
    <n v="0.5"/>
    <n v="0.5"/>
    <n v="0.5"/>
    <n v="0.5"/>
    <m/>
    <m/>
    <m/>
    <m/>
    <m/>
    <m/>
    <m/>
    <m/>
    <m/>
    <m/>
    <m/>
    <m/>
    <m/>
    <m/>
    <m/>
    <n v="2"/>
    <n v="2"/>
  </r>
  <r>
    <n v="4157"/>
    <x v="1"/>
    <s v="2018/3669"/>
    <s v="37-39 St Johns Road"/>
    <s v=""/>
    <n v="527404"/>
    <n v="175316"/>
    <x v="12"/>
    <m/>
    <m/>
    <n v="0"/>
    <n v="6"/>
    <n v="6"/>
    <n v="6"/>
    <n v="6"/>
    <x v="1"/>
    <s v="Demolition of existing building and erection of a four-storey building to provide 1 x 1-bedroom, 3 x 2-bedroom and 2 x 3-bedroom flats (USe Class C3) and ground floor use as Class A1/A3 including associated works."/>
    <s v="PF"/>
    <d v="2018-07-30T00:00:00"/>
    <d v="2020-02-03T00:00:00"/>
    <x v="0"/>
    <s v="Nil"/>
    <m/>
    <s v="BF"/>
    <s v="NB"/>
    <x v="2"/>
    <x v="1"/>
    <n v="1.2999999999999999E-2"/>
    <m/>
    <x v="0"/>
    <m/>
    <x v="2"/>
    <s v="M"/>
    <s v=""/>
    <m/>
    <n v="0"/>
    <m/>
    <n v="0"/>
    <m/>
    <n v="0"/>
    <n v="1"/>
    <n v="3"/>
    <n v="2"/>
    <n v="0"/>
    <n v="0"/>
    <n v="0"/>
    <n v="0"/>
    <n v="1"/>
    <n v="3"/>
    <n v="2"/>
    <n v="0"/>
    <n v="0"/>
    <n v="0"/>
    <n v="0"/>
    <n v="0"/>
    <n v="0"/>
    <n v="0"/>
    <n v="0"/>
    <n v="0"/>
    <n v="0"/>
    <n v="0"/>
    <n v="0"/>
    <n v="0"/>
    <n v="0"/>
    <n v="0"/>
    <n v="0"/>
    <n v="0"/>
    <x v="5"/>
    <x v="0"/>
    <x v="5"/>
    <n v="10"/>
    <m/>
    <m/>
    <m/>
    <m/>
    <n v="2"/>
    <n v="2"/>
    <n v="2"/>
    <m/>
    <m/>
    <m/>
    <m/>
    <m/>
    <m/>
    <m/>
    <m/>
    <m/>
    <m/>
    <m/>
    <m/>
    <m/>
    <n v="4"/>
    <n v="6"/>
  </r>
  <r>
    <n v="7188"/>
    <x v="1"/>
    <s v="2019/1757"/>
    <s v="Terrapin Court, Terrapin Road"/>
    <s v=""/>
    <n v="528902"/>
    <n v="172500"/>
    <x v="8"/>
    <m/>
    <m/>
    <n v="0"/>
    <n v="2"/>
    <n v="2"/>
    <n v="2"/>
    <n v="2"/>
    <x v="1"/>
    <s v="Alterations including erection of roof extension and roof terraces to provide 2 x 2-bedroom flats within extended roof. Provision of associated refuse and cycle storage for existing and proposed dwellings."/>
    <s v="PF"/>
    <d v="2019-06-17T00:00:00"/>
    <d v="2019-08-30T00:00:00"/>
    <x v="0"/>
    <s v="Nil"/>
    <m/>
    <s v="BF"/>
    <s v="EXT"/>
    <x v="2"/>
    <x v="2"/>
    <n v="1.2999999999999999E-2"/>
    <m/>
    <x v="0"/>
    <m/>
    <x v="2"/>
    <s v="M"/>
    <s v=""/>
    <m/>
    <n v="0"/>
    <m/>
    <n v="0"/>
    <m/>
    <n v="0"/>
    <n v="0"/>
    <n v="2"/>
    <n v="0"/>
    <n v="0"/>
    <n v="0"/>
    <n v="0"/>
    <n v="0"/>
    <n v="0"/>
    <n v="2"/>
    <n v="0"/>
    <n v="0"/>
    <n v="0"/>
    <n v="0"/>
    <n v="0"/>
    <n v="0"/>
    <n v="0"/>
    <n v="0"/>
    <n v="0"/>
    <n v="0"/>
    <n v="0"/>
    <n v="0"/>
    <n v="0"/>
    <n v="0"/>
    <n v="0"/>
    <n v="0"/>
    <n v="0"/>
    <n v="0"/>
    <x v="0"/>
    <x v="0"/>
    <x v="1"/>
    <n v="15"/>
    <m/>
    <n v="0.5"/>
    <n v="0.5"/>
    <n v="0.5"/>
    <n v="0.5"/>
    <m/>
    <m/>
    <m/>
    <m/>
    <m/>
    <m/>
    <m/>
    <m/>
    <m/>
    <m/>
    <m/>
    <m/>
    <m/>
    <m/>
    <m/>
    <n v="2"/>
    <n v="2"/>
  </r>
  <r>
    <n v="6563"/>
    <x v="1"/>
    <s v="2022/3327"/>
    <s v="Second Floor Regent House, 16-18 Lombard Road"/>
    <s v=""/>
    <n v="526668"/>
    <n v="176335"/>
    <x v="5"/>
    <m/>
    <m/>
    <n v="0"/>
    <n v="9"/>
    <n v="9"/>
    <n v="9"/>
    <n v="9"/>
    <x v="1"/>
    <s v="Determination as to whether prior approval is required for change of use from office  (Class E) to residential (Class C3) to provide 9 flats."/>
    <s v="PAG"/>
    <d v="2022-08-03T00:00:00"/>
    <d v="2022-10-10T00:00:00"/>
    <x v="1"/>
    <s v="Nil"/>
    <m/>
    <s v="BF"/>
    <s v="CON"/>
    <x v="2"/>
    <x v="6"/>
    <n v="7.4999999999999997E-2"/>
    <m/>
    <x v="0"/>
    <m/>
    <x v="2"/>
    <s v="M"/>
    <s v=""/>
    <m/>
    <n v="0"/>
    <m/>
    <n v="0"/>
    <m/>
    <n v="0"/>
    <n v="3"/>
    <n v="3"/>
    <n v="3"/>
    <n v="0"/>
    <n v="0"/>
    <n v="0"/>
    <n v="0"/>
    <n v="3"/>
    <n v="3"/>
    <n v="3"/>
    <n v="0"/>
    <n v="0"/>
    <n v="0"/>
    <n v="0"/>
    <n v="0"/>
    <n v="0"/>
    <n v="0"/>
    <n v="0"/>
    <n v="0"/>
    <n v="0"/>
    <n v="0"/>
    <n v="0"/>
    <n v="0"/>
    <n v="0"/>
    <n v="0"/>
    <n v="0"/>
    <n v="0"/>
    <x v="0"/>
    <x v="0"/>
    <x v="8"/>
    <n v="16"/>
    <m/>
    <m/>
    <m/>
    <n v="9"/>
    <m/>
    <m/>
    <m/>
    <m/>
    <m/>
    <m/>
    <m/>
    <m/>
    <m/>
    <m/>
    <m/>
    <m/>
    <m/>
    <m/>
    <m/>
    <m/>
    <n v="9"/>
    <n v="9"/>
  </r>
  <r>
    <n v="2039"/>
    <x v="1"/>
    <s v="2020/5062"/>
    <s v="The Boat &amp; Dragon PH, 180 Lower Richmond Road (1-6 Sadlers Gate Mews, Commondale SW15 1HD 1-3 Sadlers House)"/>
    <s v=""/>
    <n v="523242"/>
    <n v="175897"/>
    <x v="0"/>
    <m/>
    <m/>
    <n v="0"/>
    <n v="2"/>
    <n v="2"/>
    <n v="2"/>
    <n v="2"/>
    <x v="1"/>
    <s v="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
    <s v="PF"/>
    <d v="2020-12-24T00:00:00"/>
    <d v="2021-03-15T00:00:00"/>
    <x v="0"/>
    <s v="Nil"/>
    <m/>
    <s v="BF"/>
    <s v="COU"/>
    <x v="2"/>
    <x v="4"/>
    <n v="2.1700000000000001E-2"/>
    <m/>
    <x v="0"/>
    <m/>
    <x v="2"/>
    <s v="M"/>
    <s v=""/>
    <m/>
    <n v="0"/>
    <m/>
    <n v="0"/>
    <m/>
    <n v="0"/>
    <n v="0"/>
    <n v="2"/>
    <n v="0"/>
    <n v="0"/>
    <n v="0"/>
    <n v="0"/>
    <n v="0"/>
    <n v="0"/>
    <n v="2"/>
    <n v="0"/>
    <n v="0"/>
    <n v="0"/>
    <n v="0"/>
    <n v="0"/>
    <n v="0"/>
    <n v="0"/>
    <n v="0"/>
    <n v="0"/>
    <n v="0"/>
    <n v="0"/>
    <n v="0"/>
    <n v="0"/>
    <n v="0"/>
    <n v="0"/>
    <n v="0"/>
    <n v="0"/>
    <n v="0"/>
    <x v="0"/>
    <x v="0"/>
    <x v="1"/>
    <n v="15"/>
    <m/>
    <n v="0.5"/>
    <n v="0.5"/>
    <n v="0.5"/>
    <n v="0.5"/>
    <m/>
    <m/>
    <m/>
    <m/>
    <m/>
    <m/>
    <m/>
    <m/>
    <m/>
    <m/>
    <m/>
    <m/>
    <m/>
    <m/>
    <m/>
    <n v="2"/>
    <n v="2"/>
  </r>
  <r>
    <n v="6823"/>
    <x v="1"/>
    <s v="2018/1606"/>
    <s v="Unit 16 Ransomes Dock Business Centre, 35-37 Parkgate Road (Ransomes Dock Business Centre)"/>
    <s v=""/>
    <n v="527310"/>
    <n v="177159"/>
    <x v="17"/>
    <m/>
    <m/>
    <n v="0"/>
    <n v="2"/>
    <n v="2"/>
    <n v="2"/>
    <n v="2"/>
    <x v="1"/>
    <s v="Determination as to whether prior approval is required for change of use of office Class B1a) to residential (Class C3) to provide 2 x 1-bedroom flats."/>
    <s v="PAG"/>
    <d v="2018-03-29T00:00:00"/>
    <d v="2018-05-14T00:00:00"/>
    <x v="0"/>
    <s v="Nil"/>
    <m/>
    <s v="BF"/>
    <s v="COU"/>
    <x v="2"/>
    <x v="6"/>
    <n v="1.2999999999999999E-2"/>
    <m/>
    <x v="0"/>
    <m/>
    <x v="2"/>
    <s v="M"/>
    <s v=""/>
    <m/>
    <n v="0"/>
    <m/>
    <n v="0"/>
    <m/>
    <n v="0"/>
    <n v="2"/>
    <n v="0"/>
    <n v="0"/>
    <n v="0"/>
    <n v="0"/>
    <n v="0"/>
    <n v="0"/>
    <n v="2"/>
    <n v="0"/>
    <n v="0"/>
    <n v="0"/>
    <n v="0"/>
    <n v="0"/>
    <n v="0"/>
    <n v="0"/>
    <n v="0"/>
    <n v="0"/>
    <n v="0"/>
    <n v="0"/>
    <n v="0"/>
    <n v="0"/>
    <n v="0"/>
    <n v="0"/>
    <n v="0"/>
    <n v="0"/>
    <n v="0"/>
    <n v="0"/>
    <x v="0"/>
    <x v="0"/>
    <x v="8"/>
    <n v="15"/>
    <m/>
    <n v="0.5"/>
    <n v="0.5"/>
    <n v="0.5"/>
    <n v="0.5"/>
    <m/>
    <m/>
    <m/>
    <m/>
    <m/>
    <m/>
    <m/>
    <m/>
    <m/>
    <m/>
    <m/>
    <m/>
    <m/>
    <m/>
    <m/>
    <n v="2"/>
    <n v="2"/>
  </r>
  <r>
    <n v="7927"/>
    <x v="1"/>
    <s v="2022/5060"/>
    <s v="Upper Floor Flat, 42 Lavender Hill"/>
    <s v=""/>
    <n v="528410"/>
    <n v="175764"/>
    <x v="1"/>
    <m/>
    <m/>
    <n v="1"/>
    <n v="3"/>
    <n v="2"/>
    <n v="3"/>
    <n v="2"/>
    <x v="1"/>
    <s v="Erection of mansard roof extension to front and rear roof in connection with conversion of the first and second floors into 3 x 1-bedroom flats with associated cycle and refuse storage."/>
    <s v="PF"/>
    <d v="2022-12-21T00:00:00"/>
    <d v="2023-03-10T00:00:00"/>
    <x v="1"/>
    <s v="Nil"/>
    <m/>
    <s v="BF"/>
    <s v="CON"/>
    <x v="2"/>
    <x v="2"/>
    <n v="3.9E-2"/>
    <m/>
    <x v="0"/>
    <m/>
    <x v="2"/>
    <s v="M"/>
    <s v=""/>
    <m/>
    <n v="0"/>
    <m/>
    <n v="0"/>
    <m/>
    <n v="0"/>
    <n v="3"/>
    <n v="0"/>
    <n v="-1"/>
    <n v="0"/>
    <n v="0"/>
    <n v="0"/>
    <n v="0"/>
    <n v="3"/>
    <n v="0"/>
    <n v="-1"/>
    <n v="0"/>
    <n v="0"/>
    <n v="0"/>
    <n v="0"/>
    <n v="0"/>
    <n v="0"/>
    <n v="0"/>
    <n v="0"/>
    <n v="0"/>
    <n v="0"/>
    <n v="0"/>
    <n v="0"/>
    <n v="0"/>
    <n v="0"/>
    <n v="0"/>
    <n v="0"/>
    <n v="0"/>
    <x v="0"/>
    <x v="0"/>
    <x v="1"/>
    <n v="15"/>
    <m/>
    <n v="0.5"/>
    <n v="0.5"/>
    <n v="0.5"/>
    <n v="0.5"/>
    <m/>
    <m/>
    <m/>
    <m/>
    <m/>
    <m/>
    <m/>
    <m/>
    <m/>
    <m/>
    <m/>
    <m/>
    <m/>
    <m/>
    <m/>
    <n v="2"/>
    <n v="2"/>
  </r>
  <r>
    <n v="2566"/>
    <x v="1"/>
    <s v="2021/0033"/>
    <s v="Upper floors, 33-37 St Johns Hill (Flats 1-10)"/>
    <s v=""/>
    <n v="527216"/>
    <n v="175354"/>
    <x v="12"/>
    <m/>
    <m/>
    <n v="0"/>
    <n v="2"/>
    <n v="2"/>
    <n v="2"/>
    <n v="2"/>
    <x v="1"/>
    <s v="Alterations including conversion of rear buildings and provision of new rear extension to create 2 x 2 bedroom flats."/>
    <s v="PF"/>
    <d v="2021-01-07T00:00:00"/>
    <d v="2021-03-04T00:00:00"/>
    <x v="0"/>
    <s v="Nil"/>
    <m/>
    <s v="BF"/>
    <s v="MIX"/>
    <x v="2"/>
    <x v="2"/>
    <n v="1.2E-2"/>
    <m/>
    <x v="0"/>
    <m/>
    <x v="2"/>
    <s v="M"/>
    <s v=""/>
    <m/>
    <n v="0"/>
    <m/>
    <n v="0"/>
    <m/>
    <n v="0"/>
    <n v="0"/>
    <n v="2"/>
    <n v="0"/>
    <n v="0"/>
    <n v="0"/>
    <n v="0"/>
    <n v="0"/>
    <n v="0"/>
    <n v="2"/>
    <n v="0"/>
    <n v="0"/>
    <n v="0"/>
    <n v="0"/>
    <n v="0"/>
    <n v="0"/>
    <n v="0"/>
    <n v="0"/>
    <n v="0"/>
    <n v="0"/>
    <n v="0"/>
    <n v="0"/>
    <n v="0"/>
    <n v="0"/>
    <n v="0"/>
    <n v="0"/>
    <n v="0"/>
    <n v="0"/>
    <x v="5"/>
    <x v="0"/>
    <x v="5"/>
    <n v="15"/>
    <m/>
    <n v="0.5"/>
    <n v="0.5"/>
    <n v="0.5"/>
    <n v="0.5"/>
    <m/>
    <m/>
    <m/>
    <m/>
    <m/>
    <m/>
    <m/>
    <m/>
    <m/>
    <m/>
    <m/>
    <m/>
    <m/>
    <m/>
    <m/>
    <n v="2"/>
    <n v="2"/>
  </r>
  <r>
    <n v="7832"/>
    <x v="1"/>
    <s v="2022/1963"/>
    <s v="Upper Floors, 34 Wandsworth Common West Side"/>
    <s v=""/>
    <n v="526498"/>
    <n v="174597"/>
    <x v="6"/>
    <m/>
    <m/>
    <n v="1"/>
    <n v="3"/>
    <n v="2"/>
    <n v="3"/>
    <n v="2"/>
    <x v="1"/>
    <s v="Alterations including erection of mansard roof extension to main rear roof and extension above part of three-storey back addition; formation of roof terrace above remainder of back addition with 1.7m high screening. Works in connection with conversion of upper floor flat into 1 x 3-bedroom and 2 x 1-bedroom flats."/>
    <s v="PF"/>
    <d v="2022-05-05T00:00:00"/>
    <d v="2022-07-08T00:00:00"/>
    <x v="1"/>
    <s v="Nil"/>
    <m/>
    <s v="BF"/>
    <s v="CON"/>
    <x v="2"/>
    <x v="9"/>
    <n v="5.6166599999999999E-3"/>
    <m/>
    <x v="0"/>
    <m/>
    <x v="2"/>
    <s v="MR"/>
    <s v=""/>
    <m/>
    <n v="0"/>
    <m/>
    <n v="0"/>
    <m/>
    <n v="0"/>
    <n v="2"/>
    <n v="0"/>
    <n v="1"/>
    <n v="0"/>
    <n v="-1"/>
    <n v="0"/>
    <n v="0"/>
    <n v="2"/>
    <n v="0"/>
    <n v="1"/>
    <n v="0"/>
    <n v="-1"/>
    <n v="0"/>
    <n v="0"/>
    <n v="0"/>
    <n v="0"/>
    <n v="0"/>
    <n v="0"/>
    <n v="0"/>
    <n v="0"/>
    <n v="0"/>
    <n v="0"/>
    <n v="0"/>
    <n v="0"/>
    <n v="0"/>
    <n v="0"/>
    <n v="0"/>
    <x v="0"/>
    <x v="0"/>
    <x v="1"/>
    <n v="15"/>
    <m/>
    <n v="0.5"/>
    <n v="0.5"/>
    <n v="0.5"/>
    <n v="0.5"/>
    <m/>
    <m/>
    <m/>
    <m/>
    <m/>
    <m/>
    <m/>
    <m/>
    <m/>
    <m/>
    <m/>
    <m/>
    <m/>
    <m/>
    <m/>
    <n v="2"/>
    <n v="2"/>
  </r>
  <r>
    <n v="3348"/>
    <x v="1"/>
    <s v="2022/3419"/>
    <s v="1 Clairview Road (Flats 1-5)"/>
    <s v=""/>
    <n v="529063"/>
    <n v="171530"/>
    <x v="13"/>
    <m/>
    <m/>
    <n v="0"/>
    <n v="1"/>
    <n v="1"/>
    <n v="1"/>
    <n v="1"/>
    <x v="1"/>
    <s v="Erection of a single storey (plus basement) 2 x bed dwelling, with associated refuse and cycle storage."/>
    <s v="PF"/>
    <d v="2022-08-15T00:00:00"/>
    <d v="2022-11-24T00:00:00"/>
    <x v="1"/>
    <s v="Nil"/>
    <m/>
    <s v="Gdn"/>
    <s v="NB"/>
    <x v="2"/>
    <x v="1"/>
    <n v="4.0000000000000001E-3"/>
    <m/>
    <x v="0"/>
    <m/>
    <x v="2"/>
    <s v="M"/>
    <s v=""/>
    <m/>
    <n v="0"/>
    <m/>
    <n v="0"/>
    <m/>
    <n v="0"/>
    <n v="0"/>
    <n v="1"/>
    <n v="0"/>
    <n v="0"/>
    <n v="0"/>
    <n v="0"/>
    <n v="0"/>
    <n v="0"/>
    <n v="0"/>
    <n v="0"/>
    <n v="0"/>
    <n v="0"/>
    <n v="0"/>
    <n v="0"/>
    <n v="0"/>
    <n v="1"/>
    <n v="0"/>
    <n v="0"/>
    <n v="0"/>
    <n v="0"/>
    <n v="0"/>
    <n v="0"/>
    <n v="0"/>
    <n v="0"/>
    <n v="0"/>
    <n v="0"/>
    <n v="0"/>
    <x v="0"/>
    <x v="0"/>
    <x v="1"/>
    <n v="7"/>
    <m/>
    <m/>
    <n v="0.25"/>
    <n v="0.25"/>
    <n v="0.25"/>
    <n v="0.25"/>
    <m/>
    <m/>
    <m/>
    <m/>
    <m/>
    <m/>
    <m/>
    <m/>
    <m/>
    <m/>
    <m/>
    <m/>
    <m/>
    <m/>
    <n v="1"/>
    <n v="1"/>
  </r>
  <r>
    <n v="7513"/>
    <x v="1"/>
    <s v="2021/3499"/>
    <s v="Sylva Court, 79 Putney Hill"/>
    <s v=""/>
    <n v="523758"/>
    <n v="173893"/>
    <x v="7"/>
    <m/>
    <m/>
    <n v="0"/>
    <n v="6"/>
    <n v="6"/>
    <n v="6"/>
    <n v="6"/>
    <x v="1"/>
    <s v="Alterations including erection of a two storey roof extension (plus lift and stair core) in connection with provision of 2 x 3-bedroom, 2 x 2-bedroom and 2 x 1-bedroom flats together with cycle and refuse storage."/>
    <s v="PF"/>
    <d v="2021-10-21T00:00:00"/>
    <d v="2022-03-24T00:00:00"/>
    <x v="0"/>
    <s v="Nil"/>
    <m/>
    <s v="BF"/>
    <s v="EXT"/>
    <x v="2"/>
    <x v="2"/>
    <n v="0.04"/>
    <m/>
    <x v="0"/>
    <m/>
    <x v="2"/>
    <s v="M"/>
    <s v=""/>
    <m/>
    <n v="0"/>
    <m/>
    <n v="0"/>
    <m/>
    <n v="0"/>
    <n v="2"/>
    <n v="2"/>
    <n v="2"/>
    <n v="0"/>
    <n v="0"/>
    <n v="0"/>
    <n v="0"/>
    <n v="2"/>
    <n v="2"/>
    <n v="2"/>
    <n v="0"/>
    <n v="0"/>
    <n v="0"/>
    <n v="0"/>
    <n v="0"/>
    <n v="0"/>
    <n v="0"/>
    <n v="0"/>
    <n v="0"/>
    <n v="0"/>
    <n v="0"/>
    <n v="0"/>
    <n v="0"/>
    <n v="0"/>
    <n v="0"/>
    <n v="0"/>
    <n v="0"/>
    <x v="0"/>
    <x v="0"/>
    <x v="1"/>
    <n v="16"/>
    <m/>
    <m/>
    <m/>
    <n v="6"/>
    <m/>
    <m/>
    <m/>
    <m/>
    <m/>
    <m/>
    <m/>
    <m/>
    <m/>
    <m/>
    <m/>
    <m/>
    <m/>
    <m/>
    <m/>
    <m/>
    <n v="6"/>
    <n v="6"/>
  </r>
  <r>
    <n v="5801"/>
    <x v="1"/>
    <s v="2020/0682"/>
    <s v="1 Leeward House, Square Rigger Row (Plantation Wharf)"/>
    <s v=""/>
    <n v="526534"/>
    <n v="175822"/>
    <x v="5"/>
    <m/>
    <m/>
    <n v="0"/>
    <n v="1"/>
    <n v="1"/>
    <n v="1"/>
    <n v="1"/>
    <x v="1"/>
    <s v="Determination as to whether prior approval is required for change of use from Office (Class B1) to 1 x 1-bedroom flat (Class C3)."/>
    <s v="PAG"/>
    <d v="2020-03-02T00:00:00"/>
    <d v="2020-04-17T00:00:00"/>
    <x v="0"/>
    <s v="Nil"/>
    <m/>
    <s v="BF"/>
    <s v="COU"/>
    <x v="2"/>
    <x v="6"/>
    <n v="4.0000000000000001E-3"/>
    <m/>
    <x v="0"/>
    <m/>
    <x v="0"/>
    <s v="IU"/>
    <s v="10.15"/>
    <m/>
    <n v="0"/>
    <m/>
    <n v="0"/>
    <m/>
    <n v="0"/>
    <n v="1"/>
    <n v="0"/>
    <n v="0"/>
    <n v="0"/>
    <n v="0"/>
    <n v="0"/>
    <n v="0"/>
    <n v="1"/>
    <n v="0"/>
    <n v="0"/>
    <n v="0"/>
    <n v="0"/>
    <n v="0"/>
    <n v="0"/>
    <n v="0"/>
    <n v="0"/>
    <n v="0"/>
    <n v="0"/>
    <n v="0"/>
    <n v="0"/>
    <n v="0"/>
    <n v="0"/>
    <n v="0"/>
    <n v="0"/>
    <n v="0"/>
    <n v="0"/>
    <n v="0"/>
    <x v="0"/>
    <x v="0"/>
    <x v="8"/>
    <n v="15"/>
    <m/>
    <n v="0.25"/>
    <n v="0.25"/>
    <n v="0.25"/>
    <n v="0.25"/>
    <m/>
    <m/>
    <m/>
    <m/>
    <m/>
    <m/>
    <m/>
    <m/>
    <m/>
    <m/>
    <m/>
    <m/>
    <m/>
    <m/>
    <m/>
    <n v="1"/>
    <n v="1"/>
  </r>
  <r>
    <n v="5143"/>
    <x v="1"/>
    <s v="2020/0462"/>
    <s v="10 Cambalt Road"/>
    <s v=""/>
    <n v="523713"/>
    <n v="174783"/>
    <x v="18"/>
    <m/>
    <m/>
    <n v="0"/>
    <n v="1"/>
    <n v="1"/>
    <n v="1"/>
    <n v="1"/>
    <x v="1"/>
    <s v="Conversion of existing basement to form 1 x studio flat including formation of light well to rear"/>
    <s v="PF"/>
    <d v="2020-02-13T00:00:00"/>
    <d v="2020-05-12T00:00:00"/>
    <x v="0"/>
    <s v="Nil"/>
    <m/>
    <s v="BF"/>
    <s v="EXT"/>
    <x v="2"/>
    <x v="2"/>
    <n v="4.0000000000000001E-3"/>
    <m/>
    <x v="0"/>
    <m/>
    <x v="2"/>
    <s v="M"/>
    <s v=""/>
    <m/>
    <n v="0"/>
    <m/>
    <n v="0"/>
    <m/>
    <n v="1"/>
    <n v="0"/>
    <n v="0"/>
    <n v="0"/>
    <n v="0"/>
    <n v="0"/>
    <n v="0"/>
    <n v="1"/>
    <n v="0"/>
    <n v="0"/>
    <n v="0"/>
    <n v="0"/>
    <n v="0"/>
    <n v="0"/>
    <n v="0"/>
    <n v="0"/>
    <n v="0"/>
    <n v="0"/>
    <n v="0"/>
    <n v="0"/>
    <n v="0"/>
    <n v="0"/>
    <n v="0"/>
    <n v="0"/>
    <n v="0"/>
    <n v="0"/>
    <n v="0"/>
    <n v="0"/>
    <x v="0"/>
    <x v="0"/>
    <x v="1"/>
    <n v="15"/>
    <m/>
    <n v="0.25"/>
    <n v="0.25"/>
    <n v="0.25"/>
    <n v="0.25"/>
    <m/>
    <m/>
    <m/>
    <m/>
    <m/>
    <m/>
    <m/>
    <m/>
    <m/>
    <m/>
    <m/>
    <m/>
    <m/>
    <m/>
    <m/>
    <n v="1"/>
    <n v="1"/>
  </r>
  <r>
    <n v="7900"/>
    <x v="1"/>
    <s v="2022/3961"/>
    <s v="7 Beclands Road"/>
    <s v=""/>
    <n v="528537"/>
    <n v="170778"/>
    <x v="13"/>
    <m/>
    <m/>
    <n v="0"/>
    <n v="1"/>
    <n v="1"/>
    <n v="1"/>
    <n v="1"/>
    <x v="1"/>
    <s v="Alterations including erection of part two-storey and part single-storey side and rear extension in connection with the creation of a 1-bedroom dwelling. Installation of waste and cycle stores to front garden."/>
    <s v="PF"/>
    <d v="2022-09-27T00:00:00"/>
    <d v="2022-11-24T00:00:00"/>
    <x v="1"/>
    <s v="Nil"/>
    <m/>
    <s v="Gdn"/>
    <s v="NB"/>
    <x v="2"/>
    <x v="1"/>
    <n v="2.9250000000000001E-3"/>
    <m/>
    <x v="0"/>
    <m/>
    <x v="2"/>
    <s v="M"/>
    <s v=""/>
    <m/>
    <n v="0"/>
    <m/>
    <n v="0"/>
    <m/>
    <n v="0"/>
    <n v="1"/>
    <n v="0"/>
    <n v="0"/>
    <n v="0"/>
    <n v="0"/>
    <n v="0"/>
    <n v="0"/>
    <n v="0"/>
    <n v="0"/>
    <n v="0"/>
    <n v="0"/>
    <n v="0"/>
    <n v="0"/>
    <n v="0"/>
    <n v="1"/>
    <n v="0"/>
    <n v="0"/>
    <n v="0"/>
    <n v="0"/>
    <n v="0"/>
    <n v="0"/>
    <n v="0"/>
    <n v="0"/>
    <n v="0"/>
    <n v="0"/>
    <n v="0"/>
    <n v="0"/>
    <x v="0"/>
    <x v="0"/>
    <x v="1"/>
    <n v="7"/>
    <m/>
    <m/>
    <n v="0.25"/>
    <n v="0.25"/>
    <n v="0.25"/>
    <n v="0.25"/>
    <m/>
    <m/>
    <m/>
    <m/>
    <m/>
    <m/>
    <m/>
    <m/>
    <m/>
    <m/>
    <m/>
    <m/>
    <m/>
    <m/>
    <n v="1"/>
    <n v="1"/>
  </r>
  <r>
    <n v="7750"/>
    <x v="1"/>
    <s v="2022/3403"/>
    <s v="Land South of 5, Tennyson Street"/>
    <s v=""/>
    <n v="528671"/>
    <n v="176005"/>
    <x v="1"/>
    <m/>
    <m/>
    <n v="0"/>
    <n v="1"/>
    <n v="1"/>
    <n v="1"/>
    <n v="1"/>
    <x v="1"/>
    <s v="Erection of a three-storey dwelling house."/>
    <s v="PF"/>
    <d v="2022-08-15T00:00:00"/>
    <d v="2022-10-24T00:00:00"/>
    <x v="1"/>
    <s v="Nil"/>
    <m/>
    <s v="BF"/>
    <s v="NB"/>
    <x v="2"/>
    <x v="1"/>
    <n v="5.45E-3"/>
    <m/>
    <x v="0"/>
    <m/>
    <x v="2"/>
    <s v="M"/>
    <s v=""/>
    <m/>
    <n v="0"/>
    <m/>
    <n v="0"/>
    <m/>
    <n v="0"/>
    <n v="0"/>
    <n v="0"/>
    <n v="1"/>
    <n v="0"/>
    <n v="0"/>
    <n v="0"/>
    <n v="0"/>
    <n v="0"/>
    <n v="0"/>
    <n v="0"/>
    <n v="0"/>
    <n v="0"/>
    <n v="0"/>
    <n v="0"/>
    <n v="0"/>
    <n v="0"/>
    <n v="1"/>
    <n v="0"/>
    <n v="0"/>
    <n v="0"/>
    <n v="0"/>
    <n v="0"/>
    <n v="0"/>
    <n v="0"/>
    <n v="0"/>
    <n v="0"/>
    <n v="0"/>
    <x v="0"/>
    <x v="0"/>
    <x v="1"/>
    <n v="7"/>
    <m/>
    <m/>
    <n v="0.25"/>
    <n v="0.25"/>
    <n v="0.25"/>
    <n v="0.25"/>
    <m/>
    <m/>
    <m/>
    <m/>
    <m/>
    <m/>
    <m/>
    <m/>
    <m/>
    <m/>
    <m/>
    <m/>
    <m/>
    <m/>
    <n v="1"/>
    <n v="1"/>
  </r>
  <r>
    <n v="7908"/>
    <x v="1"/>
    <s v="2022/4228"/>
    <s v="101 Fernlea Road"/>
    <s v=""/>
    <n v="529032"/>
    <n v="173104"/>
    <x v="2"/>
    <m/>
    <m/>
    <n v="2"/>
    <n v="3"/>
    <n v="1"/>
    <n v="3"/>
    <n v="1"/>
    <x v="1"/>
    <s v="Erection of a hip to gable side roof extension with dormer extenion to rear roof slope and extension above two-storey rear addition. Erection of replacement rear/side ground floor extension. Extensions and alterations in connection with the conversion 1x 1-bedroom and 1x2 bedroom flats to 1x 3-bedroom, 1 x 2-bedroom and 1x 1-bedroom flats. _x000a_Conversion and extension of existing property from 2 flat to 3 flats."/>
    <s v="PF"/>
    <d v="2022-10-14T00:00:00"/>
    <d v="2023-01-03T00:00:00"/>
    <x v="1"/>
    <s v="Nil"/>
    <m/>
    <s v="BF"/>
    <s v="CON"/>
    <x v="2"/>
    <x v="2"/>
    <n v="7.566667E-3"/>
    <m/>
    <x v="0"/>
    <m/>
    <x v="2"/>
    <s v="M"/>
    <s v=""/>
    <m/>
    <n v="0"/>
    <m/>
    <n v="0"/>
    <m/>
    <n v="0"/>
    <n v="0"/>
    <n v="0"/>
    <n v="1"/>
    <n v="0"/>
    <n v="0"/>
    <n v="0"/>
    <n v="0"/>
    <n v="0"/>
    <n v="0"/>
    <n v="1"/>
    <n v="0"/>
    <n v="0"/>
    <n v="0"/>
    <n v="0"/>
    <n v="0"/>
    <n v="0"/>
    <n v="0"/>
    <n v="0"/>
    <n v="0"/>
    <n v="0"/>
    <n v="0"/>
    <n v="0"/>
    <n v="0"/>
    <n v="0"/>
    <n v="0"/>
    <n v="0"/>
    <n v="0"/>
    <x v="0"/>
    <x v="0"/>
    <x v="1"/>
    <n v="15"/>
    <m/>
    <n v="0.25"/>
    <n v="0.25"/>
    <n v="0.25"/>
    <n v="0.25"/>
    <m/>
    <m/>
    <m/>
    <m/>
    <m/>
    <m/>
    <m/>
    <m/>
    <m/>
    <m/>
    <m/>
    <m/>
    <m/>
    <m/>
    <m/>
    <n v="1"/>
    <n v="1"/>
  </r>
  <r>
    <n v="4243"/>
    <x v="1"/>
    <s v="2022/0664"/>
    <s v="1081 Garratt Lane"/>
    <s v=""/>
    <n v="527437"/>
    <n v="171526"/>
    <x v="3"/>
    <m/>
    <m/>
    <n v="0"/>
    <n v="1"/>
    <n v="1"/>
    <n v="1"/>
    <n v="1"/>
    <x v="1"/>
    <s v="Alterations to include, installation of a replacement window to front elevation and  change of use of rear part of ground floor from  (Class Sui Generis) into a 1 x 1 bedroom flat. (Class C3)"/>
    <s v="PF"/>
    <d v="2022-03-02T00:00:00"/>
    <d v="2022-04-27T00:00:00"/>
    <x v="1"/>
    <s v="Nil"/>
    <m/>
    <s v="BF"/>
    <s v="CON"/>
    <x v="2"/>
    <x v="6"/>
    <n v="5.0000000000000001E-3"/>
    <m/>
    <x v="0"/>
    <m/>
    <x v="2"/>
    <s v="M"/>
    <s v=""/>
    <m/>
    <n v="0"/>
    <m/>
    <n v="0"/>
    <m/>
    <n v="0"/>
    <n v="1"/>
    <n v="0"/>
    <n v="0"/>
    <n v="0"/>
    <n v="0"/>
    <n v="0"/>
    <n v="0"/>
    <n v="1"/>
    <n v="0"/>
    <n v="0"/>
    <n v="0"/>
    <n v="0"/>
    <n v="0"/>
    <n v="0"/>
    <n v="0"/>
    <n v="0"/>
    <n v="0"/>
    <n v="0"/>
    <n v="0"/>
    <n v="0"/>
    <n v="0"/>
    <n v="0"/>
    <n v="0"/>
    <n v="0"/>
    <n v="0"/>
    <n v="0"/>
    <n v="0"/>
    <x v="2"/>
    <x v="0"/>
    <x v="3"/>
    <n v="15"/>
    <m/>
    <n v="0.25"/>
    <n v="0.25"/>
    <n v="0.25"/>
    <n v="0.25"/>
    <m/>
    <m/>
    <m/>
    <m/>
    <m/>
    <m/>
    <m/>
    <m/>
    <m/>
    <m/>
    <m/>
    <m/>
    <m/>
    <m/>
    <m/>
    <n v="1"/>
    <n v="1"/>
  </r>
  <r>
    <n v="7866"/>
    <x v="1"/>
    <s v="2022/2665"/>
    <s v="109 Northcote Road"/>
    <s v=""/>
    <n v="527553"/>
    <n v="174743"/>
    <x v="14"/>
    <d v="2023-03-31T00:00:00"/>
    <m/>
    <n v="1"/>
    <n v="2"/>
    <n v="1"/>
    <n v="2"/>
    <n v="1"/>
    <x v="1"/>
    <s v="Alterations including roof extension and changes to the roof pitch. Erection of mansard/dormer roof extension to main rear roof. Installation of 1.7m high obscure glazing to first floor terrace on all sides and formation of new roof terrace above existing back addition with 1.7m obscure glazing along sides. Erection of part single/part two storey rear and side extensions.  Replacement of existing windows and alterations to rear and side fenestrations, in connection with conversion from single dwelling into 1 x 2-bedroom and 1 x 3-bedroom flats with associated refuse and cycle storage."/>
    <s v="PF"/>
    <d v="2022-08-09T00:00:00"/>
    <d v="2022-11-08T00:00:00"/>
    <x v="1"/>
    <s v="Nil"/>
    <m/>
    <s v="BF"/>
    <s v="CON"/>
    <x v="2"/>
    <x v="5"/>
    <n v="7.1599999999999997E-3"/>
    <m/>
    <x v="0"/>
    <m/>
    <x v="2"/>
    <s v="MR"/>
    <s v=""/>
    <m/>
    <n v="0"/>
    <m/>
    <n v="0"/>
    <m/>
    <n v="0"/>
    <n v="0"/>
    <n v="1"/>
    <n v="1"/>
    <n v="-1"/>
    <n v="0"/>
    <n v="0"/>
    <n v="0"/>
    <n v="0"/>
    <n v="1"/>
    <n v="1"/>
    <n v="0"/>
    <n v="0"/>
    <n v="0"/>
    <n v="0"/>
    <n v="0"/>
    <n v="0"/>
    <n v="0"/>
    <n v="-1"/>
    <n v="0"/>
    <n v="0"/>
    <n v="0"/>
    <n v="0"/>
    <n v="0"/>
    <n v="0"/>
    <n v="0"/>
    <n v="0"/>
    <n v="0"/>
    <x v="0"/>
    <x v="0"/>
    <x v="5"/>
    <n v="15"/>
    <m/>
    <n v="0.25"/>
    <n v="0.25"/>
    <n v="0.25"/>
    <n v="0.25"/>
    <m/>
    <m/>
    <m/>
    <m/>
    <m/>
    <m/>
    <m/>
    <m/>
    <m/>
    <m/>
    <m/>
    <m/>
    <m/>
    <m/>
    <m/>
    <n v="1"/>
    <n v="1"/>
  </r>
  <r>
    <n v="7167"/>
    <x v="1"/>
    <s v="2019/2033"/>
    <s v="11 Barmouth Road"/>
    <s v=""/>
    <n v="526267"/>
    <n v="174208"/>
    <x v="11"/>
    <m/>
    <m/>
    <n v="0"/>
    <n v="1"/>
    <n v="1"/>
    <n v="1"/>
    <n v="1"/>
    <x v="1"/>
    <s v="Alterations including changes to front elevation fenestration and erection of single-storey rear/side extension in connection with change of use from office (Class B1) to residential (Class C3) to create 1 x 2-bedroom flat."/>
    <s v="PF"/>
    <d v="2019-05-10T00:00:00"/>
    <d v="2019-10-03T00:00:00"/>
    <x v="0"/>
    <s v="Nil"/>
    <m/>
    <s v="BF"/>
    <s v="MIX"/>
    <x v="2"/>
    <x v="6"/>
    <n v="5.0000000000000001E-3"/>
    <m/>
    <x v="0"/>
    <m/>
    <x v="2"/>
    <s v="M"/>
    <s v=""/>
    <m/>
    <n v="0"/>
    <m/>
    <n v="0"/>
    <m/>
    <n v="0"/>
    <n v="0"/>
    <n v="1"/>
    <n v="0"/>
    <n v="0"/>
    <n v="0"/>
    <n v="0"/>
    <n v="0"/>
    <n v="0"/>
    <n v="1"/>
    <n v="0"/>
    <n v="0"/>
    <n v="0"/>
    <n v="0"/>
    <n v="0"/>
    <n v="0"/>
    <n v="0"/>
    <n v="0"/>
    <n v="0"/>
    <n v="0"/>
    <n v="0"/>
    <n v="0"/>
    <n v="0"/>
    <n v="0"/>
    <n v="0"/>
    <n v="0"/>
    <n v="0"/>
    <n v="0"/>
    <x v="0"/>
    <x v="0"/>
    <x v="1"/>
    <n v="15"/>
    <m/>
    <n v="0.25"/>
    <n v="0.25"/>
    <n v="0.25"/>
    <n v="0.25"/>
    <m/>
    <m/>
    <m/>
    <m/>
    <m/>
    <m/>
    <m/>
    <m/>
    <m/>
    <m/>
    <m/>
    <m/>
    <m/>
    <m/>
    <m/>
    <n v="1"/>
    <n v="1"/>
  </r>
  <r>
    <n v="6088"/>
    <x v="1"/>
    <s v="2019/2116"/>
    <s v="118 Upper Tooting Road"/>
    <s v=""/>
    <n v="527736"/>
    <n v="172067"/>
    <x v="9"/>
    <m/>
    <m/>
    <n v="0"/>
    <n v="1"/>
    <n v="1"/>
    <n v="1"/>
    <n v="1"/>
    <x v="1"/>
    <s v="Alterations in connection with change of use of part of ground floor from retail (Class A1) to residential (Class C3) to provide 1 x studio flat with associated cycle and refuse storage."/>
    <s v="PF"/>
    <d v="2019-05-15T00:00:00"/>
    <d v="2019-11-19T00:00:00"/>
    <x v="0"/>
    <s v="Nil"/>
    <m/>
    <s v="BF"/>
    <s v="COU"/>
    <x v="2"/>
    <x v="4"/>
    <n v="3.0000000000000001E-3"/>
    <m/>
    <x v="0"/>
    <m/>
    <x v="2"/>
    <s v="M"/>
    <s v=""/>
    <m/>
    <n v="0"/>
    <m/>
    <n v="0"/>
    <m/>
    <n v="1"/>
    <n v="0"/>
    <n v="0"/>
    <n v="0"/>
    <n v="0"/>
    <n v="0"/>
    <n v="0"/>
    <n v="1"/>
    <n v="0"/>
    <n v="0"/>
    <n v="0"/>
    <n v="0"/>
    <n v="0"/>
    <n v="0"/>
    <n v="0"/>
    <n v="0"/>
    <n v="0"/>
    <n v="0"/>
    <n v="0"/>
    <n v="0"/>
    <n v="0"/>
    <n v="0"/>
    <n v="0"/>
    <n v="0"/>
    <n v="0"/>
    <n v="0"/>
    <n v="0"/>
    <n v="0"/>
    <x v="0"/>
    <x v="0"/>
    <x v="1"/>
    <n v="15"/>
    <m/>
    <n v="0.25"/>
    <n v="0.25"/>
    <n v="0.25"/>
    <n v="0.25"/>
    <m/>
    <m/>
    <m/>
    <m/>
    <m/>
    <m/>
    <m/>
    <m/>
    <m/>
    <m/>
    <m/>
    <m/>
    <m/>
    <m/>
    <m/>
    <n v="1"/>
    <n v="1"/>
  </r>
  <r>
    <n v="7514"/>
    <x v="1"/>
    <s v="2021/2263"/>
    <s v="12 Oberstein Road"/>
    <s v=""/>
    <n v="526762"/>
    <n v="175172"/>
    <x v="6"/>
    <m/>
    <m/>
    <n v="0"/>
    <n v="1"/>
    <n v="1"/>
    <n v="1"/>
    <n v="1"/>
    <x v="1"/>
    <s v="Alterations including erection of front and rear mansard roof extension to main roof including front, rear and side dormers; formation of roof terrace at rear second floor level with 1.7m high screen surround; excavation to enlarge basement including formation of rear lightwell; in connection with the creation of 1 x 1- bedroom flat"/>
    <s v="PF"/>
    <d v="2021-06-04T00:00:00"/>
    <d v="2021-08-03T00:00:00"/>
    <x v="0"/>
    <s v="Nil"/>
    <m/>
    <s v="BF"/>
    <s v="EXT"/>
    <x v="2"/>
    <x v="2"/>
    <n v="6.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6612"/>
    <x v="1"/>
    <s v="2021/0297"/>
    <s v="122 Upper Richmond Road"/>
    <s v=""/>
    <n v="524304"/>
    <n v="174961"/>
    <x v="7"/>
    <m/>
    <m/>
    <n v="1"/>
    <n v="2"/>
    <n v="1"/>
    <n v="2"/>
    <n v="1"/>
    <x v="1"/>
    <s v="Alterations including erection of front and rear main roof extension, two-storey rear extension at second and third floor levels with formation of rear balconies in connection with conversion of existing flat into 1 x 2-bedroom and 1 x 1-bedroom flats."/>
    <s v="PF"/>
    <d v="2021-01-25T00:00:00"/>
    <d v="2021-03-22T00:00:00"/>
    <x v="0"/>
    <s v="Nil"/>
    <m/>
    <s v="BF"/>
    <s v="CON"/>
    <x v="2"/>
    <x v="7"/>
    <n v="1.0999999999999999E-2"/>
    <m/>
    <x v="0"/>
    <m/>
    <x v="2"/>
    <s v="M"/>
    <s v=""/>
    <m/>
    <n v="0"/>
    <m/>
    <n v="0"/>
    <m/>
    <n v="0"/>
    <n v="1"/>
    <n v="1"/>
    <n v="0"/>
    <n v="-1"/>
    <n v="0"/>
    <n v="0"/>
    <n v="0"/>
    <n v="1"/>
    <n v="1"/>
    <n v="0"/>
    <n v="-1"/>
    <n v="0"/>
    <n v="0"/>
    <n v="0"/>
    <n v="0"/>
    <n v="0"/>
    <n v="0"/>
    <n v="0"/>
    <n v="0"/>
    <n v="0"/>
    <n v="0"/>
    <n v="0"/>
    <n v="0"/>
    <n v="0"/>
    <n v="0"/>
    <n v="0"/>
    <n v="0"/>
    <x v="4"/>
    <x v="0"/>
    <x v="4"/>
    <n v="15"/>
    <m/>
    <n v="0.25"/>
    <n v="0.25"/>
    <n v="0.25"/>
    <n v="0.25"/>
    <m/>
    <m/>
    <m/>
    <m/>
    <m/>
    <m/>
    <m/>
    <m/>
    <m/>
    <m/>
    <m/>
    <m/>
    <m/>
    <m/>
    <m/>
    <n v="1"/>
    <n v="1"/>
  </r>
  <r>
    <n v="7637"/>
    <x v="1"/>
    <s v="2021/1259"/>
    <s v="128 B Northcote Road"/>
    <s v=""/>
    <n v="527560"/>
    <n v="174587"/>
    <x v="14"/>
    <m/>
    <m/>
    <n v="1"/>
    <n v="2"/>
    <n v="1"/>
    <n v="2"/>
    <n v="1"/>
    <x v="1"/>
    <s v="Alterations including erection of dormer roof extensions to side and rear of main roof and formation of rear roof terraces at first and third floor level, in connection with the conversion of first and second floor into 1 x1 bedroom and 1 x 2-bedroom flats."/>
    <s v="PF"/>
    <d v="2021-03-17T00:00:00"/>
    <d v="2021-07-02T00:00:00"/>
    <x v="0"/>
    <s v="Nil"/>
    <m/>
    <s v="BF"/>
    <s v="MIX"/>
    <x v="2"/>
    <x v="5"/>
    <n v="5.0000000000000001E-3"/>
    <m/>
    <x v="0"/>
    <m/>
    <x v="2"/>
    <s v="M"/>
    <s v=""/>
    <m/>
    <n v="0"/>
    <m/>
    <n v="0"/>
    <m/>
    <n v="0"/>
    <n v="1"/>
    <n v="1"/>
    <n v="0"/>
    <n v="-1"/>
    <n v="0"/>
    <n v="0"/>
    <n v="0"/>
    <n v="1"/>
    <n v="1"/>
    <n v="0"/>
    <n v="0"/>
    <n v="0"/>
    <n v="0"/>
    <n v="0"/>
    <n v="0"/>
    <n v="0"/>
    <n v="0"/>
    <n v="-1"/>
    <n v="0"/>
    <n v="0"/>
    <n v="0"/>
    <n v="0"/>
    <n v="0"/>
    <n v="0"/>
    <n v="0"/>
    <n v="0"/>
    <n v="0"/>
    <x v="0"/>
    <x v="0"/>
    <x v="1"/>
    <n v="15"/>
    <m/>
    <n v="0.25"/>
    <n v="0.25"/>
    <n v="0.25"/>
    <n v="0.25"/>
    <m/>
    <m/>
    <m/>
    <m/>
    <m/>
    <m/>
    <m/>
    <m/>
    <m/>
    <m/>
    <m/>
    <m/>
    <m/>
    <m/>
    <m/>
    <n v="1"/>
    <n v="1"/>
  </r>
  <r>
    <n v="6277"/>
    <x v="1"/>
    <s v="2020/3102"/>
    <s v="130 Longley Road"/>
    <s v=""/>
    <n v="527645"/>
    <n v="170659"/>
    <x v="3"/>
    <m/>
    <m/>
    <n v="0"/>
    <n v="1"/>
    <n v="1"/>
    <n v="4"/>
    <n v="3"/>
    <x v="1"/>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x v="0"/>
    <s v="Nil"/>
    <m/>
    <s v="BF"/>
    <s v="MIX"/>
    <x v="2"/>
    <x v="2"/>
    <n v="2.7E-2"/>
    <m/>
    <x v="0"/>
    <m/>
    <x v="2"/>
    <s v="M"/>
    <s v=""/>
    <m/>
    <n v="0"/>
    <m/>
    <n v="0"/>
    <m/>
    <n v="1"/>
    <n v="0"/>
    <n v="0"/>
    <n v="0"/>
    <n v="0"/>
    <n v="0"/>
    <n v="0"/>
    <n v="1"/>
    <n v="0"/>
    <n v="0"/>
    <n v="0"/>
    <n v="0"/>
    <n v="0"/>
    <n v="0"/>
    <n v="0"/>
    <n v="0"/>
    <n v="0"/>
    <n v="0"/>
    <n v="0"/>
    <n v="0"/>
    <n v="0"/>
    <n v="0"/>
    <n v="0"/>
    <n v="0"/>
    <n v="0"/>
    <n v="0"/>
    <n v="0"/>
    <n v="0"/>
    <x v="0"/>
    <x v="0"/>
    <x v="1"/>
    <n v="15"/>
    <m/>
    <n v="0.25"/>
    <n v="0.25"/>
    <n v="0.25"/>
    <n v="0.25"/>
    <m/>
    <m/>
    <m/>
    <m/>
    <m/>
    <m/>
    <m/>
    <m/>
    <m/>
    <m/>
    <m/>
    <m/>
    <m/>
    <m/>
    <m/>
    <n v="1"/>
    <n v="1"/>
  </r>
  <r>
    <n v="7884"/>
    <x v="1"/>
    <s v="2022/3458"/>
    <s v="134 Boundaries Road"/>
    <s v=""/>
    <n v="527886"/>
    <n v="172990"/>
    <x v="4"/>
    <m/>
    <m/>
    <n v="0"/>
    <n v="1"/>
    <n v="1"/>
    <n v="1"/>
    <n v="1"/>
    <x v="1"/>
    <s v="Erection of a mansard extension to main rear roof and extension above part of two-storey rear addition with roof terrace and 1.7m high obscured glazed balustrade to form for a 1-bedroom flat. Installation of associated cycle provision and refuse storage. Internal alterations to first floor flat with new bifold doors on rear elevation"/>
    <s v="PF"/>
    <d v="2022-08-17T00:00:00"/>
    <d v="2022-10-25T00:00:00"/>
    <x v="1"/>
    <s v="Nil"/>
    <m/>
    <s v="BF"/>
    <s v="EXT"/>
    <x v="2"/>
    <x v="2"/>
    <n v="3.8999999999999998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6839"/>
    <x v="1"/>
    <s v="2018/1079"/>
    <s v="Land east of 57, 57 Putney Bridge Road"/>
    <s v=""/>
    <n v="525097"/>
    <n v="175034"/>
    <x v="0"/>
    <d v="2021-04-08T00:00:00"/>
    <m/>
    <n v="0"/>
    <n v="5"/>
    <n v="5"/>
    <n v="5"/>
    <n v="5"/>
    <x v="1"/>
    <s v="Erection of five storey building to provide 5 x studio flats with associated cycle and bin storage."/>
    <s v="PF"/>
    <d v="2018-03-09T00:00:00"/>
    <d v="2018-05-25T00:00:00"/>
    <x v="0"/>
    <s v="Nil"/>
    <m/>
    <s v="BF"/>
    <s v="NB"/>
    <x v="2"/>
    <x v="1"/>
    <n v="7.0000000000000001E-3"/>
    <m/>
    <x v="0"/>
    <m/>
    <x v="2"/>
    <s v="M"/>
    <s v=""/>
    <m/>
    <n v="0"/>
    <n v="5"/>
    <n v="0"/>
    <m/>
    <n v="5"/>
    <n v="0"/>
    <n v="0"/>
    <n v="0"/>
    <n v="0"/>
    <n v="0"/>
    <n v="0"/>
    <n v="5"/>
    <n v="0"/>
    <n v="0"/>
    <n v="0"/>
    <n v="0"/>
    <n v="0"/>
    <n v="0"/>
    <n v="0"/>
    <n v="0"/>
    <n v="0"/>
    <n v="0"/>
    <n v="0"/>
    <n v="0"/>
    <n v="0"/>
    <n v="0"/>
    <n v="0"/>
    <n v="0"/>
    <n v="0"/>
    <n v="0"/>
    <n v="0"/>
    <n v="0"/>
    <x v="0"/>
    <x v="0"/>
    <x v="0"/>
    <n v="7"/>
    <m/>
    <m/>
    <n v="1.25"/>
    <n v="1.25"/>
    <n v="1.25"/>
    <n v="1.25"/>
    <m/>
    <m/>
    <m/>
    <m/>
    <m/>
    <m/>
    <m/>
    <m/>
    <m/>
    <m/>
    <m/>
    <m/>
    <m/>
    <m/>
    <n v="5"/>
    <n v="5"/>
  </r>
  <r>
    <n v="3810"/>
    <x v="1"/>
    <s v="2021/4115"/>
    <s v="138 Battersea Park Road"/>
    <s v=""/>
    <n v="528194"/>
    <n v="176681"/>
    <x v="17"/>
    <m/>
    <m/>
    <n v="1"/>
    <n v="2"/>
    <n v="1"/>
    <n v="2"/>
    <n v="1"/>
    <x v="1"/>
    <s v="Alterations including erection of mansard roof extension to main rear roof in connection with the conversion of upper floor flat to 2x1 bedroom flats."/>
    <s v="PF"/>
    <d v="2021-09-28T00:00:00"/>
    <d v="2022-01-19T00:00:00"/>
    <x v="0"/>
    <s v="Nil"/>
    <m/>
    <s v="BF"/>
    <s v="MIX"/>
    <x v="2"/>
    <x v="7"/>
    <n v="3.1375000000000001E-3"/>
    <m/>
    <x v="0"/>
    <m/>
    <x v="2"/>
    <s v="M"/>
    <s v=""/>
    <m/>
    <n v="0"/>
    <m/>
    <n v="0"/>
    <m/>
    <n v="0"/>
    <n v="2"/>
    <n v="0"/>
    <n v="-1"/>
    <n v="0"/>
    <n v="0"/>
    <n v="0"/>
    <n v="0"/>
    <n v="2"/>
    <n v="0"/>
    <n v="-1"/>
    <n v="0"/>
    <n v="0"/>
    <n v="0"/>
    <n v="0"/>
    <n v="0"/>
    <n v="0"/>
    <n v="0"/>
    <n v="0"/>
    <n v="0"/>
    <n v="0"/>
    <n v="0"/>
    <n v="0"/>
    <n v="0"/>
    <n v="0"/>
    <n v="0"/>
    <n v="0"/>
    <n v="0"/>
    <x v="0"/>
    <x v="0"/>
    <x v="1"/>
    <n v="15"/>
    <m/>
    <n v="0.25"/>
    <n v="0.25"/>
    <n v="0.25"/>
    <n v="0.25"/>
    <m/>
    <m/>
    <m/>
    <m/>
    <m/>
    <m/>
    <m/>
    <m/>
    <m/>
    <m/>
    <m/>
    <m/>
    <m/>
    <m/>
    <m/>
    <n v="1"/>
    <n v="1"/>
  </r>
  <r>
    <n v="5734"/>
    <x v="1"/>
    <s v="2018/1975"/>
    <s v="1 Effort Street"/>
    <s v=""/>
    <n v="527231"/>
    <n v="171411"/>
    <x v="3"/>
    <m/>
    <m/>
    <n v="2"/>
    <n v="5"/>
    <n v="3"/>
    <n v="5"/>
    <n v="3"/>
    <x v="1"/>
    <s v="Demolition of existing building and erection of a part two part three-storey building to provide 4 x 2-bedroom and 1 x 3-bedroom flats with associated landscaping, cycle and refuse storage."/>
    <s v="PF"/>
    <d v="2018-05-14T00:00:00"/>
    <d v="2018-07-04T00:00:00"/>
    <x v="0"/>
    <s v="Nil"/>
    <m/>
    <s v="BF"/>
    <s v="NB"/>
    <x v="2"/>
    <x v="1"/>
    <n v="2.4E-2"/>
    <m/>
    <x v="0"/>
    <m/>
    <x v="2"/>
    <s v="M"/>
    <s v=""/>
    <m/>
    <n v="0"/>
    <m/>
    <n v="0"/>
    <m/>
    <n v="0"/>
    <n v="0"/>
    <n v="2"/>
    <n v="1"/>
    <n v="0"/>
    <n v="0"/>
    <n v="0"/>
    <n v="0"/>
    <n v="0"/>
    <n v="2"/>
    <n v="1"/>
    <n v="0"/>
    <n v="0"/>
    <n v="0"/>
    <n v="0"/>
    <n v="0"/>
    <n v="0"/>
    <n v="0"/>
    <n v="0"/>
    <n v="0"/>
    <n v="0"/>
    <n v="0"/>
    <n v="0"/>
    <n v="0"/>
    <n v="0"/>
    <n v="0"/>
    <n v="0"/>
    <n v="0"/>
    <x v="0"/>
    <x v="0"/>
    <x v="3"/>
    <n v="7"/>
    <m/>
    <m/>
    <n v="0.75"/>
    <n v="0.75"/>
    <n v="0.75"/>
    <n v="0.75"/>
    <m/>
    <m/>
    <m/>
    <m/>
    <m/>
    <m/>
    <m/>
    <m/>
    <m/>
    <m/>
    <m/>
    <m/>
    <m/>
    <m/>
    <n v="3"/>
    <n v="3"/>
  </r>
  <r>
    <n v="2552"/>
    <x v="1"/>
    <s v="2020/0107"/>
    <s v="14-16 Tooting High Street (Flats 1-9 &amp; 12-15)"/>
    <s v=""/>
    <n v="527504"/>
    <n v="171615"/>
    <x v="3"/>
    <m/>
    <m/>
    <n v="0"/>
    <n v="1"/>
    <n v="1"/>
    <n v="1"/>
    <n v="1"/>
    <x v="1"/>
    <s v="Alterations including erection of rear roof extension and formation of roof terrace with 1.8m high screen surround in connection with creation of studio flat on third floor."/>
    <s v="PF"/>
    <d v="2020-02-20T00:00:00"/>
    <d v="2020-04-13T00:00:00"/>
    <x v="0"/>
    <s v="Nil"/>
    <m/>
    <s v="BF"/>
    <s v="EXT"/>
    <x v="2"/>
    <x v="2"/>
    <n v="1E-3"/>
    <m/>
    <x v="0"/>
    <m/>
    <x v="2"/>
    <s v="M"/>
    <s v=""/>
    <m/>
    <n v="0"/>
    <m/>
    <n v="0"/>
    <m/>
    <n v="1"/>
    <n v="0"/>
    <n v="0"/>
    <n v="0"/>
    <n v="0"/>
    <n v="0"/>
    <n v="0"/>
    <n v="1"/>
    <n v="0"/>
    <n v="0"/>
    <n v="0"/>
    <n v="0"/>
    <n v="0"/>
    <n v="0"/>
    <n v="0"/>
    <n v="0"/>
    <n v="0"/>
    <n v="0"/>
    <n v="0"/>
    <n v="0"/>
    <n v="0"/>
    <n v="0"/>
    <n v="0"/>
    <n v="0"/>
    <n v="0"/>
    <n v="0"/>
    <n v="0"/>
    <n v="0"/>
    <x v="2"/>
    <x v="0"/>
    <x v="3"/>
    <n v="15"/>
    <m/>
    <n v="0.25"/>
    <n v="0.25"/>
    <n v="0.25"/>
    <n v="0.25"/>
    <m/>
    <m/>
    <m/>
    <m/>
    <m/>
    <m/>
    <m/>
    <m/>
    <m/>
    <m/>
    <m/>
    <m/>
    <m/>
    <m/>
    <m/>
    <n v="1"/>
    <n v="1"/>
  </r>
  <r>
    <n v="1469"/>
    <x v="1"/>
    <s v="2022/4595"/>
    <s v="144 Wandsworth High Street"/>
    <s v=""/>
    <n v="525271"/>
    <n v="174673"/>
    <x v="7"/>
    <m/>
    <m/>
    <n v="0"/>
    <n v="1"/>
    <n v="1"/>
    <n v="1"/>
    <n v="1"/>
    <x v="1"/>
    <s v="Change of use of the ground floor from retail (Class E) to a 1-bedroom flat  (Class C3) together with alterations to front and rear elevations."/>
    <s v="PF"/>
    <d v="2022-12-05T00:00:00"/>
    <d v="2023-02-27T00:00:00"/>
    <x v="1"/>
    <s v="Nil"/>
    <m/>
    <s v="BF"/>
    <s v="COU"/>
    <x v="2"/>
    <x v="4"/>
    <n v="4.1999999999999997E-3"/>
    <m/>
    <x v="0"/>
    <m/>
    <x v="2"/>
    <s v="MR"/>
    <s v=""/>
    <m/>
    <n v="0"/>
    <m/>
    <n v="0"/>
    <m/>
    <n v="1"/>
    <n v="0"/>
    <n v="0"/>
    <n v="0"/>
    <n v="0"/>
    <n v="0"/>
    <n v="0"/>
    <n v="1"/>
    <n v="0"/>
    <n v="0"/>
    <n v="0"/>
    <n v="0"/>
    <n v="0"/>
    <n v="0"/>
    <n v="0"/>
    <n v="0"/>
    <n v="0"/>
    <n v="0"/>
    <n v="0"/>
    <n v="0"/>
    <n v="0"/>
    <n v="0"/>
    <n v="0"/>
    <n v="0"/>
    <n v="0"/>
    <n v="0"/>
    <n v="0"/>
    <n v="0"/>
    <x v="0"/>
    <x v="0"/>
    <x v="0"/>
    <n v="15"/>
    <m/>
    <n v="0.25"/>
    <n v="0.25"/>
    <n v="0.25"/>
    <n v="0.25"/>
    <m/>
    <m/>
    <m/>
    <m/>
    <m/>
    <m/>
    <m/>
    <m/>
    <m/>
    <m/>
    <m/>
    <m/>
    <m/>
    <m/>
    <m/>
    <n v="1"/>
    <n v="1"/>
  </r>
  <r>
    <n v="7163"/>
    <x v="1"/>
    <s v="2019/1706"/>
    <s v="148 Earlsfield Road"/>
    <s v=""/>
    <n v="526291"/>
    <n v="173671"/>
    <x v="11"/>
    <m/>
    <m/>
    <n v="0"/>
    <n v="1"/>
    <n v="1"/>
    <n v="1"/>
    <n v="1"/>
    <x v="1"/>
    <s v="Alterations including excavation to create basement in connection with creation of 1 x 1-bedroom flat."/>
    <s v="PF"/>
    <d v="2019-04-16T00:00:00"/>
    <d v="2019-07-16T00:00:00"/>
    <x v="0"/>
    <s v="Nil"/>
    <m/>
    <s v="BF"/>
    <s v="EXT"/>
    <x v="2"/>
    <x v="2"/>
    <n v="5.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472"/>
    <x v="1"/>
    <s v="2020/3309"/>
    <s v="149 Lavender Hill"/>
    <s v=""/>
    <n v="528038"/>
    <n v="175601"/>
    <x v="12"/>
    <m/>
    <m/>
    <n v="0"/>
    <n v="1"/>
    <n v="1"/>
    <n v="1"/>
    <n v="1"/>
    <x v="1"/>
    <s v="Erection of extension to form two additional floors of accommodation and formation of a roof terrace above 3 -storey back addition in connection with creation of an additional 1 x 1 bed flat."/>
    <s v="PF"/>
    <d v="2020-09-07T00:00:00"/>
    <d v="2020-11-02T00:00:00"/>
    <x v="0"/>
    <s v="Nil"/>
    <m/>
    <s v="BF"/>
    <s v="EXT"/>
    <x v="2"/>
    <x v="2"/>
    <n v="4.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6990"/>
    <x v="1"/>
    <s v="2022/2515"/>
    <s v="19a St Anns Park Road"/>
    <s v=""/>
    <n v="526243"/>
    <n v="174114"/>
    <x v="11"/>
    <m/>
    <m/>
    <n v="1"/>
    <n v="1"/>
    <n v="0"/>
    <n v="1"/>
    <n v="0"/>
    <x v="1"/>
    <s v="Demolition of existing building and erection of a two-storey (plus basement) 3-bedroom detached house including associated landscaping, cycle and refuse storage."/>
    <s v="PF"/>
    <d v="2022-06-15T00:00:00"/>
    <d v="2022-09-15T00:00:00"/>
    <x v="1"/>
    <s v="Nil"/>
    <m/>
    <s v="BF"/>
    <s v="NB"/>
    <x v="2"/>
    <x v="1"/>
    <n v="4.7499999999999999E-3"/>
    <m/>
    <x v="0"/>
    <m/>
    <x v="2"/>
    <s v="M"/>
    <s v=""/>
    <m/>
    <n v="0"/>
    <m/>
    <n v="0"/>
    <m/>
    <n v="0"/>
    <n v="-1"/>
    <n v="0"/>
    <n v="1"/>
    <n v="0"/>
    <n v="0"/>
    <n v="0"/>
    <n v="0"/>
    <n v="0"/>
    <n v="0"/>
    <n v="0"/>
    <n v="0"/>
    <n v="0"/>
    <n v="0"/>
    <n v="0"/>
    <n v="-1"/>
    <n v="0"/>
    <n v="1"/>
    <n v="0"/>
    <n v="0"/>
    <n v="0"/>
    <n v="0"/>
    <n v="0"/>
    <n v="0"/>
    <n v="0"/>
    <n v="0"/>
    <n v="0"/>
    <n v="0"/>
    <x v="0"/>
    <x v="0"/>
    <x v="1"/>
    <n v="7"/>
    <m/>
    <m/>
    <n v="0"/>
    <n v="0"/>
    <n v="0"/>
    <n v="0"/>
    <m/>
    <m/>
    <m/>
    <m/>
    <m/>
    <m/>
    <m/>
    <m/>
    <m/>
    <m/>
    <m/>
    <m/>
    <m/>
    <m/>
    <n v="0"/>
    <n v="0"/>
  </r>
  <r>
    <n v="7897"/>
    <x v="1"/>
    <s v="2022/3951"/>
    <s v="14A Oakmead Road"/>
    <s v=""/>
    <n v="528647"/>
    <n v="173103"/>
    <x v="8"/>
    <m/>
    <m/>
    <n v="0"/>
    <n v="1"/>
    <n v="1"/>
    <n v="1"/>
    <n v="1"/>
    <x v="1"/>
    <s v="Alterations including erection of mansard roof extension to main rear roof (with French doors and safety railings) and extension above part of two-storey back addition; Formation of roof terrace above two-storey back addition with 1.7m high screen surround. Installation of metal stairs from first floor to ground floor in connection with creation of 1 x1 bedroom residential flat."/>
    <s v="PF"/>
    <d v="2022-09-26T00:00:00"/>
    <d v="2022-12-15T00:00:00"/>
    <x v="1"/>
    <s v="Nil"/>
    <m/>
    <s v="BF"/>
    <s v="EXT"/>
    <x v="2"/>
    <x v="2"/>
    <n v="5.1700000000000001E-3"/>
    <m/>
    <x v="0"/>
    <m/>
    <x v="2"/>
    <s v="MR"/>
    <s v=""/>
    <m/>
    <n v="0"/>
    <m/>
    <n v="0"/>
    <m/>
    <n v="0"/>
    <n v="1"/>
    <n v="0"/>
    <n v="0"/>
    <n v="0"/>
    <n v="0"/>
    <n v="0"/>
    <n v="0"/>
    <n v="1"/>
    <n v="0"/>
    <n v="0"/>
    <n v="0"/>
    <n v="0"/>
    <n v="0"/>
    <n v="0"/>
    <n v="0"/>
    <n v="0"/>
    <n v="0"/>
    <n v="0"/>
    <n v="0"/>
    <n v="0"/>
    <n v="0"/>
    <n v="0"/>
    <n v="0"/>
    <n v="0"/>
    <n v="0"/>
    <n v="0"/>
    <n v="0"/>
    <x v="0"/>
    <x v="0"/>
    <x v="2"/>
    <n v="15"/>
    <m/>
    <n v="0.25"/>
    <n v="0.25"/>
    <n v="0.25"/>
    <n v="0.25"/>
    <m/>
    <m/>
    <m/>
    <m/>
    <m/>
    <m/>
    <m/>
    <m/>
    <m/>
    <m/>
    <m/>
    <m/>
    <m/>
    <m/>
    <m/>
    <n v="1"/>
    <n v="1"/>
  </r>
  <r>
    <n v="7691"/>
    <x v="1"/>
    <s v="2021/4974"/>
    <s v="15 Fairlight Road"/>
    <s v=""/>
    <n v="526952"/>
    <n v="171670"/>
    <x v="3"/>
    <m/>
    <m/>
    <n v="1"/>
    <n v="2"/>
    <n v="1"/>
    <n v="2"/>
    <n v="1"/>
    <x v="1"/>
    <s v="Alterations including erection of mansard roof extension to main rear roof including raising ridge by 300mm, erection of roof extension and formation of roof terrace with 1.7m glazed safety surround above two-storey rear addition in connection with creation of 1 x 1-bedroom flat. Alterations to rear elevation of first floor flat with new juliet balcony."/>
    <s v="PF"/>
    <d v="2021-10-29T00:00:00"/>
    <d v="2021-12-22T00:00:00"/>
    <x v="0"/>
    <s v="Nil"/>
    <m/>
    <s v="BF"/>
    <s v="EXT"/>
    <x v="2"/>
    <x v="2"/>
    <n v="6.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3652"/>
    <x v="1"/>
    <s v="2016/0654"/>
    <s v="9-15 Elcho Street"/>
    <s v=""/>
    <n v="527224"/>
    <n v="177200"/>
    <x v="17"/>
    <d v="2019-04-16T00:00:00"/>
    <m/>
    <n v="0"/>
    <n v="4"/>
    <n v="4"/>
    <n v="4"/>
    <n v="4"/>
    <x v="1"/>
    <s v="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
    <s v="PF"/>
    <d v="2016-02-12T00:00:00"/>
    <d v="2016-05-27T00:00:00"/>
    <x v="0"/>
    <s v="Nil"/>
    <m/>
    <s v="BF"/>
    <s v="NB"/>
    <x v="2"/>
    <x v="1"/>
    <n v="4.2000000000000003E-2"/>
    <m/>
    <x v="0"/>
    <m/>
    <x v="2"/>
    <s v="M"/>
    <s v=""/>
    <m/>
    <n v="0"/>
    <m/>
    <n v="0"/>
    <m/>
    <n v="0"/>
    <n v="0"/>
    <n v="4"/>
    <n v="0"/>
    <n v="0"/>
    <n v="0"/>
    <n v="0"/>
    <n v="0"/>
    <n v="0"/>
    <n v="4"/>
    <n v="0"/>
    <n v="0"/>
    <n v="0"/>
    <n v="0"/>
    <n v="0"/>
    <n v="0"/>
    <n v="0"/>
    <n v="0"/>
    <n v="0"/>
    <n v="0"/>
    <n v="0"/>
    <n v="0"/>
    <n v="0"/>
    <n v="0"/>
    <n v="0"/>
    <n v="0"/>
    <n v="0"/>
    <n v="0"/>
    <x v="0"/>
    <x v="0"/>
    <x v="8"/>
    <n v="7"/>
    <m/>
    <m/>
    <n v="1"/>
    <n v="1"/>
    <n v="1"/>
    <n v="1"/>
    <m/>
    <m/>
    <m/>
    <m/>
    <m/>
    <m/>
    <m/>
    <m/>
    <m/>
    <m/>
    <m/>
    <m/>
    <m/>
    <m/>
    <n v="4"/>
    <n v="4"/>
  </r>
  <r>
    <n v="3246"/>
    <x v="1"/>
    <s v="2020/1286"/>
    <s v="157 Lower Richmond Road"/>
    <s v=""/>
    <n v="523446"/>
    <n v="175860"/>
    <x v="0"/>
    <m/>
    <m/>
    <n v="0"/>
    <n v="1"/>
    <n v="1"/>
    <n v="2"/>
    <n v="1"/>
    <x v="1"/>
    <s v="Alterations in connection with conversion of existing mansard roof extension to main rear roof and roof extension above part of two storey back addition into 1 x 1-bedroom flat."/>
    <s v="PF"/>
    <d v="2020-04-07T00:00:00"/>
    <d v="2020-06-01T00:00:00"/>
    <x v="0"/>
    <s v="Nil"/>
    <m/>
    <s v="BF"/>
    <s v="MIX"/>
    <x v="2"/>
    <x v="2"/>
    <n v="5.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682"/>
    <x v="1"/>
    <s v="2021/3519"/>
    <s v="16 Lucien Road"/>
    <s v=""/>
    <n v="528225"/>
    <n v="171618"/>
    <x v="9"/>
    <m/>
    <m/>
    <n v="2"/>
    <n v="3"/>
    <n v="1"/>
    <n v="3"/>
    <n v="1"/>
    <x v="1"/>
    <s v="Alterations including erection of extension to main rear roof and extension above part of two-storey back addition; formation of roof terrace at second floor level with 1.7m high screen surround. Erection of single-storey rear and side extension in connection with the creation of an additional 1 x 1-bedroom/studio flat, with associated bin and bike storage at the front."/>
    <s v="PF"/>
    <d v="2021-09-20T00:00:00"/>
    <d v="2021-11-15T00:00:00"/>
    <x v="0"/>
    <s v="Nil"/>
    <m/>
    <s v="BF"/>
    <s v="EXT"/>
    <x v="2"/>
    <x v="2"/>
    <n v="8.0000000000000002E-3"/>
    <m/>
    <x v="0"/>
    <m/>
    <x v="2"/>
    <s v="M"/>
    <s v=""/>
    <m/>
    <n v="0"/>
    <m/>
    <n v="0"/>
    <m/>
    <n v="1"/>
    <n v="0"/>
    <n v="0"/>
    <n v="0"/>
    <n v="0"/>
    <n v="0"/>
    <n v="0"/>
    <n v="1"/>
    <n v="0"/>
    <n v="0"/>
    <n v="0"/>
    <n v="0"/>
    <n v="0"/>
    <n v="0"/>
    <n v="0"/>
    <n v="0"/>
    <n v="0"/>
    <n v="0"/>
    <n v="0"/>
    <n v="0"/>
    <n v="0"/>
    <n v="0"/>
    <n v="0"/>
    <n v="0"/>
    <n v="0"/>
    <n v="0"/>
    <n v="0"/>
    <n v="0"/>
    <x v="0"/>
    <x v="0"/>
    <x v="1"/>
    <n v="15"/>
    <m/>
    <n v="0.25"/>
    <n v="0.25"/>
    <n v="0.25"/>
    <n v="0.25"/>
    <m/>
    <m/>
    <m/>
    <m/>
    <m/>
    <m/>
    <m/>
    <m/>
    <m/>
    <m/>
    <m/>
    <m/>
    <m/>
    <m/>
    <m/>
    <n v="1"/>
    <n v="1"/>
  </r>
  <r>
    <n v="7396"/>
    <x v="1"/>
    <s v="2020/1999"/>
    <s v="161 Battersea High Street"/>
    <s v=""/>
    <n v="527053"/>
    <n v="176220"/>
    <x v="5"/>
    <m/>
    <m/>
    <n v="0"/>
    <n v="1"/>
    <n v="1"/>
    <n v="1"/>
    <n v="1"/>
    <x v="1"/>
    <s v="Alterations including extension to main rear roof to create additional storey of accommodation to provide a 1 x 1-bedroom flat."/>
    <s v="PF"/>
    <d v="2020-06-08T00:00:00"/>
    <d v="2020-07-30T00:00:00"/>
    <x v="0"/>
    <s v="Nil"/>
    <m/>
    <s v="BF"/>
    <s v="EXT"/>
    <x v="2"/>
    <x v="2"/>
    <n v="5.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4705"/>
    <x v="1"/>
    <s v="2022/3830"/>
    <s v="165 Battersea Rise"/>
    <s v=""/>
    <n v="527104"/>
    <n v="174977"/>
    <x v="12"/>
    <m/>
    <m/>
    <n v="0"/>
    <n v="1"/>
    <n v="1"/>
    <n v="1"/>
    <n v="1"/>
    <x v="1"/>
    <s v="Determination as to whether prior approval is required for change of use from office (Class E) at ground floor level from (Class B) to residential (Class C3) to provide a studio flat (Class C3)."/>
    <s v="PAG"/>
    <d v="2022-09-13T00:00:00"/>
    <d v="2022-11-04T00:00:00"/>
    <x v="1"/>
    <s v="Nil"/>
    <m/>
    <s v="BF"/>
    <s v="COU"/>
    <x v="2"/>
    <x v="6"/>
    <n v="4.3E-3"/>
    <m/>
    <x v="0"/>
    <m/>
    <x v="2"/>
    <s v="M"/>
    <s v=""/>
    <m/>
    <n v="0"/>
    <m/>
    <n v="0"/>
    <m/>
    <n v="1"/>
    <n v="0"/>
    <n v="0"/>
    <n v="0"/>
    <n v="0"/>
    <n v="0"/>
    <n v="0"/>
    <n v="1"/>
    <n v="0"/>
    <n v="0"/>
    <n v="0"/>
    <n v="0"/>
    <n v="0"/>
    <n v="0"/>
    <n v="0"/>
    <n v="0"/>
    <n v="0"/>
    <n v="0"/>
    <n v="0"/>
    <n v="0"/>
    <n v="0"/>
    <n v="0"/>
    <n v="0"/>
    <n v="0"/>
    <n v="0"/>
    <n v="0"/>
    <n v="0"/>
    <n v="0"/>
    <x v="0"/>
    <x v="0"/>
    <x v="1"/>
    <n v="15"/>
    <m/>
    <n v="0.25"/>
    <n v="0.25"/>
    <n v="0.25"/>
    <n v="0.25"/>
    <m/>
    <m/>
    <m/>
    <m/>
    <m/>
    <m/>
    <m/>
    <m/>
    <m/>
    <m/>
    <m/>
    <m/>
    <m/>
    <m/>
    <m/>
    <n v="1"/>
    <n v="1"/>
  </r>
  <r>
    <n v="7168"/>
    <x v="1"/>
    <s v="2019/2107"/>
    <s v="The Marmalade Caterpillar Nursery School, 14a Boundaries Road"/>
    <s v=""/>
    <n v="528231"/>
    <n v="173208"/>
    <x v="4"/>
    <m/>
    <m/>
    <n v="0"/>
    <n v="4"/>
    <n v="4"/>
    <n v="4"/>
    <n v="4"/>
    <x v="1"/>
    <s v="Alterations including the demolition of the existing building and the erection of a three storey building and excavation to create basement in connection with change of use from nursery school (Class D1) to residential (Class C3) to create 2 x 1-bedroom and 2 x 2-bedroom flats with associated cycle and refuse storage and boundary treatment."/>
    <s v="PF"/>
    <d v="2019-05-14T00:00:00"/>
    <d v="2020-09-22T00:00:00"/>
    <x v="0"/>
    <s v="Nil"/>
    <m/>
    <s v="BF"/>
    <s v="NB"/>
    <x v="2"/>
    <x v="1"/>
    <n v="1.6E-2"/>
    <m/>
    <x v="0"/>
    <m/>
    <x v="2"/>
    <s v="M"/>
    <s v=""/>
    <m/>
    <n v="0"/>
    <m/>
    <n v="0"/>
    <m/>
    <n v="0"/>
    <n v="2"/>
    <n v="2"/>
    <n v="0"/>
    <n v="0"/>
    <n v="0"/>
    <n v="0"/>
    <n v="0"/>
    <n v="2"/>
    <n v="2"/>
    <n v="0"/>
    <n v="0"/>
    <n v="0"/>
    <n v="0"/>
    <n v="0"/>
    <n v="0"/>
    <n v="0"/>
    <n v="0"/>
    <n v="0"/>
    <n v="0"/>
    <n v="0"/>
    <n v="0"/>
    <n v="0"/>
    <n v="0"/>
    <n v="0"/>
    <n v="0"/>
    <n v="0"/>
    <n v="0"/>
    <x v="0"/>
    <x v="0"/>
    <x v="1"/>
    <n v="7"/>
    <m/>
    <m/>
    <n v="1"/>
    <n v="1"/>
    <n v="1"/>
    <n v="1"/>
    <m/>
    <m/>
    <m/>
    <m/>
    <m/>
    <m/>
    <m/>
    <m/>
    <m/>
    <m/>
    <m/>
    <m/>
    <m/>
    <m/>
    <n v="4"/>
    <n v="4"/>
  </r>
  <r>
    <n v="7471"/>
    <x v="1"/>
    <s v="2020/3193"/>
    <s v="175 Tooting High Street"/>
    <s v=""/>
    <n v="527285"/>
    <n v="171122"/>
    <x v="3"/>
    <m/>
    <m/>
    <n v="0"/>
    <n v="1"/>
    <n v="1"/>
    <n v="1"/>
    <n v="1"/>
    <x v="1"/>
    <s v="Alterations including erection of a single storey rear/side extension and change of use of part of the shop (Class A1) into a studio flat (Class C3), with associated refuse and cycle storage to rear."/>
    <s v="PF"/>
    <d v="2020-09-11T00:00:00"/>
    <d v="2020-11-06T00:00:00"/>
    <x v="0"/>
    <s v="Nil"/>
    <m/>
    <s v="BF"/>
    <s v="COU"/>
    <x v="2"/>
    <x v="4"/>
    <n v="4.0000000000000001E-3"/>
    <m/>
    <x v="0"/>
    <m/>
    <x v="2"/>
    <s v="M"/>
    <s v=""/>
    <m/>
    <n v="0"/>
    <m/>
    <n v="0"/>
    <m/>
    <n v="1"/>
    <n v="0"/>
    <n v="0"/>
    <n v="0"/>
    <n v="0"/>
    <n v="0"/>
    <n v="0"/>
    <n v="1"/>
    <n v="0"/>
    <n v="0"/>
    <n v="0"/>
    <n v="0"/>
    <n v="0"/>
    <n v="0"/>
    <n v="0"/>
    <n v="0"/>
    <n v="0"/>
    <n v="0"/>
    <n v="0"/>
    <n v="0"/>
    <n v="0"/>
    <n v="0"/>
    <n v="0"/>
    <n v="0"/>
    <n v="0"/>
    <n v="0"/>
    <n v="0"/>
    <n v="0"/>
    <x v="0"/>
    <x v="0"/>
    <x v="3"/>
    <n v="15"/>
    <m/>
    <n v="0.25"/>
    <n v="0.25"/>
    <n v="0.25"/>
    <n v="0.25"/>
    <m/>
    <m/>
    <m/>
    <m/>
    <m/>
    <m/>
    <m/>
    <m/>
    <m/>
    <m/>
    <m/>
    <m/>
    <m/>
    <m/>
    <m/>
    <n v="1"/>
    <n v="1"/>
  </r>
  <r>
    <n v="7128"/>
    <x v="1"/>
    <s v="2020/1233"/>
    <s v="336-338 Balham High Road"/>
    <s v=""/>
    <n v="528017"/>
    <n v="172376"/>
    <x v="4"/>
    <m/>
    <m/>
    <n v="1"/>
    <n v="4"/>
    <n v="3"/>
    <n v="4"/>
    <n v="3"/>
    <x v="1"/>
    <s v="Demolition of existing buildings and erection of 4-storey building to provide commercial unit for flexible use (Classes A1, A2, A3 and D1) on ground floor four 2-bedroom flats (Class C3) above and associated waste and cycle storage."/>
    <s v="PF"/>
    <d v="2020-04-02T00:00:00"/>
    <d v="2020-07-22T00:00:00"/>
    <x v="0"/>
    <s v="Nil"/>
    <m/>
    <s v="BF"/>
    <s v="NB"/>
    <x v="2"/>
    <x v="1"/>
    <n v="1.4999999999999999E-2"/>
    <m/>
    <x v="0"/>
    <m/>
    <x v="2"/>
    <s v="M"/>
    <s v=""/>
    <m/>
    <n v="0"/>
    <m/>
    <n v="0"/>
    <m/>
    <n v="0"/>
    <n v="0"/>
    <n v="4"/>
    <n v="-1"/>
    <n v="0"/>
    <n v="0"/>
    <n v="0"/>
    <n v="0"/>
    <n v="0"/>
    <n v="4"/>
    <n v="-1"/>
    <n v="0"/>
    <n v="0"/>
    <n v="0"/>
    <n v="0"/>
    <n v="0"/>
    <n v="0"/>
    <n v="0"/>
    <n v="0"/>
    <n v="0"/>
    <n v="0"/>
    <n v="0"/>
    <n v="0"/>
    <n v="0"/>
    <n v="0"/>
    <n v="0"/>
    <n v="0"/>
    <n v="0"/>
    <x v="0"/>
    <x v="0"/>
    <x v="1"/>
    <n v="7"/>
    <m/>
    <m/>
    <n v="0.75"/>
    <n v="0.75"/>
    <n v="0.75"/>
    <n v="0.75"/>
    <m/>
    <m/>
    <m/>
    <m/>
    <m/>
    <m/>
    <m/>
    <m/>
    <m/>
    <m/>
    <m/>
    <m/>
    <m/>
    <m/>
    <n v="3"/>
    <n v="3"/>
  </r>
  <r>
    <n v="7863"/>
    <x v="1"/>
    <s v="2022/2530"/>
    <s v="178 Mitcham Road"/>
    <s v=""/>
    <n v="527882"/>
    <n v="170985"/>
    <x v="3"/>
    <m/>
    <m/>
    <n v="2"/>
    <n v="3"/>
    <n v="1"/>
    <n v="4"/>
    <n v="2"/>
    <x v="1"/>
    <s v="Alterations including erection of roof extensions to the main rear roof and above the back addition and erection of part single, part three-storey side and rear extension with first floor terrace in connection with partial change of use from restaurant (Class E) to residential (Class C3) to provide 2 x 1-bedroom and 2 x 2-bedroom flats with the retention of commercial space (Class E) at front ground floor, and associated refuse and cycle storage."/>
    <s v="PF"/>
    <d v="2022-06-16T00:00:00"/>
    <d v="2022-10-13T00:00:00"/>
    <x v="1"/>
    <s v="Nil"/>
    <m/>
    <s v="BF"/>
    <s v="MIX"/>
    <x v="2"/>
    <x v="7"/>
    <n v="9.8300000000000002E-3"/>
    <m/>
    <x v="0"/>
    <m/>
    <x v="2"/>
    <s v="MR"/>
    <s v=""/>
    <m/>
    <n v="0"/>
    <m/>
    <n v="0"/>
    <m/>
    <n v="-1"/>
    <n v="1"/>
    <n v="2"/>
    <n v="0"/>
    <n v="-1"/>
    <n v="0"/>
    <n v="0"/>
    <n v="-1"/>
    <n v="1"/>
    <n v="2"/>
    <n v="0"/>
    <n v="-1"/>
    <n v="0"/>
    <n v="0"/>
    <n v="0"/>
    <n v="0"/>
    <n v="0"/>
    <n v="0"/>
    <n v="0"/>
    <n v="0"/>
    <n v="0"/>
    <n v="0"/>
    <n v="0"/>
    <n v="0"/>
    <n v="0"/>
    <n v="0"/>
    <n v="0"/>
    <n v="0"/>
    <x v="0"/>
    <x v="0"/>
    <x v="3"/>
    <n v="15"/>
    <m/>
    <n v="0.25"/>
    <n v="0.25"/>
    <n v="0.25"/>
    <n v="0.25"/>
    <m/>
    <m/>
    <m/>
    <m/>
    <m/>
    <m/>
    <m/>
    <m/>
    <m/>
    <m/>
    <m/>
    <m/>
    <m/>
    <m/>
    <m/>
    <n v="1"/>
    <n v="1"/>
  </r>
  <r>
    <n v="4043"/>
    <x v="1"/>
    <s v="2020/0599"/>
    <s v="184 Northcote Road"/>
    <s v=""/>
    <n v="527663"/>
    <n v="174334"/>
    <x v="14"/>
    <m/>
    <m/>
    <n v="0"/>
    <n v="1"/>
    <n v="1"/>
    <n v="1"/>
    <n v="1"/>
    <x v="1"/>
    <s v="Determination as to whether prior approval is required for change of use of rear part of ground and first floors from retail (Class A1) to 1 x 2-bedroom flat (Class C3), with associated external alterations including installation of windows."/>
    <s v="PANR"/>
    <d v="2020-02-26T00:00:00"/>
    <d v="2020-04-09T00:00:00"/>
    <x v="0"/>
    <s v="Nil"/>
    <m/>
    <s v="BF"/>
    <s v="COU"/>
    <x v="2"/>
    <x v="4"/>
    <n v="4.0000000000000001E-3"/>
    <m/>
    <x v="0"/>
    <m/>
    <x v="2"/>
    <s v="M"/>
    <s v=""/>
    <m/>
    <n v="0"/>
    <m/>
    <n v="0"/>
    <m/>
    <n v="0"/>
    <n v="0"/>
    <n v="1"/>
    <n v="0"/>
    <n v="0"/>
    <n v="0"/>
    <n v="0"/>
    <n v="0"/>
    <n v="0"/>
    <n v="1"/>
    <n v="0"/>
    <n v="0"/>
    <n v="0"/>
    <n v="0"/>
    <n v="0"/>
    <n v="0"/>
    <n v="0"/>
    <n v="0"/>
    <n v="0"/>
    <n v="0"/>
    <n v="0"/>
    <n v="0"/>
    <n v="0"/>
    <n v="0"/>
    <n v="0"/>
    <n v="0"/>
    <n v="0"/>
    <n v="0"/>
    <x v="0"/>
    <x v="0"/>
    <x v="1"/>
    <n v="15"/>
    <m/>
    <n v="0.25"/>
    <n v="0.25"/>
    <n v="0.25"/>
    <n v="0.25"/>
    <m/>
    <m/>
    <m/>
    <m/>
    <m/>
    <m/>
    <m/>
    <m/>
    <m/>
    <m/>
    <m/>
    <m/>
    <m/>
    <m/>
    <m/>
    <n v="1"/>
    <n v="1"/>
  </r>
  <r>
    <n v="7674"/>
    <x v="1"/>
    <s v="2021/2811"/>
    <s v="Land and Garages North of 1-21, Gay Street"/>
    <s v=""/>
    <n v="523951"/>
    <n v="175632"/>
    <x v="0"/>
    <m/>
    <m/>
    <n v="0"/>
    <n v="4"/>
    <n v="4"/>
    <n v="4"/>
    <n v="4"/>
    <x v="1"/>
    <s v="Demolition of garages and erection of a two storey building accommodating 2 x 1-bed and 2 x 2-bed flats, with associated refuse and cycle storage."/>
    <s v="PF"/>
    <d v="2021-06-24T00:00:00"/>
    <d v="2021-12-20T00:00:00"/>
    <x v="0"/>
    <s v="Nil"/>
    <m/>
    <s v="BF"/>
    <s v="NB"/>
    <x v="2"/>
    <x v="1"/>
    <n v="1.2E-2"/>
    <m/>
    <x v="0"/>
    <m/>
    <x v="2"/>
    <s v="M"/>
    <s v=""/>
    <m/>
    <n v="0"/>
    <m/>
    <n v="0"/>
    <m/>
    <n v="0"/>
    <n v="2"/>
    <n v="2"/>
    <n v="0"/>
    <n v="0"/>
    <n v="0"/>
    <n v="0"/>
    <n v="0"/>
    <n v="2"/>
    <n v="2"/>
    <n v="0"/>
    <n v="0"/>
    <n v="0"/>
    <n v="0"/>
    <n v="0"/>
    <n v="0"/>
    <n v="0"/>
    <n v="0"/>
    <n v="0"/>
    <n v="0"/>
    <n v="0"/>
    <n v="0"/>
    <n v="0"/>
    <n v="0"/>
    <n v="0"/>
    <n v="0"/>
    <n v="0"/>
    <n v="0"/>
    <x v="0"/>
    <x v="0"/>
    <x v="1"/>
    <n v="7"/>
    <m/>
    <m/>
    <n v="1"/>
    <n v="1"/>
    <n v="1"/>
    <n v="1"/>
    <m/>
    <m/>
    <m/>
    <m/>
    <m/>
    <m/>
    <m/>
    <m/>
    <m/>
    <m/>
    <m/>
    <m/>
    <m/>
    <m/>
    <n v="4"/>
    <n v="4"/>
  </r>
  <r>
    <n v="7802"/>
    <x v="1"/>
    <s v="2020/4574"/>
    <s v="199A Wandsworth High Street"/>
    <s v=""/>
    <n v="525309"/>
    <n v="174646"/>
    <x v="6"/>
    <m/>
    <m/>
    <n v="0"/>
    <n v="1"/>
    <n v="1"/>
    <n v="1"/>
    <n v="1"/>
    <x v="1"/>
    <s v="Alterations including erection of front and rear mansard roof extension to provide  1 x 1-bedroom flat (Class C3) at second floor level."/>
    <s v="PF"/>
    <d v="2020-11-27T00:00:00"/>
    <d v="2021-01-22T00:00:00"/>
    <x v="0"/>
    <s v="Nil"/>
    <m/>
    <s v="BF"/>
    <s v="EXT"/>
    <x v="2"/>
    <x v="2"/>
    <n v="5.4000000000000003E-3"/>
    <m/>
    <x v="0"/>
    <m/>
    <x v="2"/>
    <s v="M"/>
    <s v=""/>
    <m/>
    <n v="0"/>
    <m/>
    <n v="0"/>
    <m/>
    <n v="0"/>
    <n v="1"/>
    <n v="0"/>
    <n v="0"/>
    <n v="0"/>
    <n v="0"/>
    <n v="0"/>
    <n v="0"/>
    <n v="1"/>
    <n v="0"/>
    <n v="0"/>
    <n v="0"/>
    <n v="0"/>
    <n v="0"/>
    <n v="0"/>
    <n v="0"/>
    <n v="0"/>
    <n v="0"/>
    <n v="0"/>
    <n v="0"/>
    <n v="0"/>
    <n v="0"/>
    <n v="0"/>
    <n v="0"/>
    <n v="0"/>
    <n v="0"/>
    <n v="0"/>
    <n v="0"/>
    <x v="3"/>
    <x v="0"/>
    <x v="0"/>
    <n v="15"/>
    <m/>
    <n v="0.25"/>
    <n v="0.25"/>
    <n v="0.25"/>
    <n v="0.25"/>
    <m/>
    <m/>
    <m/>
    <m/>
    <m/>
    <m/>
    <m/>
    <m/>
    <m/>
    <m/>
    <m/>
    <m/>
    <m/>
    <m/>
    <m/>
    <n v="1"/>
    <n v="1"/>
  </r>
  <r>
    <n v="6117"/>
    <x v="1"/>
    <s v="2022/0151"/>
    <s v="213 Upper Richmond Road"/>
    <s v=""/>
    <n v="523702"/>
    <n v="175127"/>
    <x v="18"/>
    <m/>
    <m/>
    <n v="0"/>
    <n v="1"/>
    <n v="1"/>
    <n v="1"/>
    <n v="1"/>
    <x v="1"/>
    <s v="Alterations to separate the first and ground floor to create studio consisting of part of the ground floor and the full first floor."/>
    <s v="PF"/>
    <d v="2022-03-17T00:00:00"/>
    <d v="2022-05-10T00:00:00"/>
    <x v="1"/>
    <s v="Nil"/>
    <m/>
    <s v="BF"/>
    <s v="CON"/>
    <x v="2"/>
    <x v="3"/>
    <n v="3.7030000000000001E-3"/>
    <m/>
    <x v="0"/>
    <m/>
    <x v="2"/>
    <s v="M"/>
    <s v=""/>
    <m/>
    <n v="0"/>
    <m/>
    <n v="0"/>
    <m/>
    <n v="1"/>
    <n v="0"/>
    <n v="0"/>
    <n v="0"/>
    <n v="0"/>
    <n v="0"/>
    <n v="0"/>
    <n v="1"/>
    <n v="0"/>
    <n v="0"/>
    <n v="0"/>
    <n v="0"/>
    <n v="0"/>
    <n v="0"/>
    <n v="0"/>
    <n v="0"/>
    <n v="0"/>
    <n v="0"/>
    <n v="0"/>
    <n v="0"/>
    <n v="0"/>
    <n v="0"/>
    <n v="0"/>
    <n v="0"/>
    <n v="0"/>
    <n v="0"/>
    <n v="0"/>
    <n v="0"/>
    <x v="4"/>
    <x v="0"/>
    <x v="4"/>
    <n v="15"/>
    <m/>
    <n v="0.25"/>
    <n v="0.25"/>
    <n v="0.25"/>
    <n v="0.25"/>
    <m/>
    <m/>
    <m/>
    <m/>
    <m/>
    <m/>
    <m/>
    <m/>
    <m/>
    <m/>
    <m/>
    <m/>
    <m/>
    <m/>
    <m/>
    <n v="1"/>
    <n v="1"/>
  </r>
  <r>
    <n v="7686"/>
    <x v="1"/>
    <s v="2021/4704"/>
    <s v="Car Park Space East of 59, Arnal Crescent"/>
    <s v=""/>
    <n v="524336"/>
    <n v="173815"/>
    <x v="19"/>
    <m/>
    <m/>
    <n v="0"/>
    <n v="4"/>
    <n v="4"/>
    <n v="4"/>
    <n v="4"/>
    <x v="1"/>
    <s v="Redevelopment and erection of 2 x two-storey buildings to provide 2 x 2-bedroom and 2 x 1-bedroom flats with associated refuse and cycle storage."/>
    <s v="PF"/>
    <d v="2021-10-28T00:00:00"/>
    <d v="2022-01-25T00:00:00"/>
    <x v="0"/>
    <s v="Nil"/>
    <m/>
    <s v="BF"/>
    <s v="NB"/>
    <x v="2"/>
    <x v="1"/>
    <n v="1.2E-2"/>
    <m/>
    <x v="0"/>
    <m/>
    <x v="2"/>
    <s v="M"/>
    <s v=""/>
    <m/>
    <n v="0"/>
    <m/>
    <n v="0"/>
    <m/>
    <n v="0"/>
    <n v="2"/>
    <n v="2"/>
    <n v="0"/>
    <n v="0"/>
    <n v="0"/>
    <n v="0"/>
    <n v="0"/>
    <n v="2"/>
    <n v="2"/>
    <n v="0"/>
    <n v="0"/>
    <n v="0"/>
    <n v="0"/>
    <n v="0"/>
    <n v="0"/>
    <n v="0"/>
    <n v="0"/>
    <n v="0"/>
    <n v="0"/>
    <n v="0"/>
    <n v="0"/>
    <n v="0"/>
    <n v="0"/>
    <n v="0"/>
    <n v="0"/>
    <n v="0"/>
    <n v="0"/>
    <x v="0"/>
    <x v="0"/>
    <x v="1"/>
    <n v="7"/>
    <m/>
    <m/>
    <n v="1"/>
    <n v="1"/>
    <n v="1"/>
    <n v="1"/>
    <m/>
    <m/>
    <m/>
    <m/>
    <m/>
    <m/>
    <m/>
    <m/>
    <m/>
    <m/>
    <m/>
    <m/>
    <m/>
    <m/>
    <n v="4"/>
    <n v="4"/>
  </r>
  <r>
    <n v="6885"/>
    <x v="1"/>
    <s v="2021/4482"/>
    <s v="217 Garratt Lane"/>
    <s v=""/>
    <n v="525906"/>
    <n v="173856"/>
    <x v="11"/>
    <m/>
    <m/>
    <n v="0"/>
    <n v="1"/>
    <n v="1"/>
    <n v="1"/>
    <n v="1"/>
    <x v="1"/>
    <s v="Determination as to whether prior approval is required for change of use from retail (Class E) to residential (Class C3) to provide 1 x 1- bedroom flat."/>
    <s v="PAG"/>
    <d v="2021-10-14T00:00:00"/>
    <d v="2021-12-01T00:00:00"/>
    <x v="0"/>
    <s v="Nil"/>
    <m/>
    <s v="BF"/>
    <s v="CON"/>
    <x v="2"/>
    <x v="4"/>
    <n v="5.8999999999999999E-3"/>
    <m/>
    <x v="0"/>
    <m/>
    <x v="2"/>
    <s v="M"/>
    <s v=""/>
    <m/>
    <n v="0"/>
    <m/>
    <n v="0"/>
    <m/>
    <n v="0"/>
    <n v="1"/>
    <n v="0"/>
    <n v="0"/>
    <n v="0"/>
    <n v="0"/>
    <n v="0"/>
    <n v="0"/>
    <n v="1"/>
    <n v="0"/>
    <n v="0"/>
    <n v="0"/>
    <n v="0"/>
    <n v="0"/>
    <n v="0"/>
    <n v="0"/>
    <n v="0"/>
    <n v="0"/>
    <n v="0"/>
    <n v="0"/>
    <n v="0"/>
    <n v="0"/>
    <n v="0"/>
    <n v="0"/>
    <n v="0"/>
    <n v="0"/>
    <n v="0"/>
    <n v="0"/>
    <x v="0"/>
    <x v="0"/>
    <x v="6"/>
    <n v="15"/>
    <m/>
    <n v="0.25"/>
    <n v="0.25"/>
    <n v="0.25"/>
    <n v="0.25"/>
    <m/>
    <m/>
    <m/>
    <m/>
    <m/>
    <m/>
    <m/>
    <m/>
    <m/>
    <m/>
    <m/>
    <m/>
    <m/>
    <m/>
    <m/>
    <n v="1"/>
    <n v="1"/>
  </r>
  <r>
    <n v="6728"/>
    <x v="1"/>
    <s v="2022/4696"/>
    <s v="221 Mitcham Lane"/>
    <s v=""/>
    <n v="529035"/>
    <n v="170671"/>
    <x v="13"/>
    <d v="2023-01-24T00:00:00"/>
    <m/>
    <n v="1"/>
    <n v="2"/>
    <n v="1"/>
    <n v="2"/>
    <n v="1"/>
    <x v="1"/>
    <s v="Alterations include the erection of a dormer roof extension to main rear roof and single-storey rear extension in connection with the conversion of the property into 1 x 3-bedroom and 1 x 4-bedroom flats with associated landscaping, cycle and refuse storage."/>
    <s v="PF"/>
    <d v="2022-11-29T00:00:00"/>
    <d v="2023-01-24T00:00:00"/>
    <x v="1"/>
    <s v="Nil"/>
    <m/>
    <s v="BF"/>
    <s v="MIX"/>
    <x v="2"/>
    <x v="5"/>
    <n v="6.0000000000000001E-3"/>
    <m/>
    <x v="0"/>
    <m/>
    <x v="2"/>
    <s v="M"/>
    <s v=""/>
    <m/>
    <n v="0"/>
    <m/>
    <n v="0"/>
    <m/>
    <n v="0"/>
    <n v="0"/>
    <n v="0"/>
    <n v="1"/>
    <n v="0"/>
    <n v="0"/>
    <n v="0"/>
    <n v="0"/>
    <n v="0"/>
    <n v="0"/>
    <n v="1"/>
    <n v="1"/>
    <n v="0"/>
    <n v="0"/>
    <n v="0"/>
    <n v="0"/>
    <n v="0"/>
    <n v="0"/>
    <n v="-1"/>
    <n v="0"/>
    <n v="0"/>
    <n v="0"/>
    <n v="0"/>
    <n v="0"/>
    <n v="0"/>
    <n v="0"/>
    <n v="0"/>
    <n v="0"/>
    <x v="0"/>
    <x v="0"/>
    <x v="1"/>
    <n v="15"/>
    <m/>
    <n v="0.25"/>
    <n v="0.25"/>
    <n v="0.25"/>
    <n v="0.25"/>
    <m/>
    <m/>
    <m/>
    <m/>
    <m/>
    <m/>
    <m/>
    <m/>
    <m/>
    <m/>
    <m/>
    <m/>
    <m/>
    <m/>
    <m/>
    <n v="1"/>
    <n v="1"/>
  </r>
  <r>
    <n v="7417"/>
    <x v="1"/>
    <s v="2022/0729"/>
    <s v="24 Ringford Road"/>
    <s v=""/>
    <n v="524964"/>
    <n v="174475"/>
    <x v="7"/>
    <m/>
    <m/>
    <n v="0"/>
    <n v="1"/>
    <n v="1"/>
    <n v="1"/>
    <n v="1"/>
    <x v="1"/>
    <s v="Alterations including erection of roof extension and single storey side extension to garage in connection with use as 1 x 1-bedroom dwelling house with front roof terrace and access from Sedleigh Road."/>
    <s v="PF"/>
    <d v="2022-04-29T00:00:00"/>
    <d v="2022-06-21T00:00:00"/>
    <x v="1"/>
    <s v="Nil"/>
    <m/>
    <s v="Gdn"/>
    <s v="EXT"/>
    <x v="2"/>
    <x v="2"/>
    <n v="2E-3"/>
    <m/>
    <x v="0"/>
    <m/>
    <x v="2"/>
    <s v="M"/>
    <s v=""/>
    <m/>
    <n v="0"/>
    <m/>
    <n v="0"/>
    <m/>
    <n v="0"/>
    <n v="1"/>
    <n v="0"/>
    <n v="0"/>
    <n v="0"/>
    <n v="0"/>
    <n v="0"/>
    <n v="0"/>
    <n v="0"/>
    <n v="0"/>
    <n v="0"/>
    <n v="0"/>
    <n v="0"/>
    <n v="0"/>
    <n v="0"/>
    <n v="1"/>
    <n v="0"/>
    <n v="0"/>
    <n v="0"/>
    <n v="0"/>
    <n v="0"/>
    <n v="0"/>
    <n v="0"/>
    <n v="0"/>
    <n v="0"/>
    <n v="0"/>
    <n v="0"/>
    <n v="0"/>
    <x v="0"/>
    <x v="0"/>
    <x v="1"/>
    <n v="15"/>
    <m/>
    <n v="0.25"/>
    <n v="0.25"/>
    <n v="0.25"/>
    <n v="0.25"/>
    <m/>
    <m/>
    <m/>
    <m/>
    <m/>
    <m/>
    <m/>
    <m/>
    <m/>
    <m/>
    <m/>
    <m/>
    <m/>
    <m/>
    <m/>
    <n v="1"/>
    <n v="1"/>
  </r>
  <r>
    <n v="7728"/>
    <x v="1"/>
    <s v="2021/4318"/>
    <s v="24 Yukon Road"/>
    <s v=""/>
    <n v="528904"/>
    <n v="173855"/>
    <x v="2"/>
    <m/>
    <m/>
    <n v="4"/>
    <n v="5"/>
    <n v="1"/>
    <n v="5"/>
    <n v="1"/>
    <x v="1"/>
    <s v="Alterations including erection of mansard roof extension to main rear roof and extension above part of two-storey back addition; formation of roof terrace above two-storey back addition with 1.7m high screen surround in connection with the conversion into 1 bedroom flat with associated cycle and refuse storage."/>
    <s v="PF"/>
    <d v="2021-09-17T00:00:00"/>
    <d v="2021-11-16T00:00:00"/>
    <x v="0"/>
    <s v="Nil"/>
    <m/>
    <s v="BF"/>
    <s v="EXT"/>
    <x v="2"/>
    <x v="2"/>
    <n v="4.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191"/>
    <x v="1"/>
    <s v="2019/2583"/>
    <s v="245a Wimbledon Park Road"/>
    <s v=""/>
    <n v="524767"/>
    <n v="173302"/>
    <x v="20"/>
    <m/>
    <m/>
    <n v="0"/>
    <n v="1"/>
    <n v="1"/>
    <n v="1"/>
    <n v="1"/>
    <x v="1"/>
    <s v="Determination as to whether prior approval is required for change of use of lower ground floor from Estate agents(Class A2) to 1 x 1-bedroom flat (Class C3)."/>
    <s v="PANR"/>
    <d v="2019-06-27T00:00:00"/>
    <d v="2019-08-16T00:00:00"/>
    <x v="0"/>
    <s v="Nil"/>
    <m/>
    <s v="BF"/>
    <s v="COU"/>
    <x v="2"/>
    <x v="6"/>
    <n v="2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4208"/>
    <x v="1"/>
    <s v="2021/4684"/>
    <s v="25 Keswick Road"/>
    <s v=""/>
    <n v="524367"/>
    <n v="174500"/>
    <x v="7"/>
    <m/>
    <m/>
    <n v="0"/>
    <n v="1"/>
    <n v="1"/>
    <n v="1"/>
    <n v="1"/>
    <x v="1"/>
    <s v="Alterations including erection of a rear extension at lower ground floor level in connection with creation of 1 x 1-bed flat."/>
    <s v="PF"/>
    <d v="2021-11-10T00:00:00"/>
    <d v="2022-02-07T00:00:00"/>
    <x v="0"/>
    <s v="Nil"/>
    <m/>
    <s v="BF"/>
    <s v="EXT"/>
    <x v="2"/>
    <x v="2"/>
    <n v="0.01"/>
    <m/>
    <x v="0"/>
    <m/>
    <x v="2"/>
    <s v="M"/>
    <s v=""/>
    <m/>
    <n v="0"/>
    <m/>
    <n v="0"/>
    <m/>
    <n v="0"/>
    <n v="1"/>
    <n v="0"/>
    <n v="0"/>
    <n v="0"/>
    <n v="0"/>
    <n v="0"/>
    <n v="0"/>
    <n v="1"/>
    <n v="0"/>
    <n v="0"/>
    <n v="0"/>
    <n v="0"/>
    <n v="0"/>
    <n v="0"/>
    <n v="0"/>
    <n v="0"/>
    <n v="0"/>
    <n v="0"/>
    <n v="0"/>
    <n v="0"/>
    <n v="0"/>
    <n v="0"/>
    <n v="0"/>
    <n v="0"/>
    <n v="0"/>
    <n v="0"/>
    <n v="0"/>
    <x v="0"/>
    <x v="0"/>
    <x v="1"/>
    <n v="15"/>
    <m/>
    <n v="0.25"/>
    <n v="0.25"/>
    <n v="0.25"/>
    <n v="0.25"/>
    <m/>
    <m/>
    <m/>
    <m/>
    <m/>
    <m/>
    <m/>
    <m/>
    <m/>
    <m/>
    <m/>
    <m/>
    <m/>
    <m/>
    <m/>
    <n v="1"/>
    <n v="1"/>
  </r>
  <r>
    <n v="7910"/>
    <x v="1"/>
    <s v="2022/4341"/>
    <s v="26 Badminton Road"/>
    <s v=""/>
    <n v="528474"/>
    <n v="174038"/>
    <x v="2"/>
    <m/>
    <m/>
    <n v="0"/>
    <n v="1"/>
    <n v="1"/>
    <n v="1"/>
    <n v="1"/>
    <x v="1"/>
    <s v="Alterations including erection of mansard roof extension to main rear roof (with French doors and safety railings) including raising ridge 300mm and formation of roof terrace at second floor level with 1.7m high screen surround in connection with the creation of 1 x 1-bedroom flat."/>
    <s v="PF"/>
    <d v="2022-10-25T00:00:00"/>
    <d v="2022-12-19T00:00:00"/>
    <x v="1"/>
    <s v="Nil"/>
    <m/>
    <s v="BF"/>
    <s v="EXT"/>
    <x v="2"/>
    <x v="2"/>
    <n v="4.3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6981"/>
    <x v="1"/>
    <s v="2018/3140"/>
    <s v="26 Brookwood Road"/>
    <s v=""/>
    <n v="524911"/>
    <n v="173105"/>
    <x v="20"/>
    <m/>
    <m/>
    <n v="0"/>
    <n v="1"/>
    <n v="1"/>
    <n v="1"/>
    <n v="1"/>
    <x v="1"/>
    <s v="Change of use from hairdresser (Class A1)  to Residential (Class C3) to provide 1 x1 bedroom flat. Alterations to include installation of windows to front elevation and erection of front boundary wall, railings and gate."/>
    <s v="PF"/>
    <d v="2018-07-04T00:00:00"/>
    <d v="2018-08-28T00:00:00"/>
    <x v="0"/>
    <s v="Nil"/>
    <m/>
    <s v="BF"/>
    <s v="MIX"/>
    <x v="2"/>
    <x v="4"/>
    <n v="4.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669"/>
    <x v="1"/>
    <s v="2021/4552"/>
    <s v="269 Putney Bridge Road"/>
    <s v=""/>
    <n v="524351"/>
    <n v="175325"/>
    <x v="0"/>
    <m/>
    <m/>
    <n v="2"/>
    <n v="3"/>
    <n v="1"/>
    <n v="3"/>
    <n v="1"/>
    <x v="1"/>
    <s v="Alterations including erection of front and rear mansard roof extension to provide an additional floor of accommodation, second floor level rear extension, and formation of rear balconies at first and second floor levels with 1.7m high privacy screens, together with the creation of 1 x 1-bedroom flat."/>
    <s v="PF"/>
    <d v="2021-10-13T00:00:00"/>
    <d v="2022-01-12T00:00:00"/>
    <x v="0"/>
    <s v="Nil"/>
    <m/>
    <s v="BF"/>
    <s v="EXT"/>
    <x v="2"/>
    <x v="2"/>
    <n v="3.9332999999999998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305"/>
    <x v="1"/>
    <s v="2022/4799"/>
    <s v="292 Cavendish Road"/>
    <s v=""/>
    <n v="529000"/>
    <n v="173317"/>
    <x v="2"/>
    <m/>
    <m/>
    <n v="0"/>
    <n v="1"/>
    <n v="1"/>
    <n v="1"/>
    <n v="1"/>
    <x v="1"/>
    <s v="Alterations including erection of single storey rear and side extension in connection with change of use and conversion of restaurant (Class E) to residential (Class C3) to provide 1 x 2-bedroom flat."/>
    <s v="PF"/>
    <d v="2022-11-23T00:00:00"/>
    <d v="2023-02-02T00:00:00"/>
    <x v="1"/>
    <s v="Nil"/>
    <m/>
    <s v="BF"/>
    <s v="CON"/>
    <x v="2"/>
    <x v="6"/>
    <n v="6.6000000000000003E-2"/>
    <m/>
    <x v="0"/>
    <m/>
    <x v="2"/>
    <s v="M"/>
    <s v=""/>
    <m/>
    <n v="0"/>
    <m/>
    <n v="0"/>
    <m/>
    <n v="0"/>
    <n v="0"/>
    <n v="1"/>
    <n v="0"/>
    <n v="0"/>
    <n v="0"/>
    <n v="0"/>
    <n v="0"/>
    <n v="0"/>
    <n v="1"/>
    <n v="0"/>
    <n v="0"/>
    <n v="0"/>
    <n v="0"/>
    <n v="0"/>
    <n v="0"/>
    <n v="0"/>
    <n v="0"/>
    <n v="0"/>
    <n v="0"/>
    <n v="0"/>
    <n v="0"/>
    <n v="0"/>
    <n v="0"/>
    <n v="0"/>
    <n v="0"/>
    <n v="0"/>
    <n v="0"/>
    <x v="0"/>
    <x v="0"/>
    <x v="1"/>
    <n v="15"/>
    <m/>
    <n v="0.25"/>
    <n v="0.25"/>
    <n v="0.25"/>
    <n v="0.25"/>
    <m/>
    <m/>
    <m/>
    <m/>
    <m/>
    <m/>
    <m/>
    <m/>
    <m/>
    <m/>
    <m/>
    <m/>
    <m/>
    <m/>
    <m/>
    <n v="1"/>
    <n v="1"/>
  </r>
  <r>
    <n v="1242"/>
    <x v="1"/>
    <s v="2021/2207"/>
    <s v="296 Earlsfield Road"/>
    <s v=""/>
    <n v="526084"/>
    <n v="173269"/>
    <x v="11"/>
    <m/>
    <m/>
    <n v="1"/>
    <n v="2"/>
    <n v="1"/>
    <n v="2"/>
    <n v="1"/>
    <x v="1"/>
    <s v="Determination as to whether prior approval is required for change of _x000a_use from retail (Class A1) to 1 x 1-bedroom flat (Class C3)."/>
    <s v="PAG"/>
    <d v="2021-07-05T00:00:00"/>
    <d v="2021-08-23T00:00:00"/>
    <x v="0"/>
    <s v="Nil"/>
    <m/>
    <s v="BF"/>
    <s v="MIX"/>
    <x v="2"/>
    <x v="4"/>
    <n v="9.8665999999999997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6971"/>
    <x v="1"/>
    <s v="2018/2649"/>
    <s v="2a Balham Grove"/>
    <s v=""/>
    <n v="528580"/>
    <n v="173481"/>
    <x v="2"/>
    <m/>
    <m/>
    <n v="0"/>
    <n v="1"/>
    <n v="1"/>
    <n v="1"/>
    <n v="1"/>
    <x v="1"/>
    <s v="Alterations including erection of extension at second floor level in association with creation of 1 x studio flat."/>
    <s v="PF"/>
    <d v="2018-06-05T00:00:00"/>
    <d v="2018-07-26T00:00:00"/>
    <x v="0"/>
    <s v="Nil"/>
    <m/>
    <s v="BF"/>
    <s v="EXT"/>
    <x v="2"/>
    <x v="2"/>
    <n v="4.0000000000000001E-3"/>
    <m/>
    <x v="0"/>
    <m/>
    <x v="2"/>
    <s v="M"/>
    <s v=""/>
    <m/>
    <n v="0"/>
    <m/>
    <n v="0"/>
    <m/>
    <n v="1"/>
    <n v="0"/>
    <n v="0"/>
    <n v="0"/>
    <n v="0"/>
    <n v="0"/>
    <n v="0"/>
    <n v="1"/>
    <n v="0"/>
    <n v="0"/>
    <n v="0"/>
    <n v="0"/>
    <n v="0"/>
    <n v="0"/>
    <n v="0"/>
    <n v="0"/>
    <n v="0"/>
    <n v="0"/>
    <n v="0"/>
    <n v="0"/>
    <n v="0"/>
    <n v="0"/>
    <n v="0"/>
    <n v="0"/>
    <n v="0"/>
    <n v="0"/>
    <n v="0"/>
    <n v="0"/>
    <x v="1"/>
    <x v="0"/>
    <x v="2"/>
    <n v="15"/>
    <m/>
    <n v="0.25"/>
    <n v="0.25"/>
    <n v="0.25"/>
    <n v="0.25"/>
    <m/>
    <m/>
    <m/>
    <m/>
    <m/>
    <m/>
    <m/>
    <m/>
    <m/>
    <m/>
    <m/>
    <m/>
    <m/>
    <m/>
    <m/>
    <n v="1"/>
    <n v="1"/>
  </r>
  <r>
    <n v="7729"/>
    <x v="1"/>
    <s v="2022/1385"/>
    <s v="31 Bellevue Road"/>
    <s v=""/>
    <n v="527446"/>
    <n v="173267"/>
    <x v="4"/>
    <m/>
    <m/>
    <n v="0"/>
    <n v="1"/>
    <n v="1"/>
    <n v="1"/>
    <n v="1"/>
    <x v="1"/>
    <s v="Alterations including erection of single storey rear extension in connection with creation of 2-bedroom flat to basement and ground floor rear of no 32 and change of use from commercial studio (Class E) to residential (Class C3) to provide access, bin and cycle storage at rear of no 31 Bellevue Road."/>
    <s v="PF"/>
    <d v="2022-04-13T00:00:00"/>
    <d v="2022-06-08T00:00:00"/>
    <x v="1"/>
    <s v="Nil"/>
    <m/>
    <s v="BF"/>
    <s v="MIX"/>
    <x v="2"/>
    <x v="4"/>
    <n v="8.0000000000000002E-3"/>
    <m/>
    <x v="0"/>
    <m/>
    <x v="2"/>
    <s v="M"/>
    <s v=""/>
    <m/>
    <n v="0"/>
    <m/>
    <n v="0"/>
    <m/>
    <n v="0"/>
    <n v="0"/>
    <n v="1"/>
    <n v="0"/>
    <n v="0"/>
    <n v="0"/>
    <n v="0"/>
    <n v="0"/>
    <n v="0"/>
    <n v="1"/>
    <n v="0"/>
    <n v="0"/>
    <n v="0"/>
    <n v="0"/>
    <n v="0"/>
    <n v="0"/>
    <n v="0"/>
    <n v="0"/>
    <n v="0"/>
    <n v="0"/>
    <n v="0"/>
    <n v="0"/>
    <n v="0"/>
    <n v="0"/>
    <n v="0"/>
    <n v="0"/>
    <n v="0"/>
    <n v="0"/>
    <x v="0"/>
    <x v="0"/>
    <x v="1"/>
    <n v="15"/>
    <m/>
    <n v="0.25"/>
    <n v="0.25"/>
    <n v="0.25"/>
    <n v="0.25"/>
    <m/>
    <m/>
    <m/>
    <m/>
    <m/>
    <m/>
    <m/>
    <m/>
    <m/>
    <m/>
    <m/>
    <m/>
    <m/>
    <m/>
    <m/>
    <n v="1"/>
    <n v="1"/>
  </r>
  <r>
    <n v="4386"/>
    <x v="1"/>
    <s v="2020/2048"/>
    <s v="317 Battersea Park Road"/>
    <s v=""/>
    <n v="528177"/>
    <n v="176638"/>
    <x v="17"/>
    <m/>
    <m/>
    <n v="0"/>
    <n v="1"/>
    <n v="1"/>
    <n v="1"/>
    <n v="1"/>
    <x v="1"/>
    <s v="Alterations including erection of roof extension to create an additional floor of accomodation in connection with creation of 1 x 1-bed flat."/>
    <s v="PF"/>
    <d v="2020-06-10T00:00:00"/>
    <d v="2020-09-28T00:00:00"/>
    <x v="0"/>
    <s v="Nil"/>
    <m/>
    <s v="BF"/>
    <s v="EXT"/>
    <x v="2"/>
    <x v="2"/>
    <n v="3.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266"/>
    <x v="1"/>
    <s v="2019/3870"/>
    <s v="32 Latchmere Road"/>
    <s v=""/>
    <n v="527567"/>
    <n v="176185"/>
    <x v="1"/>
    <m/>
    <m/>
    <n v="1"/>
    <n v="2"/>
    <n v="1"/>
    <n v="3"/>
    <n v="2"/>
    <x v="1"/>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0"/>
    <s v="Nil"/>
    <m/>
    <s v="BF"/>
    <s v="MIX"/>
    <x v="2"/>
    <x v="5"/>
    <n v="1.4E-2"/>
    <m/>
    <x v="0"/>
    <m/>
    <x v="2"/>
    <s v="M"/>
    <s v=""/>
    <m/>
    <n v="0"/>
    <m/>
    <n v="0"/>
    <m/>
    <n v="0"/>
    <n v="0"/>
    <n v="1"/>
    <n v="0"/>
    <n v="0"/>
    <n v="0"/>
    <n v="0"/>
    <n v="0"/>
    <n v="0"/>
    <n v="1"/>
    <n v="1"/>
    <n v="0"/>
    <n v="0"/>
    <n v="0"/>
    <n v="0"/>
    <n v="0"/>
    <n v="0"/>
    <n v="-1"/>
    <n v="0"/>
    <n v="0"/>
    <n v="0"/>
    <n v="0"/>
    <n v="0"/>
    <n v="0"/>
    <n v="0"/>
    <n v="0"/>
    <n v="0"/>
    <n v="0"/>
    <x v="0"/>
    <x v="0"/>
    <x v="1"/>
    <n v="15"/>
    <m/>
    <n v="0.25"/>
    <n v="0.25"/>
    <n v="0.25"/>
    <n v="0.25"/>
    <m/>
    <m/>
    <m/>
    <m/>
    <m/>
    <m/>
    <m/>
    <m/>
    <m/>
    <m/>
    <m/>
    <m/>
    <m/>
    <m/>
    <m/>
    <n v="1"/>
    <n v="1"/>
  </r>
  <r>
    <n v="7266"/>
    <x v="1"/>
    <s v="2019/3870"/>
    <s v="32 Latchmere Road"/>
    <s v=""/>
    <n v="527567"/>
    <n v="176185"/>
    <x v="1"/>
    <m/>
    <m/>
    <n v="0"/>
    <n v="1"/>
    <n v="1"/>
    <n v="3"/>
    <n v="2"/>
    <x v="1"/>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0"/>
    <s v="Nil"/>
    <m/>
    <s v="BF"/>
    <s v="MIX"/>
    <x v="2"/>
    <x v="2"/>
    <n v="8.0000000000000002E-3"/>
    <m/>
    <x v="0"/>
    <m/>
    <x v="2"/>
    <s v="M"/>
    <s v=""/>
    <m/>
    <n v="0"/>
    <m/>
    <n v="0"/>
    <m/>
    <n v="0"/>
    <n v="0"/>
    <n v="0"/>
    <n v="1"/>
    <n v="0"/>
    <n v="0"/>
    <n v="0"/>
    <n v="0"/>
    <n v="0"/>
    <n v="0"/>
    <n v="1"/>
    <n v="0"/>
    <n v="0"/>
    <n v="0"/>
    <n v="0"/>
    <n v="0"/>
    <n v="0"/>
    <n v="0"/>
    <n v="0"/>
    <n v="0"/>
    <n v="0"/>
    <n v="0"/>
    <n v="0"/>
    <n v="0"/>
    <n v="0"/>
    <n v="0"/>
    <n v="0"/>
    <n v="0"/>
    <x v="0"/>
    <x v="0"/>
    <x v="1"/>
    <n v="15"/>
    <m/>
    <n v="0.25"/>
    <n v="0.25"/>
    <n v="0.25"/>
    <n v="0.25"/>
    <m/>
    <m/>
    <m/>
    <m/>
    <m/>
    <m/>
    <m/>
    <m/>
    <m/>
    <m/>
    <m/>
    <m/>
    <m/>
    <m/>
    <m/>
    <n v="1"/>
    <n v="1"/>
  </r>
  <r>
    <n v="6634"/>
    <x v="1"/>
    <s v="2020/3029"/>
    <s v="321 Merton Road"/>
    <s v=""/>
    <n v="525319"/>
    <n v="173419"/>
    <x v="20"/>
    <m/>
    <m/>
    <n v="1"/>
    <n v="2"/>
    <n v="1"/>
    <n v="2"/>
    <n v="1"/>
    <x v="1"/>
    <s v="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
    <s v="PF"/>
    <d v="2020-10-13T00:00:00"/>
    <d v="2020-10-14T00:00:00"/>
    <x v="0"/>
    <s v="Nil"/>
    <m/>
    <s v="BF"/>
    <s v="CON"/>
    <x v="2"/>
    <x v="7"/>
    <n v="8.0000000000000002E-3"/>
    <m/>
    <x v="0"/>
    <m/>
    <x v="2"/>
    <s v="M"/>
    <s v=""/>
    <m/>
    <n v="0"/>
    <m/>
    <n v="0"/>
    <m/>
    <n v="1"/>
    <n v="1"/>
    <n v="-1"/>
    <n v="0"/>
    <n v="0"/>
    <n v="0"/>
    <n v="0"/>
    <n v="1"/>
    <n v="1"/>
    <n v="-1"/>
    <n v="0"/>
    <n v="0"/>
    <n v="0"/>
    <n v="0"/>
    <n v="0"/>
    <n v="0"/>
    <n v="0"/>
    <n v="0"/>
    <n v="0"/>
    <n v="0"/>
    <n v="0"/>
    <n v="0"/>
    <n v="0"/>
    <n v="0"/>
    <n v="0"/>
    <n v="0"/>
    <n v="0"/>
    <n v="0"/>
    <x v="0"/>
    <x v="0"/>
    <x v="6"/>
    <n v="15"/>
    <m/>
    <n v="0.25"/>
    <n v="0.25"/>
    <n v="0.25"/>
    <n v="0.25"/>
    <m/>
    <m/>
    <m/>
    <m/>
    <m/>
    <m/>
    <m/>
    <m/>
    <m/>
    <m/>
    <m/>
    <m/>
    <m/>
    <m/>
    <m/>
    <n v="1"/>
    <n v="1"/>
  </r>
  <r>
    <n v="7840"/>
    <x v="1"/>
    <s v="2022/1763"/>
    <s v="346 Upper Richmond Road"/>
    <s v=""/>
    <n v="523441"/>
    <n v="175272"/>
    <x v="18"/>
    <m/>
    <m/>
    <n v="0"/>
    <n v="1"/>
    <n v="1"/>
    <n v="1"/>
    <n v="1"/>
    <x v="1"/>
    <s v="Alterations including change of use from HMO (9 bedsits) (Sui Generis)  into single dwelling.(Class C3)."/>
    <s v="PFLA"/>
    <d v="2022-06-28T00:00:00"/>
    <d v="2022-12-21T00:00:00"/>
    <x v="1"/>
    <s v="Nil"/>
    <m/>
    <s v="BF"/>
    <s v="CON"/>
    <x v="2"/>
    <x v="8"/>
    <n v="1.17E-2"/>
    <m/>
    <x v="0"/>
    <m/>
    <x v="2"/>
    <s v="M"/>
    <s v=""/>
    <m/>
    <n v="0"/>
    <m/>
    <n v="0"/>
    <m/>
    <n v="0"/>
    <n v="0"/>
    <n v="0"/>
    <n v="0"/>
    <n v="0"/>
    <n v="1"/>
    <n v="0"/>
    <n v="0"/>
    <n v="0"/>
    <n v="0"/>
    <n v="0"/>
    <n v="0"/>
    <n v="0"/>
    <n v="0"/>
    <n v="0"/>
    <n v="0"/>
    <n v="0"/>
    <n v="0"/>
    <n v="0"/>
    <n v="1"/>
    <n v="0"/>
    <n v="0"/>
    <n v="0"/>
    <n v="0"/>
    <n v="0"/>
    <n v="0"/>
    <n v="0"/>
    <n v="0"/>
    <x v="0"/>
    <x v="0"/>
    <x v="1"/>
    <n v="15"/>
    <m/>
    <n v="0.25"/>
    <n v="0.25"/>
    <n v="0.25"/>
    <n v="0.25"/>
    <m/>
    <m/>
    <m/>
    <m/>
    <m/>
    <m/>
    <m/>
    <m/>
    <m/>
    <m/>
    <m/>
    <m/>
    <m/>
    <m/>
    <m/>
    <n v="1"/>
    <n v="1"/>
  </r>
  <r>
    <n v="7149"/>
    <x v="1"/>
    <s v="2018/3089"/>
    <s v="Garages east of, 147 Whitlock Drive"/>
    <s v=""/>
    <n v="524351"/>
    <n v="173350"/>
    <x v="19"/>
    <m/>
    <m/>
    <n v="0"/>
    <n v="3"/>
    <n v="3"/>
    <n v="3"/>
    <n v="3"/>
    <x v="1"/>
    <s v="Erection of 3 x  2-bedroom houses to a shell and core stage as part of a pilot known as the Resident Custom Housebuilding Scheme"/>
    <s v="PF"/>
    <d v="2018-07-03T00:00:00"/>
    <d v="2018-09-18T00:00:00"/>
    <x v="0"/>
    <s v="Nil"/>
    <m/>
    <s v="BF"/>
    <s v="NB"/>
    <x v="2"/>
    <x v="1"/>
    <n v="2.5000000000000001E-2"/>
    <m/>
    <x v="0"/>
    <m/>
    <x v="2"/>
    <s v="M"/>
    <s v=""/>
    <m/>
    <n v="0"/>
    <m/>
    <n v="0"/>
    <m/>
    <n v="0"/>
    <n v="0"/>
    <n v="3"/>
    <n v="0"/>
    <n v="0"/>
    <n v="0"/>
    <n v="0"/>
    <n v="0"/>
    <n v="0"/>
    <n v="0"/>
    <n v="0"/>
    <n v="0"/>
    <n v="0"/>
    <n v="0"/>
    <n v="0"/>
    <n v="0"/>
    <n v="3"/>
    <n v="0"/>
    <n v="0"/>
    <n v="0"/>
    <n v="0"/>
    <n v="0"/>
    <n v="0"/>
    <n v="0"/>
    <n v="0"/>
    <n v="0"/>
    <n v="0"/>
    <n v="0"/>
    <x v="0"/>
    <x v="0"/>
    <x v="1"/>
    <n v="7"/>
    <m/>
    <m/>
    <n v="0.75"/>
    <n v="0.75"/>
    <n v="0.75"/>
    <n v="0.75"/>
    <m/>
    <m/>
    <m/>
    <m/>
    <m/>
    <m/>
    <m/>
    <m/>
    <m/>
    <m/>
    <m/>
    <m/>
    <m/>
    <m/>
    <n v="3"/>
    <n v="3"/>
  </r>
  <r>
    <n v="6238"/>
    <x v="1"/>
    <s v="2019/1231"/>
    <s v="235a - 237a, 235-237 Wimbledon Park road"/>
    <s v=""/>
    <n v="524777"/>
    <n v="173324"/>
    <x v="20"/>
    <m/>
    <m/>
    <n v="0"/>
    <n v="3"/>
    <n v="3"/>
    <n v="3"/>
    <n v="3"/>
    <x v="1"/>
    <s v="Erection of a three storey rear extension in connection with formation of 1 x 1 bedroomed flat and 2 x 2 bedroomed flats with external terraces, and associated cycle and refuse storage."/>
    <s v="PF"/>
    <d v="2019-03-18T00:00:00"/>
    <d v="2020-06-24T00:00:00"/>
    <x v="0"/>
    <s v="Nil"/>
    <m/>
    <s v="BF"/>
    <s v="NB"/>
    <x v="2"/>
    <x v="1"/>
    <n v="8.0000000000000002E-3"/>
    <m/>
    <x v="0"/>
    <m/>
    <x v="2"/>
    <s v="M"/>
    <s v=""/>
    <m/>
    <n v="0"/>
    <m/>
    <n v="0"/>
    <m/>
    <n v="0"/>
    <n v="1"/>
    <n v="2"/>
    <n v="0"/>
    <n v="0"/>
    <n v="0"/>
    <n v="0"/>
    <n v="0"/>
    <n v="1"/>
    <n v="2"/>
    <n v="0"/>
    <n v="0"/>
    <n v="0"/>
    <n v="0"/>
    <n v="0"/>
    <n v="0"/>
    <n v="0"/>
    <n v="0"/>
    <n v="0"/>
    <n v="0"/>
    <n v="0"/>
    <n v="0"/>
    <n v="0"/>
    <n v="0"/>
    <n v="0"/>
    <n v="0"/>
    <n v="0"/>
    <n v="0"/>
    <x v="0"/>
    <x v="0"/>
    <x v="1"/>
    <n v="7"/>
    <m/>
    <m/>
    <n v="0.75"/>
    <n v="0.75"/>
    <n v="0.75"/>
    <n v="0.75"/>
    <m/>
    <m/>
    <m/>
    <m/>
    <m/>
    <m/>
    <m/>
    <m/>
    <m/>
    <m/>
    <m/>
    <m/>
    <m/>
    <m/>
    <n v="3"/>
    <n v="3"/>
  </r>
  <r>
    <n v="7214"/>
    <x v="1"/>
    <s v="2019/3061"/>
    <s v="39 Balham Hill"/>
    <s v=""/>
    <n v="528816"/>
    <n v="174167"/>
    <x v="2"/>
    <m/>
    <m/>
    <n v="0"/>
    <n v="1"/>
    <n v="1"/>
    <n v="1"/>
    <n v="1"/>
    <x v="1"/>
    <s v="Determination as to whether prior approval is required for part change of use from retail (Class A1) to 1 x studio flat (Class C3)."/>
    <s v="PANR"/>
    <d v="2019-07-18T00:00:00"/>
    <d v="2019-09-10T00:00:00"/>
    <x v="0"/>
    <s v="Nil"/>
    <m/>
    <s v="BF"/>
    <s v="COU"/>
    <x v="2"/>
    <x v="4"/>
    <n v="1.1999999999999999E-3"/>
    <m/>
    <x v="0"/>
    <m/>
    <x v="2"/>
    <s v="M"/>
    <s v=""/>
    <m/>
    <n v="0"/>
    <m/>
    <n v="0"/>
    <m/>
    <n v="1"/>
    <n v="0"/>
    <n v="0"/>
    <n v="0"/>
    <n v="0"/>
    <n v="0"/>
    <n v="0"/>
    <n v="1"/>
    <n v="0"/>
    <n v="0"/>
    <n v="0"/>
    <n v="0"/>
    <n v="0"/>
    <n v="0"/>
    <n v="0"/>
    <n v="0"/>
    <n v="0"/>
    <n v="0"/>
    <n v="0"/>
    <n v="0"/>
    <n v="0"/>
    <n v="0"/>
    <n v="0"/>
    <n v="0"/>
    <n v="0"/>
    <n v="0"/>
    <n v="0"/>
    <n v="0"/>
    <x v="0"/>
    <x v="0"/>
    <x v="1"/>
    <n v="15"/>
    <m/>
    <n v="0.25"/>
    <n v="0.25"/>
    <n v="0.25"/>
    <n v="0.25"/>
    <m/>
    <m/>
    <m/>
    <m/>
    <m/>
    <m/>
    <m/>
    <m/>
    <m/>
    <m/>
    <m/>
    <m/>
    <m/>
    <m/>
    <m/>
    <n v="1"/>
    <n v="1"/>
  </r>
  <r>
    <n v="4643"/>
    <x v="1"/>
    <s v="2018/0366"/>
    <s v="4 Hildreth Street"/>
    <s v=""/>
    <n v="528560"/>
    <n v="173342"/>
    <x v="2"/>
    <m/>
    <m/>
    <n v="1"/>
    <n v="2"/>
    <n v="1"/>
    <n v="2"/>
    <n v="1"/>
    <x v="1"/>
    <s v="Conversion of upper floor flat into 1 x studio flat on first floor and 1 x 1-bedroom maisonette on 2nd and 3rd floors"/>
    <s v="PF"/>
    <d v="2018-01-24T00:00:00"/>
    <d v="2018-10-08T00:00:00"/>
    <x v="0"/>
    <s v="Nil"/>
    <m/>
    <s v="BF"/>
    <s v="CON"/>
    <x v="2"/>
    <x v="7"/>
    <n v="3.0000000000000001E-3"/>
    <m/>
    <x v="0"/>
    <m/>
    <x v="2"/>
    <s v="M"/>
    <s v=""/>
    <m/>
    <n v="0"/>
    <m/>
    <n v="0"/>
    <m/>
    <n v="1"/>
    <n v="1"/>
    <n v="-1"/>
    <n v="0"/>
    <n v="0"/>
    <n v="0"/>
    <n v="0"/>
    <n v="1"/>
    <n v="1"/>
    <n v="-1"/>
    <n v="0"/>
    <n v="0"/>
    <n v="0"/>
    <n v="0"/>
    <n v="0"/>
    <n v="0"/>
    <n v="0"/>
    <n v="0"/>
    <n v="0"/>
    <n v="0"/>
    <n v="0"/>
    <n v="0"/>
    <n v="0"/>
    <n v="0"/>
    <n v="0"/>
    <n v="0"/>
    <n v="0"/>
    <n v="0"/>
    <x v="1"/>
    <x v="0"/>
    <x v="2"/>
    <n v="15"/>
    <m/>
    <n v="0.25"/>
    <n v="0.25"/>
    <n v="0.25"/>
    <n v="0.25"/>
    <m/>
    <m/>
    <m/>
    <m/>
    <m/>
    <m/>
    <m/>
    <m/>
    <m/>
    <m/>
    <m/>
    <m/>
    <m/>
    <m/>
    <m/>
    <n v="1"/>
    <n v="1"/>
  </r>
  <r>
    <n v="7157"/>
    <x v="1"/>
    <s v="2022/2884"/>
    <s v="40 Lavender Hill"/>
    <s v=""/>
    <n v="528409"/>
    <n v="175769"/>
    <x v="1"/>
    <m/>
    <m/>
    <n v="0"/>
    <n v="1"/>
    <n v="1"/>
    <n v="1"/>
    <n v="1"/>
    <x v="1"/>
    <s v="Alterations in connection with change of use of hot food takeaway (Class A5) to retail (Class E) and residential (Class C3) to provide 1 x 1-bedroom flat. Extension to basement, installation of glazed pavement lenses, forecourt wall and replacement shopfront."/>
    <s v="PF"/>
    <d v="2022-11-01T00:00:00"/>
    <d v="2022-12-21T00:00:00"/>
    <x v="1"/>
    <s v="Nil"/>
    <m/>
    <s v="BF"/>
    <s v="MIX"/>
    <x v="2"/>
    <x v="3"/>
    <n v="0.01"/>
    <m/>
    <x v="0"/>
    <m/>
    <x v="2"/>
    <s v="M"/>
    <s v=""/>
    <m/>
    <n v="0"/>
    <m/>
    <n v="0"/>
    <m/>
    <n v="0"/>
    <n v="1"/>
    <n v="0"/>
    <n v="0"/>
    <n v="0"/>
    <n v="0"/>
    <n v="0"/>
    <n v="0"/>
    <n v="1"/>
    <n v="0"/>
    <n v="0"/>
    <n v="0"/>
    <n v="0"/>
    <n v="0"/>
    <n v="0"/>
    <n v="0"/>
    <n v="0"/>
    <n v="0"/>
    <n v="0"/>
    <n v="0"/>
    <n v="0"/>
    <n v="0"/>
    <n v="0"/>
    <n v="0"/>
    <n v="0"/>
    <n v="0"/>
    <n v="0"/>
    <n v="0"/>
    <x v="0"/>
    <x v="0"/>
    <x v="1"/>
    <n v="15"/>
    <m/>
    <n v="0.25"/>
    <n v="0.25"/>
    <n v="0.25"/>
    <n v="0.25"/>
    <m/>
    <m/>
    <m/>
    <m/>
    <m/>
    <m/>
    <m/>
    <m/>
    <m/>
    <m/>
    <m/>
    <m/>
    <m/>
    <m/>
    <m/>
    <n v="1"/>
    <n v="1"/>
  </r>
  <r>
    <n v="7501"/>
    <x v="1"/>
    <s v="2020/4875"/>
    <s v="40a Oakmead Road"/>
    <s v=""/>
    <n v="528574"/>
    <n v="173102"/>
    <x v="8"/>
    <m/>
    <m/>
    <n v="0"/>
    <n v="1"/>
    <n v="1"/>
    <n v="1"/>
    <n v="1"/>
    <x v="1"/>
    <s v="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
    <s v="PF"/>
    <d v="2020-12-15T00:00:00"/>
    <d v="2021-02-09T00:00:00"/>
    <x v="0"/>
    <s v="Nil"/>
    <m/>
    <s v="BF"/>
    <s v="EXT"/>
    <x v="2"/>
    <x v="2"/>
    <n v="2E-3"/>
    <m/>
    <x v="0"/>
    <m/>
    <x v="2"/>
    <s v="M"/>
    <s v=""/>
    <m/>
    <n v="0"/>
    <m/>
    <n v="0"/>
    <m/>
    <n v="0"/>
    <n v="1"/>
    <n v="0"/>
    <n v="0"/>
    <n v="0"/>
    <n v="0"/>
    <n v="0"/>
    <n v="0"/>
    <n v="1"/>
    <n v="0"/>
    <n v="0"/>
    <n v="0"/>
    <n v="0"/>
    <n v="0"/>
    <n v="0"/>
    <n v="0"/>
    <n v="0"/>
    <n v="0"/>
    <n v="0"/>
    <n v="0"/>
    <n v="0"/>
    <n v="0"/>
    <n v="0"/>
    <n v="0"/>
    <n v="0"/>
    <n v="0"/>
    <n v="0"/>
    <n v="0"/>
    <x v="0"/>
    <x v="0"/>
    <x v="2"/>
    <n v="15"/>
    <m/>
    <n v="0.25"/>
    <n v="0.25"/>
    <n v="0.25"/>
    <n v="0.25"/>
    <m/>
    <m/>
    <m/>
    <m/>
    <m/>
    <m/>
    <m/>
    <m/>
    <m/>
    <m/>
    <m/>
    <m/>
    <m/>
    <m/>
    <m/>
    <n v="1"/>
    <n v="1"/>
  </r>
  <r>
    <n v="7766"/>
    <x v="1"/>
    <s v="2022/0494"/>
    <s v="421 Upper Richmond Road"/>
    <s v=""/>
    <n v="522160"/>
    <n v="175461"/>
    <x v="16"/>
    <m/>
    <m/>
    <n v="0"/>
    <n v="1"/>
    <n v="1"/>
    <n v="1"/>
    <n v="1"/>
    <x v="1"/>
    <s v="Use of property as a single dwelling (Class C3)."/>
    <s v="PFLA"/>
    <d v="2022-02-23T00:00:00"/>
    <d v="2022-11-29T00:00:00"/>
    <x v="1"/>
    <s v="Nil"/>
    <m/>
    <s v="BF"/>
    <s v="CON"/>
    <x v="2"/>
    <x v="8"/>
    <n v="8.0000000000000002E-3"/>
    <m/>
    <x v="0"/>
    <m/>
    <x v="2"/>
    <s v="M"/>
    <s v=""/>
    <m/>
    <n v="0"/>
    <m/>
    <n v="0"/>
    <m/>
    <n v="0"/>
    <n v="0"/>
    <n v="0"/>
    <n v="0"/>
    <n v="0"/>
    <n v="1"/>
    <n v="0"/>
    <n v="0"/>
    <n v="0"/>
    <n v="0"/>
    <n v="0"/>
    <n v="0"/>
    <n v="0"/>
    <n v="0"/>
    <n v="0"/>
    <n v="0"/>
    <n v="0"/>
    <n v="0"/>
    <n v="0"/>
    <n v="1"/>
    <n v="0"/>
    <n v="0"/>
    <n v="0"/>
    <n v="0"/>
    <n v="0"/>
    <n v="0"/>
    <n v="0"/>
    <n v="0"/>
    <x v="0"/>
    <x v="0"/>
    <x v="1"/>
    <n v="15"/>
    <m/>
    <n v="0.25"/>
    <n v="0.25"/>
    <n v="0.25"/>
    <n v="0.25"/>
    <m/>
    <m/>
    <m/>
    <m/>
    <m/>
    <m/>
    <m/>
    <m/>
    <m/>
    <m/>
    <m/>
    <m/>
    <m/>
    <m/>
    <m/>
    <n v="1"/>
    <n v="1"/>
  </r>
  <r>
    <n v="7765"/>
    <x v="1"/>
    <s v="2022/0480"/>
    <s v="423 Upper Richmond Road"/>
    <s v=""/>
    <n v="522152"/>
    <n v="175463"/>
    <x v="16"/>
    <m/>
    <m/>
    <n v="0"/>
    <n v="1"/>
    <n v="1"/>
    <n v="1"/>
    <n v="1"/>
    <x v="1"/>
    <s v="Use as a single dwelling house (Class C3) including alteratuions to fenestration."/>
    <s v="PFLA"/>
    <d v="2022-02-23T00:00:00"/>
    <d v="2022-11-29T00:00:00"/>
    <x v="1"/>
    <s v="Nil"/>
    <m/>
    <s v="BF"/>
    <s v="CON"/>
    <x v="2"/>
    <x v="8"/>
    <n v="7.6400000000000001E-3"/>
    <m/>
    <x v="0"/>
    <m/>
    <x v="2"/>
    <s v="M"/>
    <s v=""/>
    <m/>
    <n v="0"/>
    <m/>
    <n v="0"/>
    <m/>
    <n v="0"/>
    <n v="0"/>
    <n v="0"/>
    <n v="0"/>
    <n v="0"/>
    <n v="1"/>
    <n v="0"/>
    <n v="0"/>
    <n v="0"/>
    <n v="0"/>
    <n v="0"/>
    <n v="0"/>
    <n v="0"/>
    <n v="0"/>
    <n v="0"/>
    <n v="0"/>
    <n v="0"/>
    <n v="0"/>
    <n v="0"/>
    <n v="1"/>
    <n v="0"/>
    <n v="0"/>
    <n v="0"/>
    <n v="0"/>
    <n v="0"/>
    <n v="0"/>
    <n v="0"/>
    <n v="0"/>
    <x v="0"/>
    <x v="0"/>
    <x v="1"/>
    <n v="15"/>
    <m/>
    <n v="0.25"/>
    <n v="0.25"/>
    <n v="0.25"/>
    <n v="0.25"/>
    <m/>
    <m/>
    <m/>
    <m/>
    <m/>
    <m/>
    <m/>
    <m/>
    <m/>
    <m/>
    <m/>
    <m/>
    <m/>
    <m/>
    <m/>
    <n v="1"/>
    <n v="1"/>
  </r>
  <r>
    <n v="2807"/>
    <x v="1"/>
    <s v="2021/1873"/>
    <s v="45 Balham High Road"/>
    <s v=""/>
    <n v="528724"/>
    <n v="173597"/>
    <x v="2"/>
    <m/>
    <m/>
    <n v="1"/>
    <n v="2"/>
    <n v="1"/>
    <n v="2"/>
    <n v="1"/>
    <x v="1"/>
    <s v="Alterations including erection of part single/part two storey rear extension at first and second floors in connection with creation of 1 x 1-bedroom and 1 x studio flats. Replacement of 2 x first floor side windows."/>
    <s v="PF"/>
    <d v="2021-05-11T00:00:00"/>
    <d v="2021-10-18T00:00:00"/>
    <x v="0"/>
    <s v="Nil"/>
    <m/>
    <s v="BF"/>
    <s v="MIX"/>
    <x v="2"/>
    <x v="2"/>
    <n v="2E-3"/>
    <m/>
    <x v="0"/>
    <m/>
    <x v="2"/>
    <s v="M"/>
    <s v=""/>
    <m/>
    <n v="0"/>
    <m/>
    <n v="0"/>
    <m/>
    <n v="1"/>
    <n v="1"/>
    <n v="0"/>
    <n v="-1"/>
    <n v="0"/>
    <n v="0"/>
    <n v="0"/>
    <n v="1"/>
    <n v="1"/>
    <n v="0"/>
    <n v="-1"/>
    <n v="0"/>
    <n v="0"/>
    <n v="0"/>
    <n v="0"/>
    <n v="0"/>
    <n v="0"/>
    <n v="0"/>
    <n v="0"/>
    <n v="0"/>
    <n v="0"/>
    <n v="0"/>
    <n v="0"/>
    <n v="0"/>
    <n v="0"/>
    <n v="0"/>
    <n v="0"/>
    <n v="0"/>
    <x v="1"/>
    <x v="0"/>
    <x v="2"/>
    <n v="15"/>
    <m/>
    <n v="0.25"/>
    <n v="0.25"/>
    <n v="0.25"/>
    <n v="0.25"/>
    <m/>
    <m/>
    <m/>
    <m/>
    <m/>
    <m/>
    <m/>
    <m/>
    <m/>
    <m/>
    <m/>
    <m/>
    <m/>
    <m/>
    <m/>
    <n v="1"/>
    <n v="1"/>
  </r>
  <r>
    <n v="7851"/>
    <x v="1"/>
    <s v="2022/2098"/>
    <s v="50-53 Denton Street"/>
    <s v=""/>
    <n v="525884"/>
    <n v="174406"/>
    <x v="6"/>
    <m/>
    <m/>
    <n v="0"/>
    <n v="1"/>
    <n v="1"/>
    <n v="1"/>
    <n v="1"/>
    <x v="1"/>
    <s v="Erection of mansard roof extension to main rear roof and extension above part of two-storey back addition and formation of roof terrace with 1.8m high screen surround in connection with creation of 1 x 2-bedroom flat. Alterations including raising the ridge by 400mm."/>
    <s v="PF"/>
    <d v="2022-06-22T00:00:00"/>
    <d v="2022-08-09T00:00:00"/>
    <x v="1"/>
    <s v="Nil"/>
    <m/>
    <s v="BF"/>
    <s v="EXT"/>
    <x v="2"/>
    <x v="2"/>
    <n v="6.2100000000000002E-3"/>
    <m/>
    <x v="0"/>
    <m/>
    <x v="2"/>
    <s v="M"/>
    <s v=""/>
    <m/>
    <n v="0"/>
    <m/>
    <n v="0"/>
    <m/>
    <n v="0"/>
    <n v="0"/>
    <n v="1"/>
    <n v="0"/>
    <n v="0"/>
    <n v="0"/>
    <n v="0"/>
    <n v="0"/>
    <n v="0"/>
    <n v="1"/>
    <n v="0"/>
    <n v="0"/>
    <n v="0"/>
    <n v="0"/>
    <n v="0"/>
    <n v="0"/>
    <n v="0"/>
    <n v="0"/>
    <n v="0"/>
    <n v="0"/>
    <n v="0"/>
    <n v="0"/>
    <n v="0"/>
    <n v="0"/>
    <n v="0"/>
    <n v="0"/>
    <n v="0"/>
    <n v="0"/>
    <x v="0"/>
    <x v="0"/>
    <x v="0"/>
    <n v="15"/>
    <m/>
    <n v="0.25"/>
    <n v="0.25"/>
    <n v="0.25"/>
    <n v="0.25"/>
    <m/>
    <m/>
    <m/>
    <m/>
    <m/>
    <m/>
    <m/>
    <m/>
    <m/>
    <m/>
    <m/>
    <m/>
    <m/>
    <m/>
    <m/>
    <n v="1"/>
    <n v="1"/>
  </r>
  <r>
    <n v="7483"/>
    <x v="1"/>
    <s v="2020/4072"/>
    <s v="509 Merton Road"/>
    <s v=""/>
    <n v="525448"/>
    <n v="172822"/>
    <x v="20"/>
    <m/>
    <m/>
    <n v="0"/>
    <n v="1"/>
    <n v="1"/>
    <n v="1"/>
    <n v="1"/>
    <x v="1"/>
    <s v="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
    <s v="PF"/>
    <d v="2020-10-27T00:00:00"/>
    <d v="2020-12-18T00:00:00"/>
    <x v="0"/>
    <s v="Nil"/>
    <m/>
    <s v="BF"/>
    <s v="EXT"/>
    <x v="2"/>
    <x v="2"/>
    <n v="3.0000000000000001E-3"/>
    <m/>
    <x v="0"/>
    <m/>
    <x v="2"/>
    <s v="M"/>
    <s v=""/>
    <m/>
    <n v="0"/>
    <m/>
    <n v="0"/>
    <m/>
    <n v="0"/>
    <n v="1"/>
    <n v="0"/>
    <n v="0"/>
    <n v="0"/>
    <n v="0"/>
    <n v="0"/>
    <n v="0"/>
    <n v="1"/>
    <n v="0"/>
    <n v="0"/>
    <n v="0"/>
    <n v="0"/>
    <n v="0"/>
    <n v="0"/>
    <n v="0"/>
    <n v="0"/>
    <n v="0"/>
    <n v="0"/>
    <n v="0"/>
    <n v="0"/>
    <n v="0"/>
    <n v="0"/>
    <n v="0"/>
    <n v="0"/>
    <n v="0"/>
    <n v="0"/>
    <n v="0"/>
    <x v="0"/>
    <x v="0"/>
    <x v="6"/>
    <n v="15"/>
    <m/>
    <n v="0.25"/>
    <n v="0.25"/>
    <n v="0.25"/>
    <n v="0.25"/>
    <m/>
    <m/>
    <m/>
    <m/>
    <m/>
    <m/>
    <m/>
    <m/>
    <m/>
    <m/>
    <m/>
    <m/>
    <m/>
    <m/>
    <m/>
    <n v="1"/>
    <n v="1"/>
  </r>
  <r>
    <n v="7338"/>
    <x v="1"/>
    <s v="2020/1358"/>
    <s v="51-53 Northcote Road"/>
    <s v=""/>
    <n v="527505"/>
    <n v="174973"/>
    <x v="12"/>
    <d v="2021-08-21T00:00:00"/>
    <m/>
    <n v="0"/>
    <n v="1"/>
    <n v="1"/>
    <n v="3"/>
    <n v="1"/>
    <x v="1"/>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x v="0"/>
    <s v="Nil"/>
    <m/>
    <s v="BF"/>
    <s v="MIX"/>
    <x v="2"/>
    <x v="2"/>
    <n v="5.0000000000000001E-3"/>
    <m/>
    <x v="0"/>
    <m/>
    <x v="2"/>
    <s v="M"/>
    <s v=""/>
    <m/>
    <n v="0"/>
    <m/>
    <n v="0"/>
    <m/>
    <n v="0"/>
    <n v="1"/>
    <n v="0"/>
    <n v="0"/>
    <n v="0"/>
    <n v="0"/>
    <n v="0"/>
    <n v="0"/>
    <n v="1"/>
    <n v="0"/>
    <n v="0"/>
    <n v="0"/>
    <n v="0"/>
    <n v="0"/>
    <n v="0"/>
    <n v="0"/>
    <n v="0"/>
    <n v="0"/>
    <n v="0"/>
    <n v="0"/>
    <n v="0"/>
    <n v="0"/>
    <n v="0"/>
    <n v="0"/>
    <n v="0"/>
    <n v="0"/>
    <n v="0"/>
    <n v="0"/>
    <x v="5"/>
    <x v="0"/>
    <x v="5"/>
    <n v="15"/>
    <m/>
    <n v="0.25"/>
    <n v="0.25"/>
    <n v="0.25"/>
    <n v="0.25"/>
    <m/>
    <m/>
    <m/>
    <m/>
    <m/>
    <m/>
    <m/>
    <m/>
    <m/>
    <m/>
    <m/>
    <m/>
    <m/>
    <m/>
    <m/>
    <n v="1"/>
    <n v="1"/>
  </r>
  <r>
    <n v="6846"/>
    <x v="1"/>
    <s v="2018/1104"/>
    <s v="52 Northcote Road"/>
    <s v=""/>
    <n v="527474"/>
    <n v="174921"/>
    <x v="14"/>
    <m/>
    <m/>
    <n v="1"/>
    <n v="2"/>
    <n v="1"/>
    <n v="2"/>
    <n v="1"/>
    <x v="1"/>
    <s v="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
    <s v="PF"/>
    <d v="2018-03-15T00:00:00"/>
    <d v="2018-04-26T00:00:00"/>
    <x v="0"/>
    <s v="Nil"/>
    <m/>
    <s v="BF"/>
    <s v="EXT"/>
    <x v="2"/>
    <x v="2"/>
    <n v="8.9999999999999993E-3"/>
    <m/>
    <x v="0"/>
    <m/>
    <x v="2"/>
    <s v="M"/>
    <s v=""/>
    <m/>
    <n v="0"/>
    <m/>
    <n v="0"/>
    <m/>
    <n v="0"/>
    <n v="0"/>
    <n v="1"/>
    <n v="0"/>
    <n v="0"/>
    <n v="0"/>
    <n v="0"/>
    <n v="0"/>
    <n v="0"/>
    <n v="1"/>
    <n v="0"/>
    <n v="0"/>
    <n v="0"/>
    <n v="0"/>
    <n v="0"/>
    <n v="0"/>
    <n v="0"/>
    <n v="0"/>
    <n v="0"/>
    <n v="0"/>
    <n v="0"/>
    <n v="0"/>
    <n v="0"/>
    <n v="0"/>
    <n v="0"/>
    <n v="0"/>
    <n v="0"/>
    <n v="0"/>
    <x v="5"/>
    <x v="0"/>
    <x v="5"/>
    <n v="15"/>
    <m/>
    <n v="0.25"/>
    <n v="0.25"/>
    <n v="0.25"/>
    <n v="0.25"/>
    <m/>
    <m/>
    <m/>
    <m/>
    <m/>
    <m/>
    <m/>
    <m/>
    <m/>
    <m/>
    <m/>
    <m/>
    <m/>
    <m/>
    <m/>
    <n v="1"/>
    <n v="1"/>
  </r>
  <r>
    <n v="672"/>
    <x v="1"/>
    <s v="2021/3778"/>
    <s v="54 West Hill"/>
    <s v=""/>
    <n v="525011"/>
    <n v="174633"/>
    <x v="7"/>
    <m/>
    <m/>
    <n v="0"/>
    <n v="1"/>
    <n v="1"/>
    <n v="1"/>
    <n v="1"/>
    <x v="1"/>
    <s v="Determination as to whether prior approval is required for change of use of rear part of the ground floor from retail (Class A1) to a studio flat (Class C3)."/>
    <s v="PAG"/>
    <d v="2021-07-28T00:00:00"/>
    <d v="2021-09-30T00:00:00"/>
    <x v="0"/>
    <s v="Nil"/>
    <m/>
    <s v="BF"/>
    <s v="COU"/>
    <x v="2"/>
    <x v="4"/>
    <n v="1E-3"/>
    <m/>
    <x v="0"/>
    <m/>
    <x v="2"/>
    <s v="M"/>
    <s v=""/>
    <m/>
    <n v="0"/>
    <m/>
    <n v="0"/>
    <m/>
    <n v="1"/>
    <n v="0"/>
    <n v="0"/>
    <n v="0"/>
    <n v="0"/>
    <n v="0"/>
    <n v="0"/>
    <n v="1"/>
    <n v="0"/>
    <n v="0"/>
    <n v="0"/>
    <n v="0"/>
    <n v="0"/>
    <n v="0"/>
    <n v="0"/>
    <n v="0"/>
    <n v="0"/>
    <n v="0"/>
    <n v="0"/>
    <n v="0"/>
    <n v="0"/>
    <n v="0"/>
    <n v="0"/>
    <n v="0"/>
    <n v="0"/>
    <n v="0"/>
    <n v="0"/>
    <n v="0"/>
    <x v="0"/>
    <x v="0"/>
    <x v="1"/>
    <n v="15"/>
    <m/>
    <n v="0.25"/>
    <n v="0.25"/>
    <n v="0.25"/>
    <n v="0.25"/>
    <m/>
    <m/>
    <m/>
    <m/>
    <m/>
    <m/>
    <m/>
    <m/>
    <m/>
    <m/>
    <m/>
    <m/>
    <m/>
    <m/>
    <m/>
    <n v="1"/>
    <n v="1"/>
  </r>
  <r>
    <n v="672"/>
    <x v="1"/>
    <s v="2021/5276"/>
    <s v="54 West Hill"/>
    <s v=""/>
    <n v="525011"/>
    <n v="174633"/>
    <x v="7"/>
    <m/>
    <m/>
    <n v="0"/>
    <n v="1"/>
    <n v="1"/>
    <n v="1"/>
    <n v="1"/>
    <x v="1"/>
    <s v="Alterations including erection of single storey rear extension in connection with conversion of ground floor rear into 1 x 1-bedroom flat."/>
    <s v="PF"/>
    <d v="2021-12-02T00:00:00"/>
    <d v="2022-02-21T00:00:00"/>
    <x v="0"/>
    <s v="Nil"/>
    <m/>
    <s v="BF"/>
    <s v="CON"/>
    <x v="2"/>
    <x v="4"/>
    <n v="5.5999999999999999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753"/>
    <x v="1"/>
    <s v="2021/4001"/>
    <s v="54A Renmuir Street"/>
    <s v=""/>
    <n v="527778"/>
    <n v="170719"/>
    <x v="3"/>
    <m/>
    <m/>
    <n v="1"/>
    <n v="2"/>
    <n v="1"/>
    <n v="2"/>
    <n v="1"/>
    <x v="1"/>
    <s v="Alterations including erection of mansard roof extension to main rear roof slope with French doors and juliette balcony and extension above part of two-storey rear addidtion. Formation of a roof terrace with obscure glazed screen. In connection with the creation of an additional 1x1 bedroom unit."/>
    <s v="PF"/>
    <d v="2021-12-31T00:00:00"/>
    <d v="2022-02-28T00:00:00"/>
    <x v="0"/>
    <s v="Nil"/>
    <m/>
    <s v="BF"/>
    <s v="EXT"/>
    <x v="2"/>
    <x v="2"/>
    <n v="4.9500000000000004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487"/>
    <x v="1"/>
    <s v="2020/4441"/>
    <s v="54c Charlmont Road"/>
    <s v=""/>
    <n v="527564"/>
    <n v="170910"/>
    <x v="3"/>
    <m/>
    <m/>
    <n v="0"/>
    <n v="1"/>
    <n v="1"/>
    <n v="2"/>
    <n v="1"/>
    <x v="1"/>
    <s v="Alterations including erection of mansard roof extension to main rear roof (with 0.7m ridge raise, French doors and safety railings), alterations to front roof pitch and raising existing gable in connection with the creation of  1 x1 bedroom flat."/>
    <s v="PF"/>
    <d v="2020-11-20T00:00:00"/>
    <d v="2021-04-14T00:00:00"/>
    <x v="0"/>
    <s v="Nil"/>
    <m/>
    <s v="BF"/>
    <s v="MIX"/>
    <x v="2"/>
    <x v="2"/>
    <n v="5.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130"/>
    <x v="1"/>
    <s v="2019/0899"/>
    <s v="55 Gayville Road"/>
    <s v=""/>
    <n v="527830"/>
    <n v="174273"/>
    <x v="14"/>
    <m/>
    <m/>
    <n v="0"/>
    <n v="1"/>
    <n v="1"/>
    <n v="2"/>
    <n v="1"/>
    <x v="1"/>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0"/>
    <s v="Nil"/>
    <m/>
    <s v="BF"/>
    <s v="MIX"/>
    <x v="2"/>
    <x v="2"/>
    <n v="7.0000000000000001E-3"/>
    <m/>
    <x v="0"/>
    <m/>
    <x v="2"/>
    <s v="M"/>
    <s v=""/>
    <m/>
    <n v="0"/>
    <m/>
    <n v="0"/>
    <m/>
    <n v="0"/>
    <n v="0"/>
    <n v="1"/>
    <n v="0"/>
    <n v="0"/>
    <n v="0"/>
    <n v="0"/>
    <n v="0"/>
    <n v="0"/>
    <n v="1"/>
    <n v="0"/>
    <n v="0"/>
    <n v="0"/>
    <n v="0"/>
    <n v="0"/>
    <n v="0"/>
    <n v="0"/>
    <n v="0"/>
    <n v="0"/>
    <n v="0"/>
    <n v="0"/>
    <n v="0"/>
    <n v="0"/>
    <n v="0"/>
    <n v="0"/>
    <n v="0"/>
    <n v="0"/>
    <n v="0"/>
    <x v="0"/>
    <x v="0"/>
    <x v="1"/>
    <n v="15"/>
    <m/>
    <n v="0.25"/>
    <n v="0.25"/>
    <n v="0.25"/>
    <n v="0.25"/>
    <m/>
    <m/>
    <m/>
    <m/>
    <m/>
    <m/>
    <m/>
    <m/>
    <m/>
    <m/>
    <m/>
    <m/>
    <m/>
    <m/>
    <m/>
    <n v="1"/>
    <n v="1"/>
  </r>
  <r>
    <n v="7585"/>
    <x v="1"/>
    <s v="2022/2622"/>
    <s v="55 Trinity Road"/>
    <s v=""/>
    <n v="528963"/>
    <n v="171321"/>
    <x v="13"/>
    <m/>
    <m/>
    <n v="0"/>
    <n v="1"/>
    <n v="1"/>
    <n v="1"/>
    <n v="1"/>
    <x v="1"/>
    <s v="Determination as to whether prior approval is required for change of use from retail (Class E) to mixed use as a  1 x studio (Class C3) and shop (Class E) with associated external and internal alterations."/>
    <s v="PAG"/>
    <d v="2022-06-24T00:00:00"/>
    <d v="2022-08-15T00:00:00"/>
    <x v="1"/>
    <s v="Nil"/>
    <m/>
    <s v="BF"/>
    <s v="COU"/>
    <x v="2"/>
    <x v="4"/>
    <n v="4.0000000000000001E-3"/>
    <m/>
    <x v="0"/>
    <m/>
    <x v="2"/>
    <s v="M"/>
    <s v=""/>
    <m/>
    <n v="0"/>
    <m/>
    <n v="0"/>
    <m/>
    <n v="1"/>
    <n v="0"/>
    <n v="0"/>
    <n v="0"/>
    <n v="0"/>
    <n v="0"/>
    <n v="0"/>
    <n v="1"/>
    <n v="0"/>
    <n v="0"/>
    <n v="0"/>
    <n v="0"/>
    <n v="0"/>
    <n v="0"/>
    <n v="0"/>
    <n v="0"/>
    <n v="0"/>
    <n v="0"/>
    <n v="0"/>
    <n v="0"/>
    <n v="0"/>
    <n v="0"/>
    <n v="0"/>
    <n v="0"/>
    <n v="0"/>
    <n v="0"/>
    <n v="0"/>
    <n v="0"/>
    <x v="0"/>
    <x v="0"/>
    <x v="1"/>
    <n v="15"/>
    <m/>
    <n v="0.25"/>
    <n v="0.25"/>
    <n v="0.25"/>
    <n v="0.25"/>
    <m/>
    <m/>
    <m/>
    <m/>
    <m/>
    <m/>
    <m/>
    <m/>
    <m/>
    <m/>
    <m/>
    <m/>
    <m/>
    <m/>
    <m/>
    <n v="1"/>
    <n v="1"/>
  </r>
  <r>
    <n v="7839"/>
    <x v="1"/>
    <s v="2022/1741"/>
    <s v="56 Lavender Hill"/>
    <s v=""/>
    <n v="528345"/>
    <n v="175748"/>
    <x v="1"/>
    <m/>
    <m/>
    <n v="0"/>
    <n v="1"/>
    <n v="1"/>
    <n v="1"/>
    <n v="1"/>
    <x v="1"/>
    <s v="Alterations including two-storey rear extension and change of use to part of the existing commercial unit (class E) to provide a two-bedroom dwelling (Class C3) with associated amenity space."/>
    <s v="PF"/>
    <d v="2022-04-27T00:00:00"/>
    <d v="2022-08-15T00:00:00"/>
    <x v="1"/>
    <s v="Nil"/>
    <m/>
    <s v="BF"/>
    <s v="MIX"/>
    <x v="2"/>
    <x v="3"/>
    <n v="4.4000000000000003E-3"/>
    <m/>
    <x v="0"/>
    <m/>
    <x v="2"/>
    <s v="MR"/>
    <s v=""/>
    <m/>
    <n v="0"/>
    <m/>
    <n v="0"/>
    <m/>
    <n v="0"/>
    <n v="0"/>
    <n v="1"/>
    <n v="0"/>
    <n v="0"/>
    <n v="0"/>
    <n v="0"/>
    <n v="0"/>
    <n v="0"/>
    <n v="1"/>
    <n v="0"/>
    <n v="0"/>
    <n v="0"/>
    <n v="0"/>
    <n v="0"/>
    <n v="0"/>
    <n v="0"/>
    <n v="0"/>
    <n v="0"/>
    <n v="0"/>
    <n v="0"/>
    <n v="0"/>
    <n v="0"/>
    <n v="0"/>
    <n v="0"/>
    <n v="0"/>
    <n v="0"/>
    <n v="0"/>
    <x v="0"/>
    <x v="0"/>
    <x v="1"/>
    <n v="15"/>
    <m/>
    <n v="0.25"/>
    <n v="0.25"/>
    <n v="0.25"/>
    <n v="0.25"/>
    <m/>
    <m/>
    <m/>
    <m/>
    <m/>
    <m/>
    <m/>
    <m/>
    <m/>
    <m/>
    <m/>
    <m/>
    <m/>
    <m/>
    <m/>
    <n v="1"/>
    <n v="1"/>
  </r>
  <r>
    <n v="7245"/>
    <x v="1"/>
    <s v="2019/4316"/>
    <s v="58a Gosberton Road"/>
    <s v=""/>
    <n v="528090"/>
    <n v="173486"/>
    <x v="2"/>
    <m/>
    <m/>
    <n v="0"/>
    <n v="1"/>
    <n v="1"/>
    <n v="1"/>
    <n v="1"/>
    <x v="1"/>
    <s v="Alterations including dormer extension to main rear roof and erection of part-single, part-two storey rear/side extension in connection with conversion to 1 x 2-bed and 1 x studio flat."/>
    <s v="PF"/>
    <d v="2019-12-10T00:00:00"/>
    <d v="2020-08-19T00:00:00"/>
    <x v="0"/>
    <s v="Nil"/>
    <m/>
    <s v="BF"/>
    <s v="EXT"/>
    <x v="2"/>
    <x v="2"/>
    <n v="4.0000000000000001E-3"/>
    <m/>
    <x v="0"/>
    <m/>
    <x v="2"/>
    <s v="M"/>
    <s v=""/>
    <m/>
    <n v="0"/>
    <m/>
    <n v="0"/>
    <m/>
    <n v="1"/>
    <n v="0"/>
    <n v="0"/>
    <n v="0"/>
    <n v="0"/>
    <n v="0"/>
    <n v="0"/>
    <n v="1"/>
    <n v="0"/>
    <n v="0"/>
    <n v="0"/>
    <n v="0"/>
    <n v="0"/>
    <n v="0"/>
    <n v="0"/>
    <n v="0"/>
    <n v="0"/>
    <n v="0"/>
    <n v="0"/>
    <n v="0"/>
    <n v="0"/>
    <n v="0"/>
    <n v="0"/>
    <n v="0"/>
    <n v="0"/>
    <n v="0"/>
    <n v="0"/>
    <n v="0"/>
    <x v="0"/>
    <x v="0"/>
    <x v="1"/>
    <n v="15"/>
    <m/>
    <n v="0.25"/>
    <n v="0.25"/>
    <n v="0.25"/>
    <n v="0.25"/>
    <m/>
    <m/>
    <m/>
    <m/>
    <m/>
    <m/>
    <m/>
    <m/>
    <m/>
    <m/>
    <m/>
    <m/>
    <m/>
    <m/>
    <m/>
    <n v="1"/>
    <n v="1"/>
  </r>
  <r>
    <n v="7077"/>
    <x v="1"/>
    <s v="2018/5898"/>
    <s v="6 Ravenslea Road"/>
    <s v=""/>
    <n v="527815"/>
    <n v="173666"/>
    <x v="2"/>
    <m/>
    <m/>
    <n v="1"/>
    <n v="2"/>
    <n v="1"/>
    <n v="2"/>
    <n v="1"/>
    <x v="1"/>
    <s v="Alterations in connection with conversion of existing flat into 1x 3-bedroom flat and 1x 2-bedroom flat."/>
    <s v="PF"/>
    <d v="2018-12-12T00:00:00"/>
    <d v="2019-02-06T00:00:00"/>
    <x v="0"/>
    <s v="Nil"/>
    <m/>
    <s v="BF"/>
    <s v="CON"/>
    <x v="2"/>
    <x v="7"/>
    <n v="0.03"/>
    <m/>
    <x v="0"/>
    <m/>
    <x v="2"/>
    <s v="M"/>
    <s v=""/>
    <m/>
    <n v="0"/>
    <m/>
    <n v="0"/>
    <m/>
    <n v="0"/>
    <n v="0"/>
    <n v="1"/>
    <n v="1"/>
    <n v="-1"/>
    <n v="0"/>
    <n v="0"/>
    <n v="0"/>
    <n v="0"/>
    <n v="1"/>
    <n v="1"/>
    <n v="-1"/>
    <n v="0"/>
    <n v="0"/>
    <n v="0"/>
    <n v="0"/>
    <n v="0"/>
    <n v="0"/>
    <n v="0"/>
    <n v="0"/>
    <n v="0"/>
    <n v="0"/>
    <n v="0"/>
    <n v="0"/>
    <n v="0"/>
    <n v="0"/>
    <n v="0"/>
    <n v="0"/>
    <x v="0"/>
    <x v="0"/>
    <x v="1"/>
    <n v="15"/>
    <m/>
    <n v="0.25"/>
    <n v="0.25"/>
    <n v="0.25"/>
    <n v="0.25"/>
    <m/>
    <m/>
    <m/>
    <m/>
    <m/>
    <m/>
    <m/>
    <m/>
    <m/>
    <m/>
    <m/>
    <m/>
    <m/>
    <m/>
    <m/>
    <n v="1"/>
    <n v="1"/>
  </r>
  <r>
    <n v="5147"/>
    <x v="1"/>
    <s v="2019/1181"/>
    <s v="60 Fairfield Street"/>
    <s v=""/>
    <n v="525825"/>
    <n v="174893"/>
    <x v="6"/>
    <m/>
    <m/>
    <n v="0"/>
    <n v="1"/>
    <n v="1"/>
    <n v="1"/>
    <n v="1"/>
    <x v="1"/>
    <s v="Alterations to ground floor front, rear and side elevation in connection with change of use from cafe (Class A3) to two bedroom flat (Class C3) ."/>
    <s v="PF"/>
    <d v="2019-03-15T00:00:00"/>
    <d v="2019-07-16T00:00:00"/>
    <x v="0"/>
    <s v="Nil"/>
    <m/>
    <s v="BF"/>
    <s v="COU"/>
    <x v="2"/>
    <x v="3"/>
    <n v="6.0000000000000001E-3"/>
    <m/>
    <x v="0"/>
    <m/>
    <x v="2"/>
    <s v="M"/>
    <s v=""/>
    <m/>
    <n v="0"/>
    <m/>
    <n v="0"/>
    <m/>
    <n v="0"/>
    <n v="1"/>
    <n v="0"/>
    <n v="0"/>
    <n v="0"/>
    <n v="0"/>
    <n v="0"/>
    <n v="0"/>
    <n v="1"/>
    <n v="0"/>
    <n v="0"/>
    <n v="0"/>
    <n v="0"/>
    <n v="0"/>
    <n v="0"/>
    <n v="0"/>
    <n v="0"/>
    <n v="0"/>
    <n v="0"/>
    <n v="0"/>
    <n v="0"/>
    <n v="0"/>
    <n v="0"/>
    <n v="0"/>
    <n v="0"/>
    <n v="0"/>
    <n v="0"/>
    <n v="0"/>
    <x v="0"/>
    <x v="0"/>
    <x v="0"/>
    <n v="15"/>
    <m/>
    <n v="0.25"/>
    <n v="0.25"/>
    <n v="0.25"/>
    <n v="0.25"/>
    <m/>
    <m/>
    <m/>
    <m/>
    <m/>
    <m/>
    <m/>
    <m/>
    <m/>
    <m/>
    <m/>
    <m/>
    <m/>
    <m/>
    <m/>
    <n v="1"/>
    <n v="1"/>
  </r>
  <r>
    <n v="7340"/>
    <x v="1"/>
    <s v="2020/0412"/>
    <s v="62 Lavender Hill"/>
    <s v=""/>
    <n v="528330"/>
    <n v="175742"/>
    <x v="1"/>
    <m/>
    <m/>
    <n v="0"/>
    <n v="1"/>
    <n v="1"/>
    <n v="1"/>
    <n v="1"/>
    <x v="1"/>
    <s v="Alterations including part change of use of exisitng restaurant (Class A3) at ground and lower ground levels to create a one-bedroom flat (Class C3). Erection of dwarf wall and glass pavement lenses to front forecourt. Alteration to shop front entrance"/>
    <s v="PF"/>
    <d v="2020-02-13T00:00:00"/>
    <d v="2020-04-23T00:00:00"/>
    <x v="0"/>
    <s v="Nil"/>
    <m/>
    <s v="BF"/>
    <s v="MIX"/>
    <x v="2"/>
    <x v="3"/>
    <n v="7.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1183"/>
    <x v="1"/>
    <s v="2021/3311"/>
    <s v="66 West Hill"/>
    <s v=""/>
    <n v="524979"/>
    <n v="174628"/>
    <x v="7"/>
    <m/>
    <m/>
    <n v="0"/>
    <n v="1"/>
    <n v="1"/>
    <n v="1"/>
    <n v="1"/>
    <x v="1"/>
    <s v="Determination as to whether prior approval is required for change of_x000a_use of front part of shop from retail (Class A1) to residential (Class _x000a_C3)"/>
    <s v="PAG"/>
    <d v="2021-07-13T00:00:00"/>
    <d v="2021-08-31T00:00:00"/>
    <x v="0"/>
    <s v="Nil"/>
    <m/>
    <s v="BF"/>
    <s v="MIX"/>
    <x v="2"/>
    <x v="4"/>
    <n v="4.1999999999999997E-3"/>
    <m/>
    <x v="0"/>
    <m/>
    <x v="2"/>
    <s v="MR"/>
    <s v=""/>
    <m/>
    <n v="0"/>
    <m/>
    <n v="0"/>
    <m/>
    <n v="1"/>
    <n v="0"/>
    <n v="0"/>
    <n v="0"/>
    <n v="0"/>
    <n v="0"/>
    <n v="0"/>
    <n v="1"/>
    <n v="0"/>
    <n v="0"/>
    <n v="0"/>
    <n v="0"/>
    <n v="0"/>
    <n v="0"/>
    <n v="0"/>
    <n v="0"/>
    <n v="0"/>
    <n v="0"/>
    <n v="0"/>
    <n v="0"/>
    <n v="0"/>
    <n v="0"/>
    <n v="0"/>
    <n v="0"/>
    <n v="0"/>
    <n v="0"/>
    <n v="0"/>
    <n v="0"/>
    <x v="0"/>
    <x v="0"/>
    <x v="1"/>
    <n v="15"/>
    <m/>
    <n v="0.25"/>
    <n v="0.25"/>
    <n v="0.25"/>
    <n v="0.25"/>
    <m/>
    <m/>
    <m/>
    <m/>
    <m/>
    <m/>
    <m/>
    <m/>
    <m/>
    <m/>
    <m/>
    <m/>
    <m/>
    <m/>
    <m/>
    <n v="1"/>
    <n v="1"/>
  </r>
  <r>
    <n v="2689"/>
    <x v="1"/>
    <s v="2023/0148"/>
    <s v="663-665 Garratt Lane"/>
    <s v=""/>
    <n v="526166"/>
    <n v="172343"/>
    <x v="10"/>
    <m/>
    <m/>
    <n v="0"/>
    <n v="1"/>
    <n v="1"/>
    <n v="1"/>
    <n v="1"/>
    <x v="1"/>
    <s v="Alterations including erection of mansard roof extension to main rear roof of both properties (with French doors and safety railings) and extension above two-storey back addition to 663; installation of external access stair from existing first floor level rear walkway up to third floor level entrance of proposed 1 x 2 bedroom flat with associated refuse and cycle storage."/>
    <s v="PF"/>
    <d v="2023-01-16T00:00:00"/>
    <d v="2023-03-13T00:00:00"/>
    <x v="1"/>
    <s v="Nil"/>
    <m/>
    <s v="BF"/>
    <s v="EXT"/>
    <x v="2"/>
    <x v="2"/>
    <n v="3.5000000000000003E-2"/>
    <m/>
    <x v="0"/>
    <m/>
    <x v="2"/>
    <s v="MR"/>
    <s v=""/>
    <m/>
    <n v="0"/>
    <m/>
    <n v="0"/>
    <m/>
    <n v="0"/>
    <n v="0"/>
    <n v="1"/>
    <n v="0"/>
    <n v="0"/>
    <n v="0"/>
    <n v="0"/>
    <n v="0"/>
    <n v="0"/>
    <n v="1"/>
    <n v="0"/>
    <n v="0"/>
    <n v="0"/>
    <n v="0"/>
    <n v="0"/>
    <n v="0"/>
    <n v="0"/>
    <n v="0"/>
    <n v="0"/>
    <n v="0"/>
    <n v="0"/>
    <n v="0"/>
    <n v="0"/>
    <n v="0"/>
    <n v="0"/>
    <n v="0"/>
    <n v="0"/>
    <n v="0"/>
    <x v="0"/>
    <x v="0"/>
    <x v="6"/>
    <n v="15"/>
    <m/>
    <n v="0.25"/>
    <n v="0.25"/>
    <n v="0.25"/>
    <n v="0.25"/>
    <m/>
    <m/>
    <m/>
    <m/>
    <m/>
    <m/>
    <m/>
    <m/>
    <m/>
    <m/>
    <m/>
    <m/>
    <m/>
    <m/>
    <m/>
    <n v="1"/>
    <n v="1"/>
  </r>
  <r>
    <n v="7152"/>
    <x v="1"/>
    <s v="2018/5605"/>
    <s v="66A North Side Wandsworth Common"/>
    <s v=""/>
    <n v="526518"/>
    <n v="174839"/>
    <x v="6"/>
    <m/>
    <m/>
    <n v="0"/>
    <n v="1"/>
    <n v="1"/>
    <n v="2"/>
    <n v="1"/>
    <x v="1"/>
    <s v="Alterations in connection with conversion of basement into 1-bedroom flat."/>
    <s v="PF"/>
    <d v="2018-12-10T00:00:00"/>
    <d v="2019-03-25T00:00:00"/>
    <x v="0"/>
    <s v="Nil"/>
    <m/>
    <s v="BF"/>
    <s v="CON"/>
    <x v="2"/>
    <x v="13"/>
    <n v="8.0000000000000002E-3"/>
    <m/>
    <x v="0"/>
    <m/>
    <x v="2"/>
    <s v="M"/>
    <s v=""/>
    <m/>
    <n v="0"/>
    <m/>
    <n v="0"/>
    <m/>
    <n v="0"/>
    <n v="0"/>
    <n v="0"/>
    <n v="0"/>
    <n v="0"/>
    <n v="1"/>
    <n v="0"/>
    <n v="0"/>
    <n v="0"/>
    <n v="0"/>
    <n v="0"/>
    <n v="0"/>
    <n v="0"/>
    <n v="0"/>
    <n v="0"/>
    <n v="0"/>
    <n v="0"/>
    <n v="0"/>
    <n v="0"/>
    <n v="1"/>
    <n v="0"/>
    <n v="0"/>
    <n v="0"/>
    <n v="0"/>
    <n v="0"/>
    <n v="0"/>
    <n v="0"/>
    <n v="0"/>
    <x v="0"/>
    <x v="0"/>
    <x v="1"/>
    <n v="15"/>
    <m/>
    <n v="0.25"/>
    <n v="0.25"/>
    <n v="0.25"/>
    <n v="0.25"/>
    <m/>
    <m/>
    <m/>
    <m/>
    <m/>
    <m/>
    <m/>
    <m/>
    <m/>
    <m/>
    <m/>
    <m/>
    <m/>
    <m/>
    <m/>
    <n v="1"/>
    <n v="1"/>
  </r>
  <r>
    <n v="7638"/>
    <x v="1"/>
    <s v="2021/1497"/>
    <s v="67 Putney Hill"/>
    <s v=""/>
    <n v="523723"/>
    <n v="174036"/>
    <x v="7"/>
    <m/>
    <m/>
    <n v="0"/>
    <n v="1"/>
    <n v="1"/>
    <n v="1"/>
    <n v="1"/>
    <x v="1"/>
    <s v="Conversion of existing ground floorspace to provide a 1 X 1 bedroom flat including the relocation of waste storage for whole building."/>
    <s v="PF"/>
    <d v="2021-03-23T00:00:00"/>
    <d v="2021-10-19T00:00:00"/>
    <x v="0"/>
    <s v="Nil"/>
    <m/>
    <s v="BF"/>
    <s v="COU"/>
    <x v="2"/>
    <x v="3"/>
    <n v="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399"/>
    <x v="1"/>
    <s v="2021/2447"/>
    <s v="69 Webbs Road"/>
    <s v=""/>
    <n v="527815"/>
    <n v="174573"/>
    <x v="14"/>
    <m/>
    <m/>
    <n v="1"/>
    <n v="2"/>
    <n v="1"/>
    <n v="2"/>
    <n v="1"/>
    <x v="1"/>
    <s v="Alterations including erection of roof extension and formation of roof terrace with 1.7m glazed safety screen surround above two storey back addition and erection of single storey rear extension in connection with conversion to 1 x 3-bedroom and 1 x 2-bedroom flats."/>
    <s v="PF"/>
    <d v="2021-06-23T00:00:00"/>
    <d v="2021-08-16T00:00:00"/>
    <x v="0"/>
    <s v="Nil"/>
    <m/>
    <s v="BF"/>
    <s v="MIX"/>
    <x v="2"/>
    <x v="2"/>
    <n v="4.0000000000000001E-3"/>
    <m/>
    <x v="0"/>
    <m/>
    <x v="2"/>
    <s v="M"/>
    <s v=""/>
    <m/>
    <n v="0"/>
    <m/>
    <n v="0"/>
    <m/>
    <n v="0"/>
    <n v="0"/>
    <n v="1"/>
    <n v="0"/>
    <n v="0"/>
    <n v="0"/>
    <n v="0"/>
    <n v="0"/>
    <n v="0"/>
    <n v="1"/>
    <n v="0"/>
    <n v="0"/>
    <n v="0"/>
    <n v="0"/>
    <n v="0"/>
    <n v="0"/>
    <n v="0"/>
    <n v="0"/>
    <n v="0"/>
    <n v="0"/>
    <n v="0"/>
    <n v="0"/>
    <n v="0"/>
    <n v="0"/>
    <n v="0"/>
    <n v="0"/>
    <n v="0"/>
    <n v="0"/>
    <x v="0"/>
    <x v="0"/>
    <x v="1"/>
    <n v="15"/>
    <m/>
    <n v="0.25"/>
    <n v="0.25"/>
    <n v="0.25"/>
    <n v="0.25"/>
    <m/>
    <m/>
    <m/>
    <m/>
    <m/>
    <m/>
    <m/>
    <m/>
    <m/>
    <m/>
    <m/>
    <m/>
    <m/>
    <m/>
    <m/>
    <n v="1"/>
    <n v="1"/>
  </r>
  <r>
    <n v="7399"/>
    <x v="1"/>
    <s v="2020/2360"/>
    <s v="69 Webbs Road"/>
    <s v=""/>
    <n v="527815"/>
    <n v="174573"/>
    <x v="14"/>
    <m/>
    <m/>
    <n v="0"/>
    <n v="1"/>
    <n v="1"/>
    <n v="1"/>
    <n v="1"/>
    <x v="1"/>
    <s v="Determination as to whether prior approval is required for change of use from Ground Floor Shop (Class A1) to 1 x 1-bedroom flat (Class C3) with associated external alterations to front elevation."/>
    <s v="PAG"/>
    <d v="2020-07-03T00:00:00"/>
    <d v="2020-08-28T00:00:00"/>
    <x v="0"/>
    <s v="Nil"/>
    <m/>
    <s v="BF"/>
    <s v="COU"/>
    <x v="2"/>
    <x v="4"/>
    <n v="5.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776"/>
    <x v="1"/>
    <s v="2021/3394"/>
    <s v="76A Pendle Road"/>
    <s v=""/>
    <n v="528980"/>
    <n v="171084"/>
    <x v="13"/>
    <m/>
    <m/>
    <n v="0"/>
    <n v="1"/>
    <n v="1"/>
    <n v="1"/>
    <n v="1"/>
    <x v="1"/>
    <s v="Alterations including changes to windows and doors in connection with conversion of existing workshop (Class SG) to 1 x 1 bedroom dwellinghouse (Class C3) with associated landscaping, cycle and refuse storage."/>
    <s v="PF"/>
    <d v="2021-08-06T00:00:00"/>
    <d v="2021-11-10T00:00:00"/>
    <x v="0"/>
    <s v="Nil"/>
    <m/>
    <s v="BF"/>
    <s v="CON"/>
    <x v="2"/>
    <x v="3"/>
    <n v="3.0000000000000001E-3"/>
    <m/>
    <x v="0"/>
    <m/>
    <x v="1"/>
    <s v="AA"/>
    <s v=""/>
    <m/>
    <n v="0"/>
    <m/>
    <n v="0"/>
    <m/>
    <n v="0"/>
    <n v="1"/>
    <n v="0"/>
    <n v="0"/>
    <n v="0"/>
    <n v="0"/>
    <n v="0"/>
    <n v="0"/>
    <n v="1"/>
    <n v="0"/>
    <n v="0"/>
    <n v="0"/>
    <n v="0"/>
    <n v="0"/>
    <n v="0"/>
    <n v="0"/>
    <n v="0"/>
    <n v="0"/>
    <n v="0"/>
    <n v="0"/>
    <n v="0"/>
    <n v="0"/>
    <n v="0"/>
    <n v="0"/>
    <n v="0"/>
    <n v="0"/>
    <n v="0"/>
    <n v="0"/>
    <x v="0"/>
    <x v="0"/>
    <x v="1"/>
    <n v="15"/>
    <m/>
    <n v="0.25"/>
    <n v="0.25"/>
    <n v="0.25"/>
    <n v="0.25"/>
    <m/>
    <m/>
    <m/>
    <m/>
    <m/>
    <m/>
    <m/>
    <m/>
    <m/>
    <m/>
    <m/>
    <m/>
    <m/>
    <m/>
    <m/>
    <n v="1"/>
    <n v="1"/>
  </r>
  <r>
    <n v="7416"/>
    <x v="1"/>
    <s v="2020/1024"/>
    <s v="788 Garratt Lane"/>
    <s v=""/>
    <n v="526860"/>
    <n v="171851"/>
    <x v="3"/>
    <m/>
    <m/>
    <n v="1"/>
    <n v="2"/>
    <n v="1"/>
    <n v="3"/>
    <n v="2"/>
    <x v="1"/>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x v="0"/>
    <s v="Nil"/>
    <m/>
    <s v="BF"/>
    <s v="MIX"/>
    <x v="2"/>
    <x v="7"/>
    <n v="5.0000000000000001E-3"/>
    <m/>
    <x v="0"/>
    <m/>
    <x v="2"/>
    <s v="M"/>
    <s v=""/>
    <m/>
    <n v="0"/>
    <m/>
    <n v="0"/>
    <m/>
    <n v="2"/>
    <n v="0"/>
    <n v="-1"/>
    <n v="0"/>
    <n v="0"/>
    <n v="0"/>
    <n v="0"/>
    <n v="2"/>
    <n v="0"/>
    <n v="-1"/>
    <n v="0"/>
    <n v="0"/>
    <n v="0"/>
    <n v="0"/>
    <n v="0"/>
    <n v="0"/>
    <n v="0"/>
    <n v="0"/>
    <n v="0"/>
    <n v="0"/>
    <n v="0"/>
    <n v="0"/>
    <n v="0"/>
    <n v="0"/>
    <n v="0"/>
    <n v="0"/>
    <n v="0"/>
    <n v="0"/>
    <x v="0"/>
    <x v="0"/>
    <x v="1"/>
    <n v="15"/>
    <m/>
    <n v="0.25"/>
    <n v="0.25"/>
    <n v="0.25"/>
    <n v="0.25"/>
    <m/>
    <m/>
    <m/>
    <m/>
    <m/>
    <m/>
    <m/>
    <m/>
    <m/>
    <m/>
    <m/>
    <m/>
    <m/>
    <m/>
    <m/>
    <n v="1"/>
    <n v="1"/>
  </r>
  <r>
    <n v="7416"/>
    <x v="1"/>
    <s v="2020/1024"/>
    <s v="788 Garratt Lane"/>
    <s v=""/>
    <n v="526860"/>
    <n v="171851"/>
    <x v="3"/>
    <m/>
    <m/>
    <n v="0"/>
    <n v="1"/>
    <n v="1"/>
    <n v="3"/>
    <n v="2"/>
    <x v="1"/>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x v="0"/>
    <s v="Nil"/>
    <m/>
    <s v="BF"/>
    <s v="MIX"/>
    <x v="2"/>
    <x v="2"/>
    <n v="4.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232"/>
    <x v="1"/>
    <s v="2019/3241"/>
    <s v="87 Nightingale Lane"/>
    <s v=""/>
    <n v="528139"/>
    <n v="173962"/>
    <x v="2"/>
    <m/>
    <m/>
    <n v="1"/>
    <n v="2"/>
    <n v="1"/>
    <n v="2"/>
    <n v="1"/>
    <x v="1"/>
    <s v="Conversion of first and second floors to 2 x 1-bedroom flats."/>
    <s v="PF"/>
    <d v="2019-08-20T00:00:00"/>
    <d v="2019-10-02T00:00:00"/>
    <x v="0"/>
    <s v="Nil"/>
    <m/>
    <s v="BF"/>
    <s v="CON"/>
    <x v="2"/>
    <x v="7"/>
    <n v="8.9999999999999993E-3"/>
    <m/>
    <x v="0"/>
    <m/>
    <x v="2"/>
    <s v="M"/>
    <s v=""/>
    <m/>
    <n v="0"/>
    <m/>
    <n v="0"/>
    <m/>
    <n v="0"/>
    <n v="2"/>
    <n v="0"/>
    <n v="-1"/>
    <n v="0"/>
    <n v="0"/>
    <n v="0"/>
    <n v="0"/>
    <n v="2"/>
    <n v="0"/>
    <n v="-1"/>
    <n v="0"/>
    <n v="0"/>
    <n v="0"/>
    <n v="0"/>
    <n v="0"/>
    <n v="0"/>
    <n v="0"/>
    <n v="0"/>
    <n v="0"/>
    <n v="0"/>
    <n v="0"/>
    <n v="0"/>
    <n v="0"/>
    <n v="0"/>
    <n v="0"/>
    <n v="0"/>
    <n v="0"/>
    <x v="0"/>
    <x v="0"/>
    <x v="1"/>
    <n v="15"/>
    <m/>
    <n v="0.25"/>
    <n v="0.25"/>
    <n v="0.25"/>
    <n v="0.25"/>
    <m/>
    <m/>
    <m/>
    <m/>
    <m/>
    <m/>
    <m/>
    <m/>
    <m/>
    <m/>
    <m/>
    <m/>
    <m/>
    <m/>
    <m/>
    <n v="1"/>
    <n v="1"/>
  </r>
  <r>
    <n v="7482"/>
    <x v="1"/>
    <s v="2020/4014"/>
    <s v="87a Thurleigh Road"/>
    <s v=""/>
    <n v="528070"/>
    <n v="174219"/>
    <x v="14"/>
    <m/>
    <m/>
    <n v="0"/>
    <n v="1"/>
    <n v="1"/>
    <n v="1"/>
    <n v="1"/>
    <x v="1"/>
    <s v="Alterations to existing outbuilding in connection with its conversion to a 1 x bedroom self contained residential unit; new roof with rooflights lights, new timber fencing and gate to Wroughton Road with associated refuse and cycle storage."/>
    <s v="PF"/>
    <d v="2020-10-23T00:00:00"/>
    <d v="2020-12-18T00:00:00"/>
    <x v="0"/>
    <s v="Nil"/>
    <m/>
    <s v="BF"/>
    <s v="CON"/>
    <x v="2"/>
    <x v="3"/>
    <n v="4.0000000000000001E-3"/>
    <m/>
    <x v="0"/>
    <m/>
    <x v="2"/>
    <s v="M"/>
    <s v=""/>
    <m/>
    <n v="0"/>
    <m/>
    <n v="0"/>
    <m/>
    <n v="0"/>
    <n v="1"/>
    <n v="0"/>
    <n v="0"/>
    <n v="0"/>
    <n v="0"/>
    <n v="0"/>
    <n v="0"/>
    <n v="0"/>
    <n v="0"/>
    <n v="0"/>
    <n v="0"/>
    <n v="0"/>
    <n v="0"/>
    <n v="0"/>
    <n v="1"/>
    <n v="0"/>
    <n v="0"/>
    <n v="0"/>
    <n v="0"/>
    <n v="0"/>
    <n v="0"/>
    <n v="0"/>
    <n v="0"/>
    <n v="0"/>
    <n v="0"/>
    <n v="0"/>
    <n v="0"/>
    <x v="0"/>
    <x v="0"/>
    <x v="1"/>
    <n v="15"/>
    <m/>
    <n v="0.25"/>
    <n v="0.25"/>
    <n v="0.25"/>
    <n v="0.25"/>
    <m/>
    <m/>
    <m/>
    <m/>
    <m/>
    <m/>
    <m/>
    <m/>
    <m/>
    <m/>
    <m/>
    <m/>
    <m/>
    <m/>
    <m/>
    <n v="1"/>
    <n v="1"/>
  </r>
  <r>
    <n v="7612"/>
    <x v="1"/>
    <s v="2021/1975"/>
    <s v="888 Garratt Lane"/>
    <s v=""/>
    <n v="527126"/>
    <n v="171628"/>
    <x v="3"/>
    <m/>
    <m/>
    <n v="2"/>
    <n v="3"/>
    <n v="1"/>
    <n v="3"/>
    <n v="1"/>
    <x v="1"/>
    <s v="Alterations erection of mansard roof extension to main rear roof and above existing two storey back addition, erection of part single, part two-storey side/rear extension and installation of first floor rear French doors and safety railings in connection with conversion of the property into 1 x 2 bedroom, 1 x 1-bedroom and 1 x studio flats."/>
    <s v="PF"/>
    <d v="2021-05-17T00:00:00"/>
    <d v="2021-07-12T00:00:00"/>
    <x v="0"/>
    <s v="Nil"/>
    <m/>
    <s v="BF"/>
    <s v="EXT"/>
    <x v="2"/>
    <x v="2"/>
    <n v="5.2166599999999997E-3"/>
    <m/>
    <x v="0"/>
    <m/>
    <x v="2"/>
    <s v="MR"/>
    <s v=""/>
    <m/>
    <n v="0"/>
    <m/>
    <n v="0"/>
    <m/>
    <n v="1"/>
    <n v="0"/>
    <n v="0"/>
    <n v="0"/>
    <n v="0"/>
    <n v="0"/>
    <n v="0"/>
    <n v="1"/>
    <n v="0"/>
    <n v="0"/>
    <n v="0"/>
    <n v="0"/>
    <n v="0"/>
    <n v="0"/>
    <n v="0"/>
    <n v="0"/>
    <n v="0"/>
    <n v="0"/>
    <n v="0"/>
    <n v="0"/>
    <n v="0"/>
    <n v="0"/>
    <n v="0"/>
    <n v="0"/>
    <n v="0"/>
    <n v="0"/>
    <n v="0"/>
    <n v="0"/>
    <x v="0"/>
    <x v="0"/>
    <x v="1"/>
    <n v="15"/>
    <m/>
    <n v="0.25"/>
    <n v="0.25"/>
    <n v="0.25"/>
    <n v="0.25"/>
    <m/>
    <m/>
    <m/>
    <m/>
    <m/>
    <m/>
    <m/>
    <m/>
    <m/>
    <m/>
    <m/>
    <m/>
    <m/>
    <m/>
    <m/>
    <n v="1"/>
    <n v="1"/>
  </r>
  <r>
    <n v="7055"/>
    <x v="1"/>
    <s v="2020/2038"/>
    <s v="89 Ramsden Road"/>
    <s v=""/>
    <n v="528371"/>
    <n v="173680"/>
    <x v="2"/>
    <m/>
    <m/>
    <n v="0"/>
    <n v="1"/>
    <n v="1"/>
    <n v="5"/>
    <n v="0"/>
    <x v="1"/>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x v="0"/>
    <s v="Nil"/>
    <m/>
    <s v="BF"/>
    <s v="MIX"/>
    <x v="2"/>
    <x v="2"/>
    <n v="4.0000000000000001E-3"/>
    <m/>
    <x v="0"/>
    <m/>
    <x v="2"/>
    <s v="M"/>
    <s v=""/>
    <m/>
    <n v="0"/>
    <m/>
    <n v="0"/>
    <m/>
    <n v="1"/>
    <n v="0"/>
    <n v="0"/>
    <n v="0"/>
    <n v="0"/>
    <n v="0"/>
    <n v="0"/>
    <n v="1"/>
    <n v="0"/>
    <n v="0"/>
    <n v="0"/>
    <n v="0"/>
    <n v="0"/>
    <n v="0"/>
    <n v="0"/>
    <n v="0"/>
    <n v="0"/>
    <n v="0"/>
    <n v="0"/>
    <n v="0"/>
    <n v="0"/>
    <n v="0"/>
    <n v="0"/>
    <n v="0"/>
    <n v="0"/>
    <n v="0"/>
    <n v="0"/>
    <n v="0"/>
    <x v="0"/>
    <x v="0"/>
    <x v="1"/>
    <n v="15"/>
    <m/>
    <n v="0.25"/>
    <n v="0.25"/>
    <n v="0.25"/>
    <n v="0.25"/>
    <m/>
    <m/>
    <m/>
    <m/>
    <m/>
    <m/>
    <m/>
    <m/>
    <m/>
    <m/>
    <m/>
    <m/>
    <m/>
    <m/>
    <m/>
    <n v="1"/>
    <n v="1"/>
  </r>
  <r>
    <n v="7641"/>
    <x v="1"/>
    <s v="2021/2393"/>
    <s v="8a Replingham Road"/>
    <s v=""/>
    <n v="524772"/>
    <n v="173253"/>
    <x v="20"/>
    <m/>
    <m/>
    <n v="0"/>
    <n v="1"/>
    <n v="1"/>
    <n v="1"/>
    <n v="1"/>
    <x v="1"/>
    <s v="Determination as to whether prior approval is required for change of use from office (Class B1) to 1 x 3 -bedroom house (Class C3)."/>
    <s v="PAG"/>
    <d v="2021-05-25T00:00:00"/>
    <d v="2021-07-15T00:00:00"/>
    <x v="0"/>
    <s v="Nil"/>
    <m/>
    <s v="BF"/>
    <s v="COU"/>
    <x v="2"/>
    <x v="6"/>
    <n v="5.0000000000000001E-3"/>
    <m/>
    <x v="0"/>
    <m/>
    <x v="2"/>
    <s v="M"/>
    <s v=""/>
    <m/>
    <n v="0"/>
    <m/>
    <n v="0"/>
    <m/>
    <n v="0"/>
    <n v="0"/>
    <n v="0"/>
    <n v="1"/>
    <n v="0"/>
    <n v="0"/>
    <n v="0"/>
    <n v="0"/>
    <n v="0"/>
    <n v="0"/>
    <n v="0"/>
    <n v="0"/>
    <n v="0"/>
    <n v="0"/>
    <n v="0"/>
    <n v="0"/>
    <n v="0"/>
    <n v="1"/>
    <n v="0"/>
    <n v="0"/>
    <n v="0"/>
    <n v="0"/>
    <n v="0"/>
    <n v="0"/>
    <n v="0"/>
    <n v="0"/>
    <n v="0"/>
    <n v="0"/>
    <x v="0"/>
    <x v="0"/>
    <x v="1"/>
    <n v="15"/>
    <m/>
    <n v="0.25"/>
    <n v="0.25"/>
    <n v="0.25"/>
    <n v="0.25"/>
    <m/>
    <m/>
    <m/>
    <m/>
    <m/>
    <m/>
    <m/>
    <m/>
    <m/>
    <m/>
    <m/>
    <m/>
    <m/>
    <m/>
    <m/>
    <n v="1"/>
    <n v="1"/>
  </r>
  <r>
    <n v="5308"/>
    <x v="1"/>
    <s v="2018/5949"/>
    <s v="900 Garratt Lane"/>
    <s v=""/>
    <n v="527156"/>
    <n v="171614"/>
    <x v="3"/>
    <m/>
    <m/>
    <n v="0"/>
    <n v="1"/>
    <n v="1"/>
    <n v="1"/>
    <n v="1"/>
    <x v="1"/>
    <s v="Determination as to whether prior approval is required for change of use from office (Class B1) to residential (Class C3)."/>
    <s v="PAG"/>
    <d v="2018-12-17T00:00:00"/>
    <d v="2019-01-30T00:00:00"/>
    <x v="0"/>
    <s v="Nil"/>
    <m/>
    <s v="BF"/>
    <s v="COU"/>
    <x v="2"/>
    <x v="6"/>
    <n v="3.0000000000000001E-3"/>
    <m/>
    <x v="0"/>
    <m/>
    <x v="2"/>
    <s v="M"/>
    <s v=""/>
    <m/>
    <n v="0"/>
    <m/>
    <n v="0"/>
    <m/>
    <n v="0"/>
    <n v="1"/>
    <n v="0"/>
    <n v="0"/>
    <n v="0"/>
    <n v="0"/>
    <n v="0"/>
    <n v="0"/>
    <n v="1"/>
    <n v="0"/>
    <n v="0"/>
    <n v="0"/>
    <n v="0"/>
    <n v="0"/>
    <n v="0"/>
    <n v="0"/>
    <n v="0"/>
    <n v="0"/>
    <n v="0"/>
    <n v="0"/>
    <n v="0"/>
    <n v="0"/>
    <n v="0"/>
    <n v="0"/>
    <n v="0"/>
    <n v="0"/>
    <n v="0"/>
    <n v="0"/>
    <x v="0"/>
    <x v="0"/>
    <x v="3"/>
    <n v="15"/>
    <m/>
    <n v="0.25"/>
    <n v="0.25"/>
    <n v="0.25"/>
    <n v="0.25"/>
    <m/>
    <m/>
    <m/>
    <m/>
    <m/>
    <m/>
    <m/>
    <m/>
    <m/>
    <m/>
    <m/>
    <m/>
    <m/>
    <m/>
    <m/>
    <n v="1"/>
    <n v="1"/>
  </r>
  <r>
    <n v="7148"/>
    <x v="1"/>
    <s v="2019/2504"/>
    <s v="91 St Johns Road"/>
    <s v=""/>
    <n v="527437"/>
    <n v="175150"/>
    <x v="12"/>
    <m/>
    <m/>
    <n v="0"/>
    <n v="1"/>
    <n v="1"/>
    <n v="1"/>
    <n v="1"/>
    <x v="1"/>
    <s v="Alterations including erection of a two storey extension (top floor mansard roof); new shopfront; in connection with the change of use of part of the ground floor and the whole of the first floor from retail (Class A1) to create a 1 x 1-bedroom flat (Class C3)."/>
    <s v="PF"/>
    <d v="2019-07-02T00:00:00"/>
    <d v="2019-08-02T00:00:00"/>
    <x v="0"/>
    <s v="Nil"/>
    <m/>
    <s v="BF"/>
    <s v="MIX"/>
    <x v="2"/>
    <x v="2"/>
    <n v="1E-3"/>
    <m/>
    <x v="0"/>
    <m/>
    <x v="2"/>
    <s v="M"/>
    <s v=""/>
    <m/>
    <n v="0"/>
    <m/>
    <n v="0"/>
    <m/>
    <n v="0"/>
    <n v="1"/>
    <n v="0"/>
    <n v="0"/>
    <n v="0"/>
    <n v="0"/>
    <n v="0"/>
    <n v="0"/>
    <n v="1"/>
    <n v="0"/>
    <n v="0"/>
    <n v="0"/>
    <n v="0"/>
    <n v="0"/>
    <n v="0"/>
    <n v="0"/>
    <n v="0"/>
    <n v="0"/>
    <n v="0"/>
    <n v="0"/>
    <n v="0"/>
    <n v="0"/>
    <n v="0"/>
    <n v="0"/>
    <n v="0"/>
    <n v="0"/>
    <n v="0"/>
    <n v="0"/>
    <x v="5"/>
    <x v="0"/>
    <x v="5"/>
    <n v="15"/>
    <m/>
    <n v="0.25"/>
    <n v="0.25"/>
    <n v="0.25"/>
    <n v="0.25"/>
    <m/>
    <m/>
    <m/>
    <m/>
    <m/>
    <m/>
    <m/>
    <m/>
    <m/>
    <m/>
    <m/>
    <m/>
    <m/>
    <m/>
    <m/>
    <n v="1"/>
    <n v="1"/>
  </r>
  <r>
    <n v="7098"/>
    <x v="1"/>
    <s v="2019/4024"/>
    <s v="92 East Hill"/>
    <s v=""/>
    <n v="526209"/>
    <n v="174797"/>
    <x v="6"/>
    <m/>
    <m/>
    <n v="0"/>
    <n v="1"/>
    <n v="1"/>
    <n v="1"/>
    <n v="1"/>
    <x v="1"/>
    <s v="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
    <s v="PF"/>
    <d v="2019-09-26T00:00:00"/>
    <d v="2020-02-18T00:00:00"/>
    <x v="0"/>
    <s v="Nil"/>
    <m/>
    <s v="BF"/>
    <s v="COU"/>
    <x v="2"/>
    <x v="6"/>
    <n v="1.4E-2"/>
    <m/>
    <x v="0"/>
    <m/>
    <x v="2"/>
    <s v="M"/>
    <s v=""/>
    <m/>
    <n v="0"/>
    <m/>
    <n v="0"/>
    <m/>
    <n v="0"/>
    <n v="0"/>
    <n v="0"/>
    <n v="1"/>
    <n v="0"/>
    <n v="0"/>
    <n v="0"/>
    <n v="0"/>
    <n v="0"/>
    <n v="0"/>
    <n v="1"/>
    <n v="0"/>
    <n v="0"/>
    <n v="0"/>
    <n v="0"/>
    <n v="0"/>
    <n v="0"/>
    <n v="0"/>
    <n v="0"/>
    <n v="0"/>
    <n v="0"/>
    <n v="0"/>
    <n v="0"/>
    <n v="0"/>
    <n v="0"/>
    <n v="0"/>
    <n v="0"/>
    <n v="0"/>
    <x v="0"/>
    <x v="0"/>
    <x v="1"/>
    <n v="15"/>
    <m/>
    <n v="0.25"/>
    <n v="0.25"/>
    <n v="0.25"/>
    <n v="0.25"/>
    <m/>
    <m/>
    <m/>
    <m/>
    <m/>
    <m/>
    <m/>
    <m/>
    <m/>
    <m/>
    <m/>
    <m/>
    <m/>
    <m/>
    <m/>
    <n v="1"/>
    <n v="1"/>
  </r>
  <r>
    <n v="2202"/>
    <x v="1"/>
    <s v="2018/1370"/>
    <s v="Land adjoining 23, Boundaries Road"/>
    <s v=""/>
    <n v="528351"/>
    <n v="173235"/>
    <x v="2"/>
    <m/>
    <m/>
    <n v="0"/>
    <n v="2"/>
    <n v="2"/>
    <n v="2"/>
    <n v="2"/>
    <x v="1"/>
    <s v="Erection of a three-storey plus basement detached building to provide 2 x 1-bedroom dwellings with associated landscaping, outdoor amenity space, roof garden, cycle parking and refuse storage. (Amended drawings)"/>
    <s v="PF"/>
    <d v="2018-03-29T00:00:00"/>
    <d v="2018-07-20T00:00:00"/>
    <x v="0"/>
    <s v="Nil"/>
    <m/>
    <s v="BF"/>
    <s v="NB"/>
    <x v="2"/>
    <x v="1"/>
    <n v="8.0000000000000002E-3"/>
    <m/>
    <x v="0"/>
    <m/>
    <x v="2"/>
    <s v="M"/>
    <s v=""/>
    <m/>
    <n v="0"/>
    <m/>
    <n v="0"/>
    <m/>
    <n v="0"/>
    <n v="2"/>
    <n v="0"/>
    <n v="0"/>
    <n v="0"/>
    <n v="0"/>
    <n v="0"/>
    <n v="0"/>
    <n v="2"/>
    <n v="0"/>
    <n v="0"/>
    <n v="0"/>
    <n v="0"/>
    <n v="0"/>
    <n v="0"/>
    <n v="0"/>
    <n v="0"/>
    <n v="0"/>
    <n v="0"/>
    <n v="0"/>
    <n v="0"/>
    <n v="0"/>
    <n v="0"/>
    <n v="0"/>
    <n v="0"/>
    <n v="0"/>
    <n v="0"/>
    <n v="0"/>
    <x v="0"/>
    <x v="0"/>
    <x v="1"/>
    <n v="7"/>
    <m/>
    <m/>
    <n v="0.5"/>
    <n v="0.5"/>
    <n v="0.5"/>
    <n v="0.5"/>
    <m/>
    <m/>
    <m/>
    <m/>
    <m/>
    <m/>
    <m/>
    <m/>
    <m/>
    <m/>
    <m/>
    <m/>
    <m/>
    <m/>
    <n v="2"/>
    <n v="2"/>
  </r>
  <r>
    <n v="7213"/>
    <x v="1"/>
    <s v="2019/2315"/>
    <s v="94 Balham High Road"/>
    <s v=""/>
    <n v="528646"/>
    <n v="173527"/>
    <x v="2"/>
    <m/>
    <m/>
    <n v="0"/>
    <n v="1"/>
    <n v="1"/>
    <n v="2"/>
    <n v="2"/>
    <x v="1"/>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0"/>
    <s v="Nil"/>
    <m/>
    <s v="BF"/>
    <s v="MIX"/>
    <x v="2"/>
    <x v="3"/>
    <n v="2E-3"/>
    <m/>
    <x v="0"/>
    <m/>
    <x v="2"/>
    <s v="M"/>
    <s v=""/>
    <m/>
    <n v="0"/>
    <m/>
    <n v="0"/>
    <m/>
    <n v="0"/>
    <n v="1"/>
    <n v="0"/>
    <n v="0"/>
    <n v="0"/>
    <n v="0"/>
    <n v="0"/>
    <n v="0"/>
    <n v="1"/>
    <n v="0"/>
    <n v="0"/>
    <n v="0"/>
    <n v="0"/>
    <n v="0"/>
    <n v="0"/>
    <n v="0"/>
    <n v="0"/>
    <n v="0"/>
    <n v="0"/>
    <n v="0"/>
    <n v="0"/>
    <n v="0"/>
    <n v="0"/>
    <n v="0"/>
    <n v="0"/>
    <n v="0"/>
    <n v="0"/>
    <n v="0"/>
    <x v="1"/>
    <x v="0"/>
    <x v="2"/>
    <n v="15"/>
    <m/>
    <n v="0.25"/>
    <n v="0.25"/>
    <n v="0.25"/>
    <n v="0.25"/>
    <m/>
    <m/>
    <m/>
    <m/>
    <m/>
    <m/>
    <m/>
    <m/>
    <m/>
    <m/>
    <m/>
    <m/>
    <m/>
    <m/>
    <m/>
    <n v="1"/>
    <n v="1"/>
  </r>
  <r>
    <n v="7213"/>
    <x v="1"/>
    <s v="2019/2315"/>
    <s v="94 Balham High Road"/>
    <s v=""/>
    <n v="528646"/>
    <n v="173527"/>
    <x v="2"/>
    <m/>
    <m/>
    <n v="0"/>
    <n v="1"/>
    <n v="1"/>
    <n v="2"/>
    <n v="2"/>
    <x v="1"/>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0"/>
    <s v="Nil"/>
    <m/>
    <s v="BF"/>
    <s v="MIX"/>
    <x v="2"/>
    <x v="2"/>
    <n v="1E-3"/>
    <m/>
    <x v="0"/>
    <m/>
    <x v="2"/>
    <s v="M"/>
    <s v=""/>
    <m/>
    <n v="0"/>
    <m/>
    <n v="0"/>
    <m/>
    <n v="1"/>
    <n v="0"/>
    <n v="0"/>
    <n v="0"/>
    <n v="0"/>
    <n v="0"/>
    <n v="0"/>
    <n v="1"/>
    <n v="0"/>
    <n v="0"/>
    <n v="0"/>
    <n v="0"/>
    <n v="0"/>
    <n v="0"/>
    <n v="0"/>
    <n v="0"/>
    <n v="0"/>
    <n v="0"/>
    <n v="0"/>
    <n v="0"/>
    <n v="0"/>
    <n v="0"/>
    <n v="0"/>
    <n v="0"/>
    <n v="0"/>
    <n v="0"/>
    <n v="0"/>
    <n v="0"/>
    <x v="1"/>
    <x v="0"/>
    <x v="2"/>
    <n v="15"/>
    <m/>
    <n v="0.25"/>
    <n v="0.25"/>
    <n v="0.25"/>
    <n v="0.25"/>
    <m/>
    <m/>
    <m/>
    <m/>
    <m/>
    <m/>
    <m/>
    <m/>
    <m/>
    <m/>
    <m/>
    <m/>
    <m/>
    <m/>
    <m/>
    <n v="1"/>
    <n v="1"/>
  </r>
  <r>
    <n v="7170"/>
    <x v="1"/>
    <s v="2019/1924"/>
    <s v="97 East Hill"/>
    <s v=""/>
    <n v="526060"/>
    <n v="174693"/>
    <x v="6"/>
    <m/>
    <m/>
    <n v="0"/>
    <n v="1"/>
    <n v="1"/>
    <n v="1"/>
    <n v="1"/>
    <x v="1"/>
    <s v="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
    <s v="PF"/>
    <d v="2019-05-22T00:00:00"/>
    <d v="2019-08-29T00:00:00"/>
    <x v="0"/>
    <s v="Nil"/>
    <m/>
    <s v="BF"/>
    <s v="EXT"/>
    <x v="2"/>
    <x v="2"/>
    <n v="2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6608"/>
    <x v="1"/>
    <s v="2021/5718"/>
    <s v="98 Tooting High Street"/>
    <s v=""/>
    <n v="527334"/>
    <n v="171328"/>
    <x v="3"/>
    <m/>
    <m/>
    <n v="1"/>
    <n v="2"/>
    <n v="1"/>
    <n v="2"/>
    <n v="1"/>
    <x v="1"/>
    <s v="Alterations to include the erection of a part single, part two-storey rear extension to provide a 1 x2-bedroom flat."/>
    <s v="PF"/>
    <d v="2022-01-04T00:00:00"/>
    <d v="2022-03-01T00:00:00"/>
    <x v="0"/>
    <s v="Nil"/>
    <m/>
    <s v="BF"/>
    <s v="EXT"/>
    <x v="2"/>
    <x v="2"/>
    <n v="7.8659999999999997E-3"/>
    <m/>
    <x v="0"/>
    <m/>
    <x v="2"/>
    <s v="MR"/>
    <s v=""/>
    <m/>
    <n v="0"/>
    <m/>
    <n v="0"/>
    <m/>
    <n v="0"/>
    <n v="0"/>
    <n v="1"/>
    <n v="0"/>
    <n v="0"/>
    <n v="0"/>
    <n v="0"/>
    <n v="0"/>
    <n v="0"/>
    <n v="1"/>
    <n v="0"/>
    <n v="0"/>
    <n v="0"/>
    <n v="0"/>
    <n v="0"/>
    <n v="0"/>
    <n v="0"/>
    <n v="0"/>
    <n v="0"/>
    <n v="0"/>
    <n v="0"/>
    <n v="0"/>
    <n v="0"/>
    <n v="0"/>
    <n v="0"/>
    <n v="0"/>
    <n v="0"/>
    <n v="0"/>
    <x v="0"/>
    <x v="0"/>
    <x v="3"/>
    <n v="15"/>
    <m/>
    <n v="0.25"/>
    <n v="0.25"/>
    <n v="0.25"/>
    <n v="0.25"/>
    <m/>
    <m/>
    <m/>
    <m/>
    <m/>
    <m/>
    <m/>
    <m/>
    <m/>
    <m/>
    <m/>
    <m/>
    <m/>
    <m/>
    <m/>
    <n v="1"/>
    <n v="1"/>
  </r>
  <r>
    <n v="7661"/>
    <x v="1"/>
    <s v="2021/3174"/>
    <s v="99 Lucien Road"/>
    <s v=""/>
    <n v="528399"/>
    <n v="171433"/>
    <x v="9"/>
    <m/>
    <m/>
    <n v="1"/>
    <n v="2"/>
    <n v="1"/>
    <n v="2"/>
    <n v="1"/>
    <x v="1"/>
    <s v="Alterations including erection of mansard roof extension to main rear roof (with French doors and safety railings) and extension above part of two-storey back addition; formation of roof terrace above two-storey back addition with 1.7m high screen surround to create 1x 1-bedroom flat"/>
    <s v="PF"/>
    <d v="2021-07-05T00:00:00"/>
    <d v="2021-09-03T00:00:00"/>
    <x v="0"/>
    <s v="Nil"/>
    <m/>
    <s v="BF"/>
    <s v="EXT"/>
    <x v="2"/>
    <x v="2"/>
    <n v="3.8333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336"/>
    <x v="1"/>
    <s v="2020/0503"/>
    <s v="99 St Johns Hill"/>
    <s v=""/>
    <n v="526970"/>
    <n v="175172"/>
    <x v="6"/>
    <m/>
    <m/>
    <n v="1"/>
    <n v="2"/>
    <n v="1"/>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0"/>
    <s v="Nil"/>
    <m/>
    <s v="BF"/>
    <s v="MIX"/>
    <x v="2"/>
    <x v="7"/>
    <n v="6.0000000000000001E-3"/>
    <m/>
    <x v="0"/>
    <m/>
    <x v="2"/>
    <s v="M"/>
    <s v=""/>
    <m/>
    <n v="0"/>
    <m/>
    <n v="0"/>
    <m/>
    <n v="1"/>
    <n v="-1"/>
    <n v="1"/>
    <n v="0"/>
    <n v="0"/>
    <n v="0"/>
    <n v="0"/>
    <n v="1"/>
    <n v="-1"/>
    <n v="1"/>
    <n v="0"/>
    <n v="0"/>
    <n v="0"/>
    <n v="0"/>
    <n v="0"/>
    <n v="0"/>
    <n v="0"/>
    <n v="0"/>
    <n v="0"/>
    <n v="0"/>
    <n v="0"/>
    <n v="0"/>
    <n v="0"/>
    <n v="0"/>
    <n v="0"/>
    <n v="0"/>
    <n v="0"/>
    <n v="0"/>
    <x v="0"/>
    <x v="0"/>
    <x v="5"/>
    <n v="15"/>
    <m/>
    <n v="0.25"/>
    <n v="0.25"/>
    <n v="0.25"/>
    <n v="0.25"/>
    <m/>
    <m/>
    <m/>
    <m/>
    <m/>
    <m/>
    <m/>
    <m/>
    <m/>
    <m/>
    <m/>
    <m/>
    <m/>
    <m/>
    <m/>
    <n v="1"/>
    <n v="1"/>
  </r>
  <r>
    <n v="7336"/>
    <x v="1"/>
    <s v="2020/0503"/>
    <s v="99 St Johns Hill"/>
    <s v=""/>
    <n v="526970"/>
    <n v="175172"/>
    <x v="6"/>
    <m/>
    <m/>
    <n v="0"/>
    <n v="1"/>
    <n v="1"/>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0"/>
    <s v="Nil"/>
    <m/>
    <s v="BF"/>
    <s v="MIX"/>
    <x v="2"/>
    <x v="4"/>
    <n v="6.0000000000000001E-3"/>
    <m/>
    <x v="0"/>
    <m/>
    <x v="2"/>
    <s v="M"/>
    <s v=""/>
    <m/>
    <n v="0"/>
    <m/>
    <n v="0"/>
    <m/>
    <n v="0"/>
    <n v="0"/>
    <n v="1"/>
    <n v="0"/>
    <n v="0"/>
    <n v="0"/>
    <n v="0"/>
    <n v="0"/>
    <n v="0"/>
    <n v="1"/>
    <n v="0"/>
    <n v="0"/>
    <n v="0"/>
    <n v="0"/>
    <n v="0"/>
    <n v="0"/>
    <n v="0"/>
    <n v="0"/>
    <n v="0"/>
    <n v="0"/>
    <n v="0"/>
    <n v="0"/>
    <n v="0"/>
    <n v="0"/>
    <n v="0"/>
    <n v="0"/>
    <n v="0"/>
    <n v="0"/>
    <x v="0"/>
    <x v="0"/>
    <x v="5"/>
    <n v="15"/>
    <m/>
    <n v="0.25"/>
    <n v="0.25"/>
    <n v="0.25"/>
    <n v="0.25"/>
    <m/>
    <m/>
    <m/>
    <m/>
    <m/>
    <m/>
    <m/>
    <m/>
    <m/>
    <m/>
    <m/>
    <m/>
    <m/>
    <m/>
    <m/>
    <n v="1"/>
    <n v="1"/>
  </r>
  <r>
    <n v="7336"/>
    <x v="1"/>
    <s v="2020/0503"/>
    <s v="99 St Johns Hill"/>
    <s v=""/>
    <n v="526970"/>
    <n v="175172"/>
    <x v="6"/>
    <m/>
    <m/>
    <n v="0"/>
    <n v="1"/>
    <n v="1"/>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0"/>
    <s v="Nil"/>
    <m/>
    <s v="BF"/>
    <s v="MIX"/>
    <x v="2"/>
    <x v="2"/>
    <n v="3.0000000000000001E-3"/>
    <m/>
    <x v="0"/>
    <m/>
    <x v="2"/>
    <s v="M"/>
    <s v=""/>
    <m/>
    <n v="0"/>
    <m/>
    <n v="0"/>
    <m/>
    <n v="0"/>
    <n v="1"/>
    <n v="0"/>
    <n v="0"/>
    <n v="0"/>
    <n v="0"/>
    <n v="0"/>
    <n v="0"/>
    <n v="1"/>
    <n v="0"/>
    <n v="0"/>
    <n v="0"/>
    <n v="0"/>
    <n v="0"/>
    <n v="0"/>
    <n v="0"/>
    <n v="0"/>
    <n v="0"/>
    <n v="0"/>
    <n v="0"/>
    <n v="0"/>
    <n v="0"/>
    <n v="0"/>
    <n v="0"/>
    <n v="0"/>
    <n v="0"/>
    <n v="0"/>
    <n v="0"/>
    <x v="0"/>
    <x v="0"/>
    <x v="5"/>
    <n v="15"/>
    <m/>
    <n v="0.25"/>
    <n v="0.25"/>
    <n v="0.25"/>
    <n v="0.25"/>
    <m/>
    <m/>
    <m/>
    <m/>
    <m/>
    <m/>
    <m/>
    <m/>
    <m/>
    <m/>
    <m/>
    <m/>
    <m/>
    <m/>
    <m/>
    <n v="1"/>
    <n v="1"/>
  </r>
  <r>
    <n v="7466"/>
    <x v="1"/>
    <s v="2020/3110"/>
    <s v="A &amp; B, 38 Comyn Road"/>
    <s v=""/>
    <n v="527275"/>
    <n v="175225"/>
    <x v="12"/>
    <m/>
    <m/>
    <n v="0"/>
    <n v="1"/>
    <n v="1"/>
    <n v="2"/>
    <n v="1"/>
    <x v="1"/>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x v="0"/>
    <s v="Nil"/>
    <m/>
    <s v="BF"/>
    <s v="MIX"/>
    <x v="2"/>
    <x v="7"/>
    <n v="8.9999999999999993E-3"/>
    <m/>
    <x v="0"/>
    <m/>
    <x v="2"/>
    <s v="M"/>
    <s v=""/>
    <m/>
    <n v="0"/>
    <m/>
    <n v="0"/>
    <m/>
    <n v="0"/>
    <n v="0"/>
    <n v="0"/>
    <n v="1"/>
    <n v="0"/>
    <n v="0"/>
    <n v="0"/>
    <n v="0"/>
    <n v="0"/>
    <n v="0"/>
    <n v="1"/>
    <n v="0"/>
    <n v="0"/>
    <n v="0"/>
    <n v="0"/>
    <n v="0"/>
    <n v="0"/>
    <n v="0"/>
    <n v="0"/>
    <n v="0"/>
    <n v="0"/>
    <n v="0"/>
    <n v="0"/>
    <n v="0"/>
    <n v="0"/>
    <n v="0"/>
    <n v="0"/>
    <n v="0"/>
    <x v="0"/>
    <x v="0"/>
    <x v="5"/>
    <n v="15"/>
    <m/>
    <n v="0.25"/>
    <n v="0.25"/>
    <n v="0.25"/>
    <n v="0.25"/>
    <m/>
    <m/>
    <m/>
    <m/>
    <m/>
    <m/>
    <m/>
    <m/>
    <m/>
    <m/>
    <m/>
    <m/>
    <m/>
    <m/>
    <m/>
    <n v="1"/>
    <n v="1"/>
  </r>
  <r>
    <n v="7662"/>
    <x v="1"/>
    <s v="2021/3198"/>
    <s v="34-36 Thurleigh Road"/>
    <s v=""/>
    <n v="527933"/>
    <n v="174081"/>
    <x v="2"/>
    <m/>
    <m/>
    <n v="2"/>
    <n v="2"/>
    <n v="0"/>
    <n v="2"/>
    <n v="0"/>
    <x v="1"/>
    <s v="Demolition of one semi-detached and one detached dwellings and erection of three -storey (plus basement) 4-bedroom semi-detached dwellings."/>
    <s v="PF"/>
    <d v="2021-07-06T00:00:00"/>
    <d v="2021-12-22T00:00:00"/>
    <x v="0"/>
    <s v="Nil"/>
    <m/>
    <s v="BF"/>
    <s v="NB"/>
    <x v="2"/>
    <x v="1"/>
    <n v="1.7874999999999999E-2"/>
    <m/>
    <x v="0"/>
    <m/>
    <x v="2"/>
    <s v="M"/>
    <s v=""/>
    <m/>
    <n v="0"/>
    <m/>
    <n v="0"/>
    <m/>
    <n v="0"/>
    <n v="0"/>
    <n v="0"/>
    <n v="-2"/>
    <n v="2"/>
    <n v="0"/>
    <n v="0"/>
    <n v="0"/>
    <n v="0"/>
    <n v="0"/>
    <n v="0"/>
    <n v="0"/>
    <n v="0"/>
    <n v="0"/>
    <n v="0"/>
    <n v="0"/>
    <n v="0"/>
    <n v="-2"/>
    <n v="2"/>
    <n v="0"/>
    <n v="0"/>
    <n v="0"/>
    <n v="0"/>
    <n v="0"/>
    <n v="0"/>
    <n v="0"/>
    <n v="0"/>
    <n v="0"/>
    <x v="0"/>
    <x v="0"/>
    <x v="1"/>
    <n v="7"/>
    <m/>
    <m/>
    <n v="0"/>
    <n v="0"/>
    <n v="0"/>
    <n v="0"/>
    <m/>
    <m/>
    <m/>
    <m/>
    <m/>
    <m/>
    <m/>
    <m/>
    <m/>
    <m/>
    <m/>
    <m/>
    <m/>
    <m/>
    <n v="0"/>
    <n v="0"/>
  </r>
  <r>
    <n v="6798"/>
    <x v="1"/>
    <s v="2021/4064"/>
    <s v="Land rear of 958 Garratt Lane, 28 Garratt Terrace"/>
    <s v=""/>
    <n v="527317"/>
    <n v="171519"/>
    <x v="3"/>
    <m/>
    <m/>
    <n v="0"/>
    <n v="2"/>
    <n v="2"/>
    <n v="2"/>
    <n v="2"/>
    <x v="1"/>
    <s v="Erection of a two-storey house fronting Garratt Terrace with singlestorey rear projection, basement, habitable roof space, first floor balcony and associated refuse and cycle storage to comprise 1x3- bedroom and 1x1-bedroom flats."/>
    <s v="PF"/>
    <d v="2021-09-15T00:00:00"/>
    <d v="2022-01-26T00:00:00"/>
    <x v="0"/>
    <s v="Nil"/>
    <m/>
    <s v="BF"/>
    <s v="NB"/>
    <x v="2"/>
    <x v="1"/>
    <n v="5.0666000000000001E-3"/>
    <m/>
    <x v="0"/>
    <m/>
    <x v="2"/>
    <s v="M"/>
    <s v=""/>
    <m/>
    <n v="0"/>
    <m/>
    <n v="0"/>
    <m/>
    <n v="0"/>
    <n v="1"/>
    <n v="0"/>
    <n v="1"/>
    <n v="0"/>
    <n v="0"/>
    <n v="0"/>
    <n v="0"/>
    <n v="1"/>
    <n v="0"/>
    <n v="1"/>
    <n v="0"/>
    <n v="0"/>
    <n v="0"/>
    <n v="0"/>
    <n v="0"/>
    <n v="0"/>
    <n v="0"/>
    <n v="0"/>
    <n v="0"/>
    <n v="0"/>
    <n v="0"/>
    <n v="0"/>
    <n v="0"/>
    <n v="0"/>
    <n v="0"/>
    <n v="0"/>
    <n v="0"/>
    <x v="0"/>
    <x v="0"/>
    <x v="3"/>
    <n v="7"/>
    <m/>
    <m/>
    <n v="0.5"/>
    <n v="0.5"/>
    <n v="0.5"/>
    <n v="0.5"/>
    <m/>
    <m/>
    <m/>
    <m/>
    <m/>
    <m/>
    <m/>
    <m/>
    <m/>
    <m/>
    <m/>
    <m/>
    <m/>
    <m/>
    <n v="2"/>
    <n v="2"/>
  </r>
  <r>
    <n v="7860"/>
    <x v="1"/>
    <s v="2022/2370"/>
    <s v="1 Furzedown Drive"/>
    <s v=""/>
    <n v="528722"/>
    <n v="171376"/>
    <x v="13"/>
    <m/>
    <m/>
    <n v="0"/>
    <n v="1"/>
    <n v="1"/>
    <n v="1"/>
    <n v="1"/>
    <x v="1"/>
    <s v="Demolition of the existing single-storey garage and construction of a single-storey dwellinghouse."/>
    <s v="PF"/>
    <d v="2022-06-08T00:00:00"/>
    <d v="2022-08-03T00:00:00"/>
    <x v="1"/>
    <s v="Nil"/>
    <m/>
    <s v="Gdn"/>
    <s v="NB"/>
    <x v="2"/>
    <x v="1"/>
    <n v="4.2399999999999998E-3"/>
    <m/>
    <x v="0"/>
    <m/>
    <x v="2"/>
    <s v="M"/>
    <s v=""/>
    <m/>
    <n v="0"/>
    <m/>
    <n v="0"/>
    <m/>
    <n v="0"/>
    <n v="1"/>
    <n v="0"/>
    <n v="0"/>
    <n v="0"/>
    <n v="0"/>
    <n v="0"/>
    <n v="0"/>
    <n v="0"/>
    <n v="0"/>
    <n v="0"/>
    <n v="0"/>
    <n v="0"/>
    <n v="0"/>
    <n v="0"/>
    <n v="1"/>
    <n v="0"/>
    <n v="0"/>
    <n v="0"/>
    <n v="0"/>
    <n v="0"/>
    <n v="0"/>
    <n v="0"/>
    <n v="0"/>
    <n v="0"/>
    <n v="0"/>
    <n v="0"/>
    <n v="0"/>
    <x v="0"/>
    <x v="0"/>
    <x v="1"/>
    <n v="7"/>
    <m/>
    <m/>
    <n v="0.25"/>
    <n v="0.25"/>
    <n v="0.25"/>
    <n v="0.25"/>
    <m/>
    <m/>
    <m/>
    <m/>
    <m/>
    <m/>
    <m/>
    <m/>
    <m/>
    <m/>
    <m/>
    <m/>
    <m/>
    <m/>
    <n v="1"/>
    <n v="1"/>
  </r>
  <r>
    <n v="7869"/>
    <x v="1"/>
    <s v="2022/2788"/>
    <s v="Alexander Studios, Unit 4 Haydon Way (The Courtyard)"/>
    <s v=""/>
    <n v="526537"/>
    <n v="175110"/>
    <x v="6"/>
    <m/>
    <m/>
    <n v="0"/>
    <n v="1"/>
    <n v="1"/>
    <n v="1"/>
    <n v="1"/>
    <x v="1"/>
    <s v="Change of use from a photography studio (Class E) into a 3-bed flat (Class C3)."/>
    <s v="PF"/>
    <d v="2022-07-26T00:00:00"/>
    <d v="2022-09-20T00:00:00"/>
    <x v="1"/>
    <s v="Nil"/>
    <m/>
    <s v="BF"/>
    <s v="CON"/>
    <x v="2"/>
    <x v="4"/>
    <n v="1.3599999999999999E-2"/>
    <m/>
    <x v="0"/>
    <m/>
    <x v="2"/>
    <s v="M"/>
    <s v=""/>
    <m/>
    <n v="0"/>
    <m/>
    <n v="0"/>
    <m/>
    <n v="0"/>
    <n v="0"/>
    <n v="0"/>
    <n v="1"/>
    <n v="0"/>
    <n v="0"/>
    <n v="0"/>
    <n v="0"/>
    <n v="0"/>
    <n v="0"/>
    <n v="1"/>
    <n v="0"/>
    <n v="0"/>
    <n v="0"/>
    <n v="0"/>
    <n v="0"/>
    <n v="0"/>
    <n v="0"/>
    <n v="0"/>
    <n v="0"/>
    <n v="0"/>
    <n v="0"/>
    <n v="0"/>
    <n v="0"/>
    <n v="0"/>
    <n v="0"/>
    <n v="0"/>
    <n v="0"/>
    <x v="0"/>
    <x v="0"/>
    <x v="1"/>
    <n v="15"/>
    <m/>
    <n v="0.25"/>
    <n v="0.25"/>
    <n v="0.25"/>
    <n v="0.25"/>
    <m/>
    <m/>
    <m/>
    <m/>
    <m/>
    <m/>
    <m/>
    <m/>
    <m/>
    <m/>
    <m/>
    <m/>
    <m/>
    <m/>
    <m/>
    <n v="1"/>
    <n v="1"/>
  </r>
  <r>
    <n v="7460"/>
    <x v="1"/>
    <s v="2020/3361"/>
    <s v="and Flat B 790, 788 Garratt Lane"/>
    <s v=""/>
    <n v="526862"/>
    <n v="171849"/>
    <x v="3"/>
    <m/>
    <m/>
    <n v="1"/>
    <n v="2"/>
    <n v="1"/>
    <n v="3"/>
    <n v="2"/>
    <x v="1"/>
    <s v="Erection of a part single and part two-storey side/rear extension, erection of a dormer roof extension to main rear slope (with French doors and safety railings) and extension above part of rear addition to facilitate the conversion of the property into 4 x 1-bedroom self contained flats at 788 Garratt Lane. Construction of a rear extension at the first floor at 790 Garratt Lane._x000a__x000a_*RE-CONSULTATION FOR AMENDED DESCRIPTION*"/>
    <s v="PF"/>
    <d v="2020-09-09T00:00:00"/>
    <d v="2021-07-13T00:00:00"/>
    <x v="0"/>
    <s v="Nil"/>
    <m/>
    <s v="BF"/>
    <s v="MIX"/>
    <x v="2"/>
    <x v="7"/>
    <n v="1.4999999999999999E-2"/>
    <m/>
    <x v="0"/>
    <m/>
    <x v="2"/>
    <s v="M"/>
    <s v=""/>
    <m/>
    <n v="0"/>
    <m/>
    <n v="0"/>
    <m/>
    <n v="0"/>
    <n v="2"/>
    <n v="-1"/>
    <n v="0"/>
    <n v="0"/>
    <n v="0"/>
    <n v="0"/>
    <n v="0"/>
    <n v="2"/>
    <n v="-1"/>
    <n v="0"/>
    <n v="0"/>
    <n v="0"/>
    <n v="0"/>
    <n v="0"/>
    <n v="0"/>
    <n v="0"/>
    <n v="0"/>
    <n v="0"/>
    <n v="0"/>
    <n v="0"/>
    <n v="0"/>
    <n v="0"/>
    <n v="0"/>
    <n v="0"/>
    <n v="0"/>
    <n v="0"/>
    <n v="0"/>
    <x v="0"/>
    <x v="0"/>
    <x v="1"/>
    <n v="15"/>
    <m/>
    <n v="0.25"/>
    <n v="0.25"/>
    <n v="0.25"/>
    <n v="0.25"/>
    <m/>
    <m/>
    <m/>
    <m/>
    <m/>
    <m/>
    <m/>
    <m/>
    <m/>
    <m/>
    <m/>
    <m/>
    <m/>
    <m/>
    <m/>
    <n v="1"/>
    <n v="1"/>
  </r>
  <r>
    <n v="7460"/>
    <x v="1"/>
    <s v="2020/3361"/>
    <s v="and Flat B 790, 788 Garratt Lane"/>
    <s v=""/>
    <n v="526862"/>
    <n v="171849"/>
    <x v="3"/>
    <m/>
    <m/>
    <n v="0"/>
    <n v="1"/>
    <n v="1"/>
    <n v="3"/>
    <n v="2"/>
    <x v="1"/>
    <s v="Erection of a part single and part two-storey side/rear extension, erection of a dormer roof extension to main rear slope (with French doors and safety railings) and extension above part of rear addition to facilitate the conversion of the property into 4 x 1-bedroom self contained flats at 788 Garratt Lane. Construction of a rear extension at the first floor at 790 Garratt Lane._x000a__x000a_*RE-CONSULTATION FOR AMENDED DESCRIPTION*"/>
    <s v="PF"/>
    <d v="2020-09-09T00:00:00"/>
    <d v="2021-07-13T00:00:00"/>
    <x v="0"/>
    <s v="Nil"/>
    <m/>
    <s v="BF"/>
    <s v="MIX"/>
    <x v="2"/>
    <x v="2"/>
    <n v="6.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4565"/>
    <x v="1"/>
    <s v="2022/1322"/>
    <s v="131 Penwith Road"/>
    <s v=""/>
    <n v="525828"/>
    <n v="173035"/>
    <x v="20"/>
    <m/>
    <m/>
    <n v="1"/>
    <n v="3"/>
    <n v="2"/>
    <n v="3"/>
    <n v="2"/>
    <x v="1"/>
    <s v="Demolition of the existing building and the erection of a replacement two-storey (plus roof) building, to create 3 self contained flats (2 x 1-bedroom and 1 x 2-bedroom) with formation of rear terraces at first and second floor levels with glass balustrade."/>
    <s v="PF"/>
    <d v="2022-04-05T00:00:00"/>
    <d v="2022-08-02T00:00:00"/>
    <x v="1"/>
    <s v="Nil"/>
    <m/>
    <s v="BF"/>
    <s v="NB"/>
    <x v="2"/>
    <x v="1"/>
    <n v="6.0000000000000001E-3"/>
    <m/>
    <x v="0"/>
    <m/>
    <x v="2"/>
    <s v="MR"/>
    <s v=""/>
    <m/>
    <n v="0"/>
    <m/>
    <n v="0"/>
    <m/>
    <n v="0"/>
    <n v="1"/>
    <n v="1"/>
    <n v="0"/>
    <n v="0"/>
    <n v="0"/>
    <n v="0"/>
    <n v="0"/>
    <n v="1"/>
    <n v="1"/>
    <n v="0"/>
    <n v="0"/>
    <n v="0"/>
    <n v="0"/>
    <n v="0"/>
    <n v="0"/>
    <n v="0"/>
    <n v="0"/>
    <n v="0"/>
    <n v="0"/>
    <n v="0"/>
    <n v="0"/>
    <n v="0"/>
    <n v="0"/>
    <n v="0"/>
    <n v="0"/>
    <n v="0"/>
    <n v="0"/>
    <x v="0"/>
    <x v="0"/>
    <x v="6"/>
    <n v="7"/>
    <m/>
    <m/>
    <n v="0.5"/>
    <n v="0.5"/>
    <n v="0.5"/>
    <n v="0.5"/>
    <m/>
    <m/>
    <m/>
    <m/>
    <m/>
    <m/>
    <m/>
    <m/>
    <m/>
    <m/>
    <m/>
    <m/>
    <m/>
    <m/>
    <n v="2"/>
    <n v="2"/>
  </r>
  <r>
    <n v="7528"/>
    <x v="1"/>
    <s v="2022/0643"/>
    <s v="Basement and Ground Floor, 176 Battersea Park Road"/>
    <s v=""/>
    <n v="527858"/>
    <n v="176582"/>
    <x v="17"/>
    <m/>
    <m/>
    <n v="0"/>
    <n v="1"/>
    <n v="1"/>
    <n v="1"/>
    <n v="1"/>
    <x v="1"/>
    <s v="Alterations including erection of single-storey rear extension and excavations to enlarge existing basement to facilitate the formation of 1 x 2-bedroom flat with cycle and refuse storage. Part change of use of retail unit (Class E)  to residenrtial (Class C3)."/>
    <s v="PF"/>
    <d v="2022-03-01T00:00:00"/>
    <d v="2022-08-19T00:00:00"/>
    <x v="1"/>
    <s v="Nil"/>
    <m/>
    <s v="BF"/>
    <s v="CON"/>
    <x v="2"/>
    <x v="4"/>
    <n v="5.0000000000000001E-3"/>
    <m/>
    <x v="0"/>
    <m/>
    <x v="2"/>
    <s v="MR"/>
    <s v=""/>
    <m/>
    <n v="0"/>
    <m/>
    <n v="0"/>
    <m/>
    <n v="0"/>
    <n v="0"/>
    <n v="1"/>
    <n v="0"/>
    <n v="0"/>
    <n v="0"/>
    <n v="0"/>
    <n v="0"/>
    <n v="0"/>
    <n v="1"/>
    <n v="0"/>
    <n v="0"/>
    <n v="0"/>
    <n v="0"/>
    <n v="0"/>
    <n v="0"/>
    <n v="0"/>
    <n v="0"/>
    <n v="0"/>
    <n v="0"/>
    <n v="0"/>
    <n v="0"/>
    <n v="0"/>
    <n v="0"/>
    <n v="0"/>
    <n v="0"/>
    <n v="0"/>
    <n v="0"/>
    <x v="0"/>
    <x v="0"/>
    <x v="1"/>
    <n v="15"/>
    <m/>
    <n v="0.25"/>
    <n v="0.25"/>
    <n v="0.25"/>
    <n v="0.25"/>
    <m/>
    <m/>
    <m/>
    <m/>
    <m/>
    <m/>
    <m/>
    <m/>
    <m/>
    <m/>
    <m/>
    <m/>
    <m/>
    <m/>
    <m/>
    <n v="1"/>
    <n v="1"/>
  </r>
  <r>
    <n v="6711"/>
    <x v="1"/>
    <s v="2022/3530"/>
    <s v="Basement and Ground floor, 77 Lower Richmond Road"/>
    <s v=""/>
    <n v="523785"/>
    <n v="175744"/>
    <x v="0"/>
    <m/>
    <m/>
    <n v="0"/>
    <n v="1"/>
    <n v="1"/>
    <n v="1"/>
    <n v="1"/>
    <x v="1"/>
    <s v="Alterations including excavation to enlarge basement, formation of front lightwell, erection of single-storey rear extension, re-siting of rear external staircase in connection with change of use of ground floor and basement from retail (Class E) to residential (class C3) and office (Class E) to provide 1 x 1-bedroom flat with associated bin and cycle storage at rear."/>
    <s v="PF"/>
    <d v="2022-09-26T00:00:00"/>
    <d v="2022-11-18T00:00:00"/>
    <x v="1"/>
    <s v="Nil"/>
    <m/>
    <s v="BF"/>
    <s v="COU"/>
    <x v="2"/>
    <x v="4"/>
    <n v="5.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643"/>
    <x v="1"/>
    <s v="2021/5111"/>
    <s v="Basement and Ground Floors, 200 Battersea Park Road"/>
    <s v=""/>
    <n v="527806"/>
    <n v="176545"/>
    <x v="17"/>
    <m/>
    <m/>
    <n v="0"/>
    <n v="1"/>
    <n v="1"/>
    <n v="1"/>
    <n v="1"/>
    <x v="1"/>
    <s v="Alterations including installation of rear window and door in connection with change of use from retail (Class E) to 1 x 1-bedroom flat (Class C3)."/>
    <s v="PF"/>
    <d v="2022-01-11T00:00:00"/>
    <d v="2022-02-07T00:00:00"/>
    <x v="0"/>
    <s v="Nil"/>
    <m/>
    <s v="BF"/>
    <s v="COU"/>
    <x v="2"/>
    <x v="4"/>
    <n v="2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5442"/>
    <x v="1"/>
    <s v="2013/3516"/>
    <s v="70A Ravensbury Road"/>
    <s v=""/>
    <n v="525614"/>
    <n v="172864"/>
    <x v="20"/>
    <d v="2014-03-31T00:00:00"/>
    <m/>
    <n v="0"/>
    <n v="1"/>
    <n v="1"/>
    <n v="1"/>
    <n v="1"/>
    <x v="1"/>
    <s v="Demolition of existing workshop. Erection of two-storey, 1-bedroom house with first floor level terrace to rear."/>
    <s v="PF"/>
    <d v="2013-07-15T00:00:00"/>
    <d v="2013-10-11T00:00:00"/>
    <x v="0"/>
    <s v="Nil"/>
    <m/>
    <s v="BF"/>
    <s v="NB"/>
    <x v="2"/>
    <x v="1"/>
    <n v="4.0000000000000001E-3"/>
    <m/>
    <x v="0"/>
    <m/>
    <x v="2"/>
    <s v="M"/>
    <s v=""/>
    <m/>
    <n v="0"/>
    <m/>
    <n v="0"/>
    <m/>
    <n v="0"/>
    <n v="1"/>
    <n v="0"/>
    <n v="0"/>
    <n v="0"/>
    <n v="0"/>
    <n v="0"/>
    <n v="0"/>
    <n v="0"/>
    <n v="0"/>
    <n v="0"/>
    <n v="0"/>
    <n v="0"/>
    <n v="0"/>
    <n v="0"/>
    <n v="1"/>
    <n v="0"/>
    <n v="0"/>
    <n v="0"/>
    <n v="0"/>
    <n v="0"/>
    <n v="0"/>
    <n v="0"/>
    <n v="0"/>
    <n v="0"/>
    <n v="0"/>
    <n v="0"/>
    <n v="0"/>
    <x v="0"/>
    <x v="0"/>
    <x v="6"/>
    <n v="7"/>
    <m/>
    <m/>
    <n v="0.25"/>
    <n v="0.25"/>
    <n v="0.25"/>
    <n v="0.25"/>
    <m/>
    <m/>
    <m/>
    <m/>
    <m/>
    <m/>
    <m/>
    <m/>
    <m/>
    <m/>
    <m/>
    <m/>
    <m/>
    <m/>
    <n v="1"/>
    <n v="1"/>
  </r>
  <r>
    <n v="1765"/>
    <x v="1"/>
    <s v="2018/3590"/>
    <s v="Broadway Centre, 10 Gatton Road (Broadwater Lofts)"/>
    <s v=""/>
    <n v="527401"/>
    <n v="171784"/>
    <x v="9"/>
    <m/>
    <m/>
    <n v="0"/>
    <n v="1"/>
    <n v="1"/>
    <n v="1"/>
    <n v="1"/>
    <x v="1"/>
    <s v="Alterations including formation of a front lightwell with railing surround in connection with conversion of part basement into 1 x studio flat."/>
    <s v="PF"/>
    <d v="2018-07-23T00:00:00"/>
    <d v="2018-09-17T00:00:00"/>
    <x v="0"/>
    <s v="Nil"/>
    <m/>
    <s v="BF"/>
    <s v="CON"/>
    <x v="2"/>
    <x v="2"/>
    <n v="6.0000000000000001E-3"/>
    <m/>
    <x v="0"/>
    <m/>
    <x v="2"/>
    <s v="M"/>
    <s v=""/>
    <m/>
    <n v="0"/>
    <m/>
    <n v="0"/>
    <m/>
    <n v="1"/>
    <n v="0"/>
    <n v="0"/>
    <n v="0"/>
    <n v="0"/>
    <n v="0"/>
    <n v="0"/>
    <n v="1"/>
    <n v="0"/>
    <n v="0"/>
    <n v="0"/>
    <n v="0"/>
    <n v="0"/>
    <n v="0"/>
    <n v="0"/>
    <n v="0"/>
    <n v="0"/>
    <n v="0"/>
    <n v="0"/>
    <n v="0"/>
    <n v="0"/>
    <n v="0"/>
    <n v="0"/>
    <n v="0"/>
    <n v="0"/>
    <n v="0"/>
    <n v="0"/>
    <n v="0"/>
    <x v="0"/>
    <x v="0"/>
    <x v="1"/>
    <n v="15"/>
    <m/>
    <n v="0.25"/>
    <n v="0.25"/>
    <n v="0.25"/>
    <n v="0.25"/>
    <m/>
    <m/>
    <m/>
    <m/>
    <m/>
    <m/>
    <m/>
    <m/>
    <m/>
    <m/>
    <m/>
    <m/>
    <m/>
    <m/>
    <m/>
    <n v="1"/>
    <n v="1"/>
  </r>
  <r>
    <n v="2390"/>
    <x v="1"/>
    <s v="2017/6507"/>
    <s v="Land between 1 and 3, 1a Wimbledon Park Road"/>
    <s v=""/>
    <n v="525245"/>
    <n v="174192"/>
    <x v="7"/>
    <m/>
    <m/>
    <n v="0"/>
    <n v="1"/>
    <n v="1"/>
    <n v="1"/>
    <n v="1"/>
    <x v="1"/>
    <s v="Erection of a two-storey (basement and ground floor), 4-bedroom house including sunken courtyard, off-street parking, associated landscaping and alterations to boundary treatment included raised front boundary wall and trellis."/>
    <s v="PF"/>
    <d v="2017-11-24T00:00:00"/>
    <d v="2018-04-19T00:00:00"/>
    <x v="0"/>
    <s v="Nil"/>
    <m/>
    <s v="Gdn"/>
    <s v="NB"/>
    <x v="2"/>
    <x v="1"/>
    <n v="1.7000000000000001E-2"/>
    <m/>
    <x v="0"/>
    <m/>
    <x v="2"/>
    <s v="M"/>
    <s v=""/>
    <m/>
    <n v="0"/>
    <m/>
    <n v="0"/>
    <m/>
    <n v="0"/>
    <n v="0"/>
    <n v="0"/>
    <n v="0"/>
    <n v="1"/>
    <n v="0"/>
    <n v="0"/>
    <n v="0"/>
    <n v="0"/>
    <n v="0"/>
    <n v="0"/>
    <n v="0"/>
    <n v="0"/>
    <n v="0"/>
    <n v="0"/>
    <n v="0"/>
    <n v="0"/>
    <n v="0"/>
    <n v="1"/>
    <n v="0"/>
    <n v="0"/>
    <n v="0"/>
    <n v="0"/>
    <n v="0"/>
    <n v="0"/>
    <n v="0"/>
    <n v="0"/>
    <n v="0"/>
    <x v="0"/>
    <x v="0"/>
    <x v="1"/>
    <n v="7"/>
    <m/>
    <m/>
    <n v="0.25"/>
    <n v="0.25"/>
    <n v="0.25"/>
    <n v="0.25"/>
    <m/>
    <m/>
    <m/>
    <m/>
    <m/>
    <m/>
    <m/>
    <m/>
    <m/>
    <m/>
    <m/>
    <m/>
    <m/>
    <m/>
    <n v="1"/>
    <n v="1"/>
  </r>
  <r>
    <n v="7455"/>
    <x v="1"/>
    <s v="2020/2945"/>
    <s v="First and Second Floor, 162 Battersea Park Road"/>
    <s v=""/>
    <n v="527895"/>
    <n v="176598"/>
    <x v="17"/>
    <m/>
    <m/>
    <n v="1"/>
    <n v="2"/>
    <n v="1"/>
    <n v="2"/>
    <n v="1"/>
    <x v="1"/>
    <s v="Alterations including erection of mansard roof extension to main rear roof and erection of infill to first floor extension in connection with the conversion of 1 x 4 bedroom flat into 2 x 1 bedroom flats."/>
    <s v="PF"/>
    <d v="2020-08-10T00:00:00"/>
    <d v="2021-03-16T00:00:00"/>
    <x v="0"/>
    <s v="Nil"/>
    <m/>
    <s v="BF"/>
    <s v="CON"/>
    <x v="2"/>
    <x v="7"/>
    <n v="7.0000000000000001E-3"/>
    <m/>
    <x v="0"/>
    <m/>
    <x v="2"/>
    <s v="M"/>
    <s v=""/>
    <m/>
    <n v="0"/>
    <m/>
    <n v="0"/>
    <m/>
    <n v="0"/>
    <n v="2"/>
    <n v="0"/>
    <n v="0"/>
    <n v="-1"/>
    <n v="0"/>
    <n v="0"/>
    <n v="0"/>
    <n v="2"/>
    <n v="0"/>
    <n v="0"/>
    <n v="-1"/>
    <n v="0"/>
    <n v="0"/>
    <n v="0"/>
    <n v="0"/>
    <n v="0"/>
    <n v="0"/>
    <n v="0"/>
    <n v="0"/>
    <n v="0"/>
    <n v="0"/>
    <n v="0"/>
    <n v="0"/>
    <n v="0"/>
    <n v="0"/>
    <n v="0"/>
    <n v="0"/>
    <x v="0"/>
    <x v="0"/>
    <x v="1"/>
    <n v="15"/>
    <m/>
    <n v="0.25"/>
    <n v="0.25"/>
    <n v="0.25"/>
    <n v="0.25"/>
    <m/>
    <m/>
    <m/>
    <m/>
    <m/>
    <m/>
    <m/>
    <m/>
    <m/>
    <m/>
    <m/>
    <m/>
    <m/>
    <m/>
    <m/>
    <n v="1"/>
    <n v="1"/>
  </r>
  <r>
    <n v="7248"/>
    <x v="1"/>
    <s v="2019/3459"/>
    <s v="Flat First Floor, 36a Putney High Street"/>
    <s v=""/>
    <n v="524095"/>
    <n v="175524"/>
    <x v="0"/>
    <m/>
    <m/>
    <n v="1"/>
    <n v="2"/>
    <n v="1"/>
    <n v="2"/>
    <n v="1"/>
    <x v="1"/>
    <s v="Alterations in connection with conversion of flat into 2 x 1-bedroom flats. (description incorrect as per email confirmation)"/>
    <s v="PF"/>
    <d v="2019-09-12T00:00:00"/>
    <d v="2020-06-01T00:00:00"/>
    <x v="0"/>
    <s v="Nil"/>
    <m/>
    <s v="BF"/>
    <s v="CON"/>
    <x v="2"/>
    <x v="2"/>
    <n v="7.0000000000000001E-3"/>
    <m/>
    <x v="0"/>
    <m/>
    <x v="2"/>
    <s v="M"/>
    <s v=""/>
    <m/>
    <n v="0"/>
    <m/>
    <n v="0"/>
    <m/>
    <n v="0"/>
    <n v="1"/>
    <n v="0"/>
    <n v="0"/>
    <n v="0"/>
    <n v="0"/>
    <n v="0"/>
    <n v="0"/>
    <n v="1"/>
    <n v="0"/>
    <n v="0"/>
    <n v="0"/>
    <n v="0"/>
    <n v="0"/>
    <n v="0"/>
    <n v="0"/>
    <n v="0"/>
    <n v="0"/>
    <n v="0"/>
    <n v="0"/>
    <n v="0"/>
    <n v="0"/>
    <n v="0"/>
    <n v="0"/>
    <n v="0"/>
    <n v="0"/>
    <n v="0"/>
    <n v="0"/>
    <x v="4"/>
    <x v="0"/>
    <x v="4"/>
    <n v="15"/>
    <m/>
    <n v="0.25"/>
    <n v="0.25"/>
    <n v="0.25"/>
    <n v="0.25"/>
    <m/>
    <m/>
    <m/>
    <m/>
    <m/>
    <m/>
    <m/>
    <m/>
    <m/>
    <m/>
    <m/>
    <m/>
    <m/>
    <m/>
    <m/>
    <n v="1"/>
    <n v="1"/>
  </r>
  <r>
    <n v="7846"/>
    <x v="1"/>
    <s v="2022/1986"/>
    <s v="Flat Ground Floor, 188 Trinity Road"/>
    <s v=""/>
    <n v="527522"/>
    <n v="173097"/>
    <x v="4"/>
    <m/>
    <m/>
    <n v="0"/>
    <n v="1"/>
    <n v="1"/>
    <n v="1"/>
    <n v="1"/>
    <x v="1"/>
    <s v="Alterations including erection of a two storey rear extension in connection with the conversion of basement into 1 x1 bedroom flat. Formation of a front light-well and stair access and front boundary. Installation of external stairs to garden at rear from ground level. Landscaping to rear garden including formation of rear lower level and pergola."/>
    <s v="PF"/>
    <d v="2022-06-28T00:00:00"/>
    <d v="2022-09-28T00:00:00"/>
    <x v="1"/>
    <s v="Nil"/>
    <m/>
    <s v="BF"/>
    <s v="CON"/>
    <x v="2"/>
    <x v="2"/>
    <n v="1.06E-2"/>
    <m/>
    <x v="0"/>
    <m/>
    <x v="2"/>
    <s v="M"/>
    <s v=""/>
    <m/>
    <n v="0"/>
    <m/>
    <n v="0"/>
    <m/>
    <n v="0"/>
    <n v="1"/>
    <n v="0"/>
    <n v="0"/>
    <n v="0"/>
    <n v="0"/>
    <n v="0"/>
    <n v="0"/>
    <n v="1"/>
    <n v="0"/>
    <n v="0"/>
    <n v="0"/>
    <n v="0"/>
    <n v="0"/>
    <n v="0"/>
    <n v="0"/>
    <n v="0"/>
    <n v="0"/>
    <n v="0"/>
    <n v="0"/>
    <n v="0"/>
    <n v="0"/>
    <n v="0"/>
    <n v="0"/>
    <n v="0"/>
    <n v="0"/>
    <n v="0"/>
    <n v="0"/>
    <x v="0"/>
    <x v="0"/>
    <x v="1"/>
    <n v="15"/>
    <m/>
    <n v="0.25"/>
    <n v="0.25"/>
    <n v="0.25"/>
    <n v="0.25"/>
    <m/>
    <m/>
    <m/>
    <m/>
    <m/>
    <m/>
    <m/>
    <m/>
    <m/>
    <m/>
    <m/>
    <m/>
    <m/>
    <m/>
    <m/>
    <n v="1"/>
    <n v="1"/>
  </r>
  <r>
    <n v="6212"/>
    <x v="1"/>
    <s v="2018/0885"/>
    <s v="Land rear of, 117 Fernlea Road"/>
    <s v=""/>
    <n v="529084"/>
    <n v="173102"/>
    <x v="2"/>
    <m/>
    <m/>
    <n v="0"/>
    <n v="1"/>
    <n v="1"/>
    <n v="1"/>
    <n v="1"/>
    <x v="1"/>
    <s v="Demolition of existing garage fronting Cavendish Road and erection of a single storey (plus basement and roof) 3-bedroom detached house, formation of lightwells and refuse storage."/>
    <s v="PF"/>
    <d v="2018-03-01T00:00:00"/>
    <d v="2018-04-20T00:00:00"/>
    <x v="0"/>
    <s v="Nil"/>
    <m/>
    <s v="BF"/>
    <s v="NB"/>
    <x v="2"/>
    <x v="1"/>
    <n v="2.5000000000000001E-2"/>
    <m/>
    <x v="0"/>
    <m/>
    <x v="2"/>
    <s v="M"/>
    <s v=""/>
    <m/>
    <n v="0"/>
    <m/>
    <n v="0"/>
    <m/>
    <n v="0"/>
    <n v="0"/>
    <n v="1"/>
    <n v="0"/>
    <n v="0"/>
    <n v="0"/>
    <n v="0"/>
    <n v="0"/>
    <n v="0"/>
    <n v="0"/>
    <n v="0"/>
    <n v="0"/>
    <n v="0"/>
    <n v="0"/>
    <n v="0"/>
    <n v="0"/>
    <n v="1"/>
    <n v="0"/>
    <n v="0"/>
    <n v="0"/>
    <n v="0"/>
    <n v="0"/>
    <n v="0"/>
    <n v="0"/>
    <n v="0"/>
    <n v="0"/>
    <n v="0"/>
    <n v="0"/>
    <x v="0"/>
    <x v="0"/>
    <x v="1"/>
    <n v="7"/>
    <m/>
    <m/>
    <n v="0.25"/>
    <n v="0.25"/>
    <n v="0.25"/>
    <n v="0.25"/>
    <m/>
    <m/>
    <m/>
    <m/>
    <m/>
    <m/>
    <m/>
    <m/>
    <m/>
    <m/>
    <m/>
    <m/>
    <m/>
    <m/>
    <n v="1"/>
    <n v="1"/>
  </r>
  <r>
    <n v="7871"/>
    <x v="1"/>
    <s v="2022/2900"/>
    <s v="Ground Floor, 10 Trinity Crescent"/>
    <s v=""/>
    <n v="527933"/>
    <n v="172591"/>
    <x v="4"/>
    <m/>
    <m/>
    <n v="0"/>
    <n v="1"/>
    <n v="1"/>
    <n v="1"/>
    <n v="1"/>
    <x v="1"/>
    <s v="Determination as to whether prior approval is required for change of use from Nursery (Class E) to residential (Class C3) to provide 1 x 2-bedroom flat."/>
    <s v="PAG"/>
    <d v="2022-07-11T00:00:00"/>
    <d v="2022-09-01T00:00:00"/>
    <x v="1"/>
    <s v="Nil"/>
    <m/>
    <s v="BF"/>
    <s v="COU"/>
    <x v="2"/>
    <x v="3"/>
    <n v="7.7000000000000002E-3"/>
    <m/>
    <x v="0"/>
    <m/>
    <x v="2"/>
    <s v="M"/>
    <s v=""/>
    <m/>
    <n v="0"/>
    <m/>
    <n v="0"/>
    <m/>
    <n v="0"/>
    <n v="0"/>
    <n v="1"/>
    <n v="0"/>
    <n v="0"/>
    <n v="0"/>
    <n v="0"/>
    <n v="0"/>
    <n v="0"/>
    <n v="1"/>
    <n v="0"/>
    <n v="0"/>
    <n v="0"/>
    <n v="0"/>
    <n v="0"/>
    <n v="0"/>
    <n v="0"/>
    <n v="0"/>
    <n v="0"/>
    <n v="0"/>
    <n v="0"/>
    <n v="0"/>
    <n v="0"/>
    <n v="0"/>
    <n v="0"/>
    <n v="0"/>
    <n v="0"/>
    <n v="0"/>
    <x v="0"/>
    <x v="0"/>
    <x v="1"/>
    <n v="15"/>
    <m/>
    <n v="0.25"/>
    <n v="0.25"/>
    <n v="0.25"/>
    <n v="0.25"/>
    <m/>
    <m/>
    <m/>
    <m/>
    <m/>
    <m/>
    <m/>
    <m/>
    <m/>
    <m/>
    <m/>
    <m/>
    <m/>
    <m/>
    <m/>
    <n v="1"/>
    <n v="1"/>
  </r>
  <r>
    <n v="1587"/>
    <x v="1"/>
    <s v="2017/5079"/>
    <s v="Ground floor, 280 Earlsfield Road"/>
    <s v=""/>
    <n v="526103"/>
    <n v="173307"/>
    <x v="11"/>
    <m/>
    <m/>
    <n v="0"/>
    <n v="1"/>
    <n v="1"/>
    <n v="1"/>
    <n v="1"/>
    <x v="1"/>
    <s v="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
    <s v="PF"/>
    <d v="2018-03-09T00:00:00"/>
    <d v="2018-05-18T00:00:00"/>
    <x v="0"/>
    <s v="Nil"/>
    <m/>
    <s v="BF"/>
    <s v="MIX"/>
    <x v="2"/>
    <x v="6"/>
    <n v="8.0000000000000002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664"/>
    <x v="1"/>
    <s v="2021/3248"/>
    <s v="Ground Floor, 63 Broomwood Road"/>
    <s v=""/>
    <n v="527706"/>
    <n v="174318"/>
    <x v="14"/>
    <m/>
    <m/>
    <n v="0"/>
    <n v="1"/>
    <n v="1"/>
    <n v="1"/>
    <n v="1"/>
    <x v="1"/>
    <s v="Alterations including erection of replacement single-storey rear/side extensions, in connection with a change of use of the rear part of the ground floor from retail and  ancillary storage use (Class E) to a 1-bedroom residential flat (Class C3)."/>
    <s v="PF"/>
    <d v="2021-07-08T00:00:00"/>
    <d v="2021-11-23T00:00:00"/>
    <x v="0"/>
    <s v="Nil"/>
    <m/>
    <s v="BF"/>
    <s v="MIX"/>
    <x v="2"/>
    <x v="4"/>
    <n v="5.1999999999999998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7855"/>
    <x v="1"/>
    <s v="2022/4729"/>
    <s v="Land and Building to the South of, 164C Mitcham Road (The Old Bakery)"/>
    <s v=""/>
    <n v="527835"/>
    <n v="171006"/>
    <x v="3"/>
    <m/>
    <m/>
    <n v="0"/>
    <n v="1"/>
    <n v="1"/>
    <n v="1"/>
    <n v="1"/>
    <x v="1"/>
    <s v="Alterations including erection of single, part two-storey extensions with extended roof over in connection with conversion of buildings to 1 x 2-bedroom dwellinghouse (Class C3)."/>
    <s v="PF"/>
    <d v="2022-11-29T00:00:00"/>
    <d v="2023-03-15T00:00:00"/>
    <x v="1"/>
    <s v="Nil"/>
    <m/>
    <s v="BF"/>
    <s v="CON"/>
    <x v="2"/>
    <x v="6"/>
    <n v="5.0000000000000001E-3"/>
    <m/>
    <x v="0"/>
    <m/>
    <x v="2"/>
    <s v="M"/>
    <s v=""/>
    <m/>
    <n v="0"/>
    <m/>
    <n v="0"/>
    <m/>
    <n v="0"/>
    <n v="0"/>
    <n v="1"/>
    <n v="0"/>
    <n v="0"/>
    <n v="0"/>
    <n v="0"/>
    <n v="0"/>
    <n v="0"/>
    <n v="0"/>
    <n v="0"/>
    <n v="0"/>
    <n v="0"/>
    <n v="0"/>
    <n v="0"/>
    <n v="0"/>
    <n v="1"/>
    <n v="0"/>
    <n v="0"/>
    <n v="0"/>
    <n v="0"/>
    <n v="0"/>
    <n v="0"/>
    <n v="0"/>
    <n v="0"/>
    <n v="0"/>
    <n v="0"/>
    <n v="0"/>
    <x v="0"/>
    <x v="0"/>
    <x v="3"/>
    <n v="15"/>
    <m/>
    <n v="0.25"/>
    <n v="0.25"/>
    <n v="0.25"/>
    <n v="0.25"/>
    <m/>
    <m/>
    <m/>
    <m/>
    <m/>
    <m/>
    <m/>
    <m/>
    <m/>
    <m/>
    <m/>
    <m/>
    <m/>
    <m/>
    <m/>
    <n v="1"/>
    <n v="1"/>
  </r>
  <r>
    <n v="7855"/>
    <x v="1"/>
    <s v="2022/2164"/>
    <s v="Land and Building to the South of, 164C Mitcham Road (The Old Bakery)"/>
    <s v=""/>
    <n v="527835"/>
    <n v="171006"/>
    <x v="3"/>
    <m/>
    <m/>
    <n v="0"/>
    <n v="1"/>
    <n v="1"/>
    <n v="1"/>
    <n v="1"/>
    <x v="1"/>
    <s v="Determination as to whether prior approval is required for change of use  from office (Class E) to residential (Class C3) to provide 1 x 1-bedroom house."/>
    <s v="PAG"/>
    <d v="2022-05-09T00:00:00"/>
    <d v="2022-06-30T00:00:00"/>
    <x v="1"/>
    <s v="Nil"/>
    <m/>
    <s v="BF"/>
    <s v="CON"/>
    <x v="2"/>
    <x v="6"/>
    <n v="8.0700000000000008E-3"/>
    <m/>
    <x v="0"/>
    <m/>
    <x v="2"/>
    <s v="M"/>
    <s v=""/>
    <m/>
    <n v="0"/>
    <m/>
    <n v="0"/>
    <m/>
    <n v="0"/>
    <n v="1"/>
    <n v="0"/>
    <n v="0"/>
    <n v="0"/>
    <n v="0"/>
    <n v="0"/>
    <n v="0"/>
    <n v="0"/>
    <n v="0"/>
    <n v="0"/>
    <n v="0"/>
    <n v="0"/>
    <n v="0"/>
    <n v="0"/>
    <n v="1"/>
    <n v="0"/>
    <n v="0"/>
    <n v="0"/>
    <n v="0"/>
    <n v="0"/>
    <n v="0"/>
    <n v="0"/>
    <n v="0"/>
    <n v="0"/>
    <n v="0"/>
    <n v="0"/>
    <n v="0"/>
    <x v="0"/>
    <x v="0"/>
    <x v="3"/>
    <n v="15"/>
    <m/>
    <n v="0.25"/>
    <n v="0.25"/>
    <n v="0.25"/>
    <n v="0.25"/>
    <m/>
    <m/>
    <m/>
    <m/>
    <m/>
    <m/>
    <m/>
    <m/>
    <m/>
    <m/>
    <m/>
    <m/>
    <m/>
    <m/>
    <m/>
    <n v="1"/>
    <n v="1"/>
  </r>
  <r>
    <n v="5887"/>
    <x v="1"/>
    <s v="2018/1835"/>
    <s v="2 Balham Grove"/>
    <s v=""/>
    <n v="528584"/>
    <n v="173489"/>
    <x v="2"/>
    <m/>
    <m/>
    <n v="0"/>
    <n v="1"/>
    <n v="1"/>
    <n v="1"/>
    <n v="1"/>
    <x v="1"/>
    <s v="Erection of three-storey (plus basement and habitable roofspace] 4-bedroom house with rear terraces and associated cycle and refuse storage."/>
    <s v="PF"/>
    <d v="2018-04-27T00:00:00"/>
    <d v="2018-06-07T00:00:00"/>
    <x v="0"/>
    <s v="Nil"/>
    <m/>
    <s v="BF"/>
    <s v="NB"/>
    <x v="2"/>
    <x v="1"/>
    <n v="1.4999999999999999E-2"/>
    <m/>
    <x v="0"/>
    <m/>
    <x v="2"/>
    <s v="M"/>
    <s v=""/>
    <m/>
    <n v="0"/>
    <m/>
    <n v="0"/>
    <m/>
    <n v="0"/>
    <n v="0"/>
    <n v="0"/>
    <n v="0"/>
    <n v="1"/>
    <n v="0"/>
    <n v="0"/>
    <n v="0"/>
    <n v="0"/>
    <n v="0"/>
    <n v="0"/>
    <n v="0"/>
    <n v="0"/>
    <n v="0"/>
    <n v="0"/>
    <n v="0"/>
    <n v="0"/>
    <n v="0"/>
    <n v="1"/>
    <n v="0"/>
    <n v="0"/>
    <n v="0"/>
    <n v="0"/>
    <n v="0"/>
    <n v="0"/>
    <n v="0"/>
    <n v="0"/>
    <n v="0"/>
    <x v="0"/>
    <x v="0"/>
    <x v="2"/>
    <n v="7"/>
    <m/>
    <m/>
    <n v="0.25"/>
    <n v="0.25"/>
    <n v="0.25"/>
    <n v="0.25"/>
    <m/>
    <m/>
    <m/>
    <m/>
    <m/>
    <m/>
    <m/>
    <m/>
    <m/>
    <m/>
    <m/>
    <m/>
    <m/>
    <m/>
    <n v="1"/>
    <n v="1"/>
  </r>
  <r>
    <n v="7010"/>
    <x v="1"/>
    <s v="2018/4165"/>
    <s v="One Westbury Parade, Balham Hill"/>
    <s v=""/>
    <n v="528787"/>
    <n v="174236"/>
    <x v="2"/>
    <m/>
    <m/>
    <n v="0"/>
    <n v="1"/>
    <n v="1"/>
    <n v="1"/>
    <n v="1"/>
    <x v="1"/>
    <s v="Determination as to whether prior approval is required for change of use from retail (Class A1) to single dwelling house (Class C3)."/>
    <s v="PAG"/>
    <d v="2018-08-29T00:00:00"/>
    <d v="2018-10-23T00:00:00"/>
    <x v="0"/>
    <s v="Nil"/>
    <m/>
    <s v="BF"/>
    <s v="COU"/>
    <x v="2"/>
    <x v="4"/>
    <n v="2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2517"/>
    <x v="1"/>
    <s v="2018/3232"/>
    <s v="Land rear of 144, Wandsworth High Street"/>
    <s v=""/>
    <n v="525267"/>
    <n v="174685"/>
    <x v="7"/>
    <m/>
    <m/>
    <n v="0"/>
    <n v="1"/>
    <n v="1"/>
    <n v="1"/>
    <n v="1"/>
    <x v="1"/>
    <s v="Erection of a two-storey (plus basement) 3-bedroom house with associated refuse and cycle storage."/>
    <s v="PF"/>
    <d v="2018-07-10T00:00:00"/>
    <d v="2018-10-19T00:00:00"/>
    <x v="0"/>
    <s v="Nil"/>
    <m/>
    <s v="BF"/>
    <s v="NB"/>
    <x v="2"/>
    <x v="1"/>
    <n v="8.0000000000000002E-3"/>
    <m/>
    <x v="0"/>
    <m/>
    <x v="2"/>
    <s v="M"/>
    <s v=""/>
    <m/>
    <n v="0"/>
    <m/>
    <n v="0"/>
    <m/>
    <n v="0"/>
    <n v="0"/>
    <n v="0"/>
    <n v="1"/>
    <n v="0"/>
    <n v="0"/>
    <n v="0"/>
    <n v="0"/>
    <n v="0"/>
    <n v="0"/>
    <n v="0"/>
    <n v="0"/>
    <n v="0"/>
    <n v="0"/>
    <n v="0"/>
    <n v="0"/>
    <n v="0"/>
    <n v="1"/>
    <n v="0"/>
    <n v="0"/>
    <n v="0"/>
    <n v="0"/>
    <n v="0"/>
    <n v="0"/>
    <n v="0"/>
    <n v="0"/>
    <n v="0"/>
    <n v="0"/>
    <x v="0"/>
    <x v="0"/>
    <x v="0"/>
    <n v="7"/>
    <m/>
    <m/>
    <n v="0.25"/>
    <n v="0.25"/>
    <n v="0.25"/>
    <n v="0.25"/>
    <m/>
    <m/>
    <m/>
    <m/>
    <m/>
    <m/>
    <m/>
    <m/>
    <m/>
    <m/>
    <m/>
    <m/>
    <m/>
    <m/>
    <n v="1"/>
    <n v="1"/>
  </r>
  <r>
    <n v="2684"/>
    <x v="1"/>
    <s v="2022/3642"/>
    <s v="Professional Centre School House, Franciscan Road"/>
    <s v=""/>
    <n v="527873"/>
    <n v="171365"/>
    <x v="3"/>
    <m/>
    <m/>
    <n v="0"/>
    <n v="1"/>
    <n v="1"/>
    <n v="1"/>
    <n v="1"/>
    <x v="1"/>
    <s v="Change of use from office (Class E) to residential (Class C3) in connection with provision of 1 x 3 bedroom dwelling with associated refuse store (concurrent listed building consent ref. 2022/3602)."/>
    <s v="PF"/>
    <d v="2022-09-01T00:00:00"/>
    <d v="2022-11-01T00:00:00"/>
    <x v="1"/>
    <s v="Nil"/>
    <m/>
    <s v="BF"/>
    <s v="CON"/>
    <x v="2"/>
    <x v="6"/>
    <n v="4.7499999999999999E-3"/>
    <m/>
    <x v="0"/>
    <m/>
    <x v="2"/>
    <s v="M"/>
    <s v=""/>
    <m/>
    <n v="0"/>
    <m/>
    <n v="0"/>
    <m/>
    <n v="0"/>
    <n v="0"/>
    <n v="1"/>
    <n v="0"/>
    <n v="0"/>
    <n v="0"/>
    <n v="0"/>
    <n v="0"/>
    <n v="0"/>
    <n v="0"/>
    <n v="0"/>
    <n v="0"/>
    <n v="0"/>
    <n v="0"/>
    <n v="0"/>
    <n v="0"/>
    <n v="1"/>
    <n v="0"/>
    <n v="0"/>
    <n v="0"/>
    <n v="0"/>
    <n v="0"/>
    <n v="0"/>
    <n v="0"/>
    <n v="0"/>
    <n v="0"/>
    <n v="0"/>
    <n v="0"/>
    <x v="0"/>
    <x v="0"/>
    <x v="1"/>
    <n v="15"/>
    <m/>
    <n v="0.25"/>
    <n v="0.25"/>
    <n v="0.25"/>
    <n v="0.25"/>
    <m/>
    <m/>
    <m/>
    <m/>
    <m/>
    <m/>
    <m/>
    <m/>
    <m/>
    <m/>
    <m/>
    <m/>
    <m/>
    <m/>
    <m/>
    <n v="1"/>
    <n v="1"/>
  </r>
  <r>
    <n v="7368"/>
    <x v="1"/>
    <s v="2018/4505"/>
    <s v="Garages West of 2a, 2a Isis Street"/>
    <s v=""/>
    <n v="526149"/>
    <n v="172683"/>
    <x v="10"/>
    <m/>
    <m/>
    <n v="0"/>
    <n v="1"/>
    <n v="1"/>
    <n v="1"/>
    <n v="1"/>
    <x v="1"/>
    <s v="Erection of single storey plus basement 1-bedroom house with front lightwell and associated refuse storage."/>
    <s v="PF"/>
    <d v="2018-09-19T00:00:00"/>
    <d v="2018-11-14T00:00:00"/>
    <x v="0"/>
    <s v="Nil"/>
    <m/>
    <s v="BF"/>
    <s v="NB"/>
    <x v="2"/>
    <x v="1"/>
    <n v="6.0000000000000001E-3"/>
    <m/>
    <x v="0"/>
    <m/>
    <x v="2"/>
    <s v="M"/>
    <s v=""/>
    <m/>
    <n v="0"/>
    <m/>
    <n v="0"/>
    <m/>
    <n v="0"/>
    <n v="1"/>
    <n v="0"/>
    <n v="0"/>
    <n v="0"/>
    <n v="0"/>
    <n v="0"/>
    <n v="0"/>
    <n v="0"/>
    <n v="0"/>
    <n v="0"/>
    <n v="0"/>
    <n v="0"/>
    <n v="0"/>
    <n v="0"/>
    <n v="1"/>
    <n v="0"/>
    <n v="0"/>
    <n v="0"/>
    <n v="0"/>
    <n v="0"/>
    <n v="0"/>
    <n v="0"/>
    <n v="0"/>
    <n v="0"/>
    <n v="0"/>
    <n v="0"/>
    <n v="0"/>
    <x v="0"/>
    <x v="0"/>
    <x v="6"/>
    <n v="7"/>
    <m/>
    <m/>
    <n v="0.25"/>
    <n v="0.25"/>
    <n v="0.25"/>
    <n v="0.25"/>
    <m/>
    <m/>
    <m/>
    <m/>
    <m/>
    <m/>
    <m/>
    <m/>
    <m/>
    <m/>
    <m/>
    <m/>
    <m/>
    <m/>
    <n v="1"/>
    <n v="1"/>
  </r>
  <r>
    <n v="7042"/>
    <x v="1"/>
    <s v="2018/4919"/>
    <s v="12 St Margarets Crescent"/>
    <s v=""/>
    <n v="522867"/>
    <n v="174692"/>
    <x v="18"/>
    <m/>
    <m/>
    <n v="1"/>
    <n v="1"/>
    <n v="0"/>
    <n v="1"/>
    <n v="0"/>
    <x v="1"/>
    <s v="Demolition of the existing house and and erection of replacement three-storey (plus basement) 7-bedroom house  with associated landscaping and boundary treatment, bin storage and provision for parking for two cars."/>
    <s v="PF"/>
    <d v="2018-10-23T00:00:00"/>
    <d v="2019-02-28T00:00:00"/>
    <x v="0"/>
    <s v="Nil"/>
    <m/>
    <s v="BF"/>
    <s v="NB"/>
    <x v="2"/>
    <x v="1"/>
    <n v="5.2999999999999999E-2"/>
    <m/>
    <x v="0"/>
    <m/>
    <x v="2"/>
    <s v="M"/>
    <s v=""/>
    <m/>
    <n v="0"/>
    <m/>
    <n v="0"/>
    <m/>
    <n v="0"/>
    <n v="0"/>
    <n v="0"/>
    <n v="0"/>
    <n v="-1"/>
    <n v="1"/>
    <n v="0"/>
    <n v="0"/>
    <n v="0"/>
    <n v="0"/>
    <n v="0"/>
    <n v="0"/>
    <n v="0"/>
    <n v="0"/>
    <n v="0"/>
    <n v="0"/>
    <n v="0"/>
    <n v="0"/>
    <n v="-1"/>
    <n v="1"/>
    <n v="0"/>
    <n v="0"/>
    <n v="0"/>
    <n v="0"/>
    <n v="0"/>
    <n v="0"/>
    <n v="0"/>
    <n v="0"/>
    <x v="0"/>
    <x v="0"/>
    <x v="1"/>
    <n v="7"/>
    <m/>
    <m/>
    <n v="0"/>
    <n v="0"/>
    <n v="0"/>
    <n v="0"/>
    <m/>
    <m/>
    <m/>
    <m/>
    <m/>
    <m/>
    <m/>
    <m/>
    <m/>
    <m/>
    <m/>
    <m/>
    <m/>
    <m/>
    <n v="0"/>
    <n v="0"/>
  </r>
  <r>
    <n v="6690"/>
    <x v="1"/>
    <s v="2018/5069"/>
    <s v="292 Upper Richmond Road"/>
    <s v=""/>
    <n v="523675"/>
    <n v="175182"/>
    <x v="18"/>
    <m/>
    <m/>
    <n v="0"/>
    <n v="1"/>
    <n v="1"/>
    <n v="1"/>
    <n v="1"/>
    <x v="1"/>
    <s v="Demolition of rear toilet block and erection of a single-storey (plus basement) 1-bedroom house."/>
    <s v="PF"/>
    <d v="2018-11-14T00:00:00"/>
    <d v="2019-01-21T00:00:00"/>
    <x v="0"/>
    <s v="Nil"/>
    <m/>
    <s v="BF"/>
    <s v="NB"/>
    <x v="2"/>
    <x v="1"/>
    <n v="5.0000000000000001E-3"/>
    <m/>
    <x v="0"/>
    <m/>
    <x v="2"/>
    <s v="M"/>
    <s v=""/>
    <m/>
    <n v="0"/>
    <m/>
    <n v="0"/>
    <m/>
    <n v="0"/>
    <n v="1"/>
    <n v="0"/>
    <n v="0"/>
    <n v="0"/>
    <n v="0"/>
    <n v="0"/>
    <n v="0"/>
    <n v="0"/>
    <n v="0"/>
    <n v="0"/>
    <n v="0"/>
    <n v="0"/>
    <n v="0"/>
    <n v="0"/>
    <n v="1"/>
    <n v="0"/>
    <n v="0"/>
    <n v="0"/>
    <n v="0"/>
    <n v="0"/>
    <n v="0"/>
    <n v="0"/>
    <n v="0"/>
    <n v="0"/>
    <n v="0"/>
    <n v="0"/>
    <n v="0"/>
    <x v="4"/>
    <x v="0"/>
    <x v="4"/>
    <n v="7"/>
    <m/>
    <m/>
    <n v="0.25"/>
    <n v="0.25"/>
    <n v="0.25"/>
    <n v="0.25"/>
    <m/>
    <m/>
    <m/>
    <m/>
    <m/>
    <m/>
    <m/>
    <m/>
    <m/>
    <m/>
    <m/>
    <m/>
    <m/>
    <m/>
    <n v="1"/>
    <n v="1"/>
  </r>
  <r>
    <n v="5607"/>
    <x v="1"/>
    <s v="2019/1825"/>
    <s v="Rayne House, Sudbrooke Road"/>
    <s v=""/>
    <n v="528038"/>
    <n v="174028"/>
    <x v="2"/>
    <m/>
    <m/>
    <n v="1"/>
    <n v="2"/>
    <n v="1"/>
    <n v="2"/>
    <n v="-1"/>
    <x v="1"/>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0"/>
    <s v="Nil"/>
    <m/>
    <s v="BF"/>
    <s v="MIX"/>
    <x v="2"/>
    <x v="2"/>
    <n v="1.03E-2"/>
    <m/>
    <x v="0"/>
    <m/>
    <x v="2"/>
    <s v="M"/>
    <s v=""/>
    <m/>
    <n v="0"/>
    <m/>
    <n v="0"/>
    <m/>
    <n v="0"/>
    <n v="0"/>
    <n v="1"/>
    <n v="0"/>
    <n v="0"/>
    <n v="0"/>
    <n v="0"/>
    <n v="0"/>
    <n v="0"/>
    <n v="1"/>
    <n v="0"/>
    <n v="0"/>
    <n v="0"/>
    <n v="0"/>
    <n v="0"/>
    <n v="0"/>
    <n v="0"/>
    <n v="0"/>
    <n v="0"/>
    <n v="0"/>
    <n v="0"/>
    <n v="0"/>
    <n v="0"/>
    <n v="0"/>
    <n v="0"/>
    <n v="0"/>
    <n v="0"/>
    <n v="0"/>
    <x v="0"/>
    <x v="0"/>
    <x v="1"/>
    <n v="15"/>
    <m/>
    <n v="0.25"/>
    <n v="0.25"/>
    <n v="0.25"/>
    <n v="0.25"/>
    <m/>
    <m/>
    <m/>
    <m/>
    <m/>
    <m/>
    <m/>
    <m/>
    <m/>
    <m/>
    <m/>
    <m/>
    <m/>
    <m/>
    <m/>
    <n v="1"/>
    <n v="1"/>
  </r>
  <r>
    <n v="6503"/>
    <x v="1"/>
    <s v="2018/5195"/>
    <s v="Land rear of 79, 79 Falcon Road"/>
    <s v=""/>
    <n v="527225"/>
    <n v="175866"/>
    <x v="21"/>
    <m/>
    <m/>
    <n v="0"/>
    <n v="1"/>
    <n v="1"/>
    <n v="1"/>
    <n v="1"/>
    <x v="1"/>
    <s v="Erection of two-storey 3 bedroom house (accessed from Falcon Grove) with associated boundary treatment and vehicle access."/>
    <s v="PF"/>
    <d v="2018-11-02T00:00:00"/>
    <d v="2019-03-29T00:00:00"/>
    <x v="0"/>
    <s v="Nil"/>
    <m/>
    <s v="BF"/>
    <s v="NB"/>
    <x v="2"/>
    <x v="1"/>
    <n v="3.5000000000000003E-2"/>
    <m/>
    <x v="0"/>
    <m/>
    <x v="2"/>
    <s v="M"/>
    <s v=""/>
    <m/>
    <n v="0"/>
    <n v="1"/>
    <n v="0"/>
    <m/>
    <n v="0"/>
    <n v="0"/>
    <n v="0"/>
    <n v="1"/>
    <n v="0"/>
    <n v="0"/>
    <n v="0"/>
    <n v="0"/>
    <n v="0"/>
    <n v="0"/>
    <n v="0"/>
    <n v="0"/>
    <n v="0"/>
    <n v="0"/>
    <n v="0"/>
    <n v="0"/>
    <n v="0"/>
    <n v="1"/>
    <n v="0"/>
    <n v="0"/>
    <n v="0"/>
    <n v="0"/>
    <n v="0"/>
    <n v="0"/>
    <n v="0"/>
    <n v="0"/>
    <n v="0"/>
    <n v="0"/>
    <x v="0"/>
    <x v="0"/>
    <x v="5"/>
    <n v="7"/>
    <m/>
    <m/>
    <n v="0.25"/>
    <n v="0.25"/>
    <n v="0.25"/>
    <n v="0.25"/>
    <m/>
    <m/>
    <m/>
    <m/>
    <m/>
    <m/>
    <m/>
    <m/>
    <m/>
    <m/>
    <m/>
    <m/>
    <m/>
    <m/>
    <n v="1"/>
    <n v="1"/>
  </r>
  <r>
    <n v="7532"/>
    <x v="1"/>
    <s v="2020/3753"/>
    <s v="rear of, 51-53 Northcote Road"/>
    <s v=""/>
    <n v="527567"/>
    <n v="174875"/>
    <x v="14"/>
    <m/>
    <m/>
    <n v="0"/>
    <n v="1"/>
    <n v="1"/>
    <n v="1"/>
    <n v="1"/>
    <x v="1"/>
    <s v="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
    <s v="PF"/>
    <d v="2020-10-20T00:00:00"/>
    <d v="2020-12-15T00:00:00"/>
    <x v="0"/>
    <s v="Nil"/>
    <m/>
    <s v="BF"/>
    <s v="MIX"/>
    <x v="2"/>
    <x v="4"/>
    <n v="0.01"/>
    <m/>
    <x v="0"/>
    <m/>
    <x v="2"/>
    <s v="M"/>
    <s v=""/>
    <m/>
    <n v="0"/>
    <m/>
    <n v="0"/>
    <m/>
    <n v="0"/>
    <n v="0"/>
    <n v="1"/>
    <n v="0"/>
    <n v="0"/>
    <n v="0"/>
    <n v="0"/>
    <n v="0"/>
    <n v="0"/>
    <n v="0"/>
    <n v="0"/>
    <n v="0"/>
    <n v="0"/>
    <n v="0"/>
    <n v="0"/>
    <n v="0"/>
    <n v="1"/>
    <n v="0"/>
    <n v="0"/>
    <n v="0"/>
    <n v="0"/>
    <n v="0"/>
    <n v="0"/>
    <n v="0"/>
    <n v="0"/>
    <n v="0"/>
    <n v="0"/>
    <n v="0"/>
    <x v="0"/>
    <x v="0"/>
    <x v="5"/>
    <n v="15"/>
    <m/>
    <n v="0.25"/>
    <n v="0.25"/>
    <n v="0.25"/>
    <n v="0.25"/>
    <m/>
    <m/>
    <m/>
    <m/>
    <m/>
    <m/>
    <m/>
    <m/>
    <m/>
    <m/>
    <m/>
    <m/>
    <m/>
    <m/>
    <m/>
    <n v="1"/>
    <n v="1"/>
  </r>
  <r>
    <n v="7484"/>
    <x v="1"/>
    <s v="2020/4074"/>
    <s v="St. Mary-Le-Park Court, 52 Parkgate Road"/>
    <s v=""/>
    <n v="527470"/>
    <n v="177172"/>
    <x v="17"/>
    <m/>
    <m/>
    <n v="0"/>
    <n v="1"/>
    <n v="1"/>
    <n v="1"/>
    <n v="1"/>
    <x v="1"/>
    <s v="Alterations including enlargement of 7th floor and erection of two-storey roof extension (to create 10-storey building) in connection with creation of 2 x 3-bedroom and 2 x 2-bedroom flats with terraces and associated car parking and cycle storage facilities. Replacement windows and panels and changes to ground floor doors and boundary."/>
    <s v="PF"/>
    <d v="2020-10-27T00:00:00"/>
    <d v="2021-08-06T00:00:00"/>
    <x v="0"/>
    <s v="Nil"/>
    <m/>
    <s v="BF"/>
    <s v="EXT"/>
    <x v="2"/>
    <x v="1"/>
    <n v="0.02"/>
    <m/>
    <x v="0"/>
    <m/>
    <x v="2"/>
    <s v="M"/>
    <s v=""/>
    <m/>
    <n v="0"/>
    <m/>
    <n v="0"/>
    <m/>
    <n v="0"/>
    <n v="0"/>
    <n v="0"/>
    <n v="1"/>
    <n v="0"/>
    <n v="0"/>
    <n v="0"/>
    <n v="0"/>
    <n v="0"/>
    <n v="0"/>
    <n v="1"/>
    <n v="0"/>
    <n v="0"/>
    <n v="0"/>
    <n v="0"/>
    <n v="0"/>
    <n v="0"/>
    <n v="0"/>
    <n v="0"/>
    <n v="0"/>
    <n v="0"/>
    <n v="0"/>
    <n v="0"/>
    <n v="0"/>
    <n v="0"/>
    <n v="0"/>
    <n v="0"/>
    <n v="0"/>
    <x v="0"/>
    <x v="0"/>
    <x v="8"/>
    <n v="15"/>
    <m/>
    <n v="0.25"/>
    <n v="0.25"/>
    <n v="0.25"/>
    <n v="0.25"/>
    <m/>
    <m/>
    <m/>
    <m/>
    <m/>
    <m/>
    <m/>
    <m/>
    <m/>
    <m/>
    <m/>
    <m/>
    <m/>
    <m/>
    <m/>
    <n v="1"/>
    <n v="1"/>
  </r>
  <r>
    <n v="5218"/>
    <x v="1"/>
    <s v="2018/4051"/>
    <s v="Tailors Court, 2 North Drive"/>
    <s v=""/>
    <n v="529350"/>
    <n v="171755"/>
    <x v="13"/>
    <m/>
    <m/>
    <n v="0"/>
    <n v="1"/>
    <n v="1"/>
    <n v="1"/>
    <n v="1"/>
    <x v="1"/>
    <s v="Conversion of assisted bathroom and ancillary rooms into a self-contained one-bedroom flat."/>
    <s v="PF"/>
    <d v="2018-08-21T00:00:00"/>
    <d v="2018-10-16T00:00:00"/>
    <x v="0"/>
    <s v="Nil"/>
    <m/>
    <s v="BF"/>
    <s v="COU"/>
    <x v="2"/>
    <x v="3"/>
    <n v="4.0000000000000001E-3"/>
    <m/>
    <x v="0"/>
    <m/>
    <x v="1"/>
    <s v="AS"/>
    <s v=""/>
    <m/>
    <n v="0"/>
    <m/>
    <n v="0"/>
    <m/>
    <n v="0"/>
    <n v="1"/>
    <n v="0"/>
    <n v="0"/>
    <n v="0"/>
    <n v="0"/>
    <n v="0"/>
    <n v="0"/>
    <n v="1"/>
    <n v="0"/>
    <n v="0"/>
    <n v="0"/>
    <n v="0"/>
    <n v="0"/>
    <n v="0"/>
    <n v="0"/>
    <n v="0"/>
    <n v="0"/>
    <n v="0"/>
    <n v="0"/>
    <n v="0"/>
    <n v="0"/>
    <n v="0"/>
    <n v="0"/>
    <n v="0"/>
    <n v="0"/>
    <n v="0"/>
    <n v="0"/>
    <x v="0"/>
    <x v="0"/>
    <x v="1"/>
    <n v="15"/>
    <m/>
    <n v="0.25"/>
    <n v="0.25"/>
    <n v="0.25"/>
    <n v="0.25"/>
    <m/>
    <m/>
    <m/>
    <m/>
    <m/>
    <m/>
    <m/>
    <m/>
    <m/>
    <m/>
    <m/>
    <m/>
    <m/>
    <m/>
    <m/>
    <n v="1"/>
    <n v="1"/>
  </r>
  <r>
    <n v="7898"/>
    <x v="1"/>
    <s v="2022/4122"/>
    <s v="Taylors Yard, Unit 1 Alderbrook Road"/>
    <s v=""/>
    <n v="528686"/>
    <n v="173938"/>
    <x v="2"/>
    <m/>
    <m/>
    <n v="0"/>
    <n v="1"/>
    <n v="1"/>
    <n v="1"/>
    <n v="1"/>
    <x v="1"/>
    <s v="Determination as to whether prior approval is required for change of use of office on ground and first floor (Class E) to residential (Class C3) to provide 1 x 3-bedroom dwelling."/>
    <s v="PAG"/>
    <d v="2022-10-05T00:00:00"/>
    <d v="2022-11-29T00:00:00"/>
    <x v="1"/>
    <s v="Nil"/>
    <m/>
    <s v="BF"/>
    <s v="COU"/>
    <x v="2"/>
    <x v="6"/>
    <n v="1.5100000000000001E-2"/>
    <m/>
    <x v="0"/>
    <m/>
    <x v="2"/>
    <s v="M"/>
    <s v=""/>
    <m/>
    <n v="0"/>
    <m/>
    <n v="0"/>
    <m/>
    <n v="0"/>
    <n v="0"/>
    <n v="0"/>
    <n v="1"/>
    <n v="0"/>
    <n v="0"/>
    <n v="0"/>
    <n v="0"/>
    <n v="0"/>
    <n v="0"/>
    <n v="1"/>
    <n v="0"/>
    <n v="0"/>
    <n v="0"/>
    <n v="0"/>
    <n v="0"/>
    <n v="0"/>
    <n v="0"/>
    <n v="0"/>
    <n v="0"/>
    <n v="0"/>
    <n v="0"/>
    <n v="0"/>
    <n v="0"/>
    <n v="0"/>
    <n v="0"/>
    <n v="0"/>
    <n v="0"/>
    <x v="0"/>
    <x v="0"/>
    <x v="1"/>
    <n v="15"/>
    <m/>
    <n v="0.25"/>
    <n v="0.25"/>
    <n v="0.25"/>
    <n v="0.25"/>
    <m/>
    <m/>
    <m/>
    <m/>
    <m/>
    <m/>
    <m/>
    <m/>
    <m/>
    <m/>
    <m/>
    <m/>
    <m/>
    <m/>
    <m/>
    <n v="1"/>
    <n v="1"/>
  </r>
  <r>
    <n v="6822"/>
    <x v="1"/>
    <s v="2018/0813"/>
    <s v="Unit 19 Ransomes Dock Business Centre, 35-37 Parkgate Road (Ransomes Dock Business Centre)"/>
    <s v=""/>
    <n v="527295"/>
    <n v="177182"/>
    <x v="17"/>
    <m/>
    <m/>
    <n v="0"/>
    <n v="1"/>
    <n v="1"/>
    <n v="1"/>
    <n v="1"/>
    <x v="1"/>
    <s v="Determination as to whether prior approval is required for change of use of office at first floor level (Use Class B1(a)) to residential (Use Class C3) to provide 1 x studio flat."/>
    <s v="PANR"/>
    <d v="2018-02-20T00:00:00"/>
    <d v="2018-04-06T00:00:00"/>
    <x v="0"/>
    <s v="Nil"/>
    <m/>
    <s v="BF"/>
    <s v="COU"/>
    <x v="2"/>
    <x v="6"/>
    <n v="1.4E-2"/>
    <m/>
    <x v="0"/>
    <m/>
    <x v="2"/>
    <s v="M"/>
    <s v=""/>
    <m/>
    <n v="0"/>
    <m/>
    <n v="0"/>
    <m/>
    <n v="1"/>
    <n v="0"/>
    <n v="0"/>
    <n v="0"/>
    <n v="0"/>
    <n v="0"/>
    <n v="0"/>
    <n v="1"/>
    <n v="0"/>
    <n v="0"/>
    <n v="0"/>
    <n v="0"/>
    <n v="0"/>
    <n v="0"/>
    <n v="0"/>
    <n v="0"/>
    <n v="0"/>
    <n v="0"/>
    <n v="0"/>
    <n v="0"/>
    <n v="0"/>
    <n v="0"/>
    <n v="0"/>
    <n v="0"/>
    <n v="0"/>
    <n v="0"/>
    <n v="0"/>
    <n v="0"/>
    <x v="0"/>
    <x v="0"/>
    <x v="8"/>
    <n v="15"/>
    <m/>
    <n v="0.25"/>
    <n v="0.25"/>
    <n v="0.25"/>
    <n v="0.25"/>
    <m/>
    <m/>
    <m/>
    <m/>
    <m/>
    <m/>
    <m/>
    <m/>
    <m/>
    <m/>
    <m/>
    <m/>
    <m/>
    <m/>
    <m/>
    <n v="1"/>
    <n v="1"/>
  </r>
  <r>
    <n v="5605"/>
    <x v="1"/>
    <s v="2020/0683"/>
    <s v="Unit 2 Windward House, Square Rigger Row (Plantation Wharf)"/>
    <s v=""/>
    <n v="526468"/>
    <n v="175725"/>
    <x v="5"/>
    <m/>
    <m/>
    <n v="0"/>
    <n v="1"/>
    <n v="1"/>
    <n v="1"/>
    <n v="1"/>
    <x v="1"/>
    <s v="Determination as to whether prior approval is required for change of use from Office (Class B1a) to 1 x 2-bedroom flat (Class C3)."/>
    <s v="PAG"/>
    <d v="2020-03-05T00:00:00"/>
    <d v="2020-04-17T00:00:00"/>
    <x v="0"/>
    <s v="Nil"/>
    <m/>
    <s v="BF"/>
    <s v="COU"/>
    <x v="2"/>
    <x v="6"/>
    <n v="6.0000000000000001E-3"/>
    <m/>
    <x v="0"/>
    <m/>
    <x v="2"/>
    <s v="M"/>
    <s v="10.15"/>
    <m/>
    <n v="0"/>
    <m/>
    <n v="0"/>
    <m/>
    <n v="0"/>
    <n v="0"/>
    <n v="1"/>
    <n v="0"/>
    <n v="0"/>
    <n v="0"/>
    <n v="0"/>
    <n v="0"/>
    <n v="0"/>
    <n v="1"/>
    <n v="0"/>
    <n v="0"/>
    <n v="0"/>
    <n v="0"/>
    <n v="0"/>
    <n v="0"/>
    <n v="0"/>
    <n v="0"/>
    <n v="0"/>
    <n v="0"/>
    <n v="0"/>
    <n v="0"/>
    <n v="0"/>
    <n v="0"/>
    <n v="0"/>
    <n v="0"/>
    <n v="0"/>
    <n v="0"/>
    <x v="0"/>
    <x v="0"/>
    <x v="8"/>
    <n v="15"/>
    <m/>
    <n v="0.25"/>
    <n v="0.25"/>
    <n v="0.25"/>
    <n v="0.25"/>
    <m/>
    <m/>
    <m/>
    <m/>
    <m/>
    <m/>
    <m/>
    <m/>
    <m/>
    <m/>
    <m/>
    <m/>
    <m/>
    <m/>
    <m/>
    <n v="1"/>
    <n v="1"/>
  </r>
  <r>
    <n v="4980"/>
    <x v="1"/>
    <s v="2018/0812"/>
    <s v="Unit 21-24, 35-37 Parkgate Road (Ransomes Dock Business Centre)"/>
    <s v=""/>
    <n v="527292"/>
    <n v="177189"/>
    <x v="17"/>
    <m/>
    <m/>
    <n v="0"/>
    <n v="1"/>
    <n v="1"/>
    <n v="1"/>
    <n v="1"/>
    <x v="1"/>
    <s v="Determination as to whether prior approval is required for change of use of office at second floor level (Use Class B1(a)) to residential (Use Class C3) to provide 1 x 1 bedroom flat."/>
    <s v="PANR"/>
    <d v="2018-02-20T00:00:00"/>
    <d v="2018-04-05T00:00:00"/>
    <x v="0"/>
    <s v="Nil"/>
    <m/>
    <s v="BF"/>
    <s v="COU"/>
    <x v="2"/>
    <x v="6"/>
    <n v="7.0000000000000001E-3"/>
    <m/>
    <x v="0"/>
    <m/>
    <x v="2"/>
    <s v="M"/>
    <s v=""/>
    <m/>
    <n v="0"/>
    <m/>
    <n v="0"/>
    <m/>
    <n v="0"/>
    <n v="1"/>
    <n v="0"/>
    <n v="0"/>
    <n v="0"/>
    <n v="0"/>
    <n v="0"/>
    <n v="0"/>
    <n v="1"/>
    <n v="0"/>
    <n v="0"/>
    <n v="0"/>
    <n v="0"/>
    <n v="0"/>
    <n v="0"/>
    <n v="0"/>
    <n v="0"/>
    <n v="0"/>
    <n v="0"/>
    <n v="0"/>
    <n v="0"/>
    <n v="0"/>
    <n v="0"/>
    <n v="0"/>
    <n v="0"/>
    <n v="0"/>
    <n v="0"/>
    <n v="0"/>
    <x v="0"/>
    <x v="0"/>
    <x v="8"/>
    <n v="15"/>
    <m/>
    <n v="0.25"/>
    <n v="0.25"/>
    <n v="0.25"/>
    <n v="0.25"/>
    <m/>
    <m/>
    <m/>
    <m/>
    <m/>
    <m/>
    <m/>
    <m/>
    <m/>
    <m/>
    <m/>
    <m/>
    <m/>
    <m/>
    <m/>
    <n v="1"/>
    <n v="1"/>
  </r>
  <r>
    <n v="2318"/>
    <x v="1"/>
    <s v="2018/5212"/>
    <s v="South Lodge, Putney Park Lane"/>
    <s v=""/>
    <n v="522870"/>
    <n v="174041"/>
    <x v="18"/>
    <m/>
    <m/>
    <n v="1"/>
    <n v="1"/>
    <n v="0"/>
    <n v="1"/>
    <n v="0"/>
    <x v="1"/>
    <s v="Erection of replacement two-storey 3-bedroom dwelling with associated boundary treatment."/>
    <s v="PF"/>
    <d v="2018-11-05T00:00:00"/>
    <d v="2019-02-28T00:00:00"/>
    <x v="0"/>
    <s v="Nil"/>
    <m/>
    <s v="BF"/>
    <s v="NB"/>
    <x v="2"/>
    <x v="1"/>
    <n v="1.7999999999999999E-2"/>
    <m/>
    <x v="0"/>
    <m/>
    <x v="2"/>
    <s v="M"/>
    <s v=""/>
    <m/>
    <n v="0"/>
    <m/>
    <n v="0"/>
    <m/>
    <n v="0"/>
    <n v="0"/>
    <n v="0"/>
    <n v="0"/>
    <n v="0"/>
    <n v="0"/>
    <n v="0"/>
    <n v="0"/>
    <n v="0"/>
    <n v="0"/>
    <n v="0"/>
    <n v="0"/>
    <n v="0"/>
    <n v="0"/>
    <n v="0"/>
    <n v="0"/>
    <n v="0"/>
    <n v="0"/>
    <n v="0"/>
    <n v="0"/>
    <n v="0"/>
    <n v="0"/>
    <n v="0"/>
    <n v="0"/>
    <n v="0"/>
    <n v="0"/>
    <n v="0"/>
    <n v="0"/>
    <x v="0"/>
    <x v="0"/>
    <x v="1"/>
    <n v="7"/>
    <m/>
    <m/>
    <n v="0"/>
    <n v="0"/>
    <n v="0"/>
    <n v="0"/>
    <m/>
    <m/>
    <m/>
    <m/>
    <m/>
    <m/>
    <m/>
    <m/>
    <m/>
    <m/>
    <m/>
    <m/>
    <m/>
    <m/>
    <n v="0"/>
    <n v="0"/>
  </r>
  <r>
    <n v="6523"/>
    <x v="1"/>
    <s v="2018/6143"/>
    <s v="Unit 3 Taylors Yard, 67 Alderbrook Road"/>
    <s v=""/>
    <n v="528682"/>
    <n v="173943"/>
    <x v="2"/>
    <m/>
    <m/>
    <n v="0"/>
    <n v="1"/>
    <n v="1"/>
    <n v="1"/>
    <n v="1"/>
    <x v="1"/>
    <s v="Determination as to whether prior approval is required for change of use from office (Class B1) to 1 x 1-bedroom self contained unit (Class C3)."/>
    <s v="PAG"/>
    <d v="2018-12-13T00:00:00"/>
    <d v="2019-01-30T00:00:00"/>
    <x v="0"/>
    <s v="Nil"/>
    <m/>
    <s v="BF"/>
    <s v="COU"/>
    <x v="2"/>
    <x v="6"/>
    <n v="6.0999999999999999E-2"/>
    <m/>
    <x v="0"/>
    <m/>
    <x v="2"/>
    <s v="M"/>
    <s v=""/>
    <m/>
    <n v="0"/>
    <m/>
    <n v="0"/>
    <m/>
    <n v="0"/>
    <n v="1"/>
    <n v="0"/>
    <n v="0"/>
    <n v="0"/>
    <n v="0"/>
    <n v="0"/>
    <n v="0"/>
    <n v="1"/>
    <n v="0"/>
    <n v="0"/>
    <n v="0"/>
    <n v="0"/>
    <n v="0"/>
    <n v="0"/>
    <n v="0"/>
    <n v="0"/>
    <n v="0"/>
    <n v="0"/>
    <n v="0"/>
    <n v="0"/>
    <n v="0"/>
    <n v="0"/>
    <n v="0"/>
    <n v="0"/>
    <n v="0"/>
    <n v="0"/>
    <n v="0"/>
    <x v="0"/>
    <x v="0"/>
    <x v="1"/>
    <n v="15"/>
    <m/>
    <n v="0.25"/>
    <n v="0.25"/>
    <n v="0.25"/>
    <n v="0.25"/>
    <m/>
    <m/>
    <m/>
    <m/>
    <m/>
    <m/>
    <m/>
    <m/>
    <m/>
    <m/>
    <m/>
    <m/>
    <m/>
    <m/>
    <m/>
    <n v="1"/>
    <n v="1"/>
  </r>
  <r>
    <n v="7341"/>
    <x v="1"/>
    <s v="2022/3696"/>
    <s v="Unit A, Molasses House, Clove Hitch Quay (Plantation Wharf)"/>
    <s v=""/>
    <n v="526448"/>
    <n v="175829"/>
    <x v="5"/>
    <m/>
    <m/>
    <n v="0"/>
    <n v="1"/>
    <n v="1"/>
    <n v="1"/>
    <n v="1"/>
    <x v="1"/>
    <s v="Determination as to whether prior approval is required for change of use of office at ground floor level from (Class E) to residential (Class C3) to provide 1 x 1-bedroom flat."/>
    <s v="PAG"/>
    <d v="2022-09-02T00:00:00"/>
    <d v="2022-10-21T00:00:00"/>
    <x v="1"/>
    <s v="Nil"/>
    <m/>
    <s v="BF"/>
    <s v="CON"/>
    <x v="2"/>
    <x v="6"/>
    <n v="6.4000000000000003E-3"/>
    <m/>
    <x v="0"/>
    <m/>
    <x v="2"/>
    <s v="M"/>
    <s v=""/>
    <m/>
    <n v="0"/>
    <m/>
    <n v="0"/>
    <m/>
    <n v="0"/>
    <n v="1"/>
    <n v="0"/>
    <n v="0"/>
    <n v="0"/>
    <n v="0"/>
    <n v="0"/>
    <n v="0"/>
    <n v="1"/>
    <n v="0"/>
    <n v="0"/>
    <n v="0"/>
    <n v="0"/>
    <n v="0"/>
    <n v="0"/>
    <n v="0"/>
    <n v="0"/>
    <n v="0"/>
    <n v="0"/>
    <n v="0"/>
    <n v="0"/>
    <n v="0"/>
    <n v="0"/>
    <n v="0"/>
    <n v="0"/>
    <n v="0"/>
    <n v="0"/>
    <n v="0"/>
    <x v="0"/>
    <x v="0"/>
    <x v="8"/>
    <n v="15"/>
    <m/>
    <n v="0.25"/>
    <n v="0.25"/>
    <n v="0.25"/>
    <n v="0.25"/>
    <m/>
    <m/>
    <m/>
    <m/>
    <m/>
    <m/>
    <m/>
    <m/>
    <m/>
    <m/>
    <m/>
    <m/>
    <m/>
    <m/>
    <m/>
    <n v="1"/>
    <n v="1"/>
  </r>
  <r>
    <n v="7962"/>
    <x v="1"/>
    <s v="2020/2247"/>
    <s v="1 Duchess Court Live Work Unit, 2 Dinsmore Road"/>
    <s v=""/>
    <n v="528809"/>
    <n v="173792"/>
    <x v="2"/>
    <m/>
    <m/>
    <n v="1"/>
    <n v="1"/>
    <n v="0"/>
    <n v="1"/>
    <n v="0"/>
    <x v="1"/>
    <s v="Alterations including erection of first floor extension and creation of roof terrace with 1.8m screen surround and pitched roof section to front in association with the change of use from live-work unit (C3/B1) to solely residential (C3)."/>
    <s v="PF"/>
    <d v="2020-07-09T00:00:00"/>
    <d v="2020-10-12T00:00:00"/>
    <x v="0"/>
    <s v="Nil"/>
    <m/>
    <s v="BF"/>
    <s v="COU"/>
    <x v="2"/>
    <x v="6"/>
    <n v="6.0000000000000001E-3"/>
    <m/>
    <x v="0"/>
    <m/>
    <x v="2"/>
    <s v="M"/>
    <s v=""/>
    <m/>
    <n v="0"/>
    <m/>
    <n v="0"/>
    <m/>
    <n v="0"/>
    <n v="-1"/>
    <n v="1"/>
    <n v="0"/>
    <n v="0"/>
    <n v="0"/>
    <n v="0"/>
    <n v="0"/>
    <n v="0"/>
    <n v="0"/>
    <n v="0"/>
    <n v="0"/>
    <n v="0"/>
    <n v="0"/>
    <n v="0"/>
    <n v="0"/>
    <n v="1"/>
    <n v="0"/>
    <n v="0"/>
    <n v="0"/>
    <n v="0"/>
    <n v="0"/>
    <n v="-1"/>
    <n v="0"/>
    <n v="0"/>
    <n v="0"/>
    <n v="0"/>
    <n v="0"/>
    <x v="0"/>
    <x v="0"/>
    <x v="1"/>
    <n v="15"/>
    <m/>
    <n v="0"/>
    <n v="0"/>
    <n v="0"/>
    <n v="0"/>
    <m/>
    <m/>
    <m/>
    <m/>
    <m/>
    <m/>
    <m/>
    <m/>
    <m/>
    <m/>
    <m/>
    <m/>
    <m/>
    <m/>
    <m/>
    <n v="0"/>
    <n v="0"/>
  </r>
  <r>
    <n v="7709"/>
    <x v="1"/>
    <s v="2021/2155"/>
    <s v="10 Granidson Road"/>
    <s v=""/>
    <n v="527842"/>
    <n v="174955"/>
    <x v="14"/>
    <m/>
    <m/>
    <n v="1"/>
    <n v="1"/>
    <n v="0"/>
    <n v="1"/>
    <n v="0"/>
    <x v="1"/>
    <s v="Demolition of existing dwellinghouse except for front facade and erection of three-storey (plus basement) dwellinghouse and replacement front wall and railings."/>
    <s v="PF"/>
    <d v="2021-05-28T00:00:00"/>
    <d v="2021-08-09T00:00:00"/>
    <x v="0"/>
    <s v="Nil"/>
    <m/>
    <s v="BF"/>
    <s v="MIX"/>
    <x v="2"/>
    <x v="1"/>
    <n v="6.3749999999999996E-3"/>
    <m/>
    <x v="0"/>
    <m/>
    <x v="2"/>
    <s v="M"/>
    <s v=""/>
    <m/>
    <n v="0"/>
    <m/>
    <n v="0"/>
    <m/>
    <n v="0"/>
    <n v="0"/>
    <n v="0"/>
    <n v="0"/>
    <n v="-1"/>
    <n v="1"/>
    <n v="0"/>
    <n v="0"/>
    <n v="0"/>
    <n v="0"/>
    <n v="0"/>
    <n v="0"/>
    <n v="0"/>
    <n v="0"/>
    <n v="0"/>
    <n v="0"/>
    <n v="0"/>
    <n v="0"/>
    <n v="-1"/>
    <n v="1"/>
    <n v="0"/>
    <n v="0"/>
    <n v="0"/>
    <n v="0"/>
    <n v="0"/>
    <n v="0"/>
    <n v="0"/>
    <n v="0"/>
    <x v="0"/>
    <x v="0"/>
    <x v="1"/>
    <n v="15"/>
    <m/>
    <n v="0"/>
    <n v="0"/>
    <n v="0"/>
    <n v="0"/>
    <m/>
    <m/>
    <m/>
    <m/>
    <m/>
    <m/>
    <m/>
    <m/>
    <m/>
    <m/>
    <m/>
    <m/>
    <m/>
    <m/>
    <m/>
    <n v="0"/>
    <n v="0"/>
  </r>
  <r>
    <n v="7034"/>
    <x v="1"/>
    <s v="2018/5025"/>
    <s v="111 Elspeth Road"/>
    <s v=""/>
    <n v="527877"/>
    <n v="175239"/>
    <x v="12"/>
    <m/>
    <m/>
    <n v="1"/>
    <n v="1"/>
    <n v="0"/>
    <n v="1"/>
    <n v="0"/>
    <x v="1"/>
    <s v="Change of use from dwelling house (Class C3) to 10 person House in Multiple Occupation (Sui Generis)."/>
    <s v="PF"/>
    <d v="2018-10-23T00:00:00"/>
    <d v="2018-12-18T00:00:00"/>
    <x v="0"/>
    <s v="Nil"/>
    <m/>
    <s v="BF"/>
    <s v="COU"/>
    <x v="2"/>
    <x v="12"/>
    <n v="1.2E-2"/>
    <m/>
    <x v="0"/>
    <m/>
    <x v="2"/>
    <s v="M"/>
    <s v=""/>
    <m/>
    <n v="0"/>
    <m/>
    <n v="0"/>
    <m/>
    <n v="0"/>
    <n v="0"/>
    <n v="0"/>
    <n v="0"/>
    <n v="0"/>
    <n v="0"/>
    <n v="0"/>
    <n v="0"/>
    <n v="0"/>
    <n v="0"/>
    <n v="0"/>
    <n v="0"/>
    <n v="1"/>
    <n v="0"/>
    <n v="0"/>
    <n v="0"/>
    <n v="0"/>
    <n v="0"/>
    <n v="0"/>
    <n v="-1"/>
    <n v="0"/>
    <n v="0"/>
    <n v="0"/>
    <n v="0"/>
    <n v="0"/>
    <n v="0"/>
    <n v="0"/>
    <n v="0"/>
    <x v="0"/>
    <x v="0"/>
    <x v="5"/>
    <n v="15"/>
    <m/>
    <n v="0"/>
    <n v="0"/>
    <n v="0"/>
    <n v="0"/>
    <m/>
    <m/>
    <m/>
    <m/>
    <m/>
    <m/>
    <m/>
    <m/>
    <m/>
    <m/>
    <m/>
    <m/>
    <m/>
    <m/>
    <m/>
    <n v="0"/>
    <n v="0"/>
  </r>
  <r>
    <n v="6744"/>
    <x v="1"/>
    <s v="2018/5540"/>
    <s v="Land adjacent, 101 Moring Road"/>
    <s v=""/>
    <n v="528468"/>
    <n v="171491"/>
    <x v="9"/>
    <m/>
    <m/>
    <n v="0"/>
    <n v="1"/>
    <n v="1"/>
    <n v="1"/>
    <n v="1"/>
    <x v="1"/>
    <s v="Erection of single storey (plus basement and lightwells) 1-bedroom house with associated refuse and cycle storage."/>
    <s v="PFLA"/>
    <d v="2018-12-12T00:00:00"/>
    <d v="2020-08-03T00:00:00"/>
    <x v="0"/>
    <s v="Nil"/>
    <m/>
    <s v="BF"/>
    <s v="NB"/>
    <x v="2"/>
    <x v="1"/>
    <n v="6.0000000000000001E-3"/>
    <m/>
    <x v="0"/>
    <m/>
    <x v="2"/>
    <s v="M"/>
    <s v=""/>
    <m/>
    <n v="0"/>
    <m/>
    <n v="0"/>
    <m/>
    <n v="0"/>
    <n v="1"/>
    <n v="0"/>
    <n v="0"/>
    <n v="0"/>
    <n v="0"/>
    <n v="0"/>
    <n v="0"/>
    <n v="0"/>
    <n v="0"/>
    <n v="0"/>
    <n v="0"/>
    <n v="0"/>
    <n v="0"/>
    <n v="0"/>
    <n v="1"/>
    <n v="0"/>
    <n v="0"/>
    <n v="0"/>
    <n v="0"/>
    <n v="0"/>
    <n v="0"/>
    <n v="0"/>
    <n v="0"/>
    <n v="0"/>
    <n v="0"/>
    <n v="0"/>
    <n v="0"/>
    <x v="0"/>
    <x v="0"/>
    <x v="1"/>
    <n v="7"/>
    <m/>
    <m/>
    <n v="0.25"/>
    <n v="0.25"/>
    <n v="0.25"/>
    <n v="0.25"/>
    <m/>
    <m/>
    <m/>
    <m/>
    <m/>
    <m/>
    <m/>
    <m/>
    <m/>
    <m/>
    <m/>
    <m/>
    <m/>
    <m/>
    <n v="1"/>
    <n v="1"/>
  </r>
  <r>
    <n v="3246"/>
    <x v="1"/>
    <s v="2020/1286"/>
    <s v="157 Lower Richmond Road"/>
    <s v=""/>
    <n v="523446"/>
    <n v="175860"/>
    <x v="0"/>
    <m/>
    <m/>
    <n v="1"/>
    <n v="1"/>
    <n v="0"/>
    <n v="2"/>
    <n v="1"/>
    <x v="1"/>
    <s v="Alterations in connection with conversion of existing mansard roof extension to main rear roof and roof extension above part of two storey back addition into 1 x 1-bedroom flat."/>
    <s v="PF"/>
    <d v="2020-04-07T00:00:00"/>
    <d v="2020-06-01T00:00:00"/>
    <x v="0"/>
    <s v="Nil"/>
    <m/>
    <s v="BF"/>
    <s v="MIX"/>
    <x v="2"/>
    <x v="9"/>
    <n v="4.0000000000000001E-3"/>
    <m/>
    <x v="0"/>
    <m/>
    <x v="2"/>
    <s v="M"/>
    <s v=""/>
    <m/>
    <n v="0"/>
    <m/>
    <n v="0"/>
    <m/>
    <n v="0"/>
    <n v="1"/>
    <n v="-1"/>
    <n v="0"/>
    <n v="0"/>
    <n v="0"/>
    <n v="0"/>
    <n v="0"/>
    <n v="1"/>
    <n v="-1"/>
    <n v="0"/>
    <n v="0"/>
    <n v="0"/>
    <n v="0"/>
    <n v="0"/>
    <n v="0"/>
    <n v="0"/>
    <n v="0"/>
    <n v="0"/>
    <n v="0"/>
    <n v="0"/>
    <n v="0"/>
    <n v="0"/>
    <n v="0"/>
    <n v="0"/>
    <n v="0"/>
    <n v="0"/>
    <n v="0"/>
    <x v="0"/>
    <x v="0"/>
    <x v="1"/>
    <n v="15"/>
    <m/>
    <n v="0"/>
    <n v="0"/>
    <n v="0"/>
    <n v="0"/>
    <m/>
    <m/>
    <m/>
    <m/>
    <m/>
    <m/>
    <m/>
    <m/>
    <m/>
    <m/>
    <m/>
    <m/>
    <m/>
    <m/>
    <m/>
    <n v="0"/>
    <n v="0"/>
  </r>
  <r>
    <n v="7396"/>
    <x v="1"/>
    <s v="2020/1910"/>
    <s v="161 Battersea High Street"/>
    <s v=""/>
    <n v="527053"/>
    <n v="176220"/>
    <x v="5"/>
    <m/>
    <m/>
    <n v="1"/>
    <n v="1"/>
    <n v="0"/>
    <n v="1"/>
    <n v="0"/>
    <x v="1"/>
    <s v="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
    <s v="PF"/>
    <d v="2020-06-15T00:00:00"/>
    <d v="2020-08-19T00:00:00"/>
    <x v="0"/>
    <s v="Nil"/>
    <m/>
    <s v="BF"/>
    <s v="EXT"/>
    <x v="2"/>
    <x v="4"/>
    <n v="5.0000000000000001E-3"/>
    <m/>
    <x v="0"/>
    <m/>
    <x v="2"/>
    <s v="M"/>
    <s v=""/>
    <m/>
    <n v="0"/>
    <m/>
    <n v="0"/>
    <m/>
    <n v="0"/>
    <n v="0"/>
    <n v="-1"/>
    <n v="0"/>
    <n v="1"/>
    <n v="0"/>
    <n v="0"/>
    <n v="0"/>
    <n v="0"/>
    <n v="-1"/>
    <n v="0"/>
    <n v="1"/>
    <n v="0"/>
    <n v="0"/>
    <n v="0"/>
    <n v="0"/>
    <n v="0"/>
    <n v="0"/>
    <n v="0"/>
    <n v="0"/>
    <n v="0"/>
    <n v="0"/>
    <n v="0"/>
    <n v="0"/>
    <n v="0"/>
    <n v="0"/>
    <n v="0"/>
    <n v="0"/>
    <x v="0"/>
    <x v="0"/>
    <x v="1"/>
    <n v="15"/>
    <m/>
    <n v="0"/>
    <n v="0"/>
    <n v="0"/>
    <n v="0"/>
    <m/>
    <m/>
    <m/>
    <m/>
    <m/>
    <m/>
    <m/>
    <m/>
    <m/>
    <m/>
    <m/>
    <m/>
    <m/>
    <m/>
    <m/>
    <n v="0"/>
    <n v="0"/>
  </r>
  <r>
    <n v="7024"/>
    <x v="1"/>
    <s v="2019/1908"/>
    <s v="17-19 St Anns Park Road"/>
    <s v=""/>
    <n v="526226"/>
    <n v="174119"/>
    <x v="11"/>
    <m/>
    <m/>
    <n v="5"/>
    <n v="5"/>
    <n v="0"/>
    <n v="5"/>
    <n v="0"/>
    <x v="1"/>
    <s v="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
    <s v="PF"/>
    <d v="2019-05-22T00:00:00"/>
    <d v="2019-10-29T00:00:00"/>
    <x v="0"/>
    <s v="Nil"/>
    <m/>
    <s v="BF"/>
    <s v="CON"/>
    <x v="2"/>
    <x v="7"/>
    <n v="4.3999999999999997E-2"/>
    <m/>
    <x v="0"/>
    <m/>
    <x v="2"/>
    <s v="M"/>
    <s v=""/>
    <m/>
    <n v="0"/>
    <m/>
    <n v="0"/>
    <m/>
    <n v="-1"/>
    <n v="-1"/>
    <n v="2"/>
    <n v="0"/>
    <n v="0"/>
    <n v="0"/>
    <n v="0"/>
    <n v="-1"/>
    <n v="-1"/>
    <n v="2"/>
    <n v="0"/>
    <n v="0"/>
    <n v="0"/>
    <n v="0"/>
    <n v="0"/>
    <n v="0"/>
    <n v="0"/>
    <n v="0"/>
    <n v="0"/>
    <n v="0"/>
    <n v="0"/>
    <n v="0"/>
    <n v="0"/>
    <n v="0"/>
    <n v="0"/>
    <n v="0"/>
    <n v="0"/>
    <n v="0"/>
    <x v="0"/>
    <x v="0"/>
    <x v="1"/>
    <n v="15"/>
    <m/>
    <n v="0"/>
    <n v="0"/>
    <n v="0"/>
    <n v="0"/>
    <m/>
    <m/>
    <m/>
    <m/>
    <m/>
    <m/>
    <m/>
    <m/>
    <m/>
    <m/>
    <m/>
    <m/>
    <m/>
    <m/>
    <m/>
    <n v="0"/>
    <n v="0"/>
  </r>
  <r>
    <n v="2060"/>
    <x v="1"/>
    <s v="2020/3209"/>
    <s v="181-185 Wandsworth High Street"/>
    <s v=""/>
    <n v="525346"/>
    <n v="174649"/>
    <x v="6"/>
    <m/>
    <m/>
    <n v="3"/>
    <n v="3"/>
    <n v="0"/>
    <n v="6"/>
    <n v="3"/>
    <x v="1"/>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x v="0"/>
    <s v="Nil"/>
    <m/>
    <s v="BF"/>
    <s v="MIX"/>
    <x v="2"/>
    <x v="7"/>
    <n v="6.0000000000000001E-3"/>
    <m/>
    <x v="0"/>
    <m/>
    <x v="2"/>
    <s v="M"/>
    <s v=""/>
    <m/>
    <n v="0"/>
    <m/>
    <n v="0"/>
    <m/>
    <n v="1"/>
    <n v="2"/>
    <n v="-1"/>
    <n v="-2"/>
    <n v="0"/>
    <n v="0"/>
    <n v="0"/>
    <n v="1"/>
    <n v="2"/>
    <n v="-1"/>
    <n v="-2"/>
    <n v="0"/>
    <n v="0"/>
    <n v="0"/>
    <n v="0"/>
    <n v="0"/>
    <n v="0"/>
    <n v="0"/>
    <n v="0"/>
    <n v="0"/>
    <n v="0"/>
    <n v="0"/>
    <n v="0"/>
    <n v="0"/>
    <n v="0"/>
    <n v="0"/>
    <n v="0"/>
    <n v="0"/>
    <x v="3"/>
    <x v="0"/>
    <x v="0"/>
    <n v="15"/>
    <m/>
    <n v="0"/>
    <n v="0"/>
    <n v="0"/>
    <n v="0"/>
    <m/>
    <m/>
    <m/>
    <m/>
    <m/>
    <m/>
    <m/>
    <m/>
    <m/>
    <m/>
    <m/>
    <m/>
    <m/>
    <m/>
    <m/>
    <n v="0"/>
    <n v="0"/>
  </r>
  <r>
    <n v="7134"/>
    <x v="1"/>
    <s v="2019/0922"/>
    <s v="Land rear of, 26 Roehampton High Street"/>
    <s v=""/>
    <n v="522411"/>
    <n v="173805"/>
    <x v="16"/>
    <m/>
    <m/>
    <n v="0"/>
    <n v="1"/>
    <n v="1"/>
    <n v="1"/>
    <n v="1"/>
    <x v="1"/>
    <s v="Erection of part single/part two-storey 1-bedroom house with associated boundary treatment, cycle and refuse storage."/>
    <s v="PF"/>
    <d v="2019-03-21T00:00:00"/>
    <d v="2019-10-14T00:00:00"/>
    <x v="0"/>
    <s v="Nil"/>
    <m/>
    <s v="BF"/>
    <s v="NB"/>
    <x v="2"/>
    <x v="1"/>
    <n v="6.0000000000000001E-3"/>
    <m/>
    <x v="0"/>
    <m/>
    <x v="2"/>
    <s v="M"/>
    <s v=""/>
    <m/>
    <n v="0"/>
    <m/>
    <n v="0"/>
    <m/>
    <n v="0"/>
    <n v="1"/>
    <n v="0"/>
    <n v="0"/>
    <n v="0"/>
    <n v="0"/>
    <n v="0"/>
    <n v="0"/>
    <n v="0"/>
    <n v="0"/>
    <n v="0"/>
    <n v="0"/>
    <n v="0"/>
    <n v="0"/>
    <n v="0"/>
    <n v="1"/>
    <n v="0"/>
    <n v="0"/>
    <n v="0"/>
    <n v="0"/>
    <n v="0"/>
    <n v="0"/>
    <n v="0"/>
    <n v="0"/>
    <n v="0"/>
    <n v="0"/>
    <n v="0"/>
    <n v="0"/>
    <x v="0"/>
    <x v="0"/>
    <x v="9"/>
    <n v="7"/>
    <m/>
    <m/>
    <n v="0.25"/>
    <n v="0.25"/>
    <n v="0.25"/>
    <n v="0.25"/>
    <m/>
    <m/>
    <m/>
    <m/>
    <m/>
    <m/>
    <m/>
    <m/>
    <m/>
    <m/>
    <m/>
    <m/>
    <m/>
    <m/>
    <n v="1"/>
    <n v="1"/>
  </r>
  <r>
    <n v="2274"/>
    <x v="1"/>
    <s v="2019/2196"/>
    <s v="Land adj. 206, 206 Franciscan Road (204)"/>
    <s v=""/>
    <n v="527891"/>
    <n v="171427"/>
    <x v="9"/>
    <m/>
    <m/>
    <n v="0"/>
    <n v="1"/>
    <n v="1"/>
    <n v="1"/>
    <n v="1"/>
    <x v="1"/>
    <s v="Erection of two-storey dwellinghouse with roof level accommodation."/>
    <s v="PF"/>
    <d v="2019-05-21T00:00:00"/>
    <d v="2019-07-16T00:00:00"/>
    <x v="0"/>
    <s v="Nil"/>
    <m/>
    <s v="BF"/>
    <s v="NB"/>
    <x v="2"/>
    <x v="1"/>
    <n v="1.7999999999999999E-2"/>
    <m/>
    <x v="0"/>
    <m/>
    <x v="2"/>
    <s v="M"/>
    <s v=""/>
    <m/>
    <n v="0"/>
    <m/>
    <n v="0"/>
    <m/>
    <n v="0"/>
    <n v="0"/>
    <n v="0"/>
    <n v="1"/>
    <n v="0"/>
    <n v="0"/>
    <n v="0"/>
    <n v="0"/>
    <n v="0"/>
    <n v="0"/>
    <n v="0"/>
    <n v="0"/>
    <n v="0"/>
    <n v="0"/>
    <n v="0"/>
    <n v="0"/>
    <n v="0"/>
    <n v="1"/>
    <n v="0"/>
    <n v="0"/>
    <n v="0"/>
    <n v="0"/>
    <n v="0"/>
    <n v="0"/>
    <n v="0"/>
    <n v="0"/>
    <n v="0"/>
    <n v="0"/>
    <x v="0"/>
    <x v="0"/>
    <x v="1"/>
    <n v="7"/>
    <m/>
    <m/>
    <n v="0.25"/>
    <n v="0.25"/>
    <n v="0.25"/>
    <n v="0.25"/>
    <m/>
    <m/>
    <m/>
    <m/>
    <m/>
    <m/>
    <m/>
    <m/>
    <m/>
    <m/>
    <m/>
    <m/>
    <m/>
    <m/>
    <n v="1"/>
    <n v="1"/>
  </r>
  <r>
    <n v="5699"/>
    <x v="1"/>
    <s v="2019/2929"/>
    <s v="Land Adjacent, 33 Vandyke Close"/>
    <s v=""/>
    <n v="523902"/>
    <n v="174030"/>
    <x v="7"/>
    <m/>
    <m/>
    <n v="0"/>
    <n v="1"/>
    <n v="1"/>
    <n v="1"/>
    <n v="1"/>
    <x v="1"/>
    <s v="Erection of two storey 2-bedroom house with first floor level rear terrace, associated cycle and bin storage."/>
    <s v="PF"/>
    <d v="2019-07-17T00:00:00"/>
    <d v="2019-10-04T00:00:00"/>
    <x v="0"/>
    <s v="Nil"/>
    <m/>
    <s v="BF"/>
    <s v="NB"/>
    <x v="2"/>
    <x v="1"/>
    <n v="1.0999999999999999E-2"/>
    <m/>
    <x v="0"/>
    <m/>
    <x v="2"/>
    <s v="M"/>
    <s v=""/>
    <m/>
    <n v="0"/>
    <m/>
    <n v="0"/>
    <m/>
    <n v="0"/>
    <n v="0"/>
    <n v="1"/>
    <n v="0"/>
    <n v="0"/>
    <n v="0"/>
    <n v="0"/>
    <n v="0"/>
    <n v="0"/>
    <n v="0"/>
    <n v="0"/>
    <n v="0"/>
    <n v="0"/>
    <n v="0"/>
    <n v="0"/>
    <n v="0"/>
    <n v="1"/>
    <n v="0"/>
    <n v="0"/>
    <n v="0"/>
    <n v="0"/>
    <n v="0"/>
    <n v="0"/>
    <n v="0"/>
    <n v="0"/>
    <n v="0"/>
    <n v="0"/>
    <n v="0"/>
    <x v="0"/>
    <x v="0"/>
    <x v="1"/>
    <n v="7"/>
    <m/>
    <m/>
    <n v="0.25"/>
    <n v="0.25"/>
    <n v="0.25"/>
    <n v="0.25"/>
    <m/>
    <m/>
    <m/>
    <m/>
    <m/>
    <m/>
    <m/>
    <m/>
    <m/>
    <m/>
    <m/>
    <m/>
    <m/>
    <m/>
    <n v="1"/>
    <n v="1"/>
  </r>
  <r>
    <n v="5995"/>
    <x v="1"/>
    <s v="2019/3077"/>
    <s v="3 Roedean Crescent"/>
    <s v=""/>
    <n v="521248"/>
    <n v="174669"/>
    <x v="16"/>
    <m/>
    <m/>
    <n v="1"/>
    <n v="1"/>
    <n v="0"/>
    <n v="1"/>
    <n v="0"/>
    <x v="1"/>
    <s v="Demolition of existing property and erection of two storey (plus roof and basement) 7-bedroom house with associated parking and boundary treatment."/>
    <s v="PF"/>
    <d v="2019-08-09T00:00:00"/>
    <d v="2019-09-26T00:00:00"/>
    <x v="0"/>
    <s v="Nil"/>
    <m/>
    <s v="BF"/>
    <s v="NB"/>
    <x v="2"/>
    <x v="1"/>
    <n v="0.123"/>
    <m/>
    <x v="0"/>
    <m/>
    <x v="2"/>
    <s v="M"/>
    <s v=""/>
    <m/>
    <n v="0"/>
    <m/>
    <n v="0"/>
    <m/>
    <n v="0"/>
    <n v="0"/>
    <n v="0"/>
    <n v="0"/>
    <n v="0"/>
    <n v="0"/>
    <n v="0"/>
    <n v="0"/>
    <n v="0"/>
    <n v="0"/>
    <n v="0"/>
    <n v="0"/>
    <n v="0"/>
    <n v="0"/>
    <n v="0"/>
    <n v="0"/>
    <n v="0"/>
    <n v="0"/>
    <n v="0"/>
    <n v="0"/>
    <n v="0"/>
    <n v="0"/>
    <n v="0"/>
    <n v="0"/>
    <n v="0"/>
    <n v="0"/>
    <n v="0"/>
    <n v="0"/>
    <x v="0"/>
    <x v="0"/>
    <x v="1"/>
    <n v="7"/>
    <m/>
    <m/>
    <n v="0"/>
    <n v="0"/>
    <n v="0"/>
    <n v="0"/>
    <m/>
    <m/>
    <m/>
    <m/>
    <m/>
    <m/>
    <m/>
    <m/>
    <m/>
    <m/>
    <m/>
    <m/>
    <m/>
    <m/>
    <n v="0"/>
    <n v="0"/>
  </r>
  <r>
    <n v="5353"/>
    <x v="1"/>
    <s v="2021/3214"/>
    <s v="218 Tooting High Street"/>
    <s v=""/>
    <n v="527084"/>
    <n v="170956"/>
    <x v="3"/>
    <m/>
    <m/>
    <n v="1"/>
    <n v="1"/>
    <n v="0"/>
    <n v="1"/>
    <n v="0"/>
    <x v="1"/>
    <s v="Erection of two storey rear building with link to main front building and first floor terraces, provision of cycle and bin storage. Change of use of rear ground floor of front building from residential (C3) to commercial (A1) in connection with provision of 1 x 3 bedroom unit."/>
    <s v="PF"/>
    <d v="2021-08-04T00:00:00"/>
    <d v="2021-11-03T00:00:00"/>
    <x v="0"/>
    <s v="Nil"/>
    <m/>
    <s v="BF"/>
    <s v="MIX"/>
    <x v="2"/>
    <x v="4"/>
    <n v="1.17E-2"/>
    <m/>
    <x v="0"/>
    <m/>
    <x v="2"/>
    <s v="M"/>
    <s v=""/>
    <m/>
    <n v="0"/>
    <m/>
    <n v="0"/>
    <m/>
    <n v="0"/>
    <n v="0"/>
    <n v="-1"/>
    <n v="1"/>
    <n v="0"/>
    <n v="0"/>
    <n v="0"/>
    <n v="0"/>
    <n v="0"/>
    <n v="-1"/>
    <n v="0"/>
    <n v="0"/>
    <n v="0"/>
    <n v="0"/>
    <n v="0"/>
    <n v="0"/>
    <n v="0"/>
    <n v="1"/>
    <n v="0"/>
    <n v="0"/>
    <n v="0"/>
    <n v="0"/>
    <n v="0"/>
    <n v="0"/>
    <n v="0"/>
    <n v="0"/>
    <n v="0"/>
    <n v="0"/>
    <x v="0"/>
    <x v="0"/>
    <x v="1"/>
    <n v="15"/>
    <m/>
    <n v="0"/>
    <n v="0"/>
    <n v="0"/>
    <n v="0"/>
    <m/>
    <m/>
    <m/>
    <m/>
    <m/>
    <m/>
    <m/>
    <m/>
    <m/>
    <m/>
    <m/>
    <m/>
    <m/>
    <m/>
    <m/>
    <n v="0"/>
    <n v="0"/>
  </r>
  <r>
    <n v="7300"/>
    <x v="1"/>
    <s v="2019/4559"/>
    <s v="5 Queensmere Road"/>
    <s v=""/>
    <n v="523807"/>
    <n v="172574"/>
    <x v="19"/>
    <m/>
    <m/>
    <n v="0"/>
    <n v="1"/>
    <n v="1"/>
    <n v="1"/>
    <n v="1"/>
    <x v="1"/>
    <s v="Erection of 2-storey 5-bedroom detached house."/>
    <s v="PF"/>
    <d v="2019-11-20T00:00:00"/>
    <d v="2020-10-20T00:00:00"/>
    <x v="0"/>
    <s v="Nil"/>
    <m/>
    <s v="BF"/>
    <s v="NB"/>
    <x v="2"/>
    <x v="1"/>
    <n v="0.01"/>
    <m/>
    <x v="0"/>
    <m/>
    <x v="2"/>
    <s v="M"/>
    <s v=""/>
    <m/>
    <n v="0"/>
    <m/>
    <n v="0"/>
    <m/>
    <n v="0"/>
    <n v="0"/>
    <n v="0"/>
    <n v="0"/>
    <n v="0"/>
    <n v="1"/>
    <n v="0"/>
    <n v="0"/>
    <n v="0"/>
    <n v="0"/>
    <n v="0"/>
    <n v="0"/>
    <n v="0"/>
    <n v="0"/>
    <n v="0"/>
    <n v="0"/>
    <n v="0"/>
    <n v="0"/>
    <n v="0"/>
    <n v="1"/>
    <n v="0"/>
    <n v="0"/>
    <n v="0"/>
    <n v="0"/>
    <n v="0"/>
    <n v="0"/>
    <n v="0"/>
    <n v="0"/>
    <x v="0"/>
    <x v="0"/>
    <x v="1"/>
    <n v="7"/>
    <m/>
    <m/>
    <n v="0.25"/>
    <n v="0.25"/>
    <n v="0.25"/>
    <n v="0.25"/>
    <m/>
    <m/>
    <m/>
    <m/>
    <m/>
    <m/>
    <m/>
    <m/>
    <m/>
    <m/>
    <m/>
    <m/>
    <m/>
    <m/>
    <n v="1"/>
    <n v="1"/>
  </r>
  <r>
    <n v="211"/>
    <x v="1"/>
    <s v="2019/4916"/>
    <s v="Land front of, 1-3 Candahar Road"/>
    <s v=""/>
    <n v="527282"/>
    <n v="176235"/>
    <x v="21"/>
    <m/>
    <m/>
    <n v="0"/>
    <n v="1"/>
    <n v="1"/>
    <n v="1"/>
    <n v="1"/>
    <x v="1"/>
    <s v="Erection of three-storey three bedroom house with associated bin and cycle storage."/>
    <s v="PF"/>
    <d v="2019-12-05T00:00:00"/>
    <d v="2020-01-07T00:00:00"/>
    <x v="0"/>
    <s v="Nil"/>
    <m/>
    <s v="BF"/>
    <s v="NB"/>
    <x v="2"/>
    <x v="1"/>
    <n v="0.107"/>
    <m/>
    <x v="0"/>
    <m/>
    <x v="2"/>
    <s v="M"/>
    <s v=""/>
    <m/>
    <n v="0"/>
    <m/>
    <n v="0"/>
    <m/>
    <n v="0"/>
    <n v="0"/>
    <n v="0"/>
    <n v="1"/>
    <n v="0"/>
    <n v="0"/>
    <n v="0"/>
    <n v="0"/>
    <n v="0"/>
    <n v="0"/>
    <n v="0"/>
    <n v="0"/>
    <n v="0"/>
    <n v="0"/>
    <n v="0"/>
    <n v="0"/>
    <n v="0"/>
    <n v="1"/>
    <n v="0"/>
    <n v="0"/>
    <n v="0"/>
    <n v="0"/>
    <n v="0"/>
    <n v="0"/>
    <n v="0"/>
    <n v="0"/>
    <n v="0"/>
    <n v="0"/>
    <x v="0"/>
    <x v="0"/>
    <x v="1"/>
    <n v="7"/>
    <m/>
    <m/>
    <n v="0.25"/>
    <n v="0.25"/>
    <n v="0.25"/>
    <n v="0.25"/>
    <m/>
    <m/>
    <m/>
    <m/>
    <m/>
    <m/>
    <m/>
    <m/>
    <m/>
    <m/>
    <m/>
    <m/>
    <m/>
    <m/>
    <n v="1"/>
    <n v="1"/>
  </r>
  <r>
    <n v="3268"/>
    <x v="1"/>
    <s v="2019/5429"/>
    <s v="Land adjoining 37, Gracedale Road"/>
    <s v=""/>
    <n v="528819"/>
    <n v="171232"/>
    <x v="13"/>
    <m/>
    <m/>
    <n v="0"/>
    <n v="1"/>
    <n v="1"/>
    <n v="1"/>
    <n v="1"/>
    <x v="1"/>
    <s v="Erection of a single-storey 2-bedroom dwelling house with basement."/>
    <s v="PF"/>
    <d v="2020-01-15T00:00:00"/>
    <d v="2020-02-10T00:00:00"/>
    <x v="0"/>
    <s v="Nil"/>
    <m/>
    <s v="BF"/>
    <s v="NB"/>
    <x v="2"/>
    <x v="1"/>
    <n v="8.0000000000000002E-3"/>
    <m/>
    <x v="0"/>
    <m/>
    <x v="2"/>
    <s v="M"/>
    <s v=""/>
    <m/>
    <n v="0"/>
    <m/>
    <n v="0"/>
    <m/>
    <n v="0"/>
    <n v="0"/>
    <n v="1"/>
    <n v="0"/>
    <n v="0"/>
    <n v="0"/>
    <n v="0"/>
    <n v="0"/>
    <n v="0"/>
    <n v="0"/>
    <n v="0"/>
    <n v="0"/>
    <n v="0"/>
    <n v="0"/>
    <n v="0"/>
    <n v="0"/>
    <n v="1"/>
    <n v="0"/>
    <n v="0"/>
    <n v="0"/>
    <n v="0"/>
    <n v="0"/>
    <n v="0"/>
    <n v="0"/>
    <n v="0"/>
    <n v="0"/>
    <n v="0"/>
    <n v="0"/>
    <x v="0"/>
    <x v="0"/>
    <x v="1"/>
    <n v="7"/>
    <m/>
    <m/>
    <n v="0.25"/>
    <n v="0.25"/>
    <n v="0.25"/>
    <n v="0.25"/>
    <m/>
    <m/>
    <m/>
    <m/>
    <m/>
    <m/>
    <m/>
    <m/>
    <m/>
    <m/>
    <m/>
    <m/>
    <m/>
    <m/>
    <n v="1"/>
    <n v="1"/>
  </r>
  <r>
    <n v="7953"/>
    <x v="1"/>
    <s v="2023/0349"/>
    <s v="32 Avarn Road"/>
    <s v=""/>
    <n v="527838"/>
    <n v="170943"/>
    <x v="3"/>
    <m/>
    <m/>
    <n v="1"/>
    <n v="1"/>
    <n v="0"/>
    <n v="1"/>
    <n v="0"/>
    <x v="1"/>
    <s v="Alterations including erection of mansard roof extension to main rear roof (with French doors and safety railings) and extension above part of two-storey back addition; Formation of roof terrace above two-storey back addition with 1.7m _x000a_high screen surround in connection with the change of use from first floor flat (Class C3) into a four bedroom HMO (Class C4)."/>
    <s v="PF"/>
    <d v="2023-02-01T00:00:00"/>
    <d v="2023-03-29T00:00:00"/>
    <x v="1"/>
    <s v="Nil"/>
    <m/>
    <s v="BF"/>
    <s v="MIX"/>
    <x v="2"/>
    <x v="2"/>
    <n v="5.45E-3"/>
    <m/>
    <x v="0"/>
    <m/>
    <x v="2"/>
    <s v="MR"/>
    <s v=""/>
    <m/>
    <n v="0"/>
    <m/>
    <n v="0"/>
    <m/>
    <n v="0"/>
    <n v="0"/>
    <n v="-1"/>
    <n v="0"/>
    <n v="1"/>
    <n v="0"/>
    <n v="0"/>
    <n v="0"/>
    <n v="0"/>
    <n v="-1"/>
    <n v="0"/>
    <n v="1"/>
    <n v="0"/>
    <n v="0"/>
    <n v="0"/>
    <n v="0"/>
    <n v="0"/>
    <n v="0"/>
    <n v="0"/>
    <n v="0"/>
    <n v="0"/>
    <n v="0"/>
    <n v="0"/>
    <n v="0"/>
    <n v="0"/>
    <n v="0"/>
    <n v="0"/>
    <n v="0"/>
    <x v="0"/>
    <x v="0"/>
    <x v="1"/>
    <n v="15"/>
    <m/>
    <n v="0"/>
    <n v="0"/>
    <n v="0"/>
    <n v="0"/>
    <m/>
    <m/>
    <m/>
    <m/>
    <m/>
    <m/>
    <m/>
    <m/>
    <m/>
    <m/>
    <m/>
    <m/>
    <m/>
    <m/>
    <m/>
    <n v="0"/>
    <n v="0"/>
  </r>
  <r>
    <n v="7697"/>
    <x v="1"/>
    <s v="2021/3391"/>
    <s v="32 Gaskarth Road"/>
    <s v=""/>
    <n v="528911"/>
    <n v="174102"/>
    <x v="2"/>
    <m/>
    <m/>
    <n v="1"/>
    <n v="1"/>
    <n v="0"/>
    <n v="1"/>
    <n v="0"/>
    <x v="1"/>
    <s v="Use of the property as House of Multiple Occupation (HMO) for five people."/>
    <s v="LDC Prop"/>
    <d v="2021-07-27T00:00:00"/>
    <d v="2021-09-21T00:00:00"/>
    <x v="0"/>
    <s v="Nil"/>
    <m/>
    <s v="BF"/>
    <s v="COU"/>
    <x v="2"/>
    <x v="10"/>
    <n v="1.23E-2"/>
    <m/>
    <x v="0"/>
    <m/>
    <x v="2"/>
    <s v="MR"/>
    <s v=""/>
    <m/>
    <n v="0"/>
    <m/>
    <n v="0"/>
    <m/>
    <n v="0"/>
    <n v="0"/>
    <n v="0"/>
    <n v="0"/>
    <n v="0"/>
    <n v="0"/>
    <n v="0"/>
    <n v="0"/>
    <n v="0"/>
    <n v="0"/>
    <n v="0"/>
    <n v="0"/>
    <n v="0"/>
    <n v="0"/>
    <n v="0"/>
    <n v="0"/>
    <n v="0"/>
    <n v="0"/>
    <n v="0"/>
    <n v="0"/>
    <n v="0"/>
    <n v="0"/>
    <n v="0"/>
    <n v="0"/>
    <n v="0"/>
    <n v="0"/>
    <n v="0"/>
    <n v="0"/>
    <x v="0"/>
    <x v="0"/>
    <x v="1"/>
    <n v="15"/>
    <m/>
    <n v="0"/>
    <n v="0"/>
    <n v="0"/>
    <n v="0"/>
    <m/>
    <m/>
    <m/>
    <m/>
    <m/>
    <m/>
    <m/>
    <m/>
    <m/>
    <m/>
    <m/>
    <m/>
    <m/>
    <m/>
    <m/>
    <n v="0"/>
    <n v="0"/>
  </r>
  <r>
    <n v="7533"/>
    <x v="1"/>
    <s v="2020/4264"/>
    <s v="373 Upper Richmond Road"/>
    <s v=""/>
    <n v="522503"/>
    <n v="175408"/>
    <x v="18"/>
    <m/>
    <m/>
    <n v="1"/>
    <n v="1"/>
    <n v="0"/>
    <n v="1"/>
    <n v="0"/>
    <x v="1"/>
    <s v="Alterations including erection of dormer extension to main rear roof, Erection of single storey outbuilding for storage and office use. Relocation of external staircase."/>
    <s v="PF"/>
    <d v="2020-11-10T00:00:00"/>
    <d v="2021-01-04T00:00:00"/>
    <x v="0"/>
    <s v="Nil"/>
    <m/>
    <s v="BF"/>
    <s v="EXT"/>
    <x v="2"/>
    <x v="11"/>
    <n v="3.0000000000000001E-3"/>
    <m/>
    <x v="0"/>
    <m/>
    <x v="2"/>
    <s v="M"/>
    <s v=""/>
    <m/>
    <n v="0"/>
    <m/>
    <n v="0"/>
    <m/>
    <n v="0"/>
    <n v="-1"/>
    <n v="0"/>
    <n v="1"/>
    <n v="0"/>
    <n v="0"/>
    <n v="0"/>
    <n v="0"/>
    <n v="-1"/>
    <n v="0"/>
    <n v="1"/>
    <n v="0"/>
    <n v="0"/>
    <n v="0"/>
    <n v="0"/>
    <n v="0"/>
    <n v="0"/>
    <n v="0"/>
    <n v="0"/>
    <n v="0"/>
    <n v="0"/>
    <n v="0"/>
    <n v="0"/>
    <n v="0"/>
    <n v="0"/>
    <n v="0"/>
    <n v="0"/>
    <n v="0"/>
    <x v="0"/>
    <x v="0"/>
    <x v="1"/>
    <n v="15"/>
    <m/>
    <n v="0"/>
    <n v="0"/>
    <n v="0"/>
    <n v="0"/>
    <m/>
    <m/>
    <m/>
    <m/>
    <m/>
    <m/>
    <m/>
    <m/>
    <m/>
    <m/>
    <m/>
    <m/>
    <m/>
    <m/>
    <m/>
    <n v="0"/>
    <n v="0"/>
  </r>
  <r>
    <n v="7830"/>
    <x v="1"/>
    <s v="2022/1603"/>
    <s v="39 Southolm Street"/>
    <s v=""/>
    <n v="528791"/>
    <n v="176757"/>
    <x v="1"/>
    <m/>
    <m/>
    <n v="1"/>
    <n v="1"/>
    <n v="0"/>
    <n v="1"/>
    <n v="0"/>
    <x v="1"/>
    <s v="Alterations including erection of a three-storey side/rear extension, roof terrace at third floor level and dormer extension to main rear roof in connection with the change of use from single dwellinghouse (Class C3) into a six bedroom HMO (Sui Generis)."/>
    <s v="PF"/>
    <d v="2022-05-24T00:00:00"/>
    <d v="2022-09-15T00:00:00"/>
    <x v="1"/>
    <s v="Nil"/>
    <m/>
    <s v="BF"/>
    <s v="MIX"/>
    <x v="2"/>
    <x v="5"/>
    <n v="3.725E-3"/>
    <m/>
    <x v="0"/>
    <m/>
    <x v="2"/>
    <s v="MR"/>
    <s v=""/>
    <m/>
    <n v="0"/>
    <m/>
    <n v="0"/>
    <m/>
    <n v="0"/>
    <n v="0"/>
    <n v="0"/>
    <n v="0"/>
    <n v="-1"/>
    <n v="1"/>
    <n v="0"/>
    <n v="0"/>
    <n v="0"/>
    <n v="0"/>
    <n v="0"/>
    <n v="0"/>
    <n v="1"/>
    <n v="0"/>
    <n v="0"/>
    <n v="0"/>
    <n v="0"/>
    <n v="0"/>
    <n v="-1"/>
    <n v="0"/>
    <n v="0"/>
    <n v="0"/>
    <n v="0"/>
    <n v="0"/>
    <n v="0"/>
    <n v="0"/>
    <n v="0"/>
    <n v="0"/>
    <x v="0"/>
    <x v="1"/>
    <x v="7"/>
    <n v="15"/>
    <m/>
    <n v="0"/>
    <n v="0"/>
    <n v="0"/>
    <n v="0"/>
    <m/>
    <m/>
    <m/>
    <m/>
    <m/>
    <m/>
    <m/>
    <m/>
    <m/>
    <m/>
    <m/>
    <m/>
    <m/>
    <m/>
    <m/>
    <n v="0"/>
    <n v="0"/>
  </r>
  <r>
    <n v="5684"/>
    <x v="1"/>
    <s v="2019/5524"/>
    <s v="20 Routh Road"/>
    <s v=""/>
    <n v="527218"/>
    <n v="173669"/>
    <x v="10"/>
    <m/>
    <m/>
    <n v="1"/>
    <n v="1"/>
    <n v="0"/>
    <n v="1"/>
    <n v="0"/>
    <x v="1"/>
    <s v="Demolition of existing property; erection of replacement two-storey house with accommodation at roof level."/>
    <s v="PF"/>
    <d v="2020-01-21T00:00:00"/>
    <d v="2020-02-27T00:00:00"/>
    <x v="0"/>
    <s v="Nil"/>
    <m/>
    <s v="BF"/>
    <s v="NB"/>
    <x v="2"/>
    <x v="1"/>
    <n v="4.7E-2"/>
    <m/>
    <x v="0"/>
    <m/>
    <x v="2"/>
    <s v="M"/>
    <s v=""/>
    <m/>
    <n v="0"/>
    <m/>
    <n v="0"/>
    <m/>
    <n v="0"/>
    <n v="0"/>
    <n v="0"/>
    <n v="-1"/>
    <n v="1"/>
    <n v="0"/>
    <n v="0"/>
    <n v="0"/>
    <n v="0"/>
    <n v="0"/>
    <n v="0"/>
    <n v="0"/>
    <n v="0"/>
    <n v="0"/>
    <n v="0"/>
    <n v="0"/>
    <n v="0"/>
    <n v="-1"/>
    <n v="1"/>
    <n v="0"/>
    <n v="0"/>
    <n v="0"/>
    <n v="0"/>
    <n v="0"/>
    <n v="0"/>
    <n v="0"/>
    <n v="0"/>
    <n v="0"/>
    <x v="0"/>
    <x v="0"/>
    <x v="1"/>
    <n v="7"/>
    <m/>
    <m/>
    <n v="0"/>
    <n v="0"/>
    <n v="0"/>
    <n v="0"/>
    <m/>
    <m/>
    <m/>
    <m/>
    <m/>
    <m/>
    <m/>
    <m/>
    <m/>
    <m/>
    <m/>
    <m/>
    <m/>
    <m/>
    <n v="0"/>
    <n v="0"/>
  </r>
  <r>
    <n v="6022"/>
    <x v="1"/>
    <s v="2020/1076"/>
    <s v="Land rear of 240, 240 Battersea Bridge Road"/>
    <s v=""/>
    <n v="527477"/>
    <n v="176443"/>
    <x v="5"/>
    <m/>
    <m/>
    <n v="0"/>
    <n v="1"/>
    <n v="1"/>
    <n v="1"/>
    <n v="1"/>
    <x v="1"/>
    <s v="Demolition of single storey garage and erection of a two storey (with basement) 1 x 1 bed house. Re-consultation- updated drawings and reports received."/>
    <s v="PF"/>
    <d v="2020-04-09T00:00:00"/>
    <d v="2021-05-28T00:00:00"/>
    <x v="0"/>
    <s v="Nil"/>
    <m/>
    <s v="BF"/>
    <s v="NB"/>
    <x v="2"/>
    <x v="1"/>
    <n v="1.4E-2"/>
    <m/>
    <x v="0"/>
    <m/>
    <x v="2"/>
    <s v="M"/>
    <s v=""/>
    <m/>
    <n v="0"/>
    <m/>
    <n v="0"/>
    <m/>
    <n v="0"/>
    <n v="1"/>
    <n v="0"/>
    <n v="0"/>
    <n v="0"/>
    <n v="0"/>
    <n v="0"/>
    <n v="0"/>
    <n v="0"/>
    <n v="0"/>
    <n v="0"/>
    <n v="0"/>
    <n v="0"/>
    <n v="0"/>
    <n v="0"/>
    <n v="1"/>
    <n v="0"/>
    <n v="0"/>
    <n v="0"/>
    <n v="0"/>
    <n v="0"/>
    <n v="0"/>
    <n v="0"/>
    <n v="0"/>
    <n v="0"/>
    <n v="0"/>
    <n v="0"/>
    <n v="0"/>
    <x v="0"/>
    <x v="0"/>
    <x v="1"/>
    <n v="7"/>
    <m/>
    <m/>
    <n v="0.25"/>
    <n v="0.25"/>
    <n v="0.25"/>
    <n v="0.25"/>
    <m/>
    <m/>
    <m/>
    <m/>
    <m/>
    <m/>
    <m/>
    <m/>
    <m/>
    <m/>
    <m/>
    <m/>
    <m/>
    <m/>
    <n v="1"/>
    <n v="1"/>
  </r>
  <r>
    <n v="2846"/>
    <x v="1"/>
    <s v="2021/4253"/>
    <s v="41 Felsham Road"/>
    <s v=""/>
    <n v="523883"/>
    <n v="175563"/>
    <x v="0"/>
    <m/>
    <m/>
    <n v="1"/>
    <n v="1"/>
    <n v="0"/>
    <n v="1"/>
    <n v="0"/>
    <x v="1"/>
    <s v="Alterations including erection of mansard roof extension to main rear roof (with French doors and safety railings); erection of a three storey (plus basement) rear extension and excavation to enlarge existing basement including formation of a rear lightwell with glazed surround; installation of replacement ground floor front elevation; installation of 2 x air source heat pumps and solar panels to rear roof; in connection with change of use to 1 x 6-bed dwellinghouse (Class C3)"/>
    <s v="PF"/>
    <d v="2021-09-22T00:00:00"/>
    <d v="2022-01-25T00:00:00"/>
    <x v="0"/>
    <s v="Nil"/>
    <m/>
    <s v="BF"/>
    <s v="CON"/>
    <x v="2"/>
    <x v="8"/>
    <n v="3.3600000000000001E-3"/>
    <m/>
    <x v="0"/>
    <m/>
    <x v="2"/>
    <s v="MR"/>
    <s v=""/>
    <m/>
    <n v="0"/>
    <m/>
    <n v="0"/>
    <m/>
    <n v="0"/>
    <n v="0"/>
    <n v="-1"/>
    <n v="0"/>
    <n v="0"/>
    <n v="1"/>
    <n v="0"/>
    <n v="0"/>
    <n v="0"/>
    <n v="-1"/>
    <n v="0"/>
    <n v="0"/>
    <n v="0"/>
    <n v="0"/>
    <n v="0"/>
    <n v="0"/>
    <n v="0"/>
    <n v="0"/>
    <n v="0"/>
    <n v="1"/>
    <n v="0"/>
    <n v="0"/>
    <n v="0"/>
    <n v="0"/>
    <n v="0"/>
    <n v="0"/>
    <n v="0"/>
    <n v="0"/>
    <x v="0"/>
    <x v="0"/>
    <x v="1"/>
    <n v="15"/>
    <m/>
    <n v="0"/>
    <n v="0"/>
    <n v="0"/>
    <n v="0"/>
    <m/>
    <m/>
    <m/>
    <m/>
    <m/>
    <m/>
    <m/>
    <m/>
    <m/>
    <m/>
    <m/>
    <m/>
    <m/>
    <m/>
    <m/>
    <n v="0"/>
    <n v="0"/>
  </r>
  <r>
    <n v="5903"/>
    <x v="1"/>
    <s v="2021/2182"/>
    <s v="493 Garratt Lane"/>
    <s v=""/>
    <n v="525997"/>
    <n v="173088"/>
    <x v="11"/>
    <m/>
    <m/>
    <n v="1"/>
    <n v="1"/>
    <n v="0"/>
    <n v="1"/>
    <n v="0"/>
    <x v="1"/>
    <s v="Alterations including change of use from residential (Class C3) to 4- bedroom HMO (Class C4)"/>
    <s v="LDC Prop"/>
    <d v="2021-05-21T00:00:00"/>
    <d v="2021-07-13T00:00:00"/>
    <x v="0"/>
    <s v="Nil"/>
    <m/>
    <s v="BF"/>
    <s v="COU"/>
    <x v="2"/>
    <x v="7"/>
    <n v="1.03E-2"/>
    <m/>
    <x v="0"/>
    <m/>
    <x v="2"/>
    <s v="MR"/>
    <s v=""/>
    <m/>
    <n v="0"/>
    <m/>
    <n v="0"/>
    <m/>
    <n v="0"/>
    <n v="0"/>
    <n v="0"/>
    <n v="-1"/>
    <n v="1"/>
    <n v="0"/>
    <n v="0"/>
    <n v="0"/>
    <n v="0"/>
    <n v="0"/>
    <n v="-1"/>
    <n v="1"/>
    <n v="0"/>
    <n v="0"/>
    <n v="0"/>
    <n v="0"/>
    <n v="0"/>
    <n v="0"/>
    <n v="0"/>
    <n v="0"/>
    <n v="0"/>
    <n v="0"/>
    <n v="0"/>
    <n v="0"/>
    <n v="0"/>
    <n v="0"/>
    <n v="0"/>
    <n v="0"/>
    <x v="0"/>
    <x v="0"/>
    <x v="6"/>
    <n v="15"/>
    <m/>
    <n v="0"/>
    <n v="0"/>
    <n v="0"/>
    <n v="0"/>
    <m/>
    <m/>
    <m/>
    <m/>
    <m/>
    <m/>
    <m/>
    <m/>
    <m/>
    <m/>
    <m/>
    <m/>
    <m/>
    <m/>
    <m/>
    <n v="0"/>
    <n v="0"/>
  </r>
  <r>
    <n v="7143"/>
    <x v="1"/>
    <s v="2020/1262"/>
    <s v="Land rear of, 94 Bolingbroke Grove"/>
    <s v=""/>
    <n v="527274"/>
    <n v="174744"/>
    <x v="14"/>
    <m/>
    <m/>
    <n v="0"/>
    <n v="1"/>
    <n v="1"/>
    <n v="1"/>
    <n v="1"/>
    <x v="1"/>
    <s v="Demolition of existing garage and erection of two-storey (plus basement) 1-bedroom dwellinghouse."/>
    <s v="PF"/>
    <d v="2020-04-03T00:00:00"/>
    <d v="2020-08-13T00:00:00"/>
    <x v="0"/>
    <s v="Nil"/>
    <m/>
    <s v="BF"/>
    <s v="NB"/>
    <x v="2"/>
    <x v="1"/>
    <n v="2.8000000000000001E-2"/>
    <m/>
    <x v="0"/>
    <m/>
    <x v="2"/>
    <s v="M"/>
    <s v=""/>
    <m/>
    <n v="0"/>
    <m/>
    <n v="0"/>
    <m/>
    <n v="0"/>
    <n v="1"/>
    <n v="0"/>
    <n v="0"/>
    <n v="0"/>
    <n v="0"/>
    <n v="0"/>
    <n v="0"/>
    <n v="0"/>
    <n v="0"/>
    <n v="0"/>
    <n v="0"/>
    <n v="0"/>
    <n v="0"/>
    <n v="0"/>
    <n v="1"/>
    <n v="0"/>
    <n v="0"/>
    <n v="0"/>
    <n v="0"/>
    <n v="0"/>
    <n v="0"/>
    <n v="0"/>
    <n v="0"/>
    <n v="0"/>
    <n v="0"/>
    <n v="0"/>
    <n v="0"/>
    <x v="0"/>
    <x v="0"/>
    <x v="1"/>
    <n v="7"/>
    <m/>
    <m/>
    <n v="0.25"/>
    <n v="0.25"/>
    <n v="0.25"/>
    <n v="0.25"/>
    <m/>
    <m/>
    <m/>
    <m/>
    <m/>
    <m/>
    <m/>
    <m/>
    <m/>
    <m/>
    <m/>
    <m/>
    <m/>
    <m/>
    <n v="1"/>
    <n v="1"/>
  </r>
  <r>
    <n v="7487"/>
    <x v="1"/>
    <s v="2020/4441"/>
    <s v="54c Charlmont Road"/>
    <s v=""/>
    <n v="527564"/>
    <n v="170910"/>
    <x v="3"/>
    <m/>
    <m/>
    <n v="1"/>
    <n v="1"/>
    <n v="0"/>
    <n v="2"/>
    <n v="1"/>
    <x v="1"/>
    <s v="Alterations including erection of mansard roof extension to main rear roof (with 0.7m ridge raise, French doors and safety railings), alterations to front roof pitch and raising existing gable in connection with the creation of  1 x1 bedroom flat."/>
    <s v="PF"/>
    <d v="2020-11-20T00:00:00"/>
    <d v="2021-04-14T00:00:00"/>
    <x v="0"/>
    <s v="Nil"/>
    <m/>
    <s v="BF"/>
    <s v="MIX"/>
    <x v="2"/>
    <x v="7"/>
    <n v="8.0000000000000002E-3"/>
    <m/>
    <x v="0"/>
    <m/>
    <x v="2"/>
    <s v="M"/>
    <s v=""/>
    <m/>
    <n v="0"/>
    <m/>
    <n v="0"/>
    <m/>
    <n v="0"/>
    <n v="0"/>
    <n v="1"/>
    <n v="-1"/>
    <n v="0"/>
    <n v="0"/>
    <n v="0"/>
    <n v="0"/>
    <n v="0"/>
    <n v="1"/>
    <n v="-1"/>
    <n v="0"/>
    <n v="0"/>
    <n v="0"/>
    <n v="0"/>
    <n v="0"/>
    <n v="0"/>
    <n v="0"/>
    <n v="0"/>
    <n v="0"/>
    <n v="0"/>
    <n v="0"/>
    <n v="0"/>
    <n v="0"/>
    <n v="0"/>
    <n v="0"/>
    <n v="0"/>
    <n v="0"/>
    <x v="0"/>
    <x v="0"/>
    <x v="1"/>
    <n v="15"/>
    <m/>
    <n v="0"/>
    <n v="0"/>
    <n v="0"/>
    <n v="0"/>
    <m/>
    <m/>
    <m/>
    <m/>
    <m/>
    <m/>
    <m/>
    <m/>
    <m/>
    <m/>
    <m/>
    <m/>
    <m/>
    <m/>
    <m/>
    <n v="0"/>
    <n v="0"/>
  </r>
  <r>
    <n v="7130"/>
    <x v="1"/>
    <s v="2019/0899"/>
    <s v="55 Gayville Road"/>
    <s v=""/>
    <n v="527830"/>
    <n v="174273"/>
    <x v="14"/>
    <m/>
    <m/>
    <n v="1"/>
    <n v="1"/>
    <n v="0"/>
    <n v="2"/>
    <n v="1"/>
    <x v="1"/>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0"/>
    <s v="Nil"/>
    <m/>
    <s v="BF"/>
    <s v="MIX"/>
    <x v="2"/>
    <x v="5"/>
    <n v="7.0000000000000001E-3"/>
    <m/>
    <x v="0"/>
    <m/>
    <x v="2"/>
    <s v="M"/>
    <s v=""/>
    <m/>
    <n v="0"/>
    <m/>
    <n v="0"/>
    <m/>
    <n v="0"/>
    <n v="0"/>
    <n v="0"/>
    <n v="1"/>
    <n v="-1"/>
    <n v="0"/>
    <n v="0"/>
    <n v="0"/>
    <n v="0"/>
    <n v="0"/>
    <n v="1"/>
    <n v="0"/>
    <n v="0"/>
    <n v="0"/>
    <n v="0"/>
    <n v="0"/>
    <n v="0"/>
    <n v="0"/>
    <n v="-1"/>
    <n v="0"/>
    <n v="0"/>
    <n v="0"/>
    <n v="0"/>
    <n v="0"/>
    <n v="0"/>
    <n v="0"/>
    <n v="0"/>
    <n v="0"/>
    <x v="0"/>
    <x v="0"/>
    <x v="1"/>
    <n v="15"/>
    <m/>
    <n v="0"/>
    <n v="0"/>
    <n v="0"/>
    <n v="0"/>
    <m/>
    <m/>
    <m/>
    <m/>
    <m/>
    <m/>
    <m/>
    <m/>
    <m/>
    <m/>
    <m/>
    <m/>
    <m/>
    <m/>
    <m/>
    <n v="0"/>
    <n v="0"/>
  </r>
  <r>
    <n v="7522"/>
    <x v="1"/>
    <s v="2020/2002"/>
    <s v="Land Adjacent, 77 Festing Road (Embankment - embankment Studios)"/>
    <s v=""/>
    <n v="523648"/>
    <n v="176066"/>
    <x v="0"/>
    <m/>
    <m/>
    <n v="0"/>
    <n v="1"/>
    <n v="1"/>
    <n v="1"/>
    <n v="1"/>
    <x v="1"/>
    <s v="Demolition of existing office building and erection of a 2/3-bedroom house (Class C3)."/>
    <s v="PF"/>
    <d v="2020-06-09T00:00:00"/>
    <d v="2021-03-08T00:00:00"/>
    <x v="0"/>
    <s v="Nil"/>
    <m/>
    <s v="BF"/>
    <s v="NB"/>
    <x v="2"/>
    <x v="1"/>
    <n v="1.9E-2"/>
    <m/>
    <x v="0"/>
    <m/>
    <x v="2"/>
    <s v="M"/>
    <s v=""/>
    <m/>
    <n v="0"/>
    <m/>
    <n v="0"/>
    <m/>
    <n v="0"/>
    <n v="0"/>
    <n v="1"/>
    <n v="0"/>
    <n v="0"/>
    <n v="0"/>
    <n v="0"/>
    <n v="0"/>
    <n v="0"/>
    <n v="0"/>
    <n v="0"/>
    <n v="0"/>
    <n v="0"/>
    <n v="0"/>
    <n v="0"/>
    <n v="0"/>
    <n v="1"/>
    <n v="0"/>
    <n v="0"/>
    <n v="0"/>
    <n v="0"/>
    <n v="0"/>
    <n v="0"/>
    <n v="0"/>
    <n v="0"/>
    <n v="0"/>
    <n v="0"/>
    <n v="0"/>
    <x v="0"/>
    <x v="0"/>
    <x v="8"/>
    <n v="7"/>
    <m/>
    <m/>
    <n v="0.25"/>
    <n v="0.25"/>
    <n v="0.25"/>
    <n v="0.25"/>
    <m/>
    <m/>
    <m/>
    <m/>
    <m/>
    <m/>
    <m/>
    <m/>
    <m/>
    <m/>
    <m/>
    <m/>
    <m/>
    <m/>
    <n v="1"/>
    <n v="1"/>
  </r>
  <r>
    <n v="7152"/>
    <x v="1"/>
    <s v="2018/5605"/>
    <s v="66A North Side Wandsworth Common"/>
    <s v=""/>
    <n v="526518"/>
    <n v="174839"/>
    <x v="6"/>
    <m/>
    <m/>
    <n v="1"/>
    <n v="1"/>
    <n v="0"/>
    <n v="2"/>
    <n v="1"/>
    <x v="1"/>
    <s v="Alterations in connection with conversion of basement into 1-bedroom flat."/>
    <s v="PF"/>
    <d v="2018-12-10T00:00:00"/>
    <d v="2019-03-25T00:00:00"/>
    <x v="0"/>
    <s v="Nil"/>
    <m/>
    <s v="BF"/>
    <s v="CON"/>
    <x v="2"/>
    <x v="5"/>
    <n v="3.0000000000000001E-3"/>
    <m/>
    <x v="0"/>
    <m/>
    <x v="2"/>
    <s v="M"/>
    <s v=""/>
    <m/>
    <n v="0"/>
    <m/>
    <n v="0"/>
    <m/>
    <n v="0"/>
    <n v="1"/>
    <n v="0"/>
    <n v="0"/>
    <n v="0"/>
    <n v="-1"/>
    <n v="0"/>
    <n v="0"/>
    <n v="1"/>
    <n v="0"/>
    <n v="0"/>
    <n v="0"/>
    <n v="0"/>
    <n v="0"/>
    <n v="0"/>
    <n v="0"/>
    <n v="0"/>
    <n v="0"/>
    <n v="0"/>
    <n v="-1"/>
    <n v="0"/>
    <n v="0"/>
    <n v="0"/>
    <n v="0"/>
    <n v="0"/>
    <n v="0"/>
    <n v="0"/>
    <n v="0"/>
    <x v="0"/>
    <x v="0"/>
    <x v="1"/>
    <n v="15"/>
    <m/>
    <n v="0"/>
    <n v="0"/>
    <n v="0"/>
    <n v="0"/>
    <m/>
    <m/>
    <m/>
    <m/>
    <m/>
    <m/>
    <m/>
    <m/>
    <m/>
    <m/>
    <m/>
    <m/>
    <m/>
    <m/>
    <m/>
    <n v="0"/>
    <n v="0"/>
  </r>
  <r>
    <n v="7468"/>
    <x v="1"/>
    <s v="2020/3111"/>
    <s v="Garages at, 169-183 Elsenham Street"/>
    <s v=""/>
    <n v="524935"/>
    <n v="172719"/>
    <x v="20"/>
    <d v="2022-07-01T00:00:00"/>
    <m/>
    <n v="0"/>
    <n v="1"/>
    <n v="1"/>
    <n v="1"/>
    <n v="1"/>
    <x v="1"/>
    <s v="Demolition of existing garages and erection of a two-storey (plus accommodation at roof level) 5-bedroom house."/>
    <s v="PF"/>
    <d v="2020-09-09T00:00:00"/>
    <d v="2020-12-16T00:00:00"/>
    <x v="0"/>
    <s v="Nil"/>
    <m/>
    <s v="BF"/>
    <s v="NB"/>
    <x v="2"/>
    <x v="1"/>
    <n v="1.7999999999999999E-2"/>
    <m/>
    <x v="0"/>
    <m/>
    <x v="2"/>
    <s v="M"/>
    <s v=""/>
    <m/>
    <n v="0"/>
    <m/>
    <n v="0"/>
    <m/>
    <n v="0"/>
    <n v="0"/>
    <n v="0"/>
    <n v="0"/>
    <n v="0"/>
    <n v="1"/>
    <n v="0"/>
    <n v="0"/>
    <n v="0"/>
    <n v="0"/>
    <n v="0"/>
    <n v="0"/>
    <n v="0"/>
    <n v="0"/>
    <n v="0"/>
    <n v="0"/>
    <n v="0"/>
    <n v="0"/>
    <n v="0"/>
    <n v="1"/>
    <n v="0"/>
    <n v="0"/>
    <n v="0"/>
    <n v="0"/>
    <n v="0"/>
    <n v="0"/>
    <n v="0"/>
    <n v="0"/>
    <x v="0"/>
    <x v="0"/>
    <x v="1"/>
    <n v="7"/>
    <m/>
    <m/>
    <n v="0.25"/>
    <n v="0.25"/>
    <n v="0.25"/>
    <n v="0.25"/>
    <m/>
    <m/>
    <m/>
    <m/>
    <m/>
    <m/>
    <m/>
    <m/>
    <m/>
    <m/>
    <m/>
    <m/>
    <m/>
    <m/>
    <n v="1"/>
    <n v="1"/>
  </r>
  <r>
    <n v="7466"/>
    <x v="1"/>
    <s v="2020/3110"/>
    <s v="A &amp; B, 38 Comyn Road"/>
    <s v=""/>
    <n v="527275"/>
    <n v="175225"/>
    <x v="12"/>
    <m/>
    <m/>
    <n v="1"/>
    <n v="1"/>
    <n v="0"/>
    <n v="2"/>
    <n v="1"/>
    <x v="1"/>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x v="0"/>
    <s v="Nil"/>
    <m/>
    <s v="BF"/>
    <s v="MIX"/>
    <x v="2"/>
    <x v="2"/>
    <n v="6.0000000000000001E-3"/>
    <m/>
    <x v="0"/>
    <m/>
    <x v="2"/>
    <s v="M"/>
    <s v=""/>
    <m/>
    <n v="0"/>
    <m/>
    <n v="0"/>
    <m/>
    <n v="0"/>
    <n v="1"/>
    <n v="0"/>
    <n v="0"/>
    <n v="-1"/>
    <n v="0"/>
    <n v="0"/>
    <n v="0"/>
    <n v="1"/>
    <n v="0"/>
    <n v="0"/>
    <n v="-1"/>
    <n v="0"/>
    <n v="0"/>
    <n v="0"/>
    <n v="0"/>
    <n v="0"/>
    <n v="0"/>
    <n v="0"/>
    <n v="0"/>
    <n v="0"/>
    <n v="0"/>
    <n v="0"/>
    <n v="0"/>
    <n v="0"/>
    <n v="0"/>
    <n v="0"/>
    <n v="0"/>
    <x v="0"/>
    <x v="0"/>
    <x v="5"/>
    <n v="15"/>
    <m/>
    <n v="0"/>
    <n v="0"/>
    <n v="0"/>
    <n v="0"/>
    <m/>
    <m/>
    <m/>
    <m/>
    <m/>
    <m/>
    <m/>
    <m/>
    <m/>
    <m/>
    <m/>
    <m/>
    <m/>
    <m/>
    <m/>
    <n v="0"/>
    <n v="0"/>
  </r>
  <r>
    <n v="7864"/>
    <x v="1"/>
    <s v="2022/3059"/>
    <s v="Cemetery Lodge, 240 Lower Richmond Road"/>
    <s v=""/>
    <n v="522892"/>
    <n v="175932"/>
    <x v="0"/>
    <m/>
    <m/>
    <n v="1"/>
    <n v="1"/>
    <n v="0"/>
    <n v="1"/>
    <n v="0"/>
    <x v="1"/>
    <s v="Change of use of the ground floor from residential (Class C3) to cafe (Class E) with residential on first floor. Alterations to include the erection of a ground floor extension and removal of boundary walls."/>
    <s v="PF"/>
    <d v="2022-07-21T00:00:00"/>
    <d v="2022-09-23T00:00:00"/>
    <x v="1"/>
    <s v="Nil"/>
    <m/>
    <s v="BF"/>
    <s v="CON"/>
    <x v="2"/>
    <x v="12"/>
    <n v="3.5000000000000001E-3"/>
    <m/>
    <x v="0"/>
    <m/>
    <x v="2"/>
    <s v="M"/>
    <s v=""/>
    <m/>
    <n v="0"/>
    <m/>
    <n v="0"/>
    <m/>
    <n v="0"/>
    <n v="1"/>
    <n v="-1"/>
    <n v="0"/>
    <n v="0"/>
    <n v="0"/>
    <n v="0"/>
    <n v="0"/>
    <n v="1"/>
    <n v="0"/>
    <n v="0"/>
    <n v="0"/>
    <n v="0"/>
    <n v="0"/>
    <n v="0"/>
    <n v="0"/>
    <n v="-1"/>
    <n v="0"/>
    <n v="0"/>
    <n v="0"/>
    <n v="0"/>
    <n v="0"/>
    <n v="0"/>
    <n v="0"/>
    <n v="0"/>
    <n v="0"/>
    <n v="0"/>
    <n v="0"/>
    <x v="0"/>
    <x v="0"/>
    <x v="1"/>
    <n v="15"/>
    <m/>
    <n v="0"/>
    <n v="0"/>
    <n v="0"/>
    <n v="0"/>
    <m/>
    <m/>
    <m/>
    <m/>
    <m/>
    <m/>
    <m/>
    <m/>
    <m/>
    <m/>
    <m/>
    <m/>
    <m/>
    <m/>
    <m/>
    <n v="0"/>
    <n v="0"/>
  </r>
  <r>
    <n v="5171"/>
    <x v="1"/>
    <s v="2018/5668"/>
    <s v="Flat 7 Fountain House, 138 West Hill"/>
    <s v=""/>
    <n v="524335"/>
    <n v="174296"/>
    <x v="7"/>
    <m/>
    <m/>
    <n v="1"/>
    <n v="1"/>
    <n v="0"/>
    <n v="1"/>
    <n v="0"/>
    <x v="1"/>
    <s v="Alterations in connection with conversion of studio flat into 1-bedroom flat."/>
    <s v="PF"/>
    <d v="2018-11-28T00:00:00"/>
    <d v="2019-01-30T00:00:00"/>
    <x v="0"/>
    <s v="Nil"/>
    <m/>
    <s v="BF"/>
    <s v="CON"/>
    <x v="2"/>
    <x v="7"/>
    <n v="1.4E-2"/>
    <m/>
    <x v="0"/>
    <m/>
    <x v="2"/>
    <s v="M"/>
    <s v=""/>
    <m/>
    <n v="0"/>
    <m/>
    <n v="0"/>
    <m/>
    <n v="-1"/>
    <n v="1"/>
    <n v="0"/>
    <n v="0"/>
    <n v="0"/>
    <n v="0"/>
    <n v="0"/>
    <n v="-1"/>
    <n v="1"/>
    <n v="0"/>
    <n v="0"/>
    <n v="0"/>
    <n v="0"/>
    <n v="0"/>
    <n v="0"/>
    <n v="0"/>
    <n v="0"/>
    <n v="0"/>
    <n v="0"/>
    <n v="0"/>
    <n v="0"/>
    <n v="0"/>
    <n v="0"/>
    <n v="0"/>
    <n v="0"/>
    <n v="0"/>
    <n v="0"/>
    <n v="0"/>
    <x v="0"/>
    <x v="0"/>
    <x v="1"/>
    <n v="15"/>
    <m/>
    <n v="0"/>
    <n v="0"/>
    <n v="0"/>
    <n v="0"/>
    <m/>
    <m/>
    <m/>
    <m/>
    <m/>
    <m/>
    <m/>
    <m/>
    <m/>
    <m/>
    <m/>
    <m/>
    <m/>
    <m/>
    <m/>
    <n v="0"/>
    <n v="0"/>
  </r>
  <r>
    <n v="6952"/>
    <x v="1"/>
    <s v="2022/1440"/>
    <s v="Post Office, 355 Upper Richmond Road"/>
    <s v=""/>
    <n v="522554"/>
    <n v="175400"/>
    <x v="18"/>
    <m/>
    <m/>
    <n v="1"/>
    <n v="1"/>
    <n v="0"/>
    <n v="1"/>
    <n v="0"/>
    <x v="1"/>
    <s v="Alterations including erection of rear dormer, single storey rear extensions and formation of rear first floor level roof terrace with screen surround in connection with use of rear ground floor and upper floors as 1 x 3-bedroom flat with rear access."/>
    <s v="PF"/>
    <d v="2022-05-03T00:00:00"/>
    <d v="2022-06-28T00:00:00"/>
    <x v="1"/>
    <s v="Nil"/>
    <m/>
    <s v="BF"/>
    <s v="MIX"/>
    <x v="2"/>
    <x v="7"/>
    <n v="8.9999999999999993E-3"/>
    <m/>
    <x v="0"/>
    <m/>
    <x v="2"/>
    <s v="M"/>
    <s v=""/>
    <m/>
    <n v="0"/>
    <m/>
    <n v="0"/>
    <m/>
    <n v="0"/>
    <n v="-1"/>
    <n v="0"/>
    <n v="1"/>
    <n v="0"/>
    <n v="0"/>
    <n v="0"/>
    <n v="0"/>
    <n v="-1"/>
    <n v="0"/>
    <n v="1"/>
    <n v="0"/>
    <n v="0"/>
    <n v="0"/>
    <n v="0"/>
    <n v="0"/>
    <n v="0"/>
    <n v="0"/>
    <n v="0"/>
    <n v="0"/>
    <n v="0"/>
    <n v="0"/>
    <n v="0"/>
    <n v="0"/>
    <n v="0"/>
    <n v="0"/>
    <n v="0"/>
    <n v="0"/>
    <x v="0"/>
    <x v="0"/>
    <x v="1"/>
    <n v="15"/>
    <m/>
    <n v="0"/>
    <n v="0"/>
    <n v="0"/>
    <n v="0"/>
    <m/>
    <m/>
    <m/>
    <m/>
    <m/>
    <m/>
    <m/>
    <m/>
    <m/>
    <m/>
    <m/>
    <m/>
    <m/>
    <m/>
    <m/>
    <n v="0"/>
    <n v="0"/>
  </r>
  <r>
    <n v="7913"/>
    <x v="1"/>
    <s v="2022/3891"/>
    <s v="1 and 2 Malbrook Court, 9 Malbrook Road"/>
    <s v=""/>
    <n v="522974"/>
    <n v="175158"/>
    <x v="18"/>
    <m/>
    <m/>
    <n v="2"/>
    <n v="1"/>
    <n v="-1"/>
    <n v="1"/>
    <n v="-1"/>
    <x v="1"/>
    <s v="Alterations including erection of a dormer extension to main rear roof, erection of part single, part two-storey side/rear extension and excavation to enlarge basement in connection with the use of properties as a single family dwelling; alterations to front boundary including installation of gates and formation of hardstanding in front garden."/>
    <s v="PF"/>
    <d v="2022-11-16T00:00:00"/>
    <d v="2023-01-26T00:00:00"/>
    <x v="1"/>
    <s v="Nil"/>
    <m/>
    <s v="BF"/>
    <s v="MIX"/>
    <x v="2"/>
    <x v="8"/>
    <n v="6.2E-2"/>
    <m/>
    <x v="0"/>
    <m/>
    <x v="2"/>
    <s v="M"/>
    <s v=""/>
    <m/>
    <n v="0"/>
    <m/>
    <n v="0"/>
    <m/>
    <n v="0"/>
    <n v="0"/>
    <n v="0"/>
    <n v="0"/>
    <n v="0"/>
    <n v="1"/>
    <n v="-2"/>
    <n v="0"/>
    <n v="0"/>
    <n v="0"/>
    <n v="0"/>
    <n v="0"/>
    <n v="0"/>
    <n v="-2"/>
    <n v="0"/>
    <n v="0"/>
    <n v="0"/>
    <n v="0"/>
    <n v="0"/>
    <n v="1"/>
    <n v="0"/>
    <n v="0"/>
    <n v="0"/>
    <n v="0"/>
    <n v="0"/>
    <n v="0"/>
    <n v="0"/>
    <n v="0"/>
    <x v="0"/>
    <x v="0"/>
    <x v="1"/>
    <n v="15"/>
    <m/>
    <n v="-0.25"/>
    <n v="-0.25"/>
    <n v="-0.25"/>
    <n v="-0.25"/>
    <m/>
    <m/>
    <m/>
    <m/>
    <m/>
    <m/>
    <m/>
    <m/>
    <m/>
    <m/>
    <m/>
    <m/>
    <m/>
    <m/>
    <m/>
    <n v="-1"/>
    <n v="-1"/>
  </r>
  <r>
    <n v="7875"/>
    <x v="1"/>
    <s v="2022/3125"/>
    <s v="122 Dowdeswell Close"/>
    <s v=""/>
    <n v="521424"/>
    <n v="175172"/>
    <x v="16"/>
    <m/>
    <m/>
    <n v="1"/>
    <n v="0"/>
    <n v="-1"/>
    <n v="0"/>
    <n v="-1"/>
    <x v="1"/>
    <s v="Continue use as a single dwelling house."/>
    <s v="PF"/>
    <d v="2022-08-30T00:00:00"/>
    <d v="2022-11-16T00:00:00"/>
    <x v="1"/>
    <s v="Nil"/>
    <m/>
    <s v="BF"/>
    <s v="CON"/>
    <x v="2"/>
    <x v="13"/>
    <n v="1.8E-3"/>
    <m/>
    <x v="0"/>
    <m/>
    <x v="2"/>
    <s v="M"/>
    <s v=""/>
    <m/>
    <n v="0"/>
    <m/>
    <n v="0"/>
    <m/>
    <n v="-1"/>
    <n v="0"/>
    <n v="0"/>
    <n v="0"/>
    <n v="0"/>
    <n v="0"/>
    <n v="0"/>
    <n v="-1"/>
    <n v="0"/>
    <n v="0"/>
    <n v="0"/>
    <n v="0"/>
    <n v="0"/>
    <n v="0"/>
    <n v="0"/>
    <n v="0"/>
    <n v="0"/>
    <n v="0"/>
    <n v="0"/>
    <n v="0"/>
    <n v="0"/>
    <n v="0"/>
    <n v="0"/>
    <n v="0"/>
    <n v="0"/>
    <n v="0"/>
    <n v="0"/>
    <n v="0"/>
    <x v="0"/>
    <x v="0"/>
    <x v="1"/>
    <n v="15"/>
    <m/>
    <n v="-0.25"/>
    <n v="-0.25"/>
    <n v="-0.25"/>
    <n v="-0.25"/>
    <m/>
    <m/>
    <m/>
    <m/>
    <m/>
    <m/>
    <m/>
    <m/>
    <m/>
    <m/>
    <m/>
    <m/>
    <m/>
    <m/>
    <m/>
    <n v="-1"/>
    <n v="-1"/>
  </r>
  <r>
    <n v="7859"/>
    <x v="1"/>
    <s v="2022/2352"/>
    <s v="13 Gwendolen Avenue"/>
    <s v=""/>
    <n v="523549"/>
    <n v="175035"/>
    <x v="18"/>
    <m/>
    <m/>
    <n v="2"/>
    <n v="1"/>
    <n v="-1"/>
    <n v="1"/>
    <n v="-1"/>
    <x v="1"/>
    <s v="Alterations including demolition and replacement of single and two-storey rear additions; excavation to enlarge basement and install front and rear lightwells and construction of a swimming pool;  erection of extension to main roof with rear and side dormers; erection of front boundary wall with railings and gates, external repairs and refurbishment works in connection with use as a single dwelling house."/>
    <s v="PF"/>
    <d v="2022-06-28T00:00:00"/>
    <d v="2022-12-06T00:00:00"/>
    <x v="1"/>
    <s v="Nil"/>
    <m/>
    <s v="BF"/>
    <s v="CON"/>
    <x v="2"/>
    <x v="8"/>
    <n v="2.5100000000000001E-2"/>
    <m/>
    <x v="0"/>
    <m/>
    <x v="2"/>
    <s v="M"/>
    <s v=""/>
    <m/>
    <n v="0"/>
    <m/>
    <n v="0"/>
    <m/>
    <n v="0"/>
    <n v="-1"/>
    <n v="0"/>
    <n v="0"/>
    <n v="0"/>
    <n v="0"/>
    <n v="0"/>
    <n v="0"/>
    <n v="-1"/>
    <n v="0"/>
    <n v="0"/>
    <n v="0"/>
    <n v="-1"/>
    <n v="0"/>
    <n v="0"/>
    <n v="0"/>
    <n v="0"/>
    <n v="0"/>
    <n v="0"/>
    <n v="1"/>
    <n v="0"/>
    <n v="0"/>
    <n v="0"/>
    <n v="0"/>
    <n v="0"/>
    <n v="0"/>
    <n v="0"/>
    <n v="0"/>
    <x v="0"/>
    <x v="0"/>
    <x v="1"/>
    <n v="15"/>
    <m/>
    <n v="-0.25"/>
    <n v="-0.25"/>
    <n v="-0.25"/>
    <n v="-0.25"/>
    <m/>
    <m/>
    <m/>
    <m/>
    <m/>
    <m/>
    <m/>
    <m/>
    <m/>
    <m/>
    <m/>
    <m/>
    <m/>
    <m/>
    <m/>
    <n v="-1"/>
    <n v="-1"/>
  </r>
  <r>
    <n v="7824"/>
    <x v="1"/>
    <s v="2022/1396"/>
    <s v="14 Alternburg Gardens"/>
    <s v=""/>
    <n v="527774"/>
    <n v="175242"/>
    <x v="12"/>
    <m/>
    <m/>
    <n v="2"/>
    <n v="1"/>
    <n v="-1"/>
    <n v="1"/>
    <n v="-1"/>
    <x v="1"/>
    <s v="Alterations including erection of mansard roof extension (with French doors and safety railings); Erection of single-storey rear/side extension; Front side boundary fence; Excavation to create basment including formation of front and rear lightwells in connection with conversion of 2 flats into single dwelling house."/>
    <s v="PF"/>
    <d v="2022-04-01T00:00:00"/>
    <d v="2022-06-06T00:00:00"/>
    <x v="1"/>
    <s v="Nil"/>
    <m/>
    <s v="BF"/>
    <s v="MIX"/>
    <x v="2"/>
    <x v="8"/>
    <n v="6.1500000000000001E-3"/>
    <m/>
    <x v="0"/>
    <m/>
    <x v="2"/>
    <s v="M"/>
    <s v=""/>
    <m/>
    <n v="0"/>
    <m/>
    <n v="0"/>
    <m/>
    <n v="0"/>
    <n v="-1"/>
    <n v="-1"/>
    <n v="0"/>
    <n v="0"/>
    <n v="1"/>
    <n v="0"/>
    <n v="0"/>
    <n v="-1"/>
    <n v="-1"/>
    <n v="0"/>
    <n v="0"/>
    <n v="0"/>
    <n v="0"/>
    <n v="0"/>
    <n v="0"/>
    <n v="0"/>
    <n v="0"/>
    <n v="0"/>
    <n v="1"/>
    <n v="0"/>
    <n v="0"/>
    <n v="0"/>
    <n v="0"/>
    <n v="0"/>
    <n v="0"/>
    <n v="0"/>
    <n v="0"/>
    <x v="0"/>
    <x v="0"/>
    <x v="5"/>
    <n v="15"/>
    <m/>
    <n v="-0.25"/>
    <n v="-0.25"/>
    <n v="-0.25"/>
    <n v="-0.25"/>
    <m/>
    <m/>
    <m/>
    <m/>
    <m/>
    <m/>
    <m/>
    <m/>
    <m/>
    <m/>
    <m/>
    <m/>
    <m/>
    <m/>
    <m/>
    <n v="-1"/>
    <n v="-1"/>
  </r>
  <r>
    <n v="7518"/>
    <x v="1"/>
    <s v="2021/0951"/>
    <s v="23 Elspeth Road"/>
    <s v=""/>
    <n v="527807"/>
    <n v="175455"/>
    <x v="12"/>
    <m/>
    <m/>
    <n v="1"/>
    <n v="0"/>
    <n v="-1"/>
    <n v="0"/>
    <n v="-1"/>
    <x v="1"/>
    <s v="Alterations including erection of single-storey rear/side extension and rear roof extension in connection with of change of use from 5-bedroom House of Multiple Occupation (Class C4) to 7-bedroom House of Multiple Occupation (Sui Generis)."/>
    <s v="PF"/>
    <d v="2021-03-18T00:00:00"/>
    <d v="2022-06-27T00:00:00"/>
    <x v="1"/>
    <s v="Nil"/>
    <m/>
    <s v="BF"/>
    <s v="COU"/>
    <x v="2"/>
    <x v="10"/>
    <n v="0"/>
    <m/>
    <x v="0"/>
    <m/>
    <x v="2"/>
    <s v="MR"/>
    <s v=""/>
    <m/>
    <n v="0"/>
    <m/>
    <n v="0"/>
    <m/>
    <n v="0"/>
    <n v="0"/>
    <n v="0"/>
    <n v="0"/>
    <n v="0"/>
    <n v="-1"/>
    <n v="0"/>
    <n v="0"/>
    <n v="0"/>
    <n v="0"/>
    <n v="0"/>
    <n v="0"/>
    <n v="0"/>
    <n v="0"/>
    <n v="0"/>
    <n v="0"/>
    <n v="0"/>
    <n v="0"/>
    <n v="0"/>
    <n v="-1"/>
    <n v="0"/>
    <n v="0"/>
    <n v="0"/>
    <n v="0"/>
    <n v="0"/>
    <n v="0"/>
    <n v="0"/>
    <n v="0"/>
    <x v="0"/>
    <x v="0"/>
    <x v="5"/>
    <n v="15"/>
    <m/>
    <n v="-0.25"/>
    <n v="-0.25"/>
    <n v="-0.25"/>
    <n v="-0.25"/>
    <m/>
    <m/>
    <m/>
    <m/>
    <m/>
    <m/>
    <m/>
    <m/>
    <m/>
    <m/>
    <m/>
    <m/>
    <m/>
    <m/>
    <m/>
    <n v="-1"/>
    <n v="-1"/>
  </r>
  <r>
    <n v="5958"/>
    <x v="1"/>
    <s v="2020/4021"/>
    <s v="250 Upper Tooting Road"/>
    <s v=""/>
    <n v="527576"/>
    <n v="171713"/>
    <x v="9"/>
    <m/>
    <m/>
    <n v="2"/>
    <n v="1"/>
    <n v="-1"/>
    <n v="4"/>
    <n v="2"/>
    <x v="1"/>
    <s v="Reconfiguration of first and second floors to form 4 units (1 x 2-bedroom and 3 x 1-bedroom) with the erection of ground, first and second floor rear and side extensions and installation of AC units."/>
    <s v="PF"/>
    <d v="2020-10-23T00:00:00"/>
    <d v="2020-12-18T00:00:00"/>
    <x v="0"/>
    <s v="Nil"/>
    <m/>
    <s v="BF"/>
    <s v="MIX"/>
    <x v="2"/>
    <x v="9"/>
    <n v="2E-3"/>
    <m/>
    <x v="0"/>
    <m/>
    <x v="2"/>
    <s v="M"/>
    <s v=""/>
    <m/>
    <n v="0"/>
    <m/>
    <n v="0"/>
    <m/>
    <n v="0"/>
    <n v="0"/>
    <n v="-1"/>
    <n v="0"/>
    <n v="0"/>
    <n v="0"/>
    <n v="0"/>
    <n v="0"/>
    <n v="0"/>
    <n v="-1"/>
    <n v="0"/>
    <n v="0"/>
    <n v="0"/>
    <n v="0"/>
    <n v="0"/>
    <n v="0"/>
    <n v="0"/>
    <n v="0"/>
    <n v="0"/>
    <n v="0"/>
    <n v="0"/>
    <n v="0"/>
    <n v="0"/>
    <n v="0"/>
    <n v="0"/>
    <n v="0"/>
    <n v="0"/>
    <n v="0"/>
    <x v="2"/>
    <x v="0"/>
    <x v="3"/>
    <n v="15"/>
    <m/>
    <n v="-0.25"/>
    <n v="-0.25"/>
    <n v="-0.25"/>
    <n v="-0.25"/>
    <m/>
    <m/>
    <m/>
    <m/>
    <m/>
    <m/>
    <m/>
    <m/>
    <m/>
    <m/>
    <m/>
    <m/>
    <m/>
    <m/>
    <m/>
    <n v="-1"/>
    <n v="-1"/>
  </r>
  <r>
    <n v="2767"/>
    <x v="1"/>
    <s v="2020/3575"/>
    <s v="Springfield, 332 Upper Richmond Road"/>
    <s v=""/>
    <n v="523548"/>
    <n v="175265"/>
    <x v="18"/>
    <m/>
    <m/>
    <n v="0"/>
    <n v="1"/>
    <n v="1"/>
    <n v="1"/>
    <n v="1"/>
    <x v="1"/>
    <s v="Erection of a single-storey (plus basement) 3-bedroom detached dwellinghouse on land to the side of the existing dwelling at 332 Upper Richmond Road."/>
    <s v="PF"/>
    <d v="2020-09-25T00:00:00"/>
    <d v="2021-02-01T00:00:00"/>
    <x v="0"/>
    <s v="Nil"/>
    <m/>
    <s v="BF"/>
    <s v="NB"/>
    <x v="2"/>
    <x v="1"/>
    <n v="1.2E-2"/>
    <m/>
    <x v="0"/>
    <m/>
    <x v="2"/>
    <s v="M"/>
    <s v=""/>
    <m/>
    <n v="0"/>
    <m/>
    <n v="0"/>
    <m/>
    <n v="0"/>
    <n v="0"/>
    <n v="0"/>
    <n v="1"/>
    <n v="0"/>
    <n v="0"/>
    <n v="0"/>
    <n v="0"/>
    <n v="0"/>
    <n v="0"/>
    <n v="0"/>
    <n v="0"/>
    <n v="0"/>
    <n v="0"/>
    <n v="0"/>
    <n v="0"/>
    <n v="0"/>
    <n v="1"/>
    <n v="0"/>
    <n v="0"/>
    <n v="0"/>
    <n v="0"/>
    <n v="0"/>
    <n v="0"/>
    <n v="0"/>
    <n v="0"/>
    <n v="0"/>
    <n v="0"/>
    <x v="0"/>
    <x v="0"/>
    <x v="1"/>
    <n v="7"/>
    <m/>
    <m/>
    <n v="0.25"/>
    <n v="0.25"/>
    <n v="0.25"/>
    <n v="0.25"/>
    <m/>
    <m/>
    <m/>
    <m/>
    <m/>
    <m/>
    <m/>
    <m/>
    <m/>
    <m/>
    <m/>
    <m/>
    <m/>
    <m/>
    <n v="1"/>
    <n v="1"/>
  </r>
  <r>
    <n v="7734"/>
    <x v="1"/>
    <s v="2021/5257"/>
    <s v="Land to the rear of 43, Southfields Road"/>
    <s v=""/>
    <n v="525211"/>
    <n v="174287"/>
    <x v="7"/>
    <m/>
    <m/>
    <n v="0"/>
    <n v="5"/>
    <n v="5"/>
    <n v="5"/>
    <n v="5"/>
    <x v="1"/>
    <s v="Redevelopment including erection of a terrace of 5 x two-storey houses (4 x 3-bedroom and 1 x 2 bedroom) with 3 no. off-street parkingspaces, cycle and refuse storage."/>
    <s v="PFLA"/>
    <d v="2021-11-25T00:00:00"/>
    <d v="2022-08-01T00:00:00"/>
    <x v="1"/>
    <s v="Nil"/>
    <m/>
    <s v="BF"/>
    <s v="NB"/>
    <x v="2"/>
    <x v="1"/>
    <n v="2.1000000000000001E-2"/>
    <m/>
    <x v="0"/>
    <m/>
    <x v="2"/>
    <s v="M"/>
    <s v=""/>
    <m/>
    <n v="0"/>
    <m/>
    <n v="0"/>
    <m/>
    <n v="0"/>
    <n v="0"/>
    <n v="1"/>
    <n v="4"/>
    <n v="0"/>
    <n v="0"/>
    <n v="0"/>
    <n v="0"/>
    <n v="0"/>
    <n v="1"/>
    <n v="4"/>
    <n v="0"/>
    <n v="0"/>
    <n v="0"/>
    <n v="0"/>
    <n v="0"/>
    <n v="0"/>
    <n v="0"/>
    <n v="0"/>
    <n v="0"/>
    <n v="0"/>
    <n v="0"/>
    <n v="0"/>
    <n v="0"/>
    <n v="0"/>
    <n v="0"/>
    <n v="0"/>
    <n v="0"/>
    <x v="0"/>
    <x v="0"/>
    <x v="1"/>
    <n v="7"/>
    <m/>
    <m/>
    <n v="1.25"/>
    <n v="1.25"/>
    <n v="1.25"/>
    <n v="1.25"/>
    <m/>
    <m/>
    <m/>
    <m/>
    <m/>
    <m/>
    <m/>
    <m/>
    <m/>
    <m/>
    <m/>
    <m/>
    <m/>
    <m/>
    <n v="5"/>
    <n v="5"/>
  </r>
  <r>
    <n v="7397"/>
    <x v="1"/>
    <s v="2020/5071"/>
    <s v="The Studio, 81 Elmfield Road"/>
    <s v=""/>
    <n v="528375"/>
    <n v="172919"/>
    <x v="8"/>
    <m/>
    <m/>
    <n v="0"/>
    <n v="1"/>
    <n v="1"/>
    <n v="1"/>
    <n v="1"/>
    <x v="1"/>
    <s v="Demolition of existing single storey office building (Class E) and erection of two-storey (plus basement) 1-bedroom 1 x person house (Class C3)."/>
    <s v="PF"/>
    <d v="2020-12-28T00:00:00"/>
    <d v="2021-03-24T00:00:00"/>
    <x v="0"/>
    <s v="Nil"/>
    <m/>
    <s v="BF"/>
    <s v="NB"/>
    <x v="2"/>
    <x v="1"/>
    <n v="4.0000000000000001E-3"/>
    <m/>
    <x v="0"/>
    <m/>
    <x v="2"/>
    <s v="M"/>
    <s v=""/>
    <m/>
    <n v="0"/>
    <m/>
    <n v="0"/>
    <m/>
    <n v="0"/>
    <n v="1"/>
    <n v="0"/>
    <n v="0"/>
    <n v="0"/>
    <n v="0"/>
    <n v="0"/>
    <n v="0"/>
    <n v="0"/>
    <n v="0"/>
    <n v="0"/>
    <n v="0"/>
    <n v="0"/>
    <n v="0"/>
    <n v="0"/>
    <n v="1"/>
    <n v="0"/>
    <n v="0"/>
    <n v="0"/>
    <n v="0"/>
    <n v="0"/>
    <n v="0"/>
    <n v="0"/>
    <n v="0"/>
    <n v="0"/>
    <n v="0"/>
    <n v="0"/>
    <n v="0"/>
    <x v="0"/>
    <x v="0"/>
    <x v="1"/>
    <n v="7"/>
    <m/>
    <m/>
    <n v="0.25"/>
    <n v="0.25"/>
    <n v="0.25"/>
    <n v="0.25"/>
    <m/>
    <m/>
    <m/>
    <m/>
    <m/>
    <m/>
    <m/>
    <m/>
    <m/>
    <m/>
    <m/>
    <m/>
    <m/>
    <m/>
    <n v="1"/>
    <n v="1"/>
  </r>
  <r>
    <n v="5748"/>
    <x v="1"/>
    <s v="2021/0457"/>
    <s v="Oyster Wharf Inlet, Oyster Wharf, 18 Lombard Road"/>
    <s v=""/>
    <n v="526622"/>
    <n v="176212"/>
    <x v="5"/>
    <m/>
    <m/>
    <n v="0"/>
    <n v="1"/>
    <n v="1"/>
    <n v="1"/>
    <n v="1"/>
    <x v="1"/>
    <s v="Construction of a floating residential vessel in the dock known as Oyster Wharf inlet."/>
    <s v="PF"/>
    <d v="2021-02-03T00:00:00"/>
    <d v="2021-06-29T00:00:00"/>
    <x v="0"/>
    <s v="Nil"/>
    <m/>
    <s v="BF"/>
    <s v="NB"/>
    <x v="2"/>
    <x v="1"/>
    <n v="0.26300000000000001"/>
    <m/>
    <x v="0"/>
    <m/>
    <x v="2"/>
    <s v="M"/>
    <s v=""/>
    <m/>
    <n v="0"/>
    <m/>
    <n v="0"/>
    <m/>
    <n v="0"/>
    <n v="0"/>
    <n v="0"/>
    <n v="1"/>
    <n v="0"/>
    <n v="0"/>
    <n v="0"/>
    <n v="0"/>
    <n v="0"/>
    <n v="0"/>
    <n v="0"/>
    <n v="0"/>
    <n v="0"/>
    <n v="0"/>
    <n v="0"/>
    <n v="0"/>
    <n v="0"/>
    <n v="1"/>
    <n v="0"/>
    <n v="0"/>
    <n v="0"/>
    <n v="0"/>
    <n v="0"/>
    <n v="0"/>
    <n v="0"/>
    <n v="0"/>
    <n v="0"/>
    <n v="0"/>
    <x v="0"/>
    <x v="0"/>
    <x v="8"/>
    <n v="7"/>
    <m/>
    <m/>
    <n v="0.25"/>
    <n v="0.25"/>
    <n v="0.25"/>
    <n v="0.25"/>
    <m/>
    <m/>
    <m/>
    <m/>
    <m/>
    <m/>
    <m/>
    <m/>
    <m/>
    <m/>
    <m/>
    <m/>
    <m/>
    <m/>
    <n v="1"/>
    <n v="1"/>
  </r>
  <r>
    <n v="7511"/>
    <x v="1"/>
    <s v="2021/0663"/>
    <s v="16 Briar Walk"/>
    <s v=""/>
    <n v="522721"/>
    <n v="175237"/>
    <x v="18"/>
    <m/>
    <m/>
    <n v="0"/>
    <n v="1"/>
    <n v="1"/>
    <n v="1"/>
    <n v="1"/>
    <x v="1"/>
    <s v="Demolition of existing garage and erection of a 2-bedroom two-storey house with accommodation at basement level including off street parking, cycle and refuse storage."/>
    <s v="PF"/>
    <d v="2021-02-12T00:00:00"/>
    <d v="2021-07-14T00:00:00"/>
    <x v="0"/>
    <s v="Nil"/>
    <m/>
    <s v="BF"/>
    <s v="NB"/>
    <x v="2"/>
    <x v="1"/>
    <n v="5.3350000000000003E-3"/>
    <m/>
    <x v="0"/>
    <m/>
    <x v="2"/>
    <s v="M"/>
    <s v=""/>
    <m/>
    <n v="0"/>
    <m/>
    <n v="0"/>
    <m/>
    <n v="0"/>
    <n v="0"/>
    <n v="1"/>
    <n v="0"/>
    <n v="0"/>
    <n v="0"/>
    <n v="0"/>
    <n v="0"/>
    <n v="0"/>
    <n v="0"/>
    <n v="0"/>
    <n v="0"/>
    <n v="0"/>
    <n v="0"/>
    <n v="0"/>
    <n v="0"/>
    <n v="1"/>
    <n v="0"/>
    <n v="0"/>
    <n v="0"/>
    <n v="0"/>
    <n v="0"/>
    <n v="0"/>
    <n v="0"/>
    <n v="0"/>
    <n v="0"/>
    <n v="0"/>
    <n v="0"/>
    <x v="0"/>
    <x v="0"/>
    <x v="1"/>
    <n v="7"/>
    <m/>
    <m/>
    <n v="0.25"/>
    <n v="0.25"/>
    <n v="0.25"/>
    <n v="0.25"/>
    <m/>
    <m/>
    <m/>
    <m/>
    <m/>
    <m/>
    <m/>
    <m/>
    <m/>
    <m/>
    <m/>
    <m/>
    <m/>
    <m/>
    <n v="1"/>
    <n v="1"/>
  </r>
  <r>
    <n v="7531"/>
    <x v="1"/>
    <s v="2020/3741"/>
    <s v="253 Franciscan Road"/>
    <s v=""/>
    <n v="527917"/>
    <n v="171390"/>
    <x v="9"/>
    <m/>
    <m/>
    <n v="4"/>
    <n v="3"/>
    <n v="-1"/>
    <n v="3"/>
    <n v="-1"/>
    <x v="1"/>
    <s v="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
    <s v="PF"/>
    <d v="2020-10-06T00:00:00"/>
    <d v="2020-12-01T00:00:00"/>
    <x v="0"/>
    <s v="Nil"/>
    <m/>
    <s v="BF"/>
    <s v="CON"/>
    <x v="2"/>
    <x v="4"/>
    <n v="1.2E-2"/>
    <m/>
    <x v="0"/>
    <m/>
    <x v="2"/>
    <s v="M"/>
    <s v=""/>
    <m/>
    <n v="0"/>
    <m/>
    <n v="0"/>
    <m/>
    <n v="-1"/>
    <n v="1"/>
    <n v="-1"/>
    <n v="0"/>
    <n v="0"/>
    <n v="0"/>
    <n v="0"/>
    <n v="-1"/>
    <n v="1"/>
    <n v="-1"/>
    <n v="0"/>
    <n v="0"/>
    <n v="0"/>
    <n v="0"/>
    <n v="0"/>
    <n v="0"/>
    <n v="0"/>
    <n v="0"/>
    <n v="0"/>
    <n v="0"/>
    <n v="0"/>
    <n v="0"/>
    <n v="0"/>
    <n v="0"/>
    <n v="0"/>
    <n v="0"/>
    <n v="0"/>
    <n v="0"/>
    <x v="0"/>
    <x v="0"/>
    <x v="1"/>
    <n v="15"/>
    <m/>
    <n v="-0.25"/>
    <n v="-0.25"/>
    <n v="-0.25"/>
    <n v="-0.25"/>
    <m/>
    <m/>
    <m/>
    <m/>
    <m/>
    <m/>
    <m/>
    <m/>
    <m/>
    <m/>
    <m/>
    <m/>
    <m/>
    <m/>
    <m/>
    <n v="-1"/>
    <n v="-1"/>
  </r>
  <r>
    <n v="7404"/>
    <x v="1"/>
    <s v="2022/3600"/>
    <s v="30 Juer Street"/>
    <s v=""/>
    <n v="527387"/>
    <n v="177038"/>
    <x v="17"/>
    <m/>
    <m/>
    <n v="2"/>
    <n v="1"/>
    <n v="-1"/>
    <n v="1"/>
    <n v="-1"/>
    <x v="1"/>
    <s v="Alterations including installation of solar panels to flat roof of existing roof extension; Extension to roof of three-storey back addition with formation of a roof terrace with raised access stair enclosure and 1.7m high screen surround extending above main roof; Removal of first floor rear access door and stair and installation of replacement window; Erection of a single storey rear /side extension; Excavation to enlarge existing basement, including formation of front lightwell with grille over. Alterations and extensions in connection with conversion of two flats to a single dwellinghouse."/>
    <s v="PF"/>
    <d v="2022-11-21T00:00:00"/>
    <d v="2023-01-31T00:00:00"/>
    <x v="1"/>
    <s v="Nil"/>
    <m/>
    <s v="BF"/>
    <s v="MIX"/>
    <x v="2"/>
    <x v="8"/>
    <n v="1.2E-2"/>
    <m/>
    <x v="0"/>
    <m/>
    <x v="2"/>
    <s v="M"/>
    <s v=""/>
    <m/>
    <n v="0"/>
    <m/>
    <n v="0"/>
    <m/>
    <n v="0"/>
    <n v="-1"/>
    <n v="0"/>
    <n v="-1"/>
    <n v="1"/>
    <n v="0"/>
    <n v="0"/>
    <n v="0"/>
    <n v="-1"/>
    <n v="0"/>
    <n v="-1"/>
    <n v="0"/>
    <n v="0"/>
    <n v="0"/>
    <n v="0"/>
    <n v="0"/>
    <n v="0"/>
    <n v="0"/>
    <n v="1"/>
    <n v="0"/>
    <n v="0"/>
    <n v="0"/>
    <n v="0"/>
    <n v="0"/>
    <n v="0"/>
    <n v="0"/>
    <n v="0"/>
    <n v="0"/>
    <x v="0"/>
    <x v="0"/>
    <x v="1"/>
    <n v="15"/>
    <m/>
    <n v="-0.25"/>
    <n v="-0.25"/>
    <n v="-0.25"/>
    <n v="-0.25"/>
    <m/>
    <m/>
    <m/>
    <m/>
    <m/>
    <m/>
    <m/>
    <m/>
    <m/>
    <m/>
    <m/>
    <m/>
    <m/>
    <m/>
    <m/>
    <n v="-1"/>
    <n v="-1"/>
  </r>
  <r>
    <n v="7935"/>
    <x v="1"/>
    <s v="2022/5011"/>
    <s v="31 Rush Hill Road"/>
    <s v=""/>
    <n v="528329"/>
    <n v="175608"/>
    <x v="12"/>
    <m/>
    <m/>
    <n v="2"/>
    <n v="1"/>
    <n v="-1"/>
    <n v="1"/>
    <n v="-1"/>
    <x v="1"/>
    <s v="Alterations including erection of single-storey rear/side extension in connection with conversion of two flats back into single family dwelling house."/>
    <s v="PF"/>
    <d v="2022-12-19T00:00:00"/>
    <d v="2023-03-27T00:00:00"/>
    <x v="1"/>
    <s v="Nil"/>
    <m/>
    <s v="BF"/>
    <s v="CON"/>
    <x v="2"/>
    <x v="8"/>
    <n v="0.05"/>
    <m/>
    <x v="0"/>
    <m/>
    <x v="2"/>
    <s v="M"/>
    <s v=""/>
    <m/>
    <n v="0"/>
    <m/>
    <n v="0"/>
    <m/>
    <n v="0"/>
    <n v="-1"/>
    <n v="0"/>
    <n v="-1"/>
    <n v="0"/>
    <n v="1"/>
    <n v="0"/>
    <n v="0"/>
    <n v="-1"/>
    <n v="0"/>
    <n v="-1"/>
    <n v="0"/>
    <n v="0"/>
    <n v="0"/>
    <n v="0"/>
    <n v="0"/>
    <n v="0"/>
    <n v="0"/>
    <n v="0"/>
    <n v="1"/>
    <n v="0"/>
    <n v="0"/>
    <n v="0"/>
    <n v="0"/>
    <n v="0"/>
    <n v="0"/>
    <n v="0"/>
    <n v="0"/>
    <x v="0"/>
    <x v="0"/>
    <x v="1"/>
    <n v="15"/>
    <m/>
    <n v="-0.25"/>
    <n v="-0.25"/>
    <n v="-0.25"/>
    <n v="-0.25"/>
    <m/>
    <m/>
    <m/>
    <m/>
    <m/>
    <m/>
    <m/>
    <m/>
    <m/>
    <m/>
    <m/>
    <m/>
    <m/>
    <m/>
    <m/>
    <n v="-1"/>
    <n v="-1"/>
  </r>
  <r>
    <n v="7865"/>
    <x v="1"/>
    <s v="2022/2643"/>
    <s v="32 Glycena Road"/>
    <s v=""/>
    <n v="527998"/>
    <n v="175724"/>
    <x v="1"/>
    <m/>
    <m/>
    <n v="1"/>
    <n v="0"/>
    <n v="-1"/>
    <n v="0"/>
    <n v="-1"/>
    <x v="1"/>
    <s v="Alterations in connection with change of use from single family dwellinghouse to 7 person House of Multiple Occupation (Sui Generis)."/>
    <s v="PF"/>
    <d v="2022-07-21T00:00:00"/>
    <d v="2022-09-15T00:00:00"/>
    <x v="1"/>
    <s v="Nil"/>
    <m/>
    <s v="BF"/>
    <s v="CON"/>
    <x v="2"/>
    <x v="5"/>
    <n v="4.4000000000000003E-3"/>
    <m/>
    <x v="0"/>
    <m/>
    <x v="2"/>
    <s v="MR"/>
    <s v=""/>
    <m/>
    <n v="0"/>
    <m/>
    <n v="0"/>
    <m/>
    <n v="0"/>
    <n v="0"/>
    <n v="0"/>
    <n v="0"/>
    <n v="0"/>
    <n v="-1"/>
    <n v="0"/>
    <n v="0"/>
    <n v="0"/>
    <n v="0"/>
    <n v="0"/>
    <n v="0"/>
    <n v="0"/>
    <n v="0"/>
    <n v="0"/>
    <n v="0"/>
    <n v="0"/>
    <n v="0"/>
    <n v="0"/>
    <n v="-1"/>
    <n v="0"/>
    <n v="0"/>
    <n v="0"/>
    <n v="0"/>
    <n v="0"/>
    <n v="0"/>
    <n v="0"/>
    <n v="0"/>
    <x v="0"/>
    <x v="0"/>
    <x v="1"/>
    <n v="15"/>
    <m/>
    <n v="-0.25"/>
    <n v="-0.25"/>
    <n v="-0.25"/>
    <n v="-0.25"/>
    <m/>
    <m/>
    <m/>
    <m/>
    <m/>
    <m/>
    <m/>
    <m/>
    <m/>
    <m/>
    <m/>
    <m/>
    <m/>
    <m/>
    <m/>
    <n v="-1"/>
    <n v="-1"/>
  </r>
  <r>
    <n v="7233"/>
    <x v="1"/>
    <s v="2021/2260"/>
    <s v="77 Broomwood Road"/>
    <s v=""/>
    <n v="527787"/>
    <n v="174343"/>
    <x v="14"/>
    <m/>
    <m/>
    <n v="0"/>
    <n v="1"/>
    <n v="1"/>
    <n v="1"/>
    <n v="1"/>
    <x v="1"/>
    <s v="Demolition of existing double garages and erection of a two storey plus basement two-bedroom dwelling house (Class C3)."/>
    <s v="PF"/>
    <d v="2021-06-03T00:00:00"/>
    <d v="2021-08-26T00:00:00"/>
    <x v="0"/>
    <s v="Nil"/>
    <m/>
    <s v="BF"/>
    <s v="NB"/>
    <x v="2"/>
    <x v="1"/>
    <n v="3.0000000000000001E-3"/>
    <m/>
    <x v="0"/>
    <m/>
    <x v="2"/>
    <s v="M"/>
    <s v=""/>
    <m/>
    <n v="0"/>
    <m/>
    <n v="0"/>
    <m/>
    <n v="0"/>
    <n v="0"/>
    <n v="0"/>
    <n v="1"/>
    <n v="0"/>
    <n v="0"/>
    <n v="0"/>
    <n v="0"/>
    <n v="0"/>
    <n v="0"/>
    <n v="0"/>
    <n v="0"/>
    <n v="0"/>
    <n v="0"/>
    <n v="0"/>
    <n v="0"/>
    <n v="0"/>
    <n v="1"/>
    <n v="0"/>
    <n v="0"/>
    <n v="0"/>
    <n v="0"/>
    <n v="0"/>
    <n v="0"/>
    <n v="0"/>
    <n v="0"/>
    <n v="0"/>
    <n v="0"/>
    <x v="0"/>
    <x v="0"/>
    <x v="1"/>
    <n v="7"/>
    <m/>
    <m/>
    <n v="0.25"/>
    <n v="0.25"/>
    <n v="0.25"/>
    <n v="0.25"/>
    <m/>
    <m/>
    <m/>
    <m/>
    <m/>
    <m/>
    <m/>
    <m/>
    <m/>
    <m/>
    <m/>
    <m/>
    <m/>
    <m/>
    <n v="1"/>
    <n v="1"/>
  </r>
  <r>
    <n v="7787"/>
    <x v="1"/>
    <s v="2021/3294"/>
    <s v="34 Rogers Road"/>
    <s v=""/>
    <n v="527051"/>
    <n v="171896"/>
    <x v="3"/>
    <m/>
    <m/>
    <n v="1"/>
    <n v="0"/>
    <n v="-1"/>
    <n v="0"/>
    <n v="-1"/>
    <x v="1"/>
    <s v="Change of use from House of Multiple Occupation (Class C4) for up to 6 occupants to House of Multiple Occupation (Sui generis) for up to 10 occupants and provision of cycle and refuse storage within the front garden."/>
    <s v="PF"/>
    <d v="2021-07-27T00:00:00"/>
    <d v="2021-09-21T00:00:00"/>
    <x v="0"/>
    <s v="Nil"/>
    <m/>
    <s v="BF"/>
    <s v="COU"/>
    <x v="2"/>
    <x v="12"/>
    <n v="0.182"/>
    <m/>
    <x v="0"/>
    <m/>
    <x v="2"/>
    <s v="M"/>
    <s v=""/>
    <m/>
    <n v="0"/>
    <m/>
    <n v="0"/>
    <m/>
    <n v="0"/>
    <n v="0"/>
    <n v="0"/>
    <n v="0"/>
    <n v="0"/>
    <n v="-1"/>
    <n v="0"/>
    <n v="0"/>
    <n v="0"/>
    <n v="0"/>
    <n v="0"/>
    <n v="0"/>
    <n v="-1"/>
    <n v="0"/>
    <n v="0"/>
    <n v="0"/>
    <n v="0"/>
    <n v="0"/>
    <n v="0"/>
    <n v="0"/>
    <n v="0"/>
    <n v="0"/>
    <n v="0"/>
    <n v="0"/>
    <n v="0"/>
    <n v="0"/>
    <n v="0"/>
    <n v="0"/>
    <x v="0"/>
    <x v="0"/>
    <x v="1"/>
    <n v="15"/>
    <m/>
    <n v="-0.25"/>
    <n v="-0.25"/>
    <n v="-0.25"/>
    <n v="-0.25"/>
    <m/>
    <m/>
    <m/>
    <m/>
    <m/>
    <m/>
    <m/>
    <m/>
    <m/>
    <m/>
    <m/>
    <m/>
    <m/>
    <m/>
    <m/>
    <n v="-1"/>
    <n v="-1"/>
  </r>
  <r>
    <n v="7118"/>
    <x v="1"/>
    <s v="2019/4906"/>
    <s v="36 Graveney Road"/>
    <s v=""/>
    <n v="527344"/>
    <n v="171674"/>
    <x v="3"/>
    <m/>
    <m/>
    <n v="1"/>
    <n v="0"/>
    <n v="-1"/>
    <n v="0"/>
    <n v="-1"/>
    <x v="1"/>
    <s v="Alterations in connection with change of use from House in Multiple Occupation (Class C4) to a large House in Multiple Occupation (Sui Generis) for 7 persons."/>
    <s v="PF"/>
    <d v="2019-02-20T00:00:00"/>
    <d v="2020-10-28T00:00:00"/>
    <x v="0"/>
    <s v="Nil"/>
    <m/>
    <s v="BF"/>
    <s v="COU"/>
    <x v="2"/>
    <x v="12"/>
    <n v="6.4000000000000001E-2"/>
    <m/>
    <x v="0"/>
    <m/>
    <x v="2"/>
    <s v="M"/>
    <s v=""/>
    <m/>
    <n v="0"/>
    <m/>
    <n v="0"/>
    <m/>
    <n v="0"/>
    <n v="0"/>
    <n v="0"/>
    <n v="0"/>
    <n v="0"/>
    <n v="-1"/>
    <n v="0"/>
    <n v="0"/>
    <n v="0"/>
    <n v="0"/>
    <n v="0"/>
    <n v="0"/>
    <n v="-1"/>
    <n v="0"/>
    <n v="0"/>
    <n v="0"/>
    <n v="0"/>
    <n v="0"/>
    <n v="0"/>
    <n v="0"/>
    <n v="0"/>
    <n v="0"/>
    <n v="0"/>
    <n v="0"/>
    <n v="0"/>
    <n v="0"/>
    <n v="0"/>
    <n v="0"/>
    <x v="0"/>
    <x v="0"/>
    <x v="1"/>
    <n v="15"/>
    <m/>
    <n v="-0.25"/>
    <n v="-0.25"/>
    <n v="-0.25"/>
    <n v="-0.25"/>
    <m/>
    <m/>
    <m/>
    <m/>
    <m/>
    <m/>
    <m/>
    <m/>
    <m/>
    <m/>
    <m/>
    <m/>
    <m/>
    <m/>
    <m/>
    <n v="-1"/>
    <n v="-1"/>
  </r>
  <r>
    <n v="7936"/>
    <x v="1"/>
    <s v="2022/5295"/>
    <s v="39 Dornton Road"/>
    <s v=""/>
    <n v="529018"/>
    <n v="172727"/>
    <x v="8"/>
    <m/>
    <m/>
    <n v="2"/>
    <n v="1"/>
    <n v="-1"/>
    <n v="1"/>
    <n v="-1"/>
    <x v="1"/>
    <s v="Conversion of two flats into one single dwellinghouse, to include alterations to install new glazed door on ground floor and addition of five roof lights on the front and side roof slopes."/>
    <s v="PF"/>
    <d v="2022-12-23T00:00:00"/>
    <d v="2023-02-24T00:00:00"/>
    <x v="1"/>
    <s v="Nil"/>
    <m/>
    <s v="BF"/>
    <s v="CON"/>
    <x v="2"/>
    <x v="8"/>
    <n v="7.0000000000000001E-3"/>
    <m/>
    <x v="0"/>
    <m/>
    <x v="2"/>
    <s v="M"/>
    <s v=""/>
    <m/>
    <n v="0"/>
    <m/>
    <n v="0"/>
    <m/>
    <n v="0"/>
    <n v="-1"/>
    <n v="0"/>
    <n v="-1"/>
    <n v="0"/>
    <n v="1"/>
    <n v="0"/>
    <n v="0"/>
    <n v="-1"/>
    <n v="0"/>
    <n v="-1"/>
    <n v="0"/>
    <n v="0"/>
    <n v="0"/>
    <n v="0"/>
    <n v="0"/>
    <n v="0"/>
    <n v="0"/>
    <n v="0"/>
    <n v="1"/>
    <n v="0"/>
    <n v="0"/>
    <n v="0"/>
    <n v="0"/>
    <n v="0"/>
    <n v="0"/>
    <n v="0"/>
    <n v="0"/>
    <x v="0"/>
    <x v="0"/>
    <x v="1"/>
    <n v="15"/>
    <m/>
    <n v="-0.25"/>
    <n v="-0.25"/>
    <n v="-0.25"/>
    <n v="-0.25"/>
    <m/>
    <m/>
    <m/>
    <m/>
    <m/>
    <m/>
    <m/>
    <m/>
    <m/>
    <m/>
    <m/>
    <m/>
    <m/>
    <m/>
    <m/>
    <n v="-1"/>
    <n v="-1"/>
  </r>
  <r>
    <n v="886"/>
    <x v="1"/>
    <s v="2020/4390"/>
    <s v="39 Selkirk Road"/>
    <s v=""/>
    <n v="527401"/>
    <n v="171675"/>
    <x v="3"/>
    <m/>
    <m/>
    <n v="2"/>
    <n v="1"/>
    <n v="-1"/>
    <n v="1"/>
    <n v="-1"/>
    <x v="1"/>
    <s v="Erection of single storey side/rear extension and installation of single front entrance door in connection with conversion of property from 2 x 2 bedroom flats to single dwelling."/>
    <s v="PF"/>
    <d v="2020-12-18T00:00:00"/>
    <d v="2021-02-12T00:00:00"/>
    <x v="0"/>
    <s v="Nil"/>
    <m/>
    <s v="BF"/>
    <s v="CON"/>
    <x v="2"/>
    <x v="8"/>
    <n v="0.06"/>
    <m/>
    <x v="0"/>
    <m/>
    <x v="2"/>
    <s v="M"/>
    <s v=""/>
    <m/>
    <n v="0"/>
    <m/>
    <n v="0"/>
    <m/>
    <n v="0"/>
    <n v="0"/>
    <n v="-2"/>
    <n v="1"/>
    <n v="0"/>
    <n v="0"/>
    <n v="0"/>
    <n v="0"/>
    <n v="0"/>
    <n v="-2"/>
    <n v="0"/>
    <n v="0"/>
    <n v="0"/>
    <n v="0"/>
    <n v="0"/>
    <n v="0"/>
    <n v="0"/>
    <n v="1"/>
    <n v="0"/>
    <n v="0"/>
    <n v="0"/>
    <n v="0"/>
    <n v="0"/>
    <n v="0"/>
    <n v="0"/>
    <n v="0"/>
    <n v="0"/>
    <n v="0"/>
    <x v="0"/>
    <x v="0"/>
    <x v="1"/>
    <n v="15"/>
    <m/>
    <n v="-0.25"/>
    <n v="-0.25"/>
    <n v="-0.25"/>
    <n v="-0.25"/>
    <m/>
    <m/>
    <m/>
    <m/>
    <m/>
    <m/>
    <m/>
    <m/>
    <m/>
    <m/>
    <m/>
    <m/>
    <m/>
    <m/>
    <m/>
    <n v="-1"/>
    <n v="-1"/>
  </r>
  <r>
    <n v="7876"/>
    <x v="1"/>
    <s v="2022/3165"/>
    <s v="43 Pulborough Road"/>
    <s v=""/>
    <n v="524744"/>
    <n v="173640"/>
    <x v="20"/>
    <m/>
    <m/>
    <n v="2"/>
    <n v="1"/>
    <n v="-1"/>
    <n v="1"/>
    <n v="-1"/>
    <x v="1"/>
    <s v="Alterations in connection with de-conversion of two flats into single dwelling house."/>
    <s v="PF"/>
    <d v="2022-08-17T00:00:00"/>
    <d v="2022-10-21T00:00:00"/>
    <x v="1"/>
    <s v="Nil"/>
    <m/>
    <s v="BF"/>
    <s v="CON"/>
    <x v="2"/>
    <x v="8"/>
    <n v="5.566667E-3"/>
    <m/>
    <x v="0"/>
    <m/>
    <x v="2"/>
    <s v="M"/>
    <s v=""/>
    <m/>
    <n v="0"/>
    <m/>
    <n v="0"/>
    <m/>
    <n v="0"/>
    <n v="0"/>
    <n v="-2"/>
    <n v="0"/>
    <n v="0"/>
    <n v="1"/>
    <n v="0"/>
    <n v="0"/>
    <n v="0"/>
    <n v="-2"/>
    <n v="0"/>
    <n v="0"/>
    <n v="0"/>
    <n v="0"/>
    <n v="0"/>
    <n v="0"/>
    <n v="0"/>
    <n v="0"/>
    <n v="0"/>
    <n v="1"/>
    <n v="0"/>
    <n v="0"/>
    <n v="0"/>
    <n v="0"/>
    <n v="0"/>
    <n v="0"/>
    <n v="0"/>
    <n v="0"/>
    <x v="0"/>
    <x v="0"/>
    <x v="1"/>
    <n v="15"/>
    <m/>
    <n v="-0.25"/>
    <n v="-0.25"/>
    <n v="-0.25"/>
    <n v="-0.25"/>
    <m/>
    <m/>
    <m/>
    <m/>
    <m/>
    <m/>
    <m/>
    <m/>
    <m/>
    <m/>
    <m/>
    <m/>
    <m/>
    <m/>
    <m/>
    <n v="-1"/>
    <n v="-1"/>
  </r>
  <r>
    <n v="5123"/>
    <x v="1"/>
    <s v="2020/0258"/>
    <s v="48 Disraeli Road"/>
    <s v=""/>
    <n v="524195"/>
    <n v="175062"/>
    <x v="0"/>
    <m/>
    <m/>
    <n v="2"/>
    <n v="1"/>
    <n v="-1"/>
    <n v="1"/>
    <n v="-1"/>
    <x v="1"/>
    <s v="Alterations including erection of a mansard roof extension above part of rear two-storey addition, single-storey rear extension and installation of front and rear rooflights to main roof; associated with the conversion to one dwelling from two flats."/>
    <s v="PF"/>
    <d v="2020-02-04T00:00:00"/>
    <d v="2020-03-26T00:00:00"/>
    <x v="0"/>
    <s v="Nil"/>
    <m/>
    <s v="BF"/>
    <s v="CON"/>
    <x v="2"/>
    <x v="8"/>
    <n v="1.9E-2"/>
    <m/>
    <x v="0"/>
    <m/>
    <x v="2"/>
    <s v="M"/>
    <s v=""/>
    <m/>
    <n v="0"/>
    <m/>
    <n v="0"/>
    <m/>
    <n v="0"/>
    <n v="-1"/>
    <n v="0"/>
    <n v="-1"/>
    <n v="0"/>
    <n v="1"/>
    <n v="0"/>
    <n v="0"/>
    <n v="-1"/>
    <n v="0"/>
    <n v="-1"/>
    <n v="0"/>
    <n v="0"/>
    <n v="0"/>
    <n v="0"/>
    <n v="0"/>
    <n v="0"/>
    <n v="0"/>
    <n v="0"/>
    <n v="1"/>
    <n v="0"/>
    <n v="0"/>
    <n v="0"/>
    <n v="0"/>
    <n v="0"/>
    <n v="0"/>
    <n v="0"/>
    <n v="0"/>
    <x v="0"/>
    <x v="0"/>
    <x v="4"/>
    <n v="15"/>
    <m/>
    <n v="-0.25"/>
    <n v="-0.25"/>
    <n v="-0.25"/>
    <n v="-0.25"/>
    <m/>
    <m/>
    <m/>
    <m/>
    <m/>
    <m/>
    <m/>
    <m/>
    <m/>
    <m/>
    <m/>
    <m/>
    <m/>
    <m/>
    <m/>
    <n v="-1"/>
    <n v="-1"/>
  </r>
  <r>
    <n v="7519"/>
    <x v="1"/>
    <s v="2021/0952"/>
    <s v="56 Elspeth Road"/>
    <s v=""/>
    <n v="527864"/>
    <n v="175385"/>
    <x v="12"/>
    <m/>
    <m/>
    <n v="1"/>
    <n v="0"/>
    <n v="-1"/>
    <n v="0"/>
    <n v="-1"/>
    <x v="1"/>
    <s v="Alterations including erection of single-storey rear/side extension and rear roof extension in connection with of change of use from 5-bedroom House of Multiple Occupation (Class C4) to 7-bedroom House of Multiple Occupation (Sui Generis)."/>
    <s v="PF"/>
    <d v="2021-03-18T00:00:00"/>
    <d v="2022-06-27T00:00:00"/>
    <x v="1"/>
    <s v="Nil"/>
    <m/>
    <s v="BF"/>
    <s v="COU"/>
    <x v="2"/>
    <x v="10"/>
    <n v="0"/>
    <m/>
    <x v="0"/>
    <m/>
    <x v="2"/>
    <s v="MR"/>
    <s v=""/>
    <m/>
    <n v="0"/>
    <m/>
    <n v="0"/>
    <m/>
    <n v="0"/>
    <n v="0"/>
    <n v="0"/>
    <n v="0"/>
    <n v="0"/>
    <n v="-1"/>
    <n v="0"/>
    <n v="0"/>
    <n v="0"/>
    <n v="0"/>
    <n v="0"/>
    <n v="0"/>
    <n v="0"/>
    <n v="0"/>
    <n v="0"/>
    <n v="0"/>
    <n v="0"/>
    <n v="0"/>
    <n v="0"/>
    <n v="-1"/>
    <n v="0"/>
    <n v="0"/>
    <n v="0"/>
    <n v="0"/>
    <n v="0"/>
    <n v="0"/>
    <n v="0"/>
    <n v="0"/>
    <x v="0"/>
    <x v="0"/>
    <x v="5"/>
    <n v="15"/>
    <m/>
    <n v="-0.25"/>
    <n v="-0.25"/>
    <n v="-0.25"/>
    <n v="-0.25"/>
    <m/>
    <m/>
    <m/>
    <m/>
    <m/>
    <m/>
    <m/>
    <m/>
    <m/>
    <m/>
    <m/>
    <m/>
    <m/>
    <m/>
    <m/>
    <n v="-1"/>
    <n v="-1"/>
  </r>
  <r>
    <n v="1627"/>
    <x v="1"/>
    <s v="2019/0517"/>
    <s v="57 Gilbey Road"/>
    <s v=""/>
    <n v="527243"/>
    <n v="171511"/>
    <x v="3"/>
    <m/>
    <m/>
    <n v="2"/>
    <n v="1"/>
    <n v="-1"/>
    <n v="1"/>
    <n v="-1"/>
    <x v="1"/>
    <s v="Alterations in connection with conversion of two flats into a single dwellinghouse."/>
    <s v="PF"/>
    <d v="2019-02-05T00:00:00"/>
    <d v="2019-04-02T00:00:00"/>
    <x v="0"/>
    <s v="Nil"/>
    <m/>
    <s v="BF"/>
    <s v="CON"/>
    <x v="2"/>
    <x v="8"/>
    <n v="1.0999999999999999E-2"/>
    <m/>
    <x v="0"/>
    <m/>
    <x v="2"/>
    <s v="M"/>
    <s v=""/>
    <m/>
    <n v="0"/>
    <m/>
    <n v="0"/>
    <m/>
    <n v="0"/>
    <n v="0"/>
    <n v="-1"/>
    <n v="-1"/>
    <n v="0"/>
    <n v="1"/>
    <n v="0"/>
    <n v="0"/>
    <n v="0"/>
    <n v="-1"/>
    <n v="-1"/>
    <n v="0"/>
    <n v="0"/>
    <n v="0"/>
    <n v="0"/>
    <n v="0"/>
    <n v="0"/>
    <n v="0"/>
    <n v="0"/>
    <n v="1"/>
    <n v="0"/>
    <n v="0"/>
    <n v="0"/>
    <n v="0"/>
    <n v="0"/>
    <n v="0"/>
    <n v="0"/>
    <n v="0"/>
    <x v="0"/>
    <x v="0"/>
    <x v="3"/>
    <n v="15"/>
    <m/>
    <n v="-0.25"/>
    <n v="-0.25"/>
    <n v="-0.25"/>
    <n v="-0.25"/>
    <m/>
    <m/>
    <m/>
    <m/>
    <m/>
    <m/>
    <m/>
    <m/>
    <m/>
    <m/>
    <m/>
    <m/>
    <m/>
    <m/>
    <m/>
    <n v="-1"/>
    <n v="-1"/>
  </r>
  <r>
    <n v="7878"/>
    <x v="1"/>
    <s v="2022/2387"/>
    <s v="7 Herndon Road"/>
    <s v=""/>
    <n v="526073"/>
    <n v="174663"/>
    <x v="6"/>
    <m/>
    <m/>
    <n v="2"/>
    <n v="1"/>
    <n v="-1"/>
    <n v="1"/>
    <n v="-1"/>
    <x v="1"/>
    <s v="Alterations including erection of mansard roof extension to main rear roof (with glazed door and safety railing) and single storey rear/side extension in connection with use as a single dwellinghouse."/>
    <s v="PF"/>
    <d v="2022-08-01T00:00:00"/>
    <d v="2022-09-26T00:00:00"/>
    <x v="1"/>
    <s v="Nil"/>
    <m/>
    <s v="BF"/>
    <s v="MIX"/>
    <x v="2"/>
    <x v="8"/>
    <n v="1.085E-2"/>
    <m/>
    <x v="0"/>
    <m/>
    <x v="2"/>
    <s v="M"/>
    <s v=""/>
    <m/>
    <n v="0"/>
    <m/>
    <n v="0"/>
    <m/>
    <n v="0"/>
    <n v="0"/>
    <n v="-2"/>
    <n v="0"/>
    <n v="1"/>
    <n v="0"/>
    <n v="0"/>
    <n v="0"/>
    <n v="0"/>
    <n v="-2"/>
    <n v="0"/>
    <n v="0"/>
    <n v="0"/>
    <n v="0"/>
    <n v="0"/>
    <n v="0"/>
    <n v="0"/>
    <n v="0"/>
    <n v="1"/>
    <n v="0"/>
    <n v="0"/>
    <n v="0"/>
    <n v="0"/>
    <n v="0"/>
    <n v="0"/>
    <n v="0"/>
    <n v="0"/>
    <n v="0"/>
    <x v="0"/>
    <x v="0"/>
    <x v="1"/>
    <n v="15"/>
    <m/>
    <n v="-0.25"/>
    <n v="-0.25"/>
    <n v="-0.25"/>
    <n v="-0.25"/>
    <m/>
    <m/>
    <m/>
    <m/>
    <m/>
    <m/>
    <m/>
    <m/>
    <m/>
    <m/>
    <m/>
    <m/>
    <m/>
    <m/>
    <m/>
    <n v="-1"/>
    <n v="-1"/>
  </r>
  <r>
    <n v="5832"/>
    <x v="1"/>
    <s v="2021/1236"/>
    <s v="Garages in, Heathwall Street"/>
    <s v=""/>
    <n v="527798"/>
    <n v="175779"/>
    <x v="1"/>
    <m/>
    <m/>
    <n v="0"/>
    <n v="1"/>
    <n v="1"/>
    <n v="1"/>
    <n v="1"/>
    <x v="1"/>
    <s v="Demolition of existing garages erection of one-storey (plus basement) 2-bedroom house"/>
    <s v="PF"/>
    <d v="2021-03-16T00:00:00"/>
    <d v="2022-07-29T00:00:00"/>
    <x v="1"/>
    <s v="Nil"/>
    <m/>
    <s v="BF"/>
    <s v="NB"/>
    <x v="2"/>
    <x v="1"/>
    <n v="1.0999999999999999E-2"/>
    <m/>
    <x v="0"/>
    <m/>
    <x v="2"/>
    <s v="M"/>
    <s v=""/>
    <m/>
    <n v="0"/>
    <m/>
    <n v="0"/>
    <m/>
    <n v="0"/>
    <n v="0"/>
    <n v="1"/>
    <n v="0"/>
    <n v="0"/>
    <n v="0"/>
    <n v="0"/>
    <n v="0"/>
    <n v="0"/>
    <n v="0"/>
    <n v="0"/>
    <n v="0"/>
    <n v="0"/>
    <n v="0"/>
    <n v="0"/>
    <n v="0"/>
    <n v="1"/>
    <n v="0"/>
    <n v="0"/>
    <n v="0"/>
    <n v="0"/>
    <n v="0"/>
    <n v="0"/>
    <n v="0"/>
    <n v="0"/>
    <n v="0"/>
    <n v="0"/>
    <n v="0"/>
    <x v="0"/>
    <x v="0"/>
    <x v="1"/>
    <n v="7"/>
    <m/>
    <m/>
    <n v="0.25"/>
    <n v="0.25"/>
    <n v="0.25"/>
    <n v="0.25"/>
    <m/>
    <m/>
    <m/>
    <m/>
    <m/>
    <m/>
    <m/>
    <m/>
    <m/>
    <m/>
    <m/>
    <m/>
    <m/>
    <m/>
    <n v="1"/>
    <n v="1"/>
  </r>
  <r>
    <n v="6982"/>
    <x v="1"/>
    <s v="2018/3147"/>
    <s v="81a Albert Bridge Road"/>
    <s v=""/>
    <n v="527516"/>
    <n v="177050"/>
    <x v="17"/>
    <m/>
    <m/>
    <n v="2"/>
    <n v="1"/>
    <n v="-1"/>
    <n v="1"/>
    <n v="-1"/>
    <x v="1"/>
    <s v="Alterations including the erection of mansard roof extension to main rear roof (with french doors and safety railings); alterations to the second floor balcony to the front elevation. Amalgamation of first, second and third floor maisonettes into 1 x 3-bedroom maisonette."/>
    <s v="PF"/>
    <d v="2018-06-26T00:00:00"/>
    <d v="2018-09-24T00:00:00"/>
    <x v="0"/>
    <s v="Nil"/>
    <m/>
    <s v="BF"/>
    <s v="MIX"/>
    <x v="2"/>
    <x v="7"/>
    <n v="1.4E-2"/>
    <m/>
    <x v="0"/>
    <m/>
    <x v="2"/>
    <s v="M"/>
    <s v=""/>
    <m/>
    <n v="0"/>
    <m/>
    <n v="0"/>
    <m/>
    <n v="0"/>
    <n v="-2"/>
    <n v="0"/>
    <n v="1"/>
    <n v="0"/>
    <n v="0"/>
    <n v="0"/>
    <n v="0"/>
    <n v="-2"/>
    <n v="0"/>
    <n v="1"/>
    <n v="0"/>
    <n v="0"/>
    <n v="0"/>
    <n v="0"/>
    <n v="0"/>
    <n v="0"/>
    <n v="0"/>
    <n v="0"/>
    <n v="0"/>
    <n v="0"/>
    <n v="0"/>
    <n v="0"/>
    <n v="0"/>
    <n v="0"/>
    <n v="0"/>
    <n v="0"/>
    <n v="0"/>
    <x v="0"/>
    <x v="0"/>
    <x v="8"/>
    <n v="15"/>
    <m/>
    <n v="-0.25"/>
    <n v="-0.25"/>
    <n v="-0.25"/>
    <n v="-0.25"/>
    <m/>
    <m/>
    <m/>
    <m/>
    <m/>
    <m/>
    <m/>
    <m/>
    <m/>
    <m/>
    <m/>
    <m/>
    <m/>
    <m/>
    <m/>
    <n v="-1"/>
    <n v="-1"/>
  </r>
  <r>
    <n v="7055"/>
    <x v="1"/>
    <s v="2020/2038"/>
    <s v="89 Ramsden Road"/>
    <s v=""/>
    <n v="528371"/>
    <n v="173680"/>
    <x v="2"/>
    <m/>
    <m/>
    <n v="5"/>
    <n v="4"/>
    <n v="-1"/>
    <n v="5"/>
    <n v="0"/>
    <x v="1"/>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x v="0"/>
    <s v="Nil"/>
    <m/>
    <s v="BF"/>
    <s v="MIX"/>
    <x v="2"/>
    <x v="7"/>
    <n v="3.6999999999999998E-2"/>
    <m/>
    <x v="0"/>
    <m/>
    <x v="2"/>
    <s v="M"/>
    <s v=""/>
    <m/>
    <n v="0"/>
    <m/>
    <n v="0"/>
    <m/>
    <n v="-2"/>
    <n v="-1"/>
    <n v="1"/>
    <n v="1"/>
    <n v="0"/>
    <n v="0"/>
    <n v="0"/>
    <n v="-2"/>
    <n v="-1"/>
    <n v="1"/>
    <n v="1"/>
    <n v="0"/>
    <n v="0"/>
    <n v="0"/>
    <n v="0"/>
    <n v="0"/>
    <n v="0"/>
    <n v="0"/>
    <n v="0"/>
    <n v="0"/>
    <n v="0"/>
    <n v="0"/>
    <n v="0"/>
    <n v="0"/>
    <n v="0"/>
    <n v="0"/>
    <n v="0"/>
    <n v="0"/>
    <x v="0"/>
    <x v="0"/>
    <x v="1"/>
    <n v="15"/>
    <m/>
    <n v="-0.25"/>
    <n v="-0.25"/>
    <n v="-0.25"/>
    <n v="-0.25"/>
    <m/>
    <m/>
    <m/>
    <m/>
    <m/>
    <m/>
    <m/>
    <m/>
    <m/>
    <m/>
    <m/>
    <m/>
    <m/>
    <m/>
    <m/>
    <n v="-1"/>
    <n v="-1"/>
  </r>
  <r>
    <n v="7739"/>
    <x v="1"/>
    <s v="2021/5292"/>
    <s v="The Lodge, 120 Bolingbroke Grove"/>
    <s v=""/>
    <n v="527166"/>
    <n v="174991"/>
    <x v="12"/>
    <m/>
    <m/>
    <n v="1"/>
    <n v="1"/>
    <n v="0"/>
    <n v="1"/>
    <n v="0"/>
    <x v="1"/>
    <s v="Demolition of existing dwellinghouse and erection of two storey (plus basement and roof level accommodation) 4-bedroom dwellinghouse."/>
    <s v="PF"/>
    <d v="2021-11-30T00:00:00"/>
    <d v="2022-07-29T00:00:00"/>
    <x v="1"/>
    <s v="Nil"/>
    <m/>
    <s v="BF"/>
    <s v="NB"/>
    <x v="2"/>
    <x v="1"/>
    <n v="1.025E-2"/>
    <m/>
    <x v="0"/>
    <m/>
    <x v="2"/>
    <s v="M"/>
    <s v=""/>
    <m/>
    <n v="0"/>
    <m/>
    <n v="0"/>
    <m/>
    <n v="0"/>
    <n v="0"/>
    <n v="0"/>
    <n v="0"/>
    <n v="0"/>
    <n v="0"/>
    <n v="0"/>
    <n v="0"/>
    <n v="0"/>
    <n v="0"/>
    <n v="0"/>
    <n v="0"/>
    <n v="0"/>
    <n v="0"/>
    <n v="0"/>
    <n v="0"/>
    <n v="0"/>
    <n v="0"/>
    <n v="0"/>
    <n v="0"/>
    <n v="0"/>
    <n v="0"/>
    <n v="0"/>
    <n v="0"/>
    <n v="0"/>
    <n v="0"/>
    <n v="0"/>
    <n v="0"/>
    <x v="0"/>
    <x v="0"/>
    <x v="1"/>
    <n v="7"/>
    <m/>
    <m/>
    <n v="0"/>
    <n v="0"/>
    <n v="0"/>
    <n v="0"/>
    <m/>
    <m/>
    <m/>
    <m/>
    <m/>
    <m/>
    <m/>
    <m/>
    <m/>
    <m/>
    <m/>
    <m/>
    <m/>
    <m/>
    <n v="0"/>
    <n v="0"/>
  </r>
  <r>
    <n v="7622"/>
    <x v="1"/>
    <s v="2021/2885"/>
    <s v="Apartments 78 &amp; 79, 1 Riverlight Quay (Riverlight)"/>
    <s v=""/>
    <n v="529505"/>
    <n v="177593"/>
    <x v="15"/>
    <m/>
    <m/>
    <n v="2"/>
    <n v="1"/>
    <n v="-1"/>
    <n v="1"/>
    <n v="-1"/>
    <x v="1"/>
    <s v="The amalgamation of two adjacent two-bed units to create one four-bed unit and extension of the unit to incorporate 4 sqm of the communal hallway."/>
    <s v="PF"/>
    <d v="2021-06-18T00:00:00"/>
    <d v="2021-08-31T00:00:00"/>
    <x v="0"/>
    <s v="Nil"/>
    <m/>
    <s v="BF"/>
    <s v="CON"/>
    <x v="2"/>
    <x v="9"/>
    <n v="1.9099999999999999E-2"/>
    <m/>
    <x v="0"/>
    <m/>
    <x v="2"/>
    <s v="M"/>
    <s v="2.1.9"/>
    <m/>
    <n v="0"/>
    <m/>
    <n v="0"/>
    <m/>
    <n v="0"/>
    <n v="0"/>
    <n v="-2"/>
    <n v="0"/>
    <n v="1"/>
    <n v="0"/>
    <n v="0"/>
    <n v="0"/>
    <n v="0"/>
    <n v="-2"/>
    <n v="0"/>
    <n v="1"/>
    <n v="0"/>
    <n v="0"/>
    <n v="0"/>
    <n v="0"/>
    <n v="0"/>
    <n v="0"/>
    <n v="0"/>
    <n v="0"/>
    <n v="0"/>
    <n v="0"/>
    <n v="0"/>
    <n v="0"/>
    <n v="0"/>
    <n v="0"/>
    <n v="0"/>
    <n v="0"/>
    <x v="0"/>
    <x v="1"/>
    <x v="7"/>
    <n v="15"/>
    <m/>
    <n v="-0.25"/>
    <n v="-0.25"/>
    <n v="-0.25"/>
    <n v="-0.25"/>
    <m/>
    <m/>
    <m/>
    <m/>
    <m/>
    <m/>
    <m/>
    <m/>
    <m/>
    <m/>
    <m/>
    <m/>
    <m/>
    <m/>
    <m/>
    <n v="-1"/>
    <n v="-1"/>
  </r>
  <r>
    <n v="7258"/>
    <x v="1"/>
    <s v="2022/2673"/>
    <s v="Flat B &amp; C, 39 Bolingbroke Grove"/>
    <s v=""/>
    <n v="527490"/>
    <n v="174270"/>
    <x v="14"/>
    <m/>
    <m/>
    <n v="2"/>
    <n v="1"/>
    <n v="-1"/>
    <n v="1"/>
    <n v="-1"/>
    <x v="1"/>
    <s v="Alterations to include the erection of part single/ part two storey rear extension and first floor rear extension in connection with conversion of Flats B and C into a 4-bedroom flat."/>
    <s v="PF"/>
    <d v="2022-09-22T00:00:00"/>
    <d v="2023-03-14T00:00:00"/>
    <x v="1"/>
    <s v="Nil"/>
    <m/>
    <s v="BF"/>
    <s v="CON"/>
    <x v="2"/>
    <x v="9"/>
    <n v="7.9000000000000008E-3"/>
    <m/>
    <x v="0"/>
    <m/>
    <x v="2"/>
    <s v="M"/>
    <s v=""/>
    <m/>
    <n v="0"/>
    <m/>
    <n v="0"/>
    <m/>
    <n v="0"/>
    <n v="-2"/>
    <n v="0"/>
    <n v="0"/>
    <n v="1"/>
    <n v="0"/>
    <n v="0"/>
    <n v="0"/>
    <n v="-2"/>
    <n v="0"/>
    <n v="0"/>
    <n v="1"/>
    <n v="0"/>
    <n v="0"/>
    <n v="0"/>
    <n v="0"/>
    <n v="0"/>
    <n v="0"/>
    <n v="0"/>
    <n v="0"/>
    <n v="0"/>
    <n v="0"/>
    <n v="0"/>
    <n v="0"/>
    <n v="0"/>
    <n v="0"/>
    <n v="0"/>
    <n v="0"/>
    <x v="0"/>
    <x v="0"/>
    <x v="1"/>
    <n v="15"/>
    <m/>
    <n v="-0.25"/>
    <n v="-0.25"/>
    <n v="-0.25"/>
    <n v="-0.25"/>
    <m/>
    <m/>
    <m/>
    <m/>
    <m/>
    <m/>
    <m/>
    <m/>
    <m/>
    <m/>
    <m/>
    <m/>
    <m/>
    <m/>
    <m/>
    <n v="-1"/>
    <n v="-1"/>
  </r>
  <r>
    <n v="7038"/>
    <x v="1"/>
    <s v="2018/4850"/>
    <s v="Flats 26 &amp; 27 Waterside Point, 2 Anhalt Road"/>
    <s v=""/>
    <n v="527377"/>
    <n v="177378"/>
    <x v="17"/>
    <m/>
    <m/>
    <n v="2"/>
    <n v="1"/>
    <n v="-1"/>
    <n v="1"/>
    <n v="-1"/>
    <x v="1"/>
    <s v="Conversion of existing 1 x 2 bed and 1 x 3 bed second floor self-contained flats into one x 6 bedroom second floor self-contained flat."/>
    <s v="PF"/>
    <d v="2018-11-13T00:00:00"/>
    <d v="2019-01-08T00:00:00"/>
    <x v="0"/>
    <s v="Nil"/>
    <m/>
    <s v="BF"/>
    <s v="CON"/>
    <x v="2"/>
    <x v="9"/>
    <n v="5.0000000000000001E-3"/>
    <m/>
    <x v="0"/>
    <m/>
    <x v="2"/>
    <s v="M"/>
    <s v=""/>
    <m/>
    <n v="0"/>
    <m/>
    <n v="0"/>
    <m/>
    <n v="0"/>
    <n v="0"/>
    <n v="-1"/>
    <n v="-1"/>
    <n v="0"/>
    <n v="1"/>
    <n v="0"/>
    <n v="0"/>
    <n v="0"/>
    <n v="-1"/>
    <n v="-1"/>
    <n v="0"/>
    <n v="1"/>
    <n v="0"/>
    <n v="0"/>
    <n v="0"/>
    <n v="0"/>
    <n v="0"/>
    <n v="0"/>
    <n v="0"/>
    <n v="0"/>
    <n v="0"/>
    <n v="0"/>
    <n v="0"/>
    <n v="0"/>
    <n v="0"/>
    <n v="0"/>
    <n v="0"/>
    <x v="0"/>
    <x v="0"/>
    <x v="8"/>
    <n v="15"/>
    <m/>
    <n v="-0.25"/>
    <n v="-0.25"/>
    <n v="-0.25"/>
    <n v="-0.25"/>
    <m/>
    <m/>
    <m/>
    <m/>
    <m/>
    <m/>
    <m/>
    <m/>
    <m/>
    <m/>
    <m/>
    <m/>
    <m/>
    <m/>
    <m/>
    <n v="-1"/>
    <n v="-1"/>
  </r>
  <r>
    <n v="7817"/>
    <x v="1"/>
    <s v="2022/1132"/>
    <s v="Formerly Flats A&amp;B, 131 St James Drive"/>
    <s v=""/>
    <n v="527600"/>
    <n v="173459"/>
    <x v="4"/>
    <m/>
    <m/>
    <n v="2"/>
    <n v="1"/>
    <n v="-1"/>
    <n v="1"/>
    <n v="-1"/>
    <x v="1"/>
    <s v="Conversion of property into single-family dwellinghouse and alterations including erection of mansard roof extension to provide an additional floor of accommodation; erection of three-storey rear extension; extension above back addition and frormation of roof terrace."/>
    <s v="PF"/>
    <d v="2022-05-20T00:00:00"/>
    <d v="2022-08-31T00:00:00"/>
    <x v="1"/>
    <s v="Nil"/>
    <m/>
    <s v="BF"/>
    <s v="CON"/>
    <x v="2"/>
    <x v="8"/>
    <n v="6.1425000000000004E-3"/>
    <m/>
    <x v="0"/>
    <m/>
    <x v="2"/>
    <s v="M"/>
    <s v=""/>
    <m/>
    <n v="0"/>
    <m/>
    <n v="0"/>
    <m/>
    <n v="0"/>
    <n v="-1"/>
    <n v="0"/>
    <n v="-1"/>
    <n v="0"/>
    <n v="1"/>
    <n v="0"/>
    <n v="0"/>
    <n v="-1"/>
    <n v="0"/>
    <n v="-1"/>
    <n v="0"/>
    <n v="0"/>
    <n v="0"/>
    <n v="0"/>
    <n v="0"/>
    <n v="0"/>
    <n v="0"/>
    <n v="0"/>
    <n v="1"/>
    <n v="0"/>
    <n v="0"/>
    <n v="0"/>
    <n v="0"/>
    <n v="0"/>
    <n v="0"/>
    <n v="0"/>
    <n v="0"/>
    <x v="0"/>
    <x v="0"/>
    <x v="1"/>
    <n v="15"/>
    <m/>
    <n v="-0.25"/>
    <n v="-0.25"/>
    <n v="-0.25"/>
    <n v="-0.25"/>
    <m/>
    <m/>
    <m/>
    <m/>
    <m/>
    <m/>
    <m/>
    <m/>
    <m/>
    <m/>
    <m/>
    <m/>
    <m/>
    <m/>
    <m/>
    <n v="-1"/>
    <n v="-1"/>
  </r>
  <r>
    <n v="7862"/>
    <x v="1"/>
    <s v="2022/2521"/>
    <s v="Ground and First Floor Flats, 56 Luttrell Avenue"/>
    <s v=""/>
    <n v="522956"/>
    <n v="174649"/>
    <x v="18"/>
    <m/>
    <m/>
    <n v="2"/>
    <n v="1"/>
    <n v="-1"/>
    <n v="1"/>
    <n v="-1"/>
    <x v="1"/>
    <s v="Erection of a replacement single-storey rear/side extension in connection with use of ground and first floor flats as a single dwelling."/>
    <s v="PF"/>
    <d v="2022-06-15T00:00:00"/>
    <d v="2022-10-14T00:00:00"/>
    <x v="1"/>
    <s v="Nil"/>
    <m/>
    <s v="BF"/>
    <s v="CON"/>
    <x v="2"/>
    <x v="8"/>
    <n v="1.54E-2"/>
    <m/>
    <x v="0"/>
    <m/>
    <x v="2"/>
    <s v="M"/>
    <s v=""/>
    <m/>
    <n v="0"/>
    <m/>
    <n v="0"/>
    <m/>
    <n v="0"/>
    <n v="-1"/>
    <n v="-1"/>
    <n v="0"/>
    <n v="1"/>
    <n v="0"/>
    <n v="0"/>
    <n v="0"/>
    <n v="-1"/>
    <n v="-1"/>
    <n v="0"/>
    <n v="1"/>
    <n v="0"/>
    <n v="0"/>
    <n v="0"/>
    <n v="0"/>
    <n v="0"/>
    <n v="0"/>
    <n v="0"/>
    <n v="0"/>
    <n v="0"/>
    <n v="0"/>
    <n v="0"/>
    <n v="0"/>
    <n v="0"/>
    <n v="0"/>
    <n v="0"/>
    <n v="0"/>
    <x v="0"/>
    <x v="0"/>
    <x v="1"/>
    <n v="15"/>
    <m/>
    <n v="-0.25"/>
    <n v="-0.25"/>
    <n v="-0.25"/>
    <n v="-0.25"/>
    <m/>
    <m/>
    <m/>
    <m/>
    <m/>
    <m/>
    <m/>
    <m/>
    <m/>
    <m/>
    <m/>
    <m/>
    <m/>
    <m/>
    <m/>
    <n v="-1"/>
    <n v="-1"/>
  </r>
  <r>
    <n v="3307"/>
    <x v="1"/>
    <s v="2021/2079"/>
    <s v="St Augustine Vicarage, 99 Broadwater Road"/>
    <s v=""/>
    <n v="527098"/>
    <n v="171727"/>
    <x v="3"/>
    <m/>
    <m/>
    <n v="1"/>
    <n v="0"/>
    <n v="-1"/>
    <n v="0"/>
    <n v="-1"/>
    <x v="1"/>
    <s v="Alterations in connection with change of use from residential dwelling (Class C3) to house of multiple occupation (Sui Generis)."/>
    <s v="PF"/>
    <d v="2021-06-14T00:00:00"/>
    <d v="2022-04-20T00:00:00"/>
    <x v="1"/>
    <s v="Nil"/>
    <m/>
    <s v="BF"/>
    <s v="COU"/>
    <x v="2"/>
    <x v="7"/>
    <n v="0"/>
    <m/>
    <x v="0"/>
    <m/>
    <x v="2"/>
    <s v="MR"/>
    <s v=""/>
    <m/>
    <n v="0"/>
    <m/>
    <n v="0"/>
    <m/>
    <n v="0"/>
    <n v="0"/>
    <n v="0"/>
    <n v="0"/>
    <n v="0"/>
    <n v="-1"/>
    <n v="0"/>
    <n v="0"/>
    <n v="0"/>
    <n v="0"/>
    <n v="0"/>
    <n v="0"/>
    <n v="0"/>
    <n v="0"/>
    <n v="0"/>
    <n v="0"/>
    <n v="0"/>
    <n v="0"/>
    <n v="0"/>
    <n v="-1"/>
    <n v="0"/>
    <n v="0"/>
    <n v="0"/>
    <n v="0"/>
    <n v="0"/>
    <n v="0"/>
    <n v="0"/>
    <n v="0"/>
    <x v="0"/>
    <x v="0"/>
    <x v="1"/>
    <n v="15"/>
    <m/>
    <n v="-0.25"/>
    <n v="-0.25"/>
    <n v="-0.25"/>
    <n v="-0.25"/>
    <m/>
    <m/>
    <m/>
    <m/>
    <m/>
    <m/>
    <m/>
    <m/>
    <m/>
    <m/>
    <m/>
    <m/>
    <m/>
    <m/>
    <m/>
    <n v="-1"/>
    <n v="-1"/>
  </r>
  <r>
    <n v="7757"/>
    <x v="1"/>
    <s v="2021/5787"/>
    <s v="46 Roedean Crescent"/>
    <s v=""/>
    <n v="521171"/>
    <n v="174284"/>
    <x v="16"/>
    <m/>
    <m/>
    <n v="1"/>
    <n v="1"/>
    <n v="0"/>
    <n v="1"/>
    <n v="0"/>
    <x v="1"/>
    <s v="Demolition of existing house, erection of a two-storey (plus basement) 6-bedroom detached house with a car lift to the front driveway adjacent to the house."/>
    <s v="PF"/>
    <d v="2021-12-22T00:00:00"/>
    <d v="2022-03-07T00:00:00"/>
    <x v="0"/>
    <s v="Nil"/>
    <m/>
    <s v="BF"/>
    <s v="NB"/>
    <x v="2"/>
    <x v="1"/>
    <n v="3.6999999999999998E-2"/>
    <m/>
    <x v="0"/>
    <m/>
    <x v="2"/>
    <s v="M"/>
    <s v=""/>
    <m/>
    <n v="0"/>
    <m/>
    <n v="0"/>
    <m/>
    <n v="0"/>
    <n v="0"/>
    <n v="0"/>
    <n v="0"/>
    <n v="0"/>
    <n v="0"/>
    <n v="0"/>
    <n v="0"/>
    <n v="0"/>
    <n v="0"/>
    <n v="0"/>
    <n v="0"/>
    <n v="0"/>
    <n v="0"/>
    <n v="0"/>
    <n v="0"/>
    <n v="0"/>
    <n v="0"/>
    <n v="0"/>
    <n v="0"/>
    <n v="0"/>
    <n v="0"/>
    <n v="0"/>
    <n v="0"/>
    <n v="0"/>
    <n v="0"/>
    <n v="0"/>
    <n v="0"/>
    <x v="0"/>
    <x v="0"/>
    <x v="1"/>
    <n v="7"/>
    <m/>
    <m/>
    <n v="0"/>
    <n v="0"/>
    <n v="0"/>
    <n v="0"/>
    <m/>
    <m/>
    <m/>
    <m/>
    <m/>
    <m/>
    <m/>
    <m/>
    <m/>
    <m/>
    <m/>
    <m/>
    <m/>
    <m/>
    <n v="0"/>
    <n v="0"/>
  </r>
  <r>
    <n v="7890"/>
    <x v="1"/>
    <s v="2022/3691"/>
    <s v="2 Patten Road"/>
    <s v=""/>
    <n v="527164"/>
    <n v="173740"/>
    <x v="10"/>
    <m/>
    <m/>
    <n v="3"/>
    <n v="1"/>
    <n v="-2"/>
    <n v="1"/>
    <n v="-2"/>
    <x v="1"/>
    <s v="Alterations including erection of a dormer roof extension (with french doors and safety railing) to the main rear roof; Erection of a single storey rear extension; Excavation to enlarge existing basement, including formation of 2 front lightwells with grille over, and 1 rear lightwell with access stair to rear garden; Removal of existing timber fence and erection of a brick wall and metal railing with metal access gates to front boundary; Erection of cycle and refuse storage to front garden, in connection with conversion to a single dwellinghouse."/>
    <s v="PF"/>
    <d v="2022-10-03T00:00:00"/>
    <d v="2023-02-27T00:00:00"/>
    <x v="1"/>
    <s v="Nil"/>
    <m/>
    <s v="BF"/>
    <s v="MIX"/>
    <x v="2"/>
    <x v="8"/>
    <n v="1.4999999999999999E-2"/>
    <m/>
    <x v="0"/>
    <m/>
    <x v="2"/>
    <s v="M"/>
    <s v=""/>
    <m/>
    <n v="0"/>
    <m/>
    <n v="0"/>
    <m/>
    <n v="0"/>
    <n v="0"/>
    <n v="-2"/>
    <n v="-1"/>
    <n v="0"/>
    <n v="1"/>
    <n v="0"/>
    <n v="0"/>
    <n v="0"/>
    <n v="-2"/>
    <n v="-1"/>
    <n v="0"/>
    <n v="0"/>
    <n v="0"/>
    <n v="0"/>
    <n v="0"/>
    <n v="0"/>
    <n v="0"/>
    <n v="0"/>
    <n v="1"/>
    <n v="0"/>
    <n v="0"/>
    <n v="0"/>
    <n v="0"/>
    <n v="0"/>
    <n v="0"/>
    <n v="0"/>
    <n v="0"/>
    <x v="0"/>
    <x v="0"/>
    <x v="1"/>
    <n v="15"/>
    <m/>
    <n v="-0.5"/>
    <n v="-0.5"/>
    <n v="-0.5"/>
    <n v="-0.5"/>
    <m/>
    <m/>
    <m/>
    <m/>
    <m/>
    <m/>
    <m/>
    <m/>
    <m/>
    <m/>
    <m/>
    <m/>
    <m/>
    <m/>
    <m/>
    <n v="-2"/>
    <n v="-2"/>
  </r>
  <r>
    <n v="7797"/>
    <x v="1"/>
    <s v="2022/0777"/>
    <s v="21 Chetwode Road"/>
    <s v=""/>
    <n v="528052"/>
    <n v="172514"/>
    <x v="4"/>
    <m/>
    <m/>
    <n v="1"/>
    <n v="8"/>
    <n v="7"/>
    <n v="8"/>
    <n v="7"/>
    <x v="1"/>
    <s v="Demolition of existing dwelling house and erection of replacement two storey (plus roof and basement) building to create 2 x 3-bedroom, 4 x 2-bedroom, 2 x 1-bedroom flats with associated cycle and refuse storage."/>
    <s v="PF"/>
    <d v="2022-02-23T00:00:00"/>
    <d v="2022-07-01T00:00:00"/>
    <x v="1"/>
    <s v="Nil"/>
    <m/>
    <s v="BF"/>
    <s v="NB"/>
    <x v="2"/>
    <x v="1"/>
    <n v="0.01"/>
    <m/>
    <x v="0"/>
    <m/>
    <x v="2"/>
    <s v="M"/>
    <s v=""/>
    <m/>
    <n v="0"/>
    <n v="8"/>
    <n v="0"/>
    <n v="8"/>
    <n v="0"/>
    <n v="3"/>
    <n v="3"/>
    <n v="1"/>
    <n v="0"/>
    <n v="0"/>
    <n v="0"/>
    <n v="0"/>
    <n v="3"/>
    <n v="3"/>
    <n v="2"/>
    <n v="0"/>
    <n v="0"/>
    <n v="0"/>
    <n v="0"/>
    <n v="0"/>
    <n v="0"/>
    <n v="-1"/>
    <n v="0"/>
    <n v="0"/>
    <n v="0"/>
    <n v="0"/>
    <n v="0"/>
    <n v="0"/>
    <n v="0"/>
    <n v="0"/>
    <n v="0"/>
    <n v="0"/>
    <x v="0"/>
    <x v="0"/>
    <x v="1"/>
    <n v="10"/>
    <m/>
    <m/>
    <m/>
    <m/>
    <n v="2.3333333333333335"/>
    <n v="2.3333333333333335"/>
    <n v="2.3333333333333335"/>
    <m/>
    <m/>
    <m/>
    <m/>
    <m/>
    <m/>
    <m/>
    <m/>
    <m/>
    <m/>
    <m/>
    <m/>
    <m/>
    <n v="4.666666666666667"/>
    <n v="7"/>
  </r>
  <r>
    <n v="6130"/>
    <x v="1"/>
    <s v="2021/4211"/>
    <s v="63 Roehampton Lane"/>
    <s v=""/>
    <n v="522154"/>
    <n v="175135"/>
    <x v="16"/>
    <m/>
    <m/>
    <n v="1"/>
    <n v="1"/>
    <n v="0"/>
    <n v="1"/>
    <n v="0"/>
    <x v="1"/>
    <s v="Demolition of existing dwelling and erection of a two-storey (plus accommodation at roof level) 5-bedroom house."/>
    <s v="PF"/>
    <d v="2021-09-21T00:00:00"/>
    <d v="2022-06-29T00:00:00"/>
    <x v="1"/>
    <s v="Nil"/>
    <m/>
    <s v="BF"/>
    <s v="NB"/>
    <x v="2"/>
    <x v="1"/>
    <n v="1.8294000000000001E-2"/>
    <m/>
    <x v="0"/>
    <m/>
    <x v="2"/>
    <s v="M"/>
    <s v=""/>
    <m/>
    <n v="0"/>
    <m/>
    <n v="0"/>
    <m/>
    <n v="0"/>
    <n v="0"/>
    <n v="0"/>
    <n v="0"/>
    <n v="-1"/>
    <n v="1"/>
    <n v="0"/>
    <n v="0"/>
    <n v="0"/>
    <n v="0"/>
    <n v="0"/>
    <n v="0"/>
    <n v="0"/>
    <n v="0"/>
    <n v="0"/>
    <n v="0"/>
    <n v="0"/>
    <n v="0"/>
    <n v="-1"/>
    <n v="1"/>
    <n v="0"/>
    <n v="0"/>
    <n v="0"/>
    <n v="0"/>
    <n v="0"/>
    <n v="0"/>
    <n v="0"/>
    <n v="0"/>
    <x v="0"/>
    <x v="0"/>
    <x v="1"/>
    <n v="7"/>
    <m/>
    <m/>
    <n v="0"/>
    <n v="0"/>
    <n v="0"/>
    <n v="0"/>
    <m/>
    <m/>
    <m/>
    <m/>
    <m/>
    <m/>
    <m/>
    <m/>
    <m/>
    <m/>
    <m/>
    <m/>
    <m/>
    <m/>
    <n v="0"/>
    <n v="0"/>
  </r>
  <r>
    <n v="5128"/>
    <x v="1"/>
    <s v="2021/4728"/>
    <s v="Garages rear of 144, West Hill (Garages west of 48 &amp; 50 Lytton Grove)"/>
    <s v=""/>
    <n v="524267"/>
    <n v="174267"/>
    <x v="7"/>
    <d v="2022-06-29T00:00:00"/>
    <m/>
    <n v="0"/>
    <n v="1"/>
    <n v="1"/>
    <n v="1"/>
    <n v="1"/>
    <x v="1"/>
    <s v="Demolition of existing garages and erection of single-storey (plus basement and roof level accommodation) 3-bedroom house. (Amendments to planning permission dated 24/08/20 ref. 2020/1240 to include a basement with lightwell and additional bedroom)."/>
    <s v="PF"/>
    <d v="2021-10-14T00:00:00"/>
    <d v="2022-06-29T00:00:00"/>
    <x v="1"/>
    <s v="Nil"/>
    <m/>
    <s v="BF"/>
    <s v="NB"/>
    <x v="2"/>
    <x v="1"/>
    <n v="1.8599999999999998E-2"/>
    <m/>
    <x v="0"/>
    <m/>
    <x v="2"/>
    <s v="M"/>
    <s v=""/>
    <m/>
    <n v="0"/>
    <m/>
    <n v="0"/>
    <m/>
    <n v="0"/>
    <n v="0"/>
    <n v="0"/>
    <n v="1"/>
    <n v="0"/>
    <n v="0"/>
    <n v="0"/>
    <n v="0"/>
    <n v="0"/>
    <n v="0"/>
    <n v="0"/>
    <n v="0"/>
    <n v="0"/>
    <n v="0"/>
    <n v="0"/>
    <n v="0"/>
    <n v="0"/>
    <n v="1"/>
    <n v="0"/>
    <n v="0"/>
    <n v="0"/>
    <n v="0"/>
    <n v="0"/>
    <n v="0"/>
    <n v="0"/>
    <n v="0"/>
    <n v="0"/>
    <n v="0"/>
    <x v="0"/>
    <x v="0"/>
    <x v="1"/>
    <n v="7"/>
    <m/>
    <m/>
    <n v="0.25"/>
    <n v="0.25"/>
    <n v="0.25"/>
    <n v="0.25"/>
    <m/>
    <m/>
    <m/>
    <m/>
    <m/>
    <m/>
    <m/>
    <m/>
    <m/>
    <m/>
    <m/>
    <m/>
    <m/>
    <m/>
    <n v="1"/>
    <n v="1"/>
  </r>
  <r>
    <n v="6497"/>
    <x v="1"/>
    <s v="2019/5520"/>
    <s v="64-64c Battersea Rise"/>
    <s v=""/>
    <n v="527487"/>
    <n v="175150"/>
    <x v="12"/>
    <m/>
    <m/>
    <n v="2"/>
    <n v="0"/>
    <n v="-2"/>
    <n v="0"/>
    <n v="-2"/>
    <x v="1"/>
    <s v="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
    <s v="PF"/>
    <d v="2020-01-23T00:00:00"/>
    <d v="2020-04-28T00:00:00"/>
    <x v="0"/>
    <s v="Nil"/>
    <m/>
    <s v="BF"/>
    <s v="MIX"/>
    <x v="2"/>
    <x v="3"/>
    <n v="0"/>
    <m/>
    <x v="0"/>
    <m/>
    <x v="2"/>
    <s v="M"/>
    <s v=""/>
    <m/>
    <n v="0"/>
    <m/>
    <n v="0"/>
    <m/>
    <n v="0"/>
    <n v="0"/>
    <n v="0"/>
    <n v="0"/>
    <n v="0"/>
    <n v="0"/>
    <n v="-2"/>
    <n v="0"/>
    <n v="0"/>
    <n v="0"/>
    <n v="0"/>
    <n v="0"/>
    <n v="0"/>
    <n v="-2"/>
    <n v="0"/>
    <n v="0"/>
    <n v="0"/>
    <n v="0"/>
    <n v="0"/>
    <n v="0"/>
    <n v="0"/>
    <n v="0"/>
    <n v="0"/>
    <n v="0"/>
    <n v="0"/>
    <n v="0"/>
    <n v="0"/>
    <n v="0"/>
    <x v="5"/>
    <x v="0"/>
    <x v="5"/>
    <n v="15"/>
    <m/>
    <n v="-0.5"/>
    <n v="-0.5"/>
    <n v="-0.5"/>
    <n v="-0.5"/>
    <m/>
    <m/>
    <m/>
    <m/>
    <m/>
    <m/>
    <m/>
    <m/>
    <m/>
    <m/>
    <m/>
    <m/>
    <m/>
    <m/>
    <m/>
    <n v="-2"/>
    <n v="-2"/>
  </r>
  <r>
    <n v="7874"/>
    <x v="1"/>
    <s v="2022/3040"/>
    <s v="70 Culverden Road"/>
    <s v=""/>
    <n v="529175"/>
    <n v="172575"/>
    <x v="8"/>
    <m/>
    <m/>
    <n v="3"/>
    <n v="1"/>
    <n v="-2"/>
    <n v="1"/>
    <n v="-2"/>
    <x v="1"/>
    <s v="Conversion of building from three flats to single dwellinghouse."/>
    <s v="PF"/>
    <d v="2022-07-20T00:00:00"/>
    <d v="2022-09-14T00:00:00"/>
    <x v="1"/>
    <s v="Nil"/>
    <m/>
    <s v="BF"/>
    <s v="CON"/>
    <x v="2"/>
    <x v="8"/>
    <n v="6.1000000000000004E-3"/>
    <m/>
    <x v="0"/>
    <m/>
    <x v="2"/>
    <s v="M"/>
    <s v=""/>
    <m/>
    <n v="0"/>
    <m/>
    <n v="0"/>
    <m/>
    <n v="0"/>
    <n v="-1"/>
    <n v="-2"/>
    <n v="0"/>
    <n v="0"/>
    <n v="1"/>
    <n v="0"/>
    <n v="0"/>
    <n v="-1"/>
    <n v="-2"/>
    <n v="0"/>
    <n v="0"/>
    <n v="0"/>
    <n v="0"/>
    <n v="0"/>
    <n v="0"/>
    <n v="0"/>
    <n v="0"/>
    <n v="0"/>
    <n v="1"/>
    <n v="0"/>
    <n v="0"/>
    <n v="0"/>
    <n v="0"/>
    <n v="0"/>
    <n v="0"/>
    <n v="0"/>
    <n v="0"/>
    <x v="0"/>
    <x v="0"/>
    <x v="1"/>
    <n v="15"/>
    <m/>
    <n v="-0.5"/>
    <n v="-0.5"/>
    <n v="-0.5"/>
    <n v="-0.5"/>
    <m/>
    <m/>
    <m/>
    <m/>
    <m/>
    <m/>
    <m/>
    <m/>
    <m/>
    <m/>
    <m/>
    <m/>
    <m/>
    <m/>
    <m/>
    <n v="-2"/>
    <n v="-2"/>
  </r>
  <r>
    <n v="7803"/>
    <x v="1"/>
    <s v="2020/5019"/>
    <s v="Mews House, 2A Chelverton Road"/>
    <s v=""/>
    <n v="523970"/>
    <n v="175247"/>
    <x v="0"/>
    <m/>
    <m/>
    <n v="0"/>
    <n v="1"/>
    <n v="1"/>
    <n v="1"/>
    <n v="1"/>
    <x v="1"/>
    <s v="Demolition of existing workshop and erection of a 3-bedroom single dwelling house."/>
    <s v="PF"/>
    <d v="2022-04-25T00:00:00"/>
    <d v="2022-06-20T00:00:00"/>
    <x v="1"/>
    <s v="Nil"/>
    <m/>
    <s v="BF"/>
    <s v="NB"/>
    <x v="2"/>
    <x v="1"/>
    <n v="5.0000000000000001E-3"/>
    <m/>
    <x v="0"/>
    <m/>
    <x v="2"/>
    <s v="M"/>
    <s v=""/>
    <m/>
    <n v="0"/>
    <m/>
    <n v="0"/>
    <m/>
    <n v="0"/>
    <n v="0"/>
    <n v="0"/>
    <n v="1"/>
    <n v="0"/>
    <n v="0"/>
    <n v="0"/>
    <n v="0"/>
    <n v="0"/>
    <n v="0"/>
    <n v="0"/>
    <n v="0"/>
    <n v="0"/>
    <n v="0"/>
    <n v="0"/>
    <n v="0"/>
    <n v="0"/>
    <n v="1"/>
    <n v="0"/>
    <n v="0"/>
    <n v="0"/>
    <n v="0"/>
    <n v="0"/>
    <n v="0"/>
    <n v="0"/>
    <n v="0"/>
    <n v="0"/>
    <n v="0"/>
    <x v="4"/>
    <x v="0"/>
    <x v="4"/>
    <n v="7"/>
    <m/>
    <m/>
    <n v="0.25"/>
    <n v="0.25"/>
    <n v="0.25"/>
    <n v="0.25"/>
    <m/>
    <m/>
    <m/>
    <m/>
    <m/>
    <m/>
    <m/>
    <m/>
    <m/>
    <m/>
    <m/>
    <m/>
    <m/>
    <m/>
    <n v="1"/>
    <n v="1"/>
  </r>
  <r>
    <n v="7628"/>
    <x v="1"/>
    <s v="2021/5566"/>
    <s v="Bristol Gardens, 4 Portsmouth Road"/>
    <s v=""/>
    <n v="523110"/>
    <n v="173693"/>
    <x v="18"/>
    <m/>
    <m/>
    <n v="3"/>
    <n v="1"/>
    <n v="-2"/>
    <n v="1"/>
    <n v="-2"/>
    <x v="1"/>
    <s v="Alterations including demolition of existing garage and erection of a single storey rear extension; various changes to the facades and fenestration; insertion of rooflights and erection of refuse store against eastern boundary, in connection with deconversion to use as a single dwelling."/>
    <s v="PF"/>
    <d v="2022-01-07T00:00:00"/>
    <d v="2022-03-15T00:00:00"/>
    <x v="0"/>
    <s v="Nil"/>
    <m/>
    <s v="BF"/>
    <s v="MIX"/>
    <x v="2"/>
    <x v="8"/>
    <n v="1.396E-2"/>
    <m/>
    <x v="0"/>
    <m/>
    <x v="2"/>
    <s v="M"/>
    <s v=""/>
    <m/>
    <n v="0"/>
    <m/>
    <n v="0"/>
    <m/>
    <n v="0"/>
    <n v="-1"/>
    <n v="-2"/>
    <n v="0"/>
    <n v="0"/>
    <n v="1"/>
    <n v="0"/>
    <n v="0"/>
    <n v="-1"/>
    <n v="-2"/>
    <n v="0"/>
    <n v="0"/>
    <n v="0"/>
    <n v="0"/>
    <n v="0"/>
    <n v="0"/>
    <n v="0"/>
    <n v="0"/>
    <n v="0"/>
    <n v="1"/>
    <n v="0"/>
    <n v="0"/>
    <n v="0"/>
    <n v="0"/>
    <n v="0"/>
    <n v="0"/>
    <n v="0"/>
    <n v="0"/>
    <x v="0"/>
    <x v="0"/>
    <x v="1"/>
    <n v="15"/>
    <m/>
    <n v="-0.5"/>
    <n v="-0.5"/>
    <n v="-0.5"/>
    <n v="-0.5"/>
    <m/>
    <m/>
    <m/>
    <m/>
    <m/>
    <m/>
    <m/>
    <m/>
    <m/>
    <m/>
    <m/>
    <m/>
    <m/>
    <m/>
    <m/>
    <n v="-2"/>
    <n v="-2"/>
  </r>
  <r>
    <n v="2262"/>
    <x v="1"/>
    <s v="2021/5516"/>
    <s v="Garages adjoining Salter House, Ullathorne Road"/>
    <s v=""/>
    <n v="529325"/>
    <n v="171589"/>
    <x v="13"/>
    <m/>
    <m/>
    <n v="0"/>
    <n v="4"/>
    <n v="4"/>
    <n v="4"/>
    <n v="4"/>
    <x v="1"/>
    <s v="Demolition of existing garages and erection of 4 x three storey houses."/>
    <s v="PF"/>
    <d v="2021-12-02T00:00:00"/>
    <d v="2022-06-13T00:00:00"/>
    <x v="1"/>
    <s v="Nil"/>
    <m/>
    <s v="BF"/>
    <s v="NB"/>
    <x v="2"/>
    <x v="1"/>
    <n v="1.6E-2"/>
    <m/>
    <x v="0"/>
    <m/>
    <x v="1"/>
    <s v="AS"/>
    <s v=""/>
    <m/>
    <n v="0"/>
    <m/>
    <n v="0"/>
    <m/>
    <n v="0"/>
    <n v="0"/>
    <n v="0"/>
    <n v="2"/>
    <n v="2"/>
    <n v="0"/>
    <n v="0"/>
    <n v="0"/>
    <n v="0"/>
    <n v="0"/>
    <n v="0"/>
    <n v="0"/>
    <n v="0"/>
    <n v="0"/>
    <n v="0"/>
    <n v="0"/>
    <n v="0"/>
    <n v="2"/>
    <n v="2"/>
    <n v="0"/>
    <n v="0"/>
    <n v="0"/>
    <n v="0"/>
    <n v="0"/>
    <n v="0"/>
    <n v="0"/>
    <n v="0"/>
    <n v="0"/>
    <x v="0"/>
    <x v="0"/>
    <x v="1"/>
    <n v="7"/>
    <m/>
    <m/>
    <n v="1"/>
    <n v="1"/>
    <n v="1"/>
    <n v="1"/>
    <m/>
    <m/>
    <m/>
    <m/>
    <m/>
    <m/>
    <m/>
    <m/>
    <m/>
    <m/>
    <m/>
    <m/>
    <m/>
    <m/>
    <n v="4"/>
    <n v="4"/>
  </r>
  <r>
    <n v="5607"/>
    <x v="1"/>
    <s v="2019/1825"/>
    <s v="Rayne House, Sudbrooke Road"/>
    <s v=""/>
    <n v="528038"/>
    <n v="174028"/>
    <x v="2"/>
    <m/>
    <m/>
    <n v="2"/>
    <n v="0"/>
    <n v="-2"/>
    <n v="2"/>
    <n v="-1"/>
    <x v="1"/>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0"/>
    <s v="Nil"/>
    <m/>
    <s v="BF"/>
    <s v="MIX"/>
    <x v="2"/>
    <x v="12"/>
    <n v="0"/>
    <m/>
    <x v="0"/>
    <m/>
    <x v="2"/>
    <s v="M"/>
    <s v=""/>
    <m/>
    <n v="0"/>
    <m/>
    <n v="0"/>
    <m/>
    <n v="0"/>
    <n v="-1"/>
    <n v="0"/>
    <n v="-1"/>
    <n v="0"/>
    <n v="0"/>
    <n v="0"/>
    <n v="0"/>
    <n v="-1"/>
    <n v="0"/>
    <n v="-1"/>
    <n v="0"/>
    <n v="0"/>
    <n v="0"/>
    <n v="0"/>
    <n v="0"/>
    <n v="0"/>
    <n v="0"/>
    <n v="0"/>
    <n v="0"/>
    <n v="0"/>
    <n v="0"/>
    <n v="0"/>
    <n v="0"/>
    <n v="0"/>
    <n v="0"/>
    <n v="0"/>
    <n v="0"/>
    <x v="0"/>
    <x v="0"/>
    <x v="1"/>
    <n v="15"/>
    <m/>
    <n v="-0.5"/>
    <n v="-0.5"/>
    <n v="-0.5"/>
    <n v="-0.5"/>
    <m/>
    <m/>
    <m/>
    <m/>
    <m/>
    <m/>
    <m/>
    <m/>
    <m/>
    <m/>
    <m/>
    <m/>
    <m/>
    <m/>
    <m/>
    <n v="-2"/>
    <n v="-2"/>
  </r>
  <r>
    <n v="7515"/>
    <x v="1"/>
    <s v="2022/3049"/>
    <s v="76 Norroy Road"/>
    <s v=""/>
    <n v="523770"/>
    <n v="175233"/>
    <x v="0"/>
    <m/>
    <m/>
    <n v="4"/>
    <n v="1"/>
    <n v="-3"/>
    <n v="1"/>
    <n v="-3"/>
    <x v="1"/>
    <s v="Alterations including erection of single-storey rear/side extension and extension above two-storey back addition in connection with use as a single dwelling."/>
    <s v="PF"/>
    <d v="2022-08-09T00:00:00"/>
    <d v="2022-10-03T00:00:00"/>
    <x v="1"/>
    <s v="Nil"/>
    <m/>
    <s v="BF"/>
    <s v="CON"/>
    <x v="2"/>
    <x v="8"/>
    <n v="5.8333329999999996E-3"/>
    <m/>
    <x v="0"/>
    <m/>
    <x v="2"/>
    <s v="M"/>
    <s v=""/>
    <m/>
    <n v="0"/>
    <m/>
    <n v="0"/>
    <m/>
    <n v="-2"/>
    <n v="-2"/>
    <n v="0"/>
    <n v="0"/>
    <n v="0"/>
    <n v="1"/>
    <n v="0"/>
    <n v="-2"/>
    <n v="-2"/>
    <n v="0"/>
    <n v="0"/>
    <n v="0"/>
    <n v="0"/>
    <n v="0"/>
    <n v="0"/>
    <n v="0"/>
    <n v="0"/>
    <n v="0"/>
    <n v="0"/>
    <n v="1"/>
    <n v="0"/>
    <n v="0"/>
    <n v="0"/>
    <n v="0"/>
    <n v="0"/>
    <n v="0"/>
    <n v="0"/>
    <n v="0"/>
    <x v="0"/>
    <x v="0"/>
    <x v="4"/>
    <n v="15"/>
    <m/>
    <n v="-0.75"/>
    <n v="-0.75"/>
    <n v="-0.75"/>
    <n v="-0.75"/>
    <m/>
    <m/>
    <m/>
    <m/>
    <m/>
    <m/>
    <m/>
    <m/>
    <m/>
    <m/>
    <m/>
    <m/>
    <m/>
    <m/>
    <m/>
    <n v="-3"/>
    <n v="-3"/>
  </r>
  <r>
    <n v="7818"/>
    <x v="1"/>
    <s v="2022/1177"/>
    <s v="27 Wakehurst Road"/>
    <s v=""/>
    <n v="527417"/>
    <n v="174682"/>
    <x v="14"/>
    <m/>
    <m/>
    <n v="1"/>
    <n v="1"/>
    <n v="0"/>
    <n v="1"/>
    <n v="0"/>
    <x v="1"/>
    <s v="Part demolition of existing dwelling and erection of replacement two-storey (plus roof and basement) 4-bedroom dwelling house."/>
    <s v="PF"/>
    <d v="2022-03-21T00:00:00"/>
    <d v="2022-05-27T00:00:00"/>
    <x v="1"/>
    <s v="Nil"/>
    <m/>
    <s v="BF"/>
    <s v="NB"/>
    <x v="2"/>
    <x v="1"/>
    <n v="1.4E-2"/>
    <m/>
    <x v="0"/>
    <m/>
    <x v="2"/>
    <s v="M"/>
    <s v=""/>
    <m/>
    <n v="0"/>
    <m/>
    <n v="0"/>
    <m/>
    <n v="0"/>
    <n v="0"/>
    <n v="0"/>
    <n v="-1"/>
    <n v="1"/>
    <n v="0"/>
    <n v="0"/>
    <n v="0"/>
    <n v="0"/>
    <n v="0"/>
    <n v="0"/>
    <n v="0"/>
    <n v="0"/>
    <n v="0"/>
    <n v="0"/>
    <n v="0"/>
    <n v="0"/>
    <n v="-1"/>
    <n v="1"/>
    <n v="0"/>
    <n v="0"/>
    <n v="0"/>
    <n v="0"/>
    <n v="0"/>
    <n v="0"/>
    <n v="0"/>
    <n v="0"/>
    <n v="0"/>
    <x v="0"/>
    <x v="0"/>
    <x v="5"/>
    <n v="7"/>
    <m/>
    <m/>
    <n v="0"/>
    <n v="0"/>
    <n v="0"/>
    <n v="0"/>
    <m/>
    <m/>
    <m/>
    <m/>
    <m/>
    <m/>
    <m/>
    <m/>
    <m/>
    <m/>
    <m/>
    <m/>
    <m/>
    <m/>
    <n v="0"/>
    <n v="0"/>
  </r>
  <r>
    <n v="7680"/>
    <x v="1"/>
    <s v="2022/1330"/>
    <s v="164 St Johns Hill"/>
    <s v=""/>
    <n v="526540"/>
    <n v="175023"/>
    <x v="6"/>
    <m/>
    <m/>
    <n v="0"/>
    <n v="8"/>
    <n v="8"/>
    <n v="8"/>
    <n v="8"/>
    <x v="1"/>
    <s v="Alterations including erection of a three storey side extension and excavation to create basement including formation of front and rear lightwells in connection with the change of use from office (Class E) to 3 x 2 bedroom and 5 x 1 bedroom flats.(Class C3) with associated refuse and cycle storage._x000a__x000a__x000a_To form eight flats. Three duplex apartments (1x 2-bed and 2 x 1-bed) are accommodated within the ground floor and the extended basement. Two further flats are accommodated upon each of the first and second floors (2 x 2-bed and 2 x 1-bed), with a further flat (a 1-bed unit) on the top floor. The proposal includes a basement extension (with lightwells) and a two-storey side extension (replacing an existing external staircase). A number of windows are changed on the rear elevation, chimneys are removed from the roof and conservation roof lights are added to the rear and side roof slopes."/>
    <s v="PF"/>
    <d v="2022-03-31T00:00:00"/>
    <d v="2022-05-25T00:00:00"/>
    <x v="1"/>
    <s v="Nil"/>
    <m/>
    <s v="BF"/>
    <s v="MIX"/>
    <x v="2"/>
    <x v="6"/>
    <n v="1.1950000000000001E-2"/>
    <m/>
    <x v="0"/>
    <m/>
    <x v="2"/>
    <s v="M"/>
    <s v=""/>
    <m/>
    <n v="0"/>
    <n v="8"/>
    <n v="0"/>
    <m/>
    <n v="0"/>
    <n v="5"/>
    <n v="3"/>
    <n v="0"/>
    <n v="0"/>
    <n v="0"/>
    <n v="0"/>
    <n v="0"/>
    <n v="5"/>
    <n v="3"/>
    <n v="0"/>
    <n v="0"/>
    <n v="0"/>
    <n v="0"/>
    <n v="0"/>
    <n v="0"/>
    <n v="0"/>
    <n v="0"/>
    <n v="0"/>
    <n v="0"/>
    <n v="0"/>
    <n v="0"/>
    <n v="0"/>
    <n v="0"/>
    <n v="0"/>
    <n v="0"/>
    <n v="0"/>
    <n v="0"/>
    <x v="0"/>
    <x v="0"/>
    <x v="1"/>
    <n v="16"/>
    <m/>
    <m/>
    <m/>
    <n v="8"/>
    <m/>
    <m/>
    <m/>
    <m/>
    <m/>
    <m/>
    <m/>
    <m/>
    <m/>
    <m/>
    <m/>
    <m/>
    <m/>
    <m/>
    <m/>
    <m/>
    <n v="8"/>
    <n v="8"/>
  </r>
  <r>
    <n v="7738"/>
    <x v="1"/>
    <s v="2021/5404"/>
    <s v="The Garden Cottage, Heath Rise"/>
    <s v=""/>
    <n v="524022"/>
    <n v="174394"/>
    <x v="7"/>
    <m/>
    <m/>
    <n v="1"/>
    <n v="1"/>
    <n v="0"/>
    <n v="1"/>
    <n v="0"/>
    <x v="1"/>
    <s v="Demolition of existing house and garages and erection of a two-storey 5-bedroom detached house."/>
    <s v="PF"/>
    <d v="2021-11-29T00:00:00"/>
    <d v="2022-04-27T00:00:00"/>
    <x v="1"/>
    <s v="Nil"/>
    <m/>
    <s v="BF"/>
    <s v="NB"/>
    <x v="2"/>
    <x v="1"/>
    <n v="1.4E-2"/>
    <m/>
    <x v="0"/>
    <m/>
    <x v="2"/>
    <s v="M"/>
    <s v=""/>
    <m/>
    <n v="0"/>
    <m/>
    <n v="0"/>
    <m/>
    <n v="0"/>
    <n v="0"/>
    <n v="-1"/>
    <n v="0"/>
    <n v="0"/>
    <n v="1"/>
    <n v="0"/>
    <n v="0"/>
    <n v="0"/>
    <n v="0"/>
    <n v="0"/>
    <n v="0"/>
    <n v="0"/>
    <n v="0"/>
    <n v="0"/>
    <n v="0"/>
    <n v="-1"/>
    <n v="0"/>
    <n v="0"/>
    <n v="1"/>
    <n v="0"/>
    <n v="0"/>
    <n v="0"/>
    <n v="0"/>
    <n v="0"/>
    <n v="0"/>
    <n v="0"/>
    <n v="0"/>
    <x v="0"/>
    <x v="0"/>
    <x v="1"/>
    <n v="7"/>
    <m/>
    <m/>
    <n v="0"/>
    <n v="0"/>
    <n v="0"/>
    <n v="0"/>
    <m/>
    <m/>
    <m/>
    <m/>
    <m/>
    <m/>
    <m/>
    <m/>
    <m/>
    <m/>
    <m/>
    <m/>
    <m/>
    <m/>
    <n v="0"/>
    <n v="0"/>
  </r>
  <r>
    <n v="1896"/>
    <x v="1"/>
    <s v="2021/4902"/>
    <s v="Rear of 950-952, Garratt Lane"/>
    <s v=""/>
    <n v="527305"/>
    <n v="171527"/>
    <x v="3"/>
    <d v="2022-07-01T00:00:00"/>
    <m/>
    <n v="0"/>
    <n v="4"/>
    <n v="4"/>
    <n v="4"/>
    <n v="4"/>
    <x v="1"/>
    <s v="Demolition of existing single storey garage and Erection of two-storey detached building (plus basement and roof levels) to provide 2 x 3 bedroom and 2 x 1 bed flats with first floor rear 'built in terraces' and secure bicycle and refuse storage at front."/>
    <s v="PF"/>
    <d v="2021-10-25T00:00:00"/>
    <d v="2022-04-14T00:00:00"/>
    <x v="1"/>
    <s v="Nil"/>
    <m/>
    <s v="BF"/>
    <s v="NB"/>
    <x v="2"/>
    <x v="1"/>
    <n v="1.00234E-2"/>
    <m/>
    <x v="0"/>
    <m/>
    <x v="2"/>
    <s v="M"/>
    <s v=""/>
    <m/>
    <n v="0"/>
    <m/>
    <n v="0"/>
    <m/>
    <n v="0"/>
    <n v="2"/>
    <n v="0"/>
    <n v="2"/>
    <n v="0"/>
    <n v="0"/>
    <n v="0"/>
    <n v="0"/>
    <n v="2"/>
    <n v="0"/>
    <n v="2"/>
    <n v="0"/>
    <n v="0"/>
    <n v="0"/>
    <n v="0"/>
    <n v="0"/>
    <n v="0"/>
    <n v="0"/>
    <n v="0"/>
    <n v="0"/>
    <n v="0"/>
    <n v="0"/>
    <n v="0"/>
    <n v="0"/>
    <n v="0"/>
    <n v="0"/>
    <n v="0"/>
    <n v="0"/>
    <x v="0"/>
    <x v="0"/>
    <x v="3"/>
    <n v="7"/>
    <m/>
    <m/>
    <n v="1"/>
    <n v="1"/>
    <n v="1"/>
    <n v="1"/>
    <m/>
    <m/>
    <m/>
    <m/>
    <m/>
    <m/>
    <m/>
    <m/>
    <m/>
    <m/>
    <m/>
    <m/>
    <m/>
    <m/>
    <n v="4"/>
    <n v="4"/>
  </r>
  <r>
    <n v="5802"/>
    <x v="1"/>
    <s v="2020/0680"/>
    <s v="Units 2-8 &amp; 11-14 Port House, Square Rigger Row (Plantation Wharf)"/>
    <s v=""/>
    <n v="526505"/>
    <n v="175773"/>
    <x v="5"/>
    <m/>
    <m/>
    <n v="0"/>
    <n v="11"/>
    <n v="11"/>
    <n v="11"/>
    <n v="11"/>
    <x v="0"/>
    <s v="Determination as to whether prior approval is required for change of use of office at ground to first floor from (Class B1) to residential (Class C3) to provide 7 x 1-bedroom flats and 4 x 2-bedroom flats."/>
    <s v="PAG"/>
    <d v="2020-02-26T00:00:00"/>
    <d v="2020-04-17T00:00:00"/>
    <x v="0"/>
    <s v="Nil"/>
    <m/>
    <s v="BF"/>
    <s v="COU"/>
    <x v="6"/>
    <x v="0"/>
    <n v="1.2999999999999999E-2"/>
    <m/>
    <x v="0"/>
    <m/>
    <x v="2"/>
    <s v="M"/>
    <s v="10.15"/>
    <m/>
    <n v="0"/>
    <m/>
    <n v="0"/>
    <m/>
    <n v="0"/>
    <n v="7"/>
    <n v="4"/>
    <n v="0"/>
    <n v="0"/>
    <n v="0"/>
    <n v="0"/>
    <n v="0"/>
    <n v="7"/>
    <n v="4"/>
    <n v="0"/>
    <n v="0"/>
    <n v="0"/>
    <n v="0"/>
    <n v="0"/>
    <n v="0"/>
    <n v="0"/>
    <n v="0"/>
    <n v="0"/>
    <n v="0"/>
    <n v="0"/>
    <n v="0"/>
    <n v="0"/>
    <n v="0"/>
    <n v="0"/>
    <n v="0"/>
    <n v="0"/>
    <n v="0"/>
    <x v="0"/>
    <x v="0"/>
    <x v="8"/>
    <n v="17"/>
    <m/>
    <m/>
    <m/>
    <m/>
    <m/>
    <m/>
    <n v="2.75"/>
    <n v="2.75"/>
    <n v="2.75"/>
    <n v="2.75"/>
    <m/>
    <m/>
    <m/>
    <m/>
    <m/>
    <m/>
    <m/>
    <m/>
    <m/>
    <m/>
    <n v="0"/>
    <n v="11"/>
  </r>
  <r>
    <n v="3758"/>
    <x v="1"/>
    <s v="2022/2245"/>
    <s v="60 Hazlewell Road"/>
    <s v=""/>
    <n v="523099"/>
    <n v="174875"/>
    <x v="18"/>
    <m/>
    <m/>
    <n v="5"/>
    <n v="1"/>
    <n v="-4"/>
    <n v="1"/>
    <n v="-4"/>
    <x v="1"/>
    <s v="Conversion from 5x1-bed flats to a single-dwelling house with reinstatement of front entrance door and fanlight."/>
    <s v="PF"/>
    <d v="2022-06-21T00:00:00"/>
    <d v="2022-08-15T00:00:00"/>
    <x v="1"/>
    <s v="Nil"/>
    <m/>
    <s v="BF"/>
    <s v="CON"/>
    <x v="2"/>
    <x v="8"/>
    <n v="0.01"/>
    <m/>
    <x v="0"/>
    <m/>
    <x v="2"/>
    <s v="M"/>
    <s v=""/>
    <m/>
    <n v="0"/>
    <m/>
    <n v="0"/>
    <m/>
    <n v="0"/>
    <n v="-5"/>
    <n v="0"/>
    <n v="0"/>
    <n v="1"/>
    <n v="0"/>
    <n v="0"/>
    <n v="0"/>
    <n v="-5"/>
    <n v="0"/>
    <n v="0"/>
    <n v="0"/>
    <n v="0"/>
    <n v="0"/>
    <n v="0"/>
    <n v="0"/>
    <n v="0"/>
    <n v="0"/>
    <n v="1"/>
    <n v="0"/>
    <n v="0"/>
    <n v="0"/>
    <n v="0"/>
    <n v="0"/>
    <n v="0"/>
    <n v="0"/>
    <n v="0"/>
    <n v="0"/>
    <x v="0"/>
    <x v="0"/>
    <x v="1"/>
    <n v="15"/>
    <m/>
    <n v="-1"/>
    <n v="-1"/>
    <n v="-1"/>
    <n v="-1"/>
    <m/>
    <m/>
    <m/>
    <m/>
    <m/>
    <m/>
    <m/>
    <m/>
    <m/>
    <m/>
    <m/>
    <m/>
    <m/>
    <m/>
    <m/>
    <n v="-4"/>
    <n v="-4"/>
  </r>
  <r>
    <n v="7725"/>
    <x v="1"/>
    <s v="2022/5109"/>
    <s v="First &amp; Second Floors, 33 Clarendon Drive"/>
    <s v=""/>
    <n v="523495"/>
    <n v="175369"/>
    <x v="0"/>
    <m/>
    <m/>
    <n v="5"/>
    <n v="1"/>
    <n v="-4"/>
    <n v="1"/>
    <n v="-4"/>
    <x v="1"/>
    <s v="Alterations including erection of dormer to front roofslope and single storey rear and side extension in connection with change of use from house of multiple occupation (Class C4) to dwellinghouse (Class C3)."/>
    <s v="PF"/>
    <d v="2022-12-16T00:00:00"/>
    <d v="2023-03-07T00:00:00"/>
    <x v="1"/>
    <s v="Nil"/>
    <m/>
    <s v="BF"/>
    <s v="CON"/>
    <x v="2"/>
    <x v="9"/>
    <n v="3.3000000000000002E-2"/>
    <m/>
    <x v="0"/>
    <m/>
    <x v="2"/>
    <s v="M"/>
    <s v=""/>
    <m/>
    <n v="0"/>
    <m/>
    <n v="0"/>
    <m/>
    <n v="-5"/>
    <n v="0"/>
    <n v="0"/>
    <n v="1"/>
    <n v="0"/>
    <n v="0"/>
    <n v="0"/>
    <n v="-5"/>
    <n v="0"/>
    <n v="0"/>
    <n v="0"/>
    <n v="0"/>
    <n v="0"/>
    <n v="0"/>
    <n v="0"/>
    <n v="0"/>
    <n v="0"/>
    <n v="1"/>
    <n v="0"/>
    <n v="0"/>
    <n v="0"/>
    <n v="0"/>
    <n v="0"/>
    <n v="0"/>
    <n v="0"/>
    <n v="0"/>
    <n v="0"/>
    <n v="0"/>
    <x v="0"/>
    <x v="0"/>
    <x v="1"/>
    <n v="15"/>
    <m/>
    <n v="-1"/>
    <n v="-1"/>
    <n v="-1"/>
    <n v="-1"/>
    <m/>
    <m/>
    <m/>
    <m/>
    <m/>
    <m/>
    <m/>
    <m/>
    <m/>
    <m/>
    <m/>
    <m/>
    <m/>
    <m/>
    <m/>
    <n v="-4"/>
    <n v="-4"/>
  </r>
  <r>
    <n v="6198"/>
    <x v="1"/>
    <s v="2021/5704"/>
    <s v="34 Roehampton Gate"/>
    <s v=""/>
    <n v="521202"/>
    <n v="174373"/>
    <x v="16"/>
    <m/>
    <m/>
    <n v="1"/>
    <n v="1"/>
    <n v="0"/>
    <n v="1"/>
    <n v="0"/>
    <x v="1"/>
    <s v="Demolition of existing dwelling and erection of a two-storey house with additional accommodation within the roofspace and at basement level including front and rear lightwells."/>
    <s v="PF"/>
    <d v="2022-02-16T00:00:00"/>
    <d v="2022-04-13T00:00:00"/>
    <x v="1"/>
    <s v="Nil"/>
    <m/>
    <s v="BF"/>
    <s v="NB"/>
    <x v="2"/>
    <x v="1"/>
    <n v="1.2E-2"/>
    <m/>
    <x v="0"/>
    <m/>
    <x v="2"/>
    <s v="M"/>
    <s v=""/>
    <m/>
    <n v="0"/>
    <m/>
    <n v="0"/>
    <m/>
    <n v="0"/>
    <n v="0"/>
    <n v="0"/>
    <n v="0"/>
    <n v="-1"/>
    <n v="1"/>
    <n v="0"/>
    <n v="0"/>
    <n v="0"/>
    <n v="0"/>
    <n v="0"/>
    <n v="0"/>
    <n v="0"/>
    <n v="0"/>
    <n v="0"/>
    <n v="0"/>
    <n v="0"/>
    <n v="0"/>
    <n v="-1"/>
    <n v="1"/>
    <n v="0"/>
    <n v="0"/>
    <n v="0"/>
    <n v="0"/>
    <n v="0"/>
    <n v="0"/>
    <n v="0"/>
    <n v="0"/>
    <x v="0"/>
    <x v="0"/>
    <x v="1"/>
    <n v="7"/>
    <m/>
    <m/>
    <n v="0"/>
    <n v="0"/>
    <n v="0"/>
    <n v="0"/>
    <m/>
    <m/>
    <m/>
    <m/>
    <m/>
    <m/>
    <m/>
    <m/>
    <m/>
    <m/>
    <m/>
    <m/>
    <m/>
    <m/>
    <n v="0"/>
    <n v="0"/>
  </r>
  <r>
    <n v="7754"/>
    <x v="1"/>
    <s v="2022/4549"/>
    <s v="31 Clarendon Drive"/>
    <s v=""/>
    <n v="523504"/>
    <n v="175361"/>
    <x v="0"/>
    <m/>
    <m/>
    <n v="7"/>
    <n v="1"/>
    <n v="-6"/>
    <n v="1"/>
    <n v="-6"/>
    <x v="1"/>
    <s v="Deconversion of seven bedsits into a single dwelling house."/>
    <s v="PF"/>
    <d v="2022-11-29T00:00:00"/>
    <d v="2023-02-08T00:00:00"/>
    <x v="1"/>
    <s v="Nil"/>
    <m/>
    <s v="BF"/>
    <s v="CON"/>
    <x v="2"/>
    <x v="8"/>
    <n v="7.1333330000000004E-3"/>
    <m/>
    <x v="0"/>
    <m/>
    <x v="2"/>
    <s v="M"/>
    <s v=""/>
    <m/>
    <n v="0"/>
    <m/>
    <n v="0"/>
    <m/>
    <n v="-7"/>
    <n v="0"/>
    <n v="0"/>
    <n v="0"/>
    <n v="0"/>
    <n v="1"/>
    <n v="0"/>
    <n v="-7"/>
    <n v="0"/>
    <n v="0"/>
    <n v="0"/>
    <n v="0"/>
    <n v="0"/>
    <n v="0"/>
    <n v="0"/>
    <n v="0"/>
    <n v="0"/>
    <n v="0"/>
    <n v="0"/>
    <n v="1"/>
    <n v="0"/>
    <n v="0"/>
    <n v="0"/>
    <n v="0"/>
    <n v="0"/>
    <n v="0"/>
    <n v="0"/>
    <n v="0"/>
    <x v="0"/>
    <x v="0"/>
    <x v="1"/>
    <n v="15"/>
    <m/>
    <n v="-1.5"/>
    <n v="-1.5"/>
    <n v="-1.5"/>
    <n v="-1.5"/>
    <m/>
    <m/>
    <m/>
    <m/>
    <m/>
    <m/>
    <m/>
    <m/>
    <m/>
    <m/>
    <m/>
    <m/>
    <m/>
    <m/>
    <m/>
    <n v="-6"/>
    <n v="-6"/>
  </r>
  <r>
    <n v="7025"/>
    <x v="1"/>
    <s v="2018/4477"/>
    <s v="1-3 Byrne Road"/>
    <s v="1 Byrne Road"/>
    <n v="528764"/>
    <n v="173063"/>
    <x v="8"/>
    <m/>
    <m/>
    <n v="0"/>
    <n v="1"/>
    <n v="1"/>
    <n v="2"/>
    <n v="2"/>
    <x v="1"/>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x v="0"/>
    <s v="Nil"/>
    <m/>
    <s v="BF"/>
    <s v="EXT"/>
    <x v="2"/>
    <x v="2"/>
    <n v="7.0000000000000001E-3"/>
    <m/>
    <x v="0"/>
    <m/>
    <x v="2"/>
    <s v="M"/>
    <s v=""/>
    <m/>
    <n v="0"/>
    <m/>
    <n v="0"/>
    <m/>
    <n v="0"/>
    <n v="0"/>
    <n v="1"/>
    <n v="0"/>
    <n v="0"/>
    <n v="0"/>
    <n v="0"/>
    <n v="0"/>
    <n v="0"/>
    <n v="1"/>
    <n v="0"/>
    <n v="0"/>
    <n v="0"/>
    <n v="0"/>
    <n v="0"/>
    <n v="0"/>
    <n v="0"/>
    <n v="0"/>
    <n v="0"/>
    <n v="0"/>
    <n v="0"/>
    <n v="0"/>
    <n v="0"/>
    <n v="0"/>
    <n v="0"/>
    <n v="0"/>
    <n v="0"/>
    <n v="0"/>
    <x v="0"/>
    <x v="0"/>
    <x v="1"/>
    <n v="15"/>
    <m/>
    <n v="0.25"/>
    <n v="0.25"/>
    <n v="0.25"/>
    <n v="0.25"/>
    <m/>
    <m/>
    <m/>
    <m/>
    <m/>
    <m/>
    <m/>
    <m/>
    <m/>
    <m/>
    <m/>
    <m/>
    <m/>
    <m/>
    <m/>
    <n v="1"/>
    <n v="1"/>
  </r>
  <r>
    <n v="2530"/>
    <x v="1"/>
    <s v="2019/2924"/>
    <s v="193-197 Upper Tooting Road"/>
    <s v="193"/>
    <n v="527684"/>
    <n v="171814"/>
    <x v="9"/>
    <m/>
    <m/>
    <n v="1"/>
    <n v="1"/>
    <n v="0"/>
    <n v="6"/>
    <n v="3"/>
    <x v="1"/>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0"/>
    <s v="Nil"/>
    <m/>
    <s v="BF"/>
    <s v="MIX"/>
    <x v="2"/>
    <x v="2"/>
    <n v="8.0000000000000002E-3"/>
    <m/>
    <x v="0"/>
    <m/>
    <x v="2"/>
    <s v="M"/>
    <s v=""/>
    <m/>
    <n v="0"/>
    <m/>
    <n v="0"/>
    <m/>
    <n v="0"/>
    <n v="1"/>
    <n v="-1"/>
    <n v="0"/>
    <n v="0"/>
    <n v="0"/>
    <n v="0"/>
    <n v="0"/>
    <n v="1"/>
    <n v="-1"/>
    <n v="0"/>
    <n v="0"/>
    <n v="0"/>
    <n v="0"/>
    <n v="0"/>
    <n v="0"/>
    <n v="0"/>
    <n v="0"/>
    <n v="0"/>
    <n v="0"/>
    <n v="0"/>
    <n v="0"/>
    <n v="0"/>
    <n v="0"/>
    <n v="0"/>
    <n v="0"/>
    <n v="0"/>
    <n v="0"/>
    <x v="2"/>
    <x v="0"/>
    <x v="3"/>
    <n v="15"/>
    <m/>
    <n v="0"/>
    <n v="0"/>
    <n v="0"/>
    <n v="0"/>
    <m/>
    <m/>
    <m/>
    <m/>
    <m/>
    <m/>
    <m/>
    <m/>
    <m/>
    <m/>
    <m/>
    <m/>
    <m/>
    <m/>
    <m/>
    <n v="0"/>
    <n v="0"/>
  </r>
  <r>
    <n v="2530"/>
    <x v="1"/>
    <s v="2019/2924"/>
    <s v="193-197 Upper Tooting Road"/>
    <s v="195"/>
    <n v="527684"/>
    <n v="171814"/>
    <x v="9"/>
    <m/>
    <m/>
    <n v="1"/>
    <n v="2"/>
    <n v="1"/>
    <n v="6"/>
    <n v="3"/>
    <x v="1"/>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0"/>
    <s v="Nil"/>
    <m/>
    <s v="BF"/>
    <s v="MIX"/>
    <x v="2"/>
    <x v="2"/>
    <n v="8.0000000000000002E-3"/>
    <m/>
    <x v="0"/>
    <m/>
    <x v="2"/>
    <s v="M"/>
    <s v=""/>
    <m/>
    <n v="0"/>
    <m/>
    <n v="0"/>
    <m/>
    <n v="0"/>
    <n v="0"/>
    <n v="1"/>
    <n v="0"/>
    <n v="0"/>
    <n v="0"/>
    <n v="0"/>
    <n v="0"/>
    <n v="0"/>
    <n v="1"/>
    <n v="0"/>
    <n v="0"/>
    <n v="0"/>
    <n v="0"/>
    <n v="0"/>
    <n v="0"/>
    <n v="0"/>
    <n v="0"/>
    <n v="0"/>
    <n v="0"/>
    <n v="0"/>
    <n v="0"/>
    <n v="0"/>
    <n v="0"/>
    <n v="0"/>
    <n v="0"/>
    <n v="0"/>
    <n v="0"/>
    <x v="2"/>
    <x v="0"/>
    <x v="3"/>
    <n v="15"/>
    <m/>
    <n v="0.25"/>
    <n v="0.25"/>
    <n v="0.25"/>
    <n v="0.25"/>
    <m/>
    <m/>
    <m/>
    <m/>
    <m/>
    <m/>
    <m/>
    <m/>
    <m/>
    <m/>
    <m/>
    <m/>
    <m/>
    <m/>
    <m/>
    <n v="1"/>
    <n v="1"/>
  </r>
  <r>
    <n v="2530"/>
    <x v="1"/>
    <s v="2019/2924"/>
    <s v="193-197 Upper Tooting Road"/>
    <s v="197"/>
    <n v="527684"/>
    <n v="171814"/>
    <x v="9"/>
    <m/>
    <m/>
    <n v="1"/>
    <n v="3"/>
    <n v="2"/>
    <n v="6"/>
    <n v="3"/>
    <x v="1"/>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0"/>
    <s v="Nil"/>
    <m/>
    <s v="BF"/>
    <s v="MIX"/>
    <x v="2"/>
    <x v="2"/>
    <n v="7.0000000000000001E-3"/>
    <m/>
    <x v="0"/>
    <m/>
    <x v="2"/>
    <s v="M"/>
    <s v=""/>
    <m/>
    <n v="0"/>
    <m/>
    <n v="0"/>
    <m/>
    <n v="0"/>
    <n v="0"/>
    <n v="2"/>
    <n v="0"/>
    <n v="0"/>
    <n v="0"/>
    <n v="0"/>
    <n v="0"/>
    <n v="0"/>
    <n v="2"/>
    <n v="0"/>
    <n v="0"/>
    <n v="0"/>
    <n v="0"/>
    <n v="0"/>
    <n v="0"/>
    <n v="0"/>
    <n v="0"/>
    <n v="0"/>
    <n v="0"/>
    <n v="0"/>
    <n v="0"/>
    <n v="0"/>
    <n v="0"/>
    <n v="0"/>
    <n v="0"/>
    <n v="0"/>
    <n v="0"/>
    <x v="2"/>
    <x v="0"/>
    <x v="3"/>
    <n v="15"/>
    <m/>
    <n v="0.5"/>
    <n v="0.5"/>
    <n v="0.5"/>
    <n v="0.5"/>
    <m/>
    <m/>
    <m/>
    <m/>
    <m/>
    <m/>
    <m/>
    <m/>
    <m/>
    <m/>
    <m/>
    <m/>
    <m/>
    <m/>
    <m/>
    <n v="2"/>
    <n v="2"/>
  </r>
  <r>
    <n v="7722"/>
    <x v="1"/>
    <s v="2021/4549"/>
    <s v="Atlantic House, 51-57 Upper Richmond Road"/>
    <s v="2-storey 2-bed"/>
    <n v="524629"/>
    <n v="174727"/>
    <x v="7"/>
    <m/>
    <m/>
    <n v="0"/>
    <n v="2"/>
    <n v="2"/>
    <n v="6"/>
    <n v="6"/>
    <x v="1"/>
    <s v="Demolition of existing two storey warehouse and erection of 1 x 3-bedroom two storey (plus basement), 3 x 4-bedroom three-storey (plus basement) and 2 x 2 bedroom two-storey (plus basement) houses."/>
    <s v="PF"/>
    <d v="2021-10-04T00:00:00"/>
    <d v="2022-04-27T00:00:00"/>
    <x v="1"/>
    <s v="Nil"/>
    <m/>
    <s v="BF"/>
    <s v="NB"/>
    <x v="2"/>
    <x v="1"/>
    <n v="5.3499999999999997E-3"/>
    <m/>
    <x v="0"/>
    <m/>
    <x v="2"/>
    <s v="M"/>
    <s v=""/>
    <m/>
    <n v="0"/>
    <m/>
    <n v="0"/>
    <m/>
    <n v="0"/>
    <n v="0"/>
    <n v="2"/>
    <n v="0"/>
    <n v="0"/>
    <n v="0"/>
    <n v="0"/>
    <n v="0"/>
    <n v="0"/>
    <n v="0"/>
    <n v="0"/>
    <n v="0"/>
    <n v="0"/>
    <n v="0"/>
    <n v="0"/>
    <n v="0"/>
    <n v="2"/>
    <n v="0"/>
    <n v="0"/>
    <n v="0"/>
    <n v="0"/>
    <n v="0"/>
    <n v="0"/>
    <n v="0"/>
    <n v="0"/>
    <n v="0"/>
    <n v="0"/>
    <n v="0"/>
    <x v="0"/>
    <x v="0"/>
    <x v="1"/>
    <n v="10"/>
    <m/>
    <m/>
    <m/>
    <m/>
    <n v="0.66666666666666663"/>
    <n v="0.66666666666666663"/>
    <n v="0.66666666666666663"/>
    <m/>
    <m/>
    <m/>
    <m/>
    <m/>
    <m/>
    <m/>
    <m/>
    <m/>
    <m/>
    <m/>
    <m/>
    <m/>
    <n v="1.3333333333333333"/>
    <n v="2"/>
  </r>
  <r>
    <n v="7722"/>
    <x v="1"/>
    <s v="2021/4549"/>
    <s v="Atlantic House, 51-57 Upper Richmond Road"/>
    <s v="2-storey 3-bed"/>
    <n v="524629"/>
    <n v="174727"/>
    <x v="7"/>
    <m/>
    <m/>
    <n v="0"/>
    <n v="1"/>
    <n v="1"/>
    <n v="6"/>
    <n v="6"/>
    <x v="1"/>
    <s v="Demolition of existing two storey warehouse and erection of 1 x 3-bedroom two storey (plus basement), 3 x 4-bedroom three-storey (plus basement) and 2 x 2 bedroom two-storey (plus basement) houses."/>
    <s v="PF"/>
    <d v="2021-10-04T00:00:00"/>
    <d v="2022-04-27T00:00:00"/>
    <x v="1"/>
    <s v="Nil"/>
    <m/>
    <s v="BF"/>
    <s v="NB"/>
    <x v="2"/>
    <x v="1"/>
    <n v="8.5500000000000003E-3"/>
    <m/>
    <x v="0"/>
    <m/>
    <x v="2"/>
    <s v="M"/>
    <s v=""/>
    <m/>
    <n v="0"/>
    <m/>
    <n v="0"/>
    <m/>
    <n v="0"/>
    <n v="0"/>
    <n v="0"/>
    <n v="1"/>
    <n v="0"/>
    <n v="0"/>
    <n v="0"/>
    <n v="0"/>
    <n v="0"/>
    <n v="0"/>
    <n v="0"/>
    <n v="0"/>
    <n v="0"/>
    <n v="0"/>
    <n v="0"/>
    <n v="0"/>
    <n v="0"/>
    <n v="1"/>
    <n v="0"/>
    <n v="0"/>
    <n v="0"/>
    <n v="0"/>
    <n v="0"/>
    <n v="0"/>
    <n v="0"/>
    <n v="0"/>
    <n v="0"/>
    <n v="0"/>
    <x v="0"/>
    <x v="0"/>
    <x v="1"/>
    <n v="10"/>
    <m/>
    <m/>
    <m/>
    <m/>
    <n v="0.33333333333333331"/>
    <n v="0.33333333333333331"/>
    <n v="0.33333333333333331"/>
    <m/>
    <m/>
    <m/>
    <m/>
    <m/>
    <m/>
    <m/>
    <m/>
    <m/>
    <m/>
    <m/>
    <m/>
    <m/>
    <n v="0.66666666666666663"/>
    <n v="1"/>
  </r>
  <r>
    <n v="7025"/>
    <x v="1"/>
    <s v="2018/4477"/>
    <s v="1-3 Byrne Road"/>
    <s v="3 Byrne Road"/>
    <n v="528764"/>
    <n v="173063"/>
    <x v="8"/>
    <m/>
    <m/>
    <n v="0"/>
    <n v="1"/>
    <n v="1"/>
    <n v="2"/>
    <n v="2"/>
    <x v="1"/>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x v="0"/>
    <s v="Nil"/>
    <m/>
    <s v="BF"/>
    <s v="EXT"/>
    <x v="2"/>
    <x v="2"/>
    <n v="8.0000000000000002E-3"/>
    <m/>
    <x v="0"/>
    <m/>
    <x v="2"/>
    <s v="M"/>
    <s v=""/>
    <m/>
    <n v="0"/>
    <m/>
    <n v="0"/>
    <m/>
    <n v="0"/>
    <n v="0"/>
    <n v="1"/>
    <n v="0"/>
    <n v="0"/>
    <n v="0"/>
    <n v="0"/>
    <n v="0"/>
    <n v="0"/>
    <n v="1"/>
    <n v="0"/>
    <n v="0"/>
    <n v="0"/>
    <n v="0"/>
    <n v="0"/>
    <n v="0"/>
    <n v="0"/>
    <n v="0"/>
    <n v="0"/>
    <n v="0"/>
    <n v="0"/>
    <n v="0"/>
    <n v="0"/>
    <n v="0"/>
    <n v="0"/>
    <n v="0"/>
    <n v="0"/>
    <n v="0"/>
    <x v="0"/>
    <x v="0"/>
    <x v="1"/>
    <n v="15"/>
    <m/>
    <n v="0.25"/>
    <n v="0.25"/>
    <n v="0.25"/>
    <n v="0.25"/>
    <m/>
    <m/>
    <m/>
    <m/>
    <m/>
    <m/>
    <m/>
    <m/>
    <m/>
    <m/>
    <m/>
    <m/>
    <m/>
    <m/>
    <m/>
    <n v="1"/>
    <n v="1"/>
  </r>
  <r>
    <n v="7722"/>
    <x v="1"/>
    <s v="2021/4549"/>
    <s v="Atlantic House, 51-57 Upper Richmond Road"/>
    <s v="3-storey 4-bed"/>
    <n v="524629"/>
    <n v="174727"/>
    <x v="7"/>
    <m/>
    <m/>
    <n v="0"/>
    <n v="3"/>
    <n v="3"/>
    <n v="6"/>
    <n v="6"/>
    <x v="1"/>
    <s v="Demolition of existing two storey warehouse and erection of 1 x 3-bedroom two storey (plus basement), 3 x 4-bedroom three-storey (plus basement) and 2 x 2 bedroom two-storey (plus basement) houses."/>
    <s v="PF"/>
    <d v="2021-10-04T00:00:00"/>
    <d v="2022-04-27T00:00:00"/>
    <x v="1"/>
    <s v="Nil"/>
    <m/>
    <s v="BF"/>
    <s v="NB"/>
    <x v="2"/>
    <x v="1"/>
    <n v="1.78E-2"/>
    <m/>
    <x v="0"/>
    <m/>
    <x v="2"/>
    <s v="M"/>
    <s v=""/>
    <m/>
    <n v="0"/>
    <m/>
    <n v="0"/>
    <m/>
    <n v="0"/>
    <n v="0"/>
    <n v="0"/>
    <n v="0"/>
    <n v="3"/>
    <n v="0"/>
    <n v="0"/>
    <n v="0"/>
    <n v="0"/>
    <n v="0"/>
    <n v="0"/>
    <n v="0"/>
    <n v="0"/>
    <n v="0"/>
    <n v="0"/>
    <n v="0"/>
    <n v="0"/>
    <n v="0"/>
    <n v="3"/>
    <n v="0"/>
    <n v="0"/>
    <n v="0"/>
    <n v="0"/>
    <n v="0"/>
    <n v="0"/>
    <n v="0"/>
    <n v="0"/>
    <n v="0"/>
    <x v="0"/>
    <x v="0"/>
    <x v="1"/>
    <n v="10"/>
    <m/>
    <m/>
    <m/>
    <m/>
    <n v="1"/>
    <n v="1"/>
    <n v="1"/>
    <m/>
    <m/>
    <m/>
    <m/>
    <m/>
    <m/>
    <m/>
    <m/>
    <m/>
    <m/>
    <m/>
    <m/>
    <m/>
    <n v="2"/>
    <n v="3"/>
  </r>
  <r>
    <n v="7828"/>
    <x v="1"/>
    <s v="2022/3398"/>
    <s v="6 Clarendon Drive"/>
    <s v="7 x houses"/>
    <n v="523617"/>
    <n v="175404"/>
    <x v="0"/>
    <m/>
    <m/>
    <n v="0"/>
    <n v="7"/>
    <n v="7"/>
    <n v="7"/>
    <n v="7"/>
    <x v="1"/>
    <s v="Redevelopment and erection of seven two-storey (plus basement and roof level) houses  (1 x 5-bed and 6 x4 bed) with associated landscaping including removal of two trees and proposed replacement trees;  two on-street parking spaces, on site cycle parking and refuse storage."/>
    <s v="PF"/>
    <d v="2022-08-12T00:00:00"/>
    <d v="2022-12-20T00:00:00"/>
    <x v="1"/>
    <s v="Nil"/>
    <m/>
    <s v="BF"/>
    <s v="NB"/>
    <x v="2"/>
    <x v="1"/>
    <n v="4.9000000000000002E-2"/>
    <m/>
    <x v="0"/>
    <m/>
    <x v="2"/>
    <s v="M"/>
    <s v=""/>
    <m/>
    <n v="0"/>
    <n v="6"/>
    <n v="0"/>
    <n v="1"/>
    <n v="0"/>
    <n v="0"/>
    <n v="0"/>
    <n v="0"/>
    <n v="6"/>
    <n v="1"/>
    <n v="0"/>
    <n v="0"/>
    <n v="0"/>
    <n v="0"/>
    <n v="0"/>
    <n v="0"/>
    <n v="0"/>
    <n v="0"/>
    <n v="0"/>
    <n v="0"/>
    <n v="0"/>
    <n v="0"/>
    <n v="6"/>
    <n v="1"/>
    <n v="0"/>
    <n v="0"/>
    <n v="0"/>
    <n v="0"/>
    <n v="0"/>
    <n v="0"/>
    <n v="0"/>
    <n v="0"/>
    <x v="0"/>
    <x v="0"/>
    <x v="1"/>
    <n v="10"/>
    <m/>
    <m/>
    <m/>
    <m/>
    <n v="2.3333333333333335"/>
    <n v="2.3333333333333335"/>
    <n v="2.3333333333333335"/>
    <m/>
    <m/>
    <m/>
    <m/>
    <m/>
    <m/>
    <m/>
    <m/>
    <m/>
    <m/>
    <m/>
    <m/>
    <m/>
    <n v="4.666666666666667"/>
    <n v="7"/>
  </r>
  <r>
    <n v="5966"/>
    <x v="1"/>
    <s v="2015/7662"/>
    <s v="Unit 3 &amp; 20 Ransomes Dock Business Centre, 35-37 Parkgate Road (Ransomes Dock Business Centre)"/>
    <s v="Apartment 3"/>
    <n v="527304"/>
    <n v="177160"/>
    <x v="17"/>
    <d v="2017-03-31T00:00:00"/>
    <m/>
    <n v="0"/>
    <n v="1"/>
    <n v="1"/>
    <n v="2"/>
    <n v="2"/>
    <x v="1"/>
    <s v="Determination as to whether prior approval is required for change of use from office (Class B1a) to two residential units (Class C3)."/>
    <s v="PANR"/>
    <d v="2015-12-13T00:00:00"/>
    <d v="2016-03-14T00:00:00"/>
    <x v="0"/>
    <s v="Nil"/>
    <m/>
    <s v="BF"/>
    <s v="COU"/>
    <x v="2"/>
    <x v="6"/>
    <n v="2E-3"/>
    <m/>
    <x v="0"/>
    <m/>
    <x v="2"/>
    <s v="M"/>
    <s v=""/>
    <m/>
    <n v="0"/>
    <m/>
    <n v="0"/>
    <m/>
    <n v="1"/>
    <n v="0"/>
    <n v="0"/>
    <n v="0"/>
    <n v="0"/>
    <n v="0"/>
    <n v="0"/>
    <n v="1"/>
    <n v="0"/>
    <n v="0"/>
    <n v="0"/>
    <n v="0"/>
    <n v="0"/>
    <n v="0"/>
    <n v="0"/>
    <n v="0"/>
    <n v="0"/>
    <n v="0"/>
    <n v="0"/>
    <n v="0"/>
    <n v="0"/>
    <n v="0"/>
    <n v="0"/>
    <n v="0"/>
    <n v="0"/>
    <n v="0"/>
    <n v="0"/>
    <n v="0"/>
    <x v="0"/>
    <x v="0"/>
    <x v="8"/>
    <n v="15"/>
    <m/>
    <n v="0.25"/>
    <n v="0.25"/>
    <n v="0.25"/>
    <n v="0.25"/>
    <m/>
    <m/>
    <m/>
    <m/>
    <m/>
    <m/>
    <m/>
    <m/>
    <m/>
    <m/>
    <m/>
    <m/>
    <m/>
    <m/>
    <m/>
    <n v="1"/>
    <n v="1"/>
  </r>
  <r>
    <n v="3511"/>
    <x v="1"/>
    <s v="2014/2810"/>
    <s v="New Covent Garden Market, Nine Elms Lane (Combined Main Market, Entrance site and Thessaly College site)"/>
    <s v="Entrance Site - E6"/>
    <n v="529369"/>
    <n v="177317"/>
    <x v="15"/>
    <d v="2017-03-31T00:00:00"/>
    <m/>
    <n v="0"/>
    <n v="96"/>
    <n v="9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57299999999999995"/>
    <m/>
    <x v="0"/>
    <m/>
    <x v="0"/>
    <s v="IU"/>
    <s v="2.1.27"/>
    <m/>
    <n v="0"/>
    <n v="86"/>
    <n v="0"/>
    <n v="10"/>
    <n v="12"/>
    <n v="19"/>
    <n v="57"/>
    <n v="8"/>
    <n v="0"/>
    <n v="0"/>
    <n v="0"/>
    <n v="12"/>
    <n v="19"/>
    <n v="57"/>
    <n v="8"/>
    <n v="0"/>
    <n v="0"/>
    <n v="0"/>
    <n v="0"/>
    <n v="0"/>
    <n v="0"/>
    <n v="0"/>
    <n v="0"/>
    <n v="0"/>
    <n v="0"/>
    <n v="0"/>
    <n v="0"/>
    <n v="0"/>
    <n v="0"/>
    <n v="0"/>
    <n v="0"/>
    <n v="0"/>
    <x v="0"/>
    <x v="1"/>
    <x v="7"/>
    <n v="8"/>
    <m/>
    <m/>
    <m/>
    <m/>
    <m/>
    <m/>
    <m/>
    <m/>
    <m/>
    <n v="96"/>
    <m/>
    <m/>
    <m/>
    <m/>
    <m/>
    <m/>
    <m/>
    <m/>
    <m/>
    <m/>
    <n v="0"/>
    <n v="96"/>
  </r>
  <r>
    <n v="3511"/>
    <x v="1"/>
    <s v="2014/2810"/>
    <s v="New Covent Garden Market, Nine Elms Lane (Combined Main Market, Entrance site and Thessaly College site)"/>
    <s v="Entrance Site - E7"/>
    <n v="529369"/>
    <n v="177317"/>
    <x v="15"/>
    <d v="2017-03-31T00:00:00"/>
    <m/>
    <n v="0"/>
    <n v="72"/>
    <n v="72"/>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435"/>
    <m/>
    <x v="0"/>
    <m/>
    <x v="1"/>
    <s v="AA"/>
    <s v="2.1.27"/>
    <m/>
    <n v="0"/>
    <n v="65"/>
    <n v="0"/>
    <n v="7"/>
    <n v="0"/>
    <n v="11"/>
    <n v="32"/>
    <n v="22"/>
    <n v="7"/>
    <n v="0"/>
    <n v="0"/>
    <n v="0"/>
    <n v="11"/>
    <n v="32"/>
    <n v="22"/>
    <n v="7"/>
    <n v="0"/>
    <n v="0"/>
    <n v="0"/>
    <n v="0"/>
    <n v="0"/>
    <n v="0"/>
    <n v="0"/>
    <n v="0"/>
    <n v="0"/>
    <n v="0"/>
    <n v="0"/>
    <n v="0"/>
    <n v="0"/>
    <n v="0"/>
    <n v="0"/>
    <n v="0"/>
    <x v="0"/>
    <x v="1"/>
    <x v="7"/>
    <n v="8"/>
    <m/>
    <m/>
    <m/>
    <m/>
    <m/>
    <m/>
    <m/>
    <m/>
    <m/>
    <m/>
    <n v="72"/>
    <m/>
    <m/>
    <m/>
    <m/>
    <m/>
    <m/>
    <m/>
    <m/>
    <m/>
    <n v="0"/>
    <n v="72"/>
  </r>
  <r>
    <n v="3511"/>
    <x v="1"/>
    <s v="2014/2810"/>
    <s v="New Covent Garden Market, Nine Elms Lane (Combined Main Market, Entrance site and Thessaly College site)"/>
    <s v="Entrance Site - E8"/>
    <n v="529369"/>
    <n v="177317"/>
    <x v="15"/>
    <d v="2017-03-31T00:00:00"/>
    <m/>
    <n v="0"/>
    <n v="86"/>
    <n v="8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52400000000000002"/>
    <m/>
    <x v="0"/>
    <m/>
    <x v="2"/>
    <s v="M"/>
    <s v="2.1.27"/>
    <m/>
    <n v="0"/>
    <n v="77"/>
    <n v="0"/>
    <n v="9"/>
    <n v="0"/>
    <n v="17"/>
    <n v="30"/>
    <n v="39"/>
    <n v="0"/>
    <n v="0"/>
    <n v="0"/>
    <n v="0"/>
    <n v="17"/>
    <n v="30"/>
    <n v="39"/>
    <n v="0"/>
    <n v="0"/>
    <n v="0"/>
    <n v="0"/>
    <n v="0"/>
    <n v="0"/>
    <n v="0"/>
    <n v="0"/>
    <n v="0"/>
    <n v="0"/>
    <n v="0"/>
    <n v="0"/>
    <n v="0"/>
    <n v="0"/>
    <n v="0"/>
    <n v="0"/>
    <n v="0"/>
    <x v="0"/>
    <x v="1"/>
    <x v="7"/>
    <n v="8"/>
    <m/>
    <m/>
    <m/>
    <m/>
    <m/>
    <m/>
    <m/>
    <m/>
    <m/>
    <n v="86"/>
    <m/>
    <m/>
    <m/>
    <m/>
    <m/>
    <m/>
    <m/>
    <m/>
    <m/>
    <m/>
    <n v="0"/>
    <n v="86"/>
  </r>
  <r>
    <n v="3511"/>
    <x v="1"/>
    <s v="2014/2810"/>
    <s v="New Covent Garden Market, Nine Elms Lane (Combined Main Market, Entrance site and Thessaly College site)"/>
    <s v="Entrance Site - Existing"/>
    <n v="529369"/>
    <n v="177317"/>
    <x v="15"/>
    <d v="2017-03-31T00:00:00"/>
    <m/>
    <n v="5"/>
    <n v="0"/>
    <n v="-5"/>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
    <m/>
    <x v="0"/>
    <m/>
    <x v="2"/>
    <s v="M"/>
    <s v="2.1.27"/>
    <m/>
    <n v="0"/>
    <m/>
    <n v="0"/>
    <m/>
    <n v="0"/>
    <n v="0"/>
    <n v="0"/>
    <n v="0"/>
    <n v="0"/>
    <n v="0"/>
    <n v="-5"/>
    <n v="0"/>
    <n v="0"/>
    <n v="0"/>
    <n v="0"/>
    <n v="0"/>
    <n v="0"/>
    <n v="-5"/>
    <n v="0"/>
    <n v="0"/>
    <n v="0"/>
    <n v="0"/>
    <n v="0"/>
    <n v="0"/>
    <n v="0"/>
    <n v="0"/>
    <n v="0"/>
    <n v="0"/>
    <n v="0"/>
    <n v="0"/>
    <n v="0"/>
    <n v="0"/>
    <x v="0"/>
    <x v="1"/>
    <x v="7"/>
    <n v="8"/>
    <m/>
    <m/>
    <m/>
    <m/>
    <m/>
    <m/>
    <m/>
    <m/>
    <n v="-5"/>
    <m/>
    <m/>
    <m/>
    <m/>
    <m/>
    <m/>
    <m/>
    <m/>
    <m/>
    <m/>
    <m/>
    <n v="0"/>
    <n v="-5"/>
  </r>
  <r>
    <n v="3511"/>
    <x v="2"/>
    <s v="2019/2995"/>
    <s v="New Covent Garden Market, Nine Elms Lane (Combined Main Market, Entrance site and Thessaly College site)"/>
    <s v="N1"/>
    <n v="529369"/>
    <n v="177317"/>
    <x v="15"/>
    <d v="2019-12-01T00:00:00"/>
    <m/>
    <n v="0"/>
    <n v="179"/>
    <n v="179"/>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0"/>
    <s v="Nil"/>
    <m/>
    <s v="BF"/>
    <s v="NB"/>
    <x v="0"/>
    <x v="0"/>
    <n v="0.17899999999999999"/>
    <d v="2020-05-01T00:00:00"/>
    <x v="0"/>
    <m/>
    <x v="2"/>
    <s v="M"/>
    <s v="2.1.27"/>
    <m/>
    <n v="179"/>
    <m/>
    <n v="0"/>
    <m/>
    <n v="68"/>
    <n v="34"/>
    <n v="71"/>
    <n v="2"/>
    <n v="4"/>
    <n v="0"/>
    <n v="0"/>
    <n v="68"/>
    <n v="34"/>
    <n v="71"/>
    <n v="2"/>
    <n v="4"/>
    <n v="0"/>
    <n v="0"/>
    <n v="0"/>
    <n v="0"/>
    <n v="0"/>
    <n v="0"/>
    <n v="0"/>
    <n v="0"/>
    <n v="0"/>
    <n v="0"/>
    <n v="0"/>
    <n v="0"/>
    <n v="0"/>
    <n v="0"/>
    <n v="0"/>
    <n v="0"/>
    <x v="0"/>
    <x v="1"/>
    <x v="7"/>
    <n v="5"/>
    <m/>
    <m/>
    <m/>
    <m/>
    <n v="179"/>
    <m/>
    <m/>
    <m/>
    <m/>
    <m/>
    <m/>
    <m/>
    <m/>
    <m/>
    <m/>
    <m/>
    <m/>
    <m/>
    <m/>
    <m/>
    <n v="179"/>
    <n v="179"/>
  </r>
  <r>
    <n v="3511"/>
    <x v="2"/>
    <s v="2019/4187"/>
    <s v="New Covent Garden Market, Nine Elms Lane (Combined Main Market, Entrance site and Thessaly College site)"/>
    <s v="N10"/>
    <n v="529369"/>
    <n v="177317"/>
    <x v="15"/>
    <d v="2019-07-26T00:00:00"/>
    <m/>
    <n v="0"/>
    <n v="316"/>
    <n v="316"/>
    <n v="542"/>
    <n v="542"/>
    <x v="0"/>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x v="0"/>
    <s v="Nil"/>
    <m/>
    <s v="BF"/>
    <s v="NB"/>
    <x v="0"/>
    <x v="0"/>
    <n v="1.764"/>
    <d v="2019-07-26T00:00:00"/>
    <x v="0"/>
    <m/>
    <x v="2"/>
    <s v="M"/>
    <s v="2.1.27"/>
    <m/>
    <n v="288"/>
    <m/>
    <n v="28"/>
    <m/>
    <n v="0"/>
    <n v="98"/>
    <n v="134"/>
    <n v="74"/>
    <n v="10"/>
    <n v="0"/>
    <n v="0"/>
    <n v="0"/>
    <n v="98"/>
    <n v="134"/>
    <n v="74"/>
    <n v="10"/>
    <n v="0"/>
    <n v="0"/>
    <n v="0"/>
    <n v="0"/>
    <n v="0"/>
    <n v="0"/>
    <n v="0"/>
    <n v="0"/>
    <n v="0"/>
    <n v="0"/>
    <n v="0"/>
    <n v="0"/>
    <n v="0"/>
    <n v="0"/>
    <n v="0"/>
    <n v="0"/>
    <x v="0"/>
    <x v="1"/>
    <x v="7"/>
    <n v="5"/>
    <m/>
    <m/>
    <m/>
    <n v="316"/>
    <m/>
    <m/>
    <m/>
    <m/>
    <m/>
    <m/>
    <m/>
    <m/>
    <m/>
    <m/>
    <m/>
    <m/>
    <m/>
    <m/>
    <m/>
    <m/>
    <n v="316"/>
    <n v="316"/>
  </r>
  <r>
    <n v="7101"/>
    <x v="1"/>
    <s v="2019/0024"/>
    <s v="Site of York Road, Winstanley Road (Part of Estate, York Gardens and Winstanley Estate)"/>
    <s v="Block 1A"/>
    <n v="526922"/>
    <n v="175807"/>
    <x v="21"/>
    <d v="2022-02-17T00:00:00"/>
    <m/>
    <n v="0"/>
    <n v="150"/>
    <n v="150"/>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0"/>
    <x v="0"/>
    <n v="0.23"/>
    <m/>
    <x v="0"/>
    <m/>
    <x v="2"/>
    <s v="M"/>
    <s v=""/>
    <m/>
    <n v="0"/>
    <n v="135"/>
    <n v="0"/>
    <n v="15"/>
    <n v="0"/>
    <n v="60"/>
    <n v="61"/>
    <n v="29"/>
    <n v="0"/>
    <n v="0"/>
    <n v="0"/>
    <n v="0"/>
    <n v="60"/>
    <n v="61"/>
    <n v="29"/>
    <n v="0"/>
    <n v="0"/>
    <n v="0"/>
    <n v="0"/>
    <n v="0"/>
    <n v="0"/>
    <n v="0"/>
    <n v="0"/>
    <n v="0"/>
    <n v="0"/>
    <n v="0"/>
    <n v="0"/>
    <n v="0"/>
    <n v="0"/>
    <n v="0"/>
    <n v="0"/>
    <n v="0"/>
    <x v="0"/>
    <x v="0"/>
    <x v="5"/>
    <n v="8"/>
    <m/>
    <m/>
    <m/>
    <m/>
    <m/>
    <m/>
    <n v="50"/>
    <n v="50"/>
    <n v="50"/>
    <m/>
    <m/>
    <m/>
    <m/>
    <m/>
    <m/>
    <m/>
    <m/>
    <m/>
    <m/>
    <m/>
    <n v="0"/>
    <n v="150"/>
  </r>
  <r>
    <n v="7101"/>
    <x v="1"/>
    <s v="2019/0024"/>
    <s v="Site of York Road, Winstanley Road (Part of Estate, York Gardens and Winstanley Estate)"/>
    <s v="Block 1C"/>
    <n v="526922"/>
    <n v="175807"/>
    <x v="21"/>
    <d v="2022-02-17T00:00:00"/>
    <m/>
    <n v="0"/>
    <n v="89"/>
    <n v="8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0"/>
    <x v="0"/>
    <n v="0.13700000000000001"/>
    <m/>
    <x v="0"/>
    <m/>
    <x v="2"/>
    <s v="M"/>
    <s v=""/>
    <m/>
    <n v="0"/>
    <n v="80"/>
    <n v="0"/>
    <n v="9"/>
    <n v="7"/>
    <n v="30"/>
    <n v="34"/>
    <n v="18"/>
    <n v="0"/>
    <n v="0"/>
    <n v="0"/>
    <n v="7"/>
    <n v="30"/>
    <n v="34"/>
    <n v="18"/>
    <n v="0"/>
    <n v="0"/>
    <n v="0"/>
    <n v="0"/>
    <n v="0"/>
    <n v="0"/>
    <n v="0"/>
    <n v="0"/>
    <n v="0"/>
    <n v="0"/>
    <n v="0"/>
    <n v="0"/>
    <n v="0"/>
    <n v="0"/>
    <n v="0"/>
    <n v="0"/>
    <n v="0"/>
    <x v="0"/>
    <x v="0"/>
    <x v="5"/>
    <n v="8"/>
    <m/>
    <m/>
    <m/>
    <m/>
    <m/>
    <m/>
    <n v="29.666666666666668"/>
    <n v="29.666666666666668"/>
    <n v="29.666666666666668"/>
    <m/>
    <m/>
    <m/>
    <m/>
    <m/>
    <m/>
    <m/>
    <m/>
    <m/>
    <m/>
    <m/>
    <n v="0"/>
    <n v="89"/>
  </r>
  <r>
    <n v="7101"/>
    <x v="1"/>
    <s v="2019/0024"/>
    <s v="Site of York Road, Winstanley Road (Part of Estate, York Gardens and Winstanley Estate)"/>
    <s v="Block 6"/>
    <n v="526922"/>
    <n v="175807"/>
    <x v="21"/>
    <d v="2022-02-17T00:00:00"/>
    <m/>
    <n v="0"/>
    <n v="64"/>
    <n v="6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0"/>
    <x v="0"/>
    <n v="9.8000000000000004E-2"/>
    <m/>
    <x v="0"/>
    <m/>
    <x v="2"/>
    <s v="M"/>
    <s v=""/>
    <m/>
    <n v="0"/>
    <n v="58"/>
    <n v="0"/>
    <n v="6"/>
    <n v="0"/>
    <n v="18"/>
    <n v="24"/>
    <n v="22"/>
    <n v="0"/>
    <n v="0"/>
    <n v="0"/>
    <n v="0"/>
    <n v="18"/>
    <n v="24"/>
    <n v="22"/>
    <n v="0"/>
    <n v="0"/>
    <n v="0"/>
    <n v="0"/>
    <n v="0"/>
    <n v="0"/>
    <n v="0"/>
    <n v="0"/>
    <n v="0"/>
    <n v="0"/>
    <n v="0"/>
    <n v="0"/>
    <n v="0"/>
    <n v="0"/>
    <n v="0"/>
    <n v="0"/>
    <n v="0"/>
    <x v="0"/>
    <x v="0"/>
    <x v="5"/>
    <n v="8"/>
    <m/>
    <m/>
    <m/>
    <m/>
    <m/>
    <m/>
    <n v="21.333333333333332"/>
    <n v="21.333333333333332"/>
    <n v="21.333333333333332"/>
    <m/>
    <m/>
    <m/>
    <m/>
    <m/>
    <m/>
    <m/>
    <m/>
    <m/>
    <m/>
    <m/>
    <n v="0"/>
    <n v="64"/>
  </r>
  <r>
    <n v="7101"/>
    <x v="1"/>
    <s v="2019/0024"/>
    <s v="Site of York Road, Winstanley Road (Part of Estate, York Gardens and Winstanley Estate)"/>
    <s v="Block 6"/>
    <n v="526922"/>
    <n v="175807"/>
    <x v="21"/>
    <d v="2022-02-17T00:00:00"/>
    <m/>
    <n v="0"/>
    <n v="54"/>
    <n v="5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0"/>
    <x v="0"/>
    <n v="8.3000000000000004E-2"/>
    <m/>
    <x v="0"/>
    <m/>
    <x v="1"/>
    <s v="AS"/>
    <s v=""/>
    <m/>
    <n v="0"/>
    <n v="48"/>
    <n v="0"/>
    <n v="6"/>
    <n v="0"/>
    <n v="19"/>
    <n v="15"/>
    <n v="17"/>
    <n v="3"/>
    <n v="0"/>
    <n v="0"/>
    <n v="0"/>
    <n v="19"/>
    <n v="15"/>
    <n v="17"/>
    <n v="3"/>
    <n v="0"/>
    <n v="0"/>
    <n v="0"/>
    <n v="0"/>
    <n v="0"/>
    <n v="0"/>
    <n v="0"/>
    <n v="0"/>
    <n v="0"/>
    <n v="0"/>
    <n v="0"/>
    <n v="0"/>
    <n v="0"/>
    <n v="0"/>
    <n v="0"/>
    <n v="0"/>
    <x v="0"/>
    <x v="0"/>
    <x v="5"/>
    <n v="8"/>
    <m/>
    <m/>
    <m/>
    <m/>
    <m/>
    <m/>
    <n v="18"/>
    <n v="18"/>
    <n v="18"/>
    <m/>
    <m/>
    <m/>
    <m/>
    <m/>
    <m/>
    <m/>
    <m/>
    <m/>
    <m/>
    <m/>
    <n v="0"/>
    <n v="54"/>
  </r>
  <r>
    <n v="7101"/>
    <x v="1"/>
    <s v="2019/0024"/>
    <s v="Site of York Road, Winstanley Road (Part of Estate, York Gardens and Winstanley Estate)"/>
    <s v="Block 6"/>
    <n v="526922"/>
    <n v="175807"/>
    <x v="21"/>
    <d v="2022-02-17T00:00:00"/>
    <m/>
    <n v="0"/>
    <n v="9"/>
    <n v="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0"/>
    <x v="0"/>
    <n v="1.4E-2"/>
    <m/>
    <x v="0"/>
    <m/>
    <x v="0"/>
    <s v="ISE"/>
    <s v=""/>
    <m/>
    <n v="0"/>
    <n v="8"/>
    <n v="0"/>
    <n v="1"/>
    <n v="0"/>
    <n v="2"/>
    <n v="3"/>
    <n v="3"/>
    <n v="1"/>
    <n v="0"/>
    <n v="0"/>
    <n v="0"/>
    <n v="2"/>
    <n v="3"/>
    <n v="3"/>
    <n v="1"/>
    <n v="0"/>
    <n v="0"/>
    <n v="0"/>
    <n v="0"/>
    <n v="0"/>
    <n v="0"/>
    <n v="0"/>
    <n v="0"/>
    <n v="0"/>
    <n v="0"/>
    <n v="0"/>
    <n v="0"/>
    <n v="0"/>
    <n v="0"/>
    <n v="0"/>
    <n v="0"/>
    <x v="0"/>
    <x v="0"/>
    <x v="5"/>
    <n v="8"/>
    <m/>
    <m/>
    <m/>
    <m/>
    <m/>
    <m/>
    <n v="3"/>
    <n v="3"/>
    <n v="3"/>
    <m/>
    <m/>
    <m/>
    <m/>
    <m/>
    <m/>
    <m/>
    <m/>
    <m/>
    <m/>
    <m/>
    <n v="0"/>
    <n v="9"/>
  </r>
  <r>
    <n v="464"/>
    <x v="1"/>
    <s v="2015/6813"/>
    <s v="41-59 Battersea Park Road (Booker and BMW Sites)"/>
    <s v="Block A"/>
    <n v="529321"/>
    <n v="177258"/>
    <x v="15"/>
    <d v="2022-02-14T00:00:00"/>
    <m/>
    <n v="0"/>
    <n v="42"/>
    <n v="42"/>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0"/>
    <x v="0"/>
    <n v="3.9E-2"/>
    <m/>
    <x v="0"/>
    <m/>
    <x v="2"/>
    <s v="M"/>
    <s v="2.1.13"/>
    <n v="17320035"/>
    <n v="0"/>
    <n v="38"/>
    <n v="0"/>
    <n v="4"/>
    <n v="0"/>
    <n v="10"/>
    <n v="21"/>
    <n v="10"/>
    <n v="1"/>
    <n v="0"/>
    <n v="0"/>
    <n v="0"/>
    <n v="10"/>
    <n v="21"/>
    <n v="10"/>
    <n v="1"/>
    <n v="0"/>
    <n v="0"/>
    <n v="0"/>
    <n v="0"/>
    <n v="0"/>
    <n v="0"/>
    <n v="0"/>
    <n v="0"/>
    <n v="0"/>
    <n v="0"/>
    <n v="0"/>
    <n v="0"/>
    <n v="0"/>
    <n v="0"/>
    <n v="0"/>
    <n v="0"/>
    <x v="0"/>
    <x v="1"/>
    <x v="7"/>
    <n v="10"/>
    <m/>
    <m/>
    <m/>
    <m/>
    <n v="14"/>
    <n v="14"/>
    <n v="14"/>
    <m/>
    <m/>
    <m/>
    <m/>
    <m/>
    <m/>
    <m/>
    <m/>
    <m/>
    <m/>
    <m/>
    <m/>
    <m/>
    <n v="28"/>
    <n v="42"/>
  </r>
  <r>
    <n v="518"/>
    <x v="1"/>
    <s v="2020/0877"/>
    <s v="6-10 Mitcham Road"/>
    <s v="Block A"/>
    <n v="527485"/>
    <n v="171424"/>
    <x v="3"/>
    <m/>
    <m/>
    <n v="4"/>
    <n v="5"/>
    <n v="1"/>
    <n v="9"/>
    <n v="5"/>
    <x v="1"/>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x v="0"/>
    <s v="Nil"/>
    <m/>
    <s v="BF"/>
    <s v="MIX"/>
    <x v="2"/>
    <x v="7"/>
    <n v="1.2E-2"/>
    <m/>
    <x v="0"/>
    <m/>
    <x v="2"/>
    <s v="M"/>
    <s v=""/>
    <m/>
    <n v="0"/>
    <m/>
    <n v="0"/>
    <m/>
    <n v="0"/>
    <n v="2"/>
    <n v="-2"/>
    <n v="1"/>
    <n v="0"/>
    <n v="0"/>
    <n v="0"/>
    <n v="0"/>
    <n v="2"/>
    <n v="-2"/>
    <n v="1"/>
    <n v="0"/>
    <n v="0"/>
    <n v="0"/>
    <n v="0"/>
    <n v="0"/>
    <n v="0"/>
    <n v="0"/>
    <n v="0"/>
    <n v="0"/>
    <n v="0"/>
    <n v="0"/>
    <n v="0"/>
    <n v="0"/>
    <n v="0"/>
    <n v="0"/>
    <n v="0"/>
    <n v="0"/>
    <x v="2"/>
    <x v="0"/>
    <x v="3"/>
    <n v="15"/>
    <m/>
    <n v="0.25"/>
    <n v="0.25"/>
    <n v="0.25"/>
    <n v="0.25"/>
    <m/>
    <m/>
    <m/>
    <m/>
    <m/>
    <m/>
    <m/>
    <m/>
    <m/>
    <m/>
    <m/>
    <m/>
    <m/>
    <m/>
    <m/>
    <n v="1"/>
    <n v="1"/>
  </r>
  <r>
    <n v="518"/>
    <x v="1"/>
    <s v="2020/0877"/>
    <s v="6-10 Mitcham Road"/>
    <s v="Block B"/>
    <n v="527485"/>
    <n v="171424"/>
    <x v="3"/>
    <m/>
    <m/>
    <n v="0"/>
    <n v="4"/>
    <n v="4"/>
    <n v="9"/>
    <n v="5"/>
    <x v="1"/>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x v="0"/>
    <s v="Nil"/>
    <m/>
    <s v="BF"/>
    <s v="MIX"/>
    <x v="2"/>
    <x v="2"/>
    <n v="8.9999999999999993E-3"/>
    <m/>
    <x v="0"/>
    <m/>
    <x v="2"/>
    <s v="M"/>
    <s v=""/>
    <m/>
    <n v="0"/>
    <m/>
    <n v="0"/>
    <m/>
    <n v="0"/>
    <n v="0"/>
    <n v="4"/>
    <n v="0"/>
    <n v="0"/>
    <n v="0"/>
    <n v="0"/>
    <n v="0"/>
    <n v="0"/>
    <n v="4"/>
    <n v="0"/>
    <n v="0"/>
    <n v="0"/>
    <n v="0"/>
    <n v="0"/>
    <n v="0"/>
    <n v="0"/>
    <n v="0"/>
    <n v="0"/>
    <n v="0"/>
    <n v="0"/>
    <n v="0"/>
    <n v="0"/>
    <n v="0"/>
    <n v="0"/>
    <n v="0"/>
    <n v="0"/>
    <n v="0"/>
    <x v="2"/>
    <x v="0"/>
    <x v="3"/>
    <n v="15"/>
    <m/>
    <n v="1"/>
    <n v="1"/>
    <n v="1"/>
    <n v="1"/>
    <m/>
    <m/>
    <m/>
    <m/>
    <m/>
    <m/>
    <m/>
    <m/>
    <m/>
    <m/>
    <m/>
    <m/>
    <m/>
    <m/>
    <m/>
    <n v="4"/>
    <n v="4"/>
  </r>
  <r>
    <n v="464"/>
    <x v="1"/>
    <s v="2015/6813"/>
    <s v="41-59 Battersea Park Road (Booker and BMW Sites)"/>
    <s v="Block B"/>
    <n v="529321"/>
    <n v="177258"/>
    <x v="15"/>
    <d v="2022-02-14T00:00:00"/>
    <m/>
    <n v="0"/>
    <n v="111"/>
    <n v="111"/>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0"/>
    <x v="0"/>
    <n v="0.09"/>
    <m/>
    <x v="0"/>
    <m/>
    <x v="2"/>
    <s v="M"/>
    <s v="2.1.13"/>
    <n v="17320035"/>
    <n v="0"/>
    <n v="100"/>
    <n v="0"/>
    <n v="11"/>
    <n v="1"/>
    <n v="40"/>
    <n v="60"/>
    <n v="10"/>
    <n v="0"/>
    <n v="0"/>
    <n v="0"/>
    <n v="1"/>
    <n v="40"/>
    <n v="60"/>
    <n v="10"/>
    <n v="0"/>
    <n v="0"/>
    <n v="0"/>
    <n v="0"/>
    <n v="0"/>
    <n v="0"/>
    <n v="0"/>
    <n v="0"/>
    <n v="0"/>
    <n v="0"/>
    <n v="0"/>
    <n v="0"/>
    <n v="0"/>
    <n v="0"/>
    <n v="0"/>
    <n v="0"/>
    <n v="0"/>
    <x v="0"/>
    <x v="1"/>
    <x v="7"/>
    <n v="10"/>
    <m/>
    <m/>
    <m/>
    <m/>
    <n v="37"/>
    <n v="37"/>
    <n v="37"/>
    <m/>
    <m/>
    <m/>
    <m/>
    <m/>
    <m/>
    <m/>
    <m/>
    <m/>
    <m/>
    <m/>
    <m/>
    <m/>
    <n v="74"/>
    <n v="111"/>
  </r>
  <r>
    <n v="464"/>
    <x v="1"/>
    <s v="2015/6813"/>
    <s v="41-59 Battersea Park Road (Booker and BMW Sites)"/>
    <s v="Block C"/>
    <n v="529321"/>
    <n v="177258"/>
    <x v="15"/>
    <d v="2022-02-14T00:00:00"/>
    <m/>
    <n v="0"/>
    <n v="52"/>
    <n v="52"/>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0"/>
    <x v="0"/>
    <n v="4.3999999999999997E-2"/>
    <m/>
    <x v="0"/>
    <m/>
    <x v="2"/>
    <s v="M"/>
    <s v="2.1.13"/>
    <n v="17320035"/>
    <n v="0"/>
    <n v="47"/>
    <n v="0"/>
    <n v="5"/>
    <n v="0"/>
    <n v="9"/>
    <n v="42"/>
    <n v="1"/>
    <n v="0"/>
    <n v="0"/>
    <n v="0"/>
    <n v="0"/>
    <n v="9"/>
    <n v="42"/>
    <n v="1"/>
    <n v="0"/>
    <n v="0"/>
    <n v="0"/>
    <n v="0"/>
    <n v="0"/>
    <n v="0"/>
    <n v="0"/>
    <n v="0"/>
    <n v="0"/>
    <n v="0"/>
    <n v="0"/>
    <n v="0"/>
    <n v="0"/>
    <n v="0"/>
    <n v="0"/>
    <n v="0"/>
    <n v="0"/>
    <x v="0"/>
    <x v="1"/>
    <x v="7"/>
    <n v="10"/>
    <m/>
    <m/>
    <m/>
    <m/>
    <n v="17.333333333333332"/>
    <n v="17.333333333333332"/>
    <n v="17.333333333333332"/>
    <m/>
    <m/>
    <m/>
    <m/>
    <m/>
    <m/>
    <m/>
    <m/>
    <m/>
    <m/>
    <m/>
    <m/>
    <m/>
    <n v="34.666666666666664"/>
    <n v="52"/>
  </r>
  <r>
    <n v="464"/>
    <x v="1"/>
    <s v="2015/6813"/>
    <s v="41-59 Battersea Park Road (Booker and BMW Sites)"/>
    <s v="Block C"/>
    <n v="529321"/>
    <n v="177258"/>
    <x v="15"/>
    <d v="2022-02-14T00:00:00"/>
    <m/>
    <n v="0"/>
    <n v="10"/>
    <n v="10"/>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0"/>
    <x v="0"/>
    <n v="5.0000000000000001E-3"/>
    <m/>
    <x v="0"/>
    <m/>
    <x v="0"/>
    <s v="ISO"/>
    <s v="2.1.13"/>
    <n v="17320035"/>
    <n v="0"/>
    <n v="9"/>
    <n v="0"/>
    <n v="1"/>
    <n v="0"/>
    <n v="10"/>
    <n v="0"/>
    <n v="0"/>
    <n v="0"/>
    <n v="0"/>
    <n v="0"/>
    <n v="0"/>
    <n v="10"/>
    <n v="0"/>
    <n v="0"/>
    <n v="0"/>
    <n v="0"/>
    <n v="0"/>
    <n v="0"/>
    <n v="0"/>
    <n v="0"/>
    <n v="0"/>
    <n v="0"/>
    <n v="0"/>
    <n v="0"/>
    <n v="0"/>
    <n v="0"/>
    <n v="0"/>
    <n v="0"/>
    <n v="0"/>
    <n v="0"/>
    <n v="0"/>
    <x v="0"/>
    <x v="1"/>
    <x v="7"/>
    <n v="10"/>
    <m/>
    <m/>
    <m/>
    <m/>
    <n v="3.3333333333333335"/>
    <n v="3.3333333333333335"/>
    <n v="3.3333333333333335"/>
    <m/>
    <m/>
    <m/>
    <m/>
    <m/>
    <m/>
    <m/>
    <m/>
    <m/>
    <m/>
    <m/>
    <m/>
    <m/>
    <n v="6.666666666666667"/>
    <n v="10"/>
  </r>
  <r>
    <n v="464"/>
    <x v="1"/>
    <s v="2015/6813"/>
    <s v="41-59 Battersea Park Road (Booker and BMW Sites)"/>
    <s v="Block D"/>
    <n v="529321"/>
    <n v="177258"/>
    <x v="15"/>
    <d v="2022-02-14T00:00:00"/>
    <m/>
    <n v="0"/>
    <n v="20"/>
    <n v="20"/>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0"/>
    <x v="0"/>
    <n v="1.7999999999999999E-2"/>
    <m/>
    <x v="0"/>
    <m/>
    <x v="1"/>
    <s v="AA"/>
    <s v="2.1.13"/>
    <n v="17320035"/>
    <n v="0"/>
    <n v="18"/>
    <n v="0"/>
    <n v="2"/>
    <n v="1"/>
    <n v="9"/>
    <n v="6"/>
    <n v="4"/>
    <n v="0"/>
    <n v="0"/>
    <n v="0"/>
    <n v="1"/>
    <n v="9"/>
    <n v="6"/>
    <n v="4"/>
    <n v="0"/>
    <n v="0"/>
    <n v="0"/>
    <n v="0"/>
    <n v="0"/>
    <n v="0"/>
    <n v="0"/>
    <n v="0"/>
    <n v="0"/>
    <n v="0"/>
    <n v="0"/>
    <n v="0"/>
    <n v="0"/>
    <n v="0"/>
    <n v="0"/>
    <n v="0"/>
    <n v="0"/>
    <x v="0"/>
    <x v="1"/>
    <x v="7"/>
    <n v="10"/>
    <m/>
    <m/>
    <m/>
    <m/>
    <n v="6.666666666666667"/>
    <n v="6.666666666666667"/>
    <n v="6.666666666666667"/>
    <m/>
    <m/>
    <m/>
    <m/>
    <m/>
    <m/>
    <m/>
    <m/>
    <m/>
    <m/>
    <m/>
    <m/>
    <m/>
    <n v="13.333333333333334"/>
    <n v="20"/>
  </r>
  <r>
    <n v="464"/>
    <x v="1"/>
    <s v="2015/6813"/>
    <s v="41-59 Battersea Park Road (Booker and BMW Sites)"/>
    <s v="Block E"/>
    <n v="529321"/>
    <n v="177258"/>
    <x v="15"/>
    <d v="2022-02-14T00:00:00"/>
    <m/>
    <n v="0"/>
    <n v="47"/>
    <n v="47"/>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0"/>
    <x v="0"/>
    <n v="3.9E-2"/>
    <m/>
    <x v="0"/>
    <m/>
    <x v="0"/>
    <s v="ISO"/>
    <s v="2.1.13"/>
    <n v="17320035"/>
    <n v="0"/>
    <n v="42"/>
    <n v="0"/>
    <n v="5"/>
    <n v="0"/>
    <n v="12"/>
    <n v="35"/>
    <n v="0"/>
    <n v="0"/>
    <n v="0"/>
    <n v="0"/>
    <n v="0"/>
    <n v="12"/>
    <n v="35"/>
    <n v="0"/>
    <n v="0"/>
    <n v="0"/>
    <n v="0"/>
    <n v="0"/>
    <n v="0"/>
    <n v="0"/>
    <n v="0"/>
    <n v="0"/>
    <n v="0"/>
    <n v="0"/>
    <n v="0"/>
    <n v="0"/>
    <n v="0"/>
    <n v="0"/>
    <n v="0"/>
    <n v="0"/>
    <n v="0"/>
    <x v="0"/>
    <x v="1"/>
    <x v="7"/>
    <n v="10"/>
    <m/>
    <m/>
    <m/>
    <m/>
    <n v="15.666666666666666"/>
    <n v="15.666666666666666"/>
    <n v="15.666666666666666"/>
    <m/>
    <m/>
    <m/>
    <m/>
    <m/>
    <m/>
    <m/>
    <m/>
    <m/>
    <m/>
    <m/>
    <m/>
    <m/>
    <n v="31.333333333333332"/>
    <n v="47"/>
  </r>
  <r>
    <n v="464"/>
    <x v="1"/>
    <s v="2015/6813"/>
    <s v="41-59 Battersea Park Road (Booker and BMW Sites)"/>
    <s v="Block E"/>
    <n v="529321"/>
    <n v="177258"/>
    <x v="15"/>
    <d v="2022-02-14T00:00:00"/>
    <m/>
    <n v="0"/>
    <n v="25"/>
    <n v="25"/>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0"/>
    <x v="0"/>
    <n v="2.1000000000000001E-2"/>
    <m/>
    <x v="0"/>
    <m/>
    <x v="2"/>
    <s v="M"/>
    <s v="2.1.13"/>
    <n v="17320035"/>
    <n v="0"/>
    <n v="22"/>
    <n v="0"/>
    <n v="3"/>
    <n v="0"/>
    <n v="0"/>
    <n v="25"/>
    <n v="0"/>
    <n v="0"/>
    <n v="0"/>
    <n v="0"/>
    <n v="0"/>
    <n v="0"/>
    <n v="25"/>
    <n v="0"/>
    <n v="0"/>
    <n v="0"/>
    <n v="0"/>
    <n v="0"/>
    <n v="0"/>
    <n v="0"/>
    <n v="0"/>
    <n v="0"/>
    <n v="0"/>
    <n v="0"/>
    <n v="0"/>
    <n v="0"/>
    <n v="0"/>
    <n v="0"/>
    <n v="0"/>
    <n v="0"/>
    <n v="0"/>
    <x v="0"/>
    <x v="1"/>
    <x v="7"/>
    <n v="10"/>
    <m/>
    <m/>
    <m/>
    <m/>
    <n v="8.3333333333333339"/>
    <n v="8.3333333333333339"/>
    <n v="8.3333333333333339"/>
    <m/>
    <m/>
    <m/>
    <m/>
    <m/>
    <m/>
    <m/>
    <m/>
    <m/>
    <m/>
    <m/>
    <m/>
    <m/>
    <n v="16.666666666666668"/>
    <n v="25"/>
  </r>
  <r>
    <n v="7304"/>
    <x v="1"/>
    <s v="2019/2516"/>
    <s v="Development Site of Alton Estate, Danebury Avenue (Alton Estate)"/>
    <s v="Block K"/>
    <n v="522152"/>
    <n v="173834"/>
    <x v="16"/>
    <m/>
    <m/>
    <n v="0"/>
    <n v="230"/>
    <n v="230"/>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0"/>
    <x v="0"/>
    <n v="0.83599999999999997"/>
    <m/>
    <x v="0"/>
    <m/>
    <x v="2"/>
    <s v="M"/>
    <s v="8.1.1"/>
    <m/>
    <n v="0"/>
    <m/>
    <n v="0"/>
    <m/>
    <n v="0"/>
    <n v="57"/>
    <n v="159"/>
    <n v="14"/>
    <n v="0"/>
    <n v="0"/>
    <n v="0"/>
    <n v="0"/>
    <n v="57"/>
    <n v="159"/>
    <n v="14"/>
    <n v="0"/>
    <n v="0"/>
    <n v="0"/>
    <n v="0"/>
    <n v="0"/>
    <n v="0"/>
    <n v="0"/>
    <n v="0"/>
    <n v="0"/>
    <n v="0"/>
    <n v="0"/>
    <n v="0"/>
    <n v="0"/>
    <n v="0"/>
    <n v="0"/>
    <n v="0"/>
    <n v="0"/>
    <x v="0"/>
    <x v="0"/>
    <x v="9"/>
    <n v="10"/>
    <m/>
    <m/>
    <m/>
    <m/>
    <n v="76.666666666666671"/>
    <n v="76.666666666666671"/>
    <n v="76.666666666666671"/>
    <m/>
    <m/>
    <m/>
    <m/>
    <m/>
    <m/>
    <m/>
    <m/>
    <m/>
    <m/>
    <m/>
    <m/>
    <m/>
    <n v="153.33333333333334"/>
    <n v="230"/>
  </r>
  <r>
    <n v="7304"/>
    <x v="1"/>
    <s v="2019/2516"/>
    <s v="Development Site of Alton Estate, Danebury Avenue (Alton Estate)"/>
    <s v="Block M"/>
    <n v="522152"/>
    <n v="173834"/>
    <x v="16"/>
    <m/>
    <m/>
    <n v="0"/>
    <n v="107"/>
    <n v="107"/>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0"/>
    <x v="0"/>
    <n v="0.38900000000000001"/>
    <m/>
    <x v="0"/>
    <m/>
    <x v="2"/>
    <s v="M"/>
    <s v="8.1.1"/>
    <m/>
    <n v="0"/>
    <m/>
    <n v="0"/>
    <m/>
    <n v="0"/>
    <n v="33"/>
    <n v="74"/>
    <n v="0"/>
    <n v="0"/>
    <n v="0"/>
    <n v="0"/>
    <n v="0"/>
    <n v="33"/>
    <n v="74"/>
    <n v="0"/>
    <n v="0"/>
    <n v="0"/>
    <n v="0"/>
    <n v="0"/>
    <n v="0"/>
    <n v="0"/>
    <n v="0"/>
    <n v="0"/>
    <n v="0"/>
    <n v="0"/>
    <n v="0"/>
    <n v="0"/>
    <n v="0"/>
    <n v="0"/>
    <n v="0"/>
    <n v="0"/>
    <n v="0"/>
    <x v="0"/>
    <x v="0"/>
    <x v="9"/>
    <n v="10"/>
    <m/>
    <m/>
    <m/>
    <m/>
    <n v="35.666666666666664"/>
    <n v="35.666666666666664"/>
    <n v="35.666666666666664"/>
    <m/>
    <m/>
    <m/>
    <m/>
    <m/>
    <m/>
    <m/>
    <m/>
    <m/>
    <m/>
    <m/>
    <m/>
    <m/>
    <n v="71.333333333333329"/>
    <n v="107"/>
  </r>
  <r>
    <n v="7304"/>
    <x v="1"/>
    <s v="2019/2516"/>
    <s v="Development Site of Alton Estate, Danebury Avenue (Alton Estate)"/>
    <s v="Block N"/>
    <n v="522152"/>
    <n v="173834"/>
    <x v="16"/>
    <m/>
    <m/>
    <n v="0"/>
    <n v="121"/>
    <n v="121"/>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0"/>
    <x v="0"/>
    <n v="0.44"/>
    <m/>
    <x v="0"/>
    <m/>
    <x v="2"/>
    <s v="M"/>
    <s v="8.1.1"/>
    <m/>
    <n v="0"/>
    <m/>
    <n v="0"/>
    <m/>
    <n v="0"/>
    <n v="38"/>
    <n v="83"/>
    <n v="0"/>
    <n v="0"/>
    <n v="0"/>
    <n v="0"/>
    <n v="0"/>
    <n v="38"/>
    <n v="83"/>
    <n v="0"/>
    <n v="0"/>
    <n v="0"/>
    <n v="0"/>
    <n v="0"/>
    <n v="0"/>
    <n v="0"/>
    <n v="0"/>
    <n v="0"/>
    <n v="0"/>
    <n v="0"/>
    <n v="0"/>
    <n v="0"/>
    <n v="0"/>
    <n v="0"/>
    <n v="0"/>
    <n v="0"/>
    <n v="0"/>
    <x v="0"/>
    <x v="0"/>
    <x v="9"/>
    <n v="10"/>
    <m/>
    <m/>
    <m/>
    <m/>
    <n v="40.333333333333336"/>
    <n v="40.333333333333336"/>
    <n v="40.333333333333336"/>
    <m/>
    <m/>
    <m/>
    <m/>
    <m/>
    <m/>
    <m/>
    <m/>
    <m/>
    <m/>
    <m/>
    <m/>
    <m/>
    <n v="80.666666666666671"/>
    <n v="121"/>
  </r>
  <r>
    <n v="7304"/>
    <x v="1"/>
    <s v="2019/2516"/>
    <s v="Development Site of Alton Estate, Danebury Avenue (Alton Estate)"/>
    <s v="Block O"/>
    <n v="522152"/>
    <n v="173834"/>
    <x v="16"/>
    <m/>
    <m/>
    <n v="0"/>
    <n v="29"/>
    <n v="29"/>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0"/>
    <x v="0"/>
    <n v="0.14499999999999999"/>
    <m/>
    <x v="0"/>
    <m/>
    <x v="1"/>
    <s v="AS"/>
    <s v="8.1.1"/>
    <m/>
    <n v="0"/>
    <m/>
    <n v="0"/>
    <m/>
    <n v="0"/>
    <n v="12"/>
    <n v="14"/>
    <n v="3"/>
    <n v="0"/>
    <n v="0"/>
    <n v="0"/>
    <n v="0"/>
    <n v="12"/>
    <n v="14"/>
    <n v="3"/>
    <n v="0"/>
    <n v="0"/>
    <n v="0"/>
    <n v="0"/>
    <n v="0"/>
    <n v="0"/>
    <n v="0"/>
    <n v="0"/>
    <n v="0"/>
    <n v="0"/>
    <n v="0"/>
    <n v="0"/>
    <n v="0"/>
    <n v="0"/>
    <n v="0"/>
    <n v="0"/>
    <n v="0"/>
    <x v="0"/>
    <x v="0"/>
    <x v="9"/>
    <n v="10"/>
    <m/>
    <m/>
    <m/>
    <m/>
    <n v="9.6666666666666661"/>
    <n v="9.6666666666666661"/>
    <n v="9.6666666666666661"/>
    <m/>
    <m/>
    <m/>
    <m/>
    <m/>
    <m/>
    <m/>
    <m/>
    <m/>
    <m/>
    <m/>
    <m/>
    <m/>
    <n v="19.333333333333332"/>
    <n v="29"/>
  </r>
  <r>
    <n v="7304"/>
    <x v="1"/>
    <s v="2019/2516"/>
    <s v="Development Site of Alton Estate, Danebury Avenue (Alton Estate)"/>
    <s v="Block O"/>
    <n v="522152"/>
    <n v="173834"/>
    <x v="16"/>
    <m/>
    <m/>
    <n v="0"/>
    <n v="6"/>
    <n v="6"/>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0"/>
    <x v="0"/>
    <n v="2.1780000000000001E-2"/>
    <m/>
    <x v="0"/>
    <m/>
    <x v="0"/>
    <s v="ISE"/>
    <s v="8.1.1"/>
    <m/>
    <n v="0"/>
    <m/>
    <n v="0"/>
    <m/>
    <n v="0"/>
    <n v="0"/>
    <n v="2"/>
    <n v="2"/>
    <n v="2"/>
    <n v="0"/>
    <n v="0"/>
    <n v="0"/>
    <n v="0"/>
    <n v="2"/>
    <n v="2"/>
    <n v="2"/>
    <n v="0"/>
    <n v="0"/>
    <n v="0"/>
    <n v="0"/>
    <n v="0"/>
    <n v="0"/>
    <n v="0"/>
    <n v="0"/>
    <n v="0"/>
    <n v="0"/>
    <n v="0"/>
    <n v="0"/>
    <n v="0"/>
    <n v="0"/>
    <n v="0"/>
    <n v="0"/>
    <x v="0"/>
    <x v="0"/>
    <x v="9"/>
    <n v="10"/>
    <m/>
    <m/>
    <m/>
    <m/>
    <n v="2"/>
    <n v="2"/>
    <n v="2"/>
    <m/>
    <m/>
    <m/>
    <m/>
    <m/>
    <m/>
    <m/>
    <m/>
    <m/>
    <m/>
    <m/>
    <m/>
    <m/>
    <n v="4"/>
    <n v="6"/>
  </r>
  <r>
    <n v="7304"/>
    <x v="1"/>
    <s v="2019/2516"/>
    <s v="Development Site of Alton Estate, Danebury Avenue (Alton Estate)"/>
    <s v="Block Q"/>
    <n v="522152"/>
    <n v="173834"/>
    <x v="16"/>
    <m/>
    <m/>
    <n v="0"/>
    <n v="31"/>
    <n v="31"/>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0"/>
    <x v="0"/>
    <n v="0.11253000000000001"/>
    <m/>
    <x v="0"/>
    <m/>
    <x v="0"/>
    <s v="ISL"/>
    <s v="8.1.1"/>
    <m/>
    <n v="0"/>
    <m/>
    <n v="0"/>
    <m/>
    <n v="0"/>
    <n v="12"/>
    <n v="14"/>
    <n v="5"/>
    <n v="0"/>
    <n v="0"/>
    <n v="0"/>
    <n v="0"/>
    <n v="12"/>
    <n v="14"/>
    <n v="5"/>
    <n v="0"/>
    <n v="0"/>
    <n v="0"/>
    <n v="0"/>
    <n v="0"/>
    <n v="0"/>
    <n v="0"/>
    <n v="0"/>
    <n v="0"/>
    <n v="0"/>
    <n v="0"/>
    <n v="0"/>
    <n v="0"/>
    <n v="0"/>
    <n v="0"/>
    <n v="0"/>
    <n v="0"/>
    <x v="0"/>
    <x v="0"/>
    <x v="9"/>
    <n v="10"/>
    <m/>
    <m/>
    <m/>
    <m/>
    <n v="10.333333333333334"/>
    <n v="10.333333333333334"/>
    <n v="10.333333333333334"/>
    <m/>
    <m/>
    <m/>
    <m/>
    <m/>
    <m/>
    <m/>
    <m/>
    <m/>
    <m/>
    <m/>
    <m/>
    <m/>
    <n v="20.666666666666668"/>
    <n v="31"/>
  </r>
  <r>
    <n v="7101"/>
    <x v="1"/>
    <s v="2019/0024"/>
    <s v="Site of York Road, Winstanley Road (Part of Estate, York Gardens and Winstanley Estate)"/>
    <s v="Blocks 2-4 and 7-14"/>
    <n v="526922"/>
    <n v="175807"/>
    <x v="21"/>
    <d v="2022-02-17T00:00:00"/>
    <m/>
    <n v="0"/>
    <n v="1355"/>
    <n v="1355"/>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0"/>
    <x v="0"/>
    <n v="2.0819999999999999"/>
    <m/>
    <x v="0"/>
    <m/>
    <x v="2"/>
    <s v="M"/>
    <s v=""/>
    <m/>
    <n v="0"/>
    <n v="1219"/>
    <n v="0"/>
    <n v="136"/>
    <n v="0"/>
    <n v="0"/>
    <n v="0"/>
    <n v="0"/>
    <n v="0"/>
    <n v="0"/>
    <n v="1355"/>
    <n v="0"/>
    <n v="0"/>
    <n v="0"/>
    <n v="0"/>
    <n v="0"/>
    <n v="0"/>
    <n v="1355"/>
    <n v="0"/>
    <n v="0"/>
    <n v="0"/>
    <n v="0"/>
    <n v="0"/>
    <n v="0"/>
    <n v="0"/>
    <n v="0"/>
    <n v="0"/>
    <n v="0"/>
    <n v="0"/>
    <n v="0"/>
    <n v="0"/>
    <n v="0"/>
    <x v="0"/>
    <x v="0"/>
    <x v="5"/>
    <n v="8"/>
    <m/>
    <m/>
    <m/>
    <m/>
    <m/>
    <m/>
    <n v="451.66666666666669"/>
    <n v="451.66666666666669"/>
    <n v="451.66666666666669"/>
    <m/>
    <m/>
    <m/>
    <m/>
    <m/>
    <m/>
    <m/>
    <m/>
    <m/>
    <m/>
    <m/>
    <n v="0"/>
    <n v="1355"/>
  </r>
  <r>
    <n v="7101"/>
    <x v="1"/>
    <s v="2019/0024"/>
    <s v="Site of York Road, Winstanley Road (Part of Estate, York Gardens and Winstanley Estate)"/>
    <s v="Blocks 2-4 and 7-14"/>
    <n v="526922"/>
    <n v="175807"/>
    <x v="21"/>
    <d v="2022-02-17T00:00:00"/>
    <m/>
    <n v="0"/>
    <n v="379"/>
    <n v="37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0"/>
    <x v="0"/>
    <n v="0.58199999999999996"/>
    <m/>
    <x v="0"/>
    <m/>
    <x v="1"/>
    <s v="AC"/>
    <s v=""/>
    <m/>
    <n v="0"/>
    <n v="341"/>
    <n v="0"/>
    <n v="38"/>
    <n v="0"/>
    <n v="0"/>
    <n v="0"/>
    <n v="0"/>
    <n v="0"/>
    <n v="0"/>
    <n v="379"/>
    <n v="0"/>
    <n v="0"/>
    <n v="0"/>
    <n v="0"/>
    <n v="0"/>
    <n v="0"/>
    <n v="379"/>
    <n v="0"/>
    <n v="0"/>
    <n v="0"/>
    <n v="0"/>
    <n v="0"/>
    <n v="0"/>
    <n v="0"/>
    <n v="0"/>
    <n v="0"/>
    <n v="0"/>
    <n v="0"/>
    <n v="0"/>
    <n v="0"/>
    <n v="0"/>
    <x v="0"/>
    <x v="0"/>
    <x v="5"/>
    <n v="8"/>
    <m/>
    <m/>
    <m/>
    <m/>
    <m/>
    <m/>
    <n v="126.33333333333333"/>
    <n v="126.33333333333333"/>
    <n v="126.33333333333333"/>
    <m/>
    <m/>
    <m/>
    <m/>
    <m/>
    <m/>
    <m/>
    <m/>
    <m/>
    <m/>
    <m/>
    <n v="0"/>
    <n v="379"/>
  </r>
  <r>
    <n v="7101"/>
    <x v="1"/>
    <s v="2019/0024"/>
    <s v="Site of York Road, Winstanley Road (Part of Estate, York Gardens and Winstanley Estate)"/>
    <s v="Blocks 2-4 and 7-14"/>
    <n v="526922"/>
    <n v="175807"/>
    <x v="21"/>
    <d v="2022-02-17T00:00:00"/>
    <m/>
    <n v="0"/>
    <n v="214"/>
    <n v="21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0"/>
    <x v="0"/>
    <n v="0.32900000000000001"/>
    <m/>
    <x v="0"/>
    <m/>
    <x v="0"/>
    <s v="ISE"/>
    <s v=""/>
    <m/>
    <n v="0"/>
    <n v="193"/>
    <n v="0"/>
    <n v="21"/>
    <n v="0"/>
    <n v="0"/>
    <n v="0"/>
    <n v="0"/>
    <n v="0"/>
    <n v="0"/>
    <n v="214"/>
    <n v="0"/>
    <n v="0"/>
    <n v="0"/>
    <n v="0"/>
    <n v="0"/>
    <n v="0"/>
    <n v="214"/>
    <n v="0"/>
    <n v="0"/>
    <n v="0"/>
    <n v="0"/>
    <n v="0"/>
    <n v="0"/>
    <n v="0"/>
    <n v="0"/>
    <n v="0"/>
    <n v="0"/>
    <n v="0"/>
    <n v="0"/>
    <n v="0"/>
    <n v="0"/>
    <x v="0"/>
    <x v="0"/>
    <x v="5"/>
    <n v="8"/>
    <m/>
    <m/>
    <m/>
    <m/>
    <m/>
    <m/>
    <n v="71.333333333333329"/>
    <n v="71.333333333333329"/>
    <n v="71.333333333333329"/>
    <m/>
    <m/>
    <m/>
    <m/>
    <m/>
    <m/>
    <m/>
    <m/>
    <m/>
    <m/>
    <m/>
    <n v="0"/>
    <n v="214"/>
  </r>
  <r>
    <n v="7101"/>
    <x v="1"/>
    <s v="2019/0024"/>
    <s v="Site of York Road, Winstanley Road (Part of Estate, York Gardens and Winstanley Estate)"/>
    <s v="Blocks 2-4 and 7-14"/>
    <n v="526922"/>
    <n v="175807"/>
    <x v="21"/>
    <d v="2022-02-17T00:00:00"/>
    <m/>
    <n v="0"/>
    <n v="100"/>
    <n v="100"/>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0"/>
    <x v="0"/>
    <n v="0.154"/>
    <m/>
    <x v="0"/>
    <m/>
    <x v="1"/>
    <s v="AA"/>
    <s v=""/>
    <m/>
    <n v="0"/>
    <n v="90"/>
    <n v="0"/>
    <n v="10"/>
    <n v="0"/>
    <n v="0"/>
    <n v="0"/>
    <n v="0"/>
    <n v="0"/>
    <n v="0"/>
    <n v="100"/>
    <n v="0"/>
    <n v="0"/>
    <n v="0"/>
    <n v="0"/>
    <n v="0"/>
    <n v="0"/>
    <n v="100"/>
    <n v="0"/>
    <n v="0"/>
    <n v="0"/>
    <n v="0"/>
    <n v="0"/>
    <n v="0"/>
    <n v="0"/>
    <n v="0"/>
    <n v="0"/>
    <n v="0"/>
    <n v="0"/>
    <n v="0"/>
    <n v="0"/>
    <n v="0"/>
    <x v="0"/>
    <x v="0"/>
    <x v="5"/>
    <n v="8"/>
    <m/>
    <m/>
    <m/>
    <m/>
    <m/>
    <m/>
    <n v="33.333333333333336"/>
    <n v="33.333333333333336"/>
    <n v="33.333333333333336"/>
    <m/>
    <m/>
    <m/>
    <m/>
    <m/>
    <m/>
    <m/>
    <m/>
    <m/>
    <m/>
    <m/>
    <n v="0"/>
    <n v="100"/>
  </r>
  <r>
    <n v="7304"/>
    <x v="1"/>
    <s v="2019/2516"/>
    <s v="Development Site of Alton Estate, Danebury Avenue (Alton Estate)"/>
    <s v="Blocks A and Q"/>
    <n v="522152"/>
    <n v="173834"/>
    <x v="16"/>
    <m/>
    <m/>
    <n v="0"/>
    <n v="107"/>
    <n v="107"/>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0"/>
    <x v="0"/>
    <n v="0.40300000000000002"/>
    <m/>
    <x v="0"/>
    <m/>
    <x v="1"/>
    <s v="AS"/>
    <s v="8.1.1"/>
    <m/>
    <n v="0"/>
    <m/>
    <n v="0"/>
    <m/>
    <n v="0"/>
    <n v="21"/>
    <n v="27"/>
    <n v="40"/>
    <n v="19"/>
    <n v="0"/>
    <n v="0"/>
    <n v="0"/>
    <n v="21"/>
    <n v="27"/>
    <n v="40"/>
    <n v="19"/>
    <n v="0"/>
    <n v="0"/>
    <n v="0"/>
    <n v="0"/>
    <n v="0"/>
    <n v="0"/>
    <n v="0"/>
    <n v="0"/>
    <n v="0"/>
    <n v="0"/>
    <n v="0"/>
    <n v="0"/>
    <n v="0"/>
    <n v="0"/>
    <n v="0"/>
    <n v="0"/>
    <x v="0"/>
    <x v="0"/>
    <x v="9"/>
    <n v="10"/>
    <m/>
    <m/>
    <m/>
    <m/>
    <n v="35.666666666666664"/>
    <n v="35.666666666666664"/>
    <n v="35.666666666666664"/>
    <m/>
    <m/>
    <m/>
    <m/>
    <m/>
    <m/>
    <m/>
    <m/>
    <m/>
    <m/>
    <m/>
    <m/>
    <m/>
    <n v="71.333333333333329"/>
    <n v="107"/>
  </r>
  <r>
    <n v="7304"/>
    <x v="1"/>
    <s v="2019/2516"/>
    <s v="Development Site of Alton Estate, Danebury Avenue (Alton Estate)"/>
    <s v="Blocks A and Q"/>
    <n v="522152"/>
    <n v="173834"/>
    <x v="16"/>
    <m/>
    <m/>
    <n v="0"/>
    <n v="23"/>
    <n v="23"/>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0"/>
    <x v="0"/>
    <n v="0.16400000000000001"/>
    <m/>
    <x v="0"/>
    <m/>
    <x v="0"/>
    <s v="ISE"/>
    <s v="8.1.1"/>
    <m/>
    <n v="0"/>
    <m/>
    <n v="0"/>
    <m/>
    <n v="0"/>
    <n v="0"/>
    <n v="3"/>
    <n v="20"/>
    <n v="0"/>
    <n v="0"/>
    <n v="0"/>
    <n v="0"/>
    <n v="0"/>
    <n v="3"/>
    <n v="20"/>
    <n v="0"/>
    <n v="0"/>
    <n v="0"/>
    <n v="0"/>
    <n v="0"/>
    <n v="0"/>
    <n v="0"/>
    <n v="0"/>
    <n v="0"/>
    <n v="0"/>
    <n v="0"/>
    <n v="0"/>
    <n v="0"/>
    <n v="0"/>
    <n v="0"/>
    <n v="0"/>
    <n v="0"/>
    <x v="0"/>
    <x v="0"/>
    <x v="9"/>
    <n v="10"/>
    <m/>
    <m/>
    <m/>
    <m/>
    <n v="7.666666666666667"/>
    <n v="7.666666666666667"/>
    <n v="7.666666666666667"/>
    <m/>
    <m/>
    <m/>
    <m/>
    <m/>
    <m/>
    <m/>
    <m/>
    <m/>
    <m/>
    <m/>
    <m/>
    <m/>
    <n v="15.333333333333334"/>
    <n v="23"/>
  </r>
  <r>
    <n v="7101"/>
    <x v="1"/>
    <s v="2019/0024"/>
    <s v="Site of York Road, Winstanley Road (Part of Estate, York Gardens and Winstanley Estate)"/>
    <s v="Blocks A-S"/>
    <n v="526922"/>
    <n v="175807"/>
    <x v="21"/>
    <d v="2022-02-17T00:00:00"/>
    <m/>
    <n v="527"/>
    <n v="0"/>
    <n v="-527"/>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0"/>
    <x v="0"/>
    <n v="0"/>
    <m/>
    <x v="0"/>
    <m/>
    <x v="1"/>
    <s v="AC"/>
    <s v=""/>
    <m/>
    <n v="0"/>
    <m/>
    <n v="0"/>
    <m/>
    <n v="-79"/>
    <n v="-120"/>
    <n v="-256"/>
    <n v="-47"/>
    <n v="-25"/>
    <n v="0"/>
    <n v="0"/>
    <n v="-79"/>
    <n v="-120"/>
    <n v="-256"/>
    <n v="-47"/>
    <n v="-25"/>
    <n v="0"/>
    <n v="0"/>
    <n v="0"/>
    <n v="0"/>
    <n v="0"/>
    <n v="0"/>
    <n v="0"/>
    <n v="0"/>
    <n v="0"/>
    <n v="0"/>
    <n v="0"/>
    <n v="0"/>
    <n v="0"/>
    <n v="0"/>
    <n v="0"/>
    <n v="0"/>
    <x v="0"/>
    <x v="0"/>
    <x v="5"/>
    <n v="8"/>
    <m/>
    <m/>
    <m/>
    <m/>
    <m/>
    <m/>
    <n v="-175.66666666666666"/>
    <n v="-175.66666666666666"/>
    <n v="-175.66666666666666"/>
    <m/>
    <m/>
    <m/>
    <m/>
    <m/>
    <m/>
    <m/>
    <m/>
    <m/>
    <m/>
    <m/>
    <n v="0"/>
    <n v="-527"/>
  </r>
  <r>
    <n v="7101"/>
    <x v="1"/>
    <s v="2019/0024"/>
    <s v="Site of York Road, Winstanley Road (Part of Estate, York Gardens and Winstanley Estate)"/>
    <s v="Blocks A-S"/>
    <n v="526922"/>
    <n v="175807"/>
    <x v="21"/>
    <d v="2022-02-17T00:00:00"/>
    <m/>
    <n v="14"/>
    <n v="0"/>
    <n v="-1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0"/>
    <x v="0"/>
    <n v="0"/>
    <m/>
    <x v="0"/>
    <m/>
    <x v="0"/>
    <s v="IU"/>
    <s v=""/>
    <m/>
    <n v="0"/>
    <m/>
    <n v="0"/>
    <m/>
    <n v="0"/>
    <n v="-2"/>
    <n v="-11"/>
    <n v="-1"/>
    <n v="0"/>
    <n v="0"/>
    <n v="0"/>
    <n v="0"/>
    <n v="-2"/>
    <n v="-11"/>
    <n v="-1"/>
    <n v="0"/>
    <n v="0"/>
    <n v="0"/>
    <n v="0"/>
    <n v="0"/>
    <n v="0"/>
    <n v="0"/>
    <n v="0"/>
    <n v="0"/>
    <n v="0"/>
    <n v="0"/>
    <n v="0"/>
    <n v="0"/>
    <n v="0"/>
    <n v="0"/>
    <n v="0"/>
    <n v="0"/>
    <x v="0"/>
    <x v="0"/>
    <x v="5"/>
    <n v="8"/>
    <m/>
    <m/>
    <m/>
    <m/>
    <m/>
    <m/>
    <n v="-4.666666666666667"/>
    <n v="-4.666666666666667"/>
    <n v="-4.666666666666667"/>
    <m/>
    <m/>
    <m/>
    <m/>
    <m/>
    <m/>
    <m/>
    <m/>
    <m/>
    <m/>
    <m/>
    <n v="0"/>
    <n v="-14"/>
  </r>
  <r>
    <n v="7101"/>
    <x v="1"/>
    <s v="2019/0024"/>
    <s v="Site of York Road, Winstanley Road (Part of Estate, York Gardens and Winstanley Estate)"/>
    <s v="Blocks A-S"/>
    <n v="526922"/>
    <n v="175807"/>
    <x v="21"/>
    <d v="2022-02-17T00:00:00"/>
    <m/>
    <n v="218"/>
    <n v="0"/>
    <n v="-218"/>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0"/>
    <s v="Nil"/>
    <m/>
    <s v="BF"/>
    <s v="NB"/>
    <x v="0"/>
    <x v="0"/>
    <n v="0"/>
    <m/>
    <x v="0"/>
    <m/>
    <x v="2"/>
    <s v="M"/>
    <s v=""/>
    <m/>
    <n v="0"/>
    <m/>
    <n v="0"/>
    <m/>
    <n v="-12"/>
    <n v="-54"/>
    <n v="-89"/>
    <n v="-33"/>
    <n v="-30"/>
    <n v="0"/>
    <n v="0"/>
    <n v="-12"/>
    <n v="-54"/>
    <n v="-89"/>
    <n v="-33"/>
    <n v="-30"/>
    <n v="0"/>
    <n v="0"/>
    <n v="0"/>
    <n v="0"/>
    <n v="0"/>
    <n v="0"/>
    <n v="0"/>
    <n v="0"/>
    <n v="0"/>
    <n v="0"/>
    <n v="0"/>
    <n v="0"/>
    <n v="0"/>
    <n v="0"/>
    <n v="0"/>
    <n v="0"/>
    <x v="0"/>
    <x v="0"/>
    <x v="5"/>
    <n v="8"/>
    <m/>
    <m/>
    <m/>
    <m/>
    <m/>
    <m/>
    <n v="-72.666666666666671"/>
    <n v="-72.666666666666671"/>
    <n v="-72.666666666666671"/>
    <m/>
    <m/>
    <m/>
    <m/>
    <m/>
    <m/>
    <m/>
    <m/>
    <m/>
    <m/>
    <m/>
    <n v="0"/>
    <n v="-218"/>
  </r>
  <r>
    <n v="7304"/>
    <x v="1"/>
    <s v="2019/2516"/>
    <s v="Development Site of Alton Estate, Danebury Avenue (Alton Estate)"/>
    <s v="Blocks D-J"/>
    <n v="522152"/>
    <n v="173834"/>
    <x v="16"/>
    <m/>
    <m/>
    <n v="0"/>
    <n v="349"/>
    <n v="349"/>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0"/>
    <x v="0"/>
    <n v="1.268"/>
    <m/>
    <x v="0"/>
    <m/>
    <x v="2"/>
    <s v="M"/>
    <s v="8.1.1"/>
    <m/>
    <n v="0"/>
    <m/>
    <n v="0"/>
    <m/>
    <n v="0"/>
    <n v="0"/>
    <n v="0"/>
    <n v="0"/>
    <n v="0"/>
    <n v="0"/>
    <n v="349"/>
    <n v="0"/>
    <n v="0"/>
    <n v="0"/>
    <n v="0"/>
    <n v="0"/>
    <n v="0"/>
    <n v="349"/>
    <n v="0"/>
    <n v="0"/>
    <n v="0"/>
    <n v="0"/>
    <n v="0"/>
    <n v="0"/>
    <n v="0"/>
    <n v="0"/>
    <n v="0"/>
    <n v="0"/>
    <n v="0"/>
    <n v="0"/>
    <n v="0"/>
    <n v="0"/>
    <x v="0"/>
    <x v="0"/>
    <x v="9"/>
    <n v="10"/>
    <m/>
    <m/>
    <m/>
    <m/>
    <n v="116.33333333333333"/>
    <n v="116.33333333333333"/>
    <n v="116.33333333333333"/>
    <m/>
    <m/>
    <m/>
    <m/>
    <m/>
    <m/>
    <m/>
    <m/>
    <m/>
    <m/>
    <m/>
    <m/>
    <m/>
    <n v="232.66666666666666"/>
    <n v="349"/>
  </r>
  <r>
    <n v="3518"/>
    <x v="1"/>
    <s v="2012/5286"/>
    <s v="Ram Brewery, Capital Studios &amp; Duvall Works, Ram Street/Armoury Way/Wandsworth High Street (The Ram Quarter)"/>
    <s v="Building 04D"/>
    <n v="525666"/>
    <n v="174804"/>
    <x v="6"/>
    <d v="2015-04-01T00:00:00"/>
    <m/>
    <n v="0"/>
    <n v="16"/>
    <n v="16"/>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2.5899999999999999E-2"/>
    <m/>
    <x v="0"/>
    <m/>
    <x v="2"/>
    <s v="M"/>
    <s v="3.1.2"/>
    <m/>
    <n v="0"/>
    <m/>
    <n v="0"/>
    <m/>
    <n v="0"/>
    <n v="10"/>
    <n v="6"/>
    <n v="0"/>
    <n v="0"/>
    <n v="0"/>
    <n v="0"/>
    <n v="0"/>
    <n v="10"/>
    <n v="6"/>
    <n v="0"/>
    <n v="0"/>
    <n v="0"/>
    <n v="0"/>
    <n v="0"/>
    <n v="0"/>
    <n v="0"/>
    <n v="0"/>
    <n v="0"/>
    <n v="0"/>
    <n v="0"/>
    <n v="0"/>
    <n v="0"/>
    <n v="0"/>
    <n v="0"/>
    <n v="0"/>
    <n v="0"/>
    <n v="0"/>
    <x v="3"/>
    <x v="0"/>
    <x v="0"/>
    <n v="8"/>
    <m/>
    <m/>
    <m/>
    <m/>
    <m/>
    <n v="16"/>
    <m/>
    <m/>
    <m/>
    <m/>
    <m/>
    <m/>
    <m/>
    <m/>
    <m/>
    <m/>
    <m/>
    <m/>
    <m/>
    <m/>
    <n v="16"/>
    <n v="16"/>
  </r>
  <r>
    <n v="3518"/>
    <x v="1"/>
    <s v="2012/5286"/>
    <s v="Ram Brewery, Capital Studios &amp; Duvall Works, Ram Street/Armoury Way/Wandsworth High Street (The Ram Quarter)"/>
    <s v="Building 04E"/>
    <n v="525666"/>
    <n v="174804"/>
    <x v="6"/>
    <d v="2015-04-01T00:00:00"/>
    <m/>
    <n v="0"/>
    <n v="23"/>
    <n v="23"/>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3.0200000000000001E-2"/>
    <m/>
    <x v="0"/>
    <m/>
    <x v="2"/>
    <s v="M"/>
    <s v="3.1.2"/>
    <m/>
    <n v="0"/>
    <m/>
    <n v="1"/>
    <m/>
    <n v="0"/>
    <n v="10"/>
    <n v="7"/>
    <n v="4"/>
    <n v="2"/>
    <n v="0"/>
    <n v="0"/>
    <n v="0"/>
    <n v="10"/>
    <n v="7"/>
    <n v="4"/>
    <n v="2"/>
    <n v="0"/>
    <n v="0"/>
    <n v="0"/>
    <n v="0"/>
    <n v="0"/>
    <n v="0"/>
    <n v="0"/>
    <n v="0"/>
    <n v="0"/>
    <n v="0"/>
    <n v="0"/>
    <n v="0"/>
    <n v="0"/>
    <n v="0"/>
    <n v="0"/>
    <n v="0"/>
    <x v="3"/>
    <x v="0"/>
    <x v="0"/>
    <n v="8"/>
    <m/>
    <m/>
    <m/>
    <m/>
    <m/>
    <n v="23"/>
    <m/>
    <m/>
    <m/>
    <m/>
    <m/>
    <m/>
    <m/>
    <m/>
    <m/>
    <m/>
    <m/>
    <m/>
    <m/>
    <m/>
    <n v="23"/>
    <n v="23"/>
  </r>
  <r>
    <n v="3518"/>
    <x v="1"/>
    <s v="2012/5286"/>
    <s v="Ram Brewery, Capital Studios &amp; Duvall Works, Ram Street/Armoury Way/Wandsworth High Street (The Ram Quarter)"/>
    <s v="Building 04F"/>
    <n v="525666"/>
    <n v="174804"/>
    <x v="6"/>
    <d v="2015-04-01T00:00:00"/>
    <m/>
    <n v="0"/>
    <n v="24"/>
    <n v="24"/>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4.0300000000000002E-2"/>
    <m/>
    <x v="0"/>
    <m/>
    <x v="2"/>
    <s v="M"/>
    <s v="3.1.2"/>
    <m/>
    <n v="0"/>
    <m/>
    <n v="5"/>
    <m/>
    <n v="0"/>
    <n v="1"/>
    <n v="19"/>
    <n v="4"/>
    <n v="0"/>
    <n v="0"/>
    <n v="0"/>
    <n v="0"/>
    <n v="1"/>
    <n v="19"/>
    <n v="4"/>
    <n v="0"/>
    <n v="0"/>
    <n v="0"/>
    <n v="0"/>
    <n v="0"/>
    <n v="0"/>
    <n v="0"/>
    <n v="0"/>
    <n v="0"/>
    <n v="0"/>
    <n v="0"/>
    <n v="0"/>
    <n v="0"/>
    <n v="0"/>
    <n v="0"/>
    <n v="0"/>
    <n v="0"/>
    <x v="3"/>
    <x v="0"/>
    <x v="0"/>
    <n v="8"/>
    <m/>
    <m/>
    <m/>
    <m/>
    <m/>
    <n v="24"/>
    <m/>
    <m/>
    <m/>
    <m/>
    <m/>
    <m/>
    <m/>
    <m/>
    <m/>
    <m/>
    <m/>
    <m/>
    <m/>
    <m/>
    <n v="24"/>
    <n v="24"/>
  </r>
  <r>
    <n v="3518"/>
    <x v="1"/>
    <s v="2012/5286"/>
    <s v="Ram Brewery, Capital Studios &amp; Duvall Works, Ram Street/Armoury Way/Wandsworth High Street (The Ram Quarter)"/>
    <s v="Building 05"/>
    <n v="525666"/>
    <n v="174804"/>
    <x v="6"/>
    <d v="2015-04-01T00:00:00"/>
    <m/>
    <n v="0"/>
    <n v="166"/>
    <n v="166"/>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4.4396999999999999E-2"/>
    <m/>
    <x v="0"/>
    <m/>
    <x v="2"/>
    <s v="M"/>
    <s v="3.1.2"/>
    <m/>
    <n v="0"/>
    <m/>
    <n v="10"/>
    <m/>
    <n v="23"/>
    <n v="23"/>
    <n v="70"/>
    <n v="44"/>
    <n v="6"/>
    <n v="0"/>
    <n v="0"/>
    <n v="23"/>
    <n v="23"/>
    <n v="70"/>
    <n v="44"/>
    <n v="6"/>
    <n v="0"/>
    <n v="0"/>
    <n v="0"/>
    <n v="0"/>
    <n v="0"/>
    <n v="0"/>
    <n v="0"/>
    <n v="0"/>
    <n v="0"/>
    <n v="0"/>
    <n v="0"/>
    <n v="0"/>
    <n v="0"/>
    <n v="0"/>
    <n v="0"/>
    <n v="0"/>
    <x v="3"/>
    <x v="0"/>
    <x v="0"/>
    <n v="8"/>
    <m/>
    <m/>
    <m/>
    <m/>
    <m/>
    <n v="166"/>
    <m/>
    <m/>
    <m/>
    <m/>
    <m/>
    <m/>
    <m/>
    <m/>
    <m/>
    <m/>
    <m/>
    <m/>
    <m/>
    <m/>
    <n v="166"/>
    <n v="166"/>
  </r>
  <r>
    <n v="3518"/>
    <x v="1"/>
    <s v="2012/5286"/>
    <s v="Ram Brewery, Capital Studios &amp; Duvall Works, Ram Street/Armoury Way/Wandsworth High Street (The Ram Quarter)"/>
    <s v="Building 06"/>
    <n v="525666"/>
    <n v="174804"/>
    <x v="6"/>
    <d v="2015-04-01T00:00:00"/>
    <m/>
    <n v="0"/>
    <n v="30"/>
    <n v="30"/>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4.7699999999999999E-2"/>
    <m/>
    <x v="0"/>
    <m/>
    <x v="2"/>
    <s v="M"/>
    <s v="3.1.2"/>
    <m/>
    <n v="0"/>
    <m/>
    <n v="5"/>
    <m/>
    <n v="0"/>
    <n v="15"/>
    <n v="5"/>
    <n v="10"/>
    <n v="0"/>
    <n v="0"/>
    <n v="0"/>
    <n v="0"/>
    <n v="15"/>
    <n v="5"/>
    <n v="10"/>
    <n v="0"/>
    <n v="0"/>
    <n v="0"/>
    <n v="0"/>
    <n v="0"/>
    <n v="0"/>
    <n v="0"/>
    <n v="0"/>
    <n v="0"/>
    <n v="0"/>
    <n v="0"/>
    <n v="0"/>
    <n v="0"/>
    <n v="0"/>
    <n v="0"/>
    <n v="0"/>
    <n v="0"/>
    <x v="3"/>
    <x v="0"/>
    <x v="0"/>
    <n v="8"/>
    <m/>
    <m/>
    <m/>
    <m/>
    <m/>
    <n v="30"/>
    <m/>
    <m/>
    <m/>
    <m/>
    <m/>
    <m/>
    <m/>
    <m/>
    <m/>
    <m/>
    <m/>
    <m/>
    <m/>
    <m/>
    <n v="30"/>
    <n v="30"/>
  </r>
  <r>
    <n v="3518"/>
    <x v="1"/>
    <s v="2016/6029"/>
    <s v="Ram Brewery, Capital Studios &amp; Duvall Works, Ram Street/Armoury Way/Wandsworth High Street (The Ram Quarter)"/>
    <s v="Building 09"/>
    <n v="525666"/>
    <n v="174804"/>
    <x v="6"/>
    <d v="2015-04-01T00:00:00"/>
    <m/>
    <n v="0"/>
    <n v="66"/>
    <n v="66"/>
    <n v="66"/>
    <n v="66"/>
    <x v="0"/>
    <s v="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a_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
    <s v="S73"/>
    <d v="2016-10-28T00:00:00"/>
    <d v="2016-12-02T00:00:00"/>
    <x v="0"/>
    <s v="Nil"/>
    <m/>
    <s v="BF"/>
    <s v="NB"/>
    <x v="0"/>
    <x v="0"/>
    <n v="4.5183300000000003E-2"/>
    <m/>
    <x v="0"/>
    <m/>
    <x v="0"/>
    <s v="ISO"/>
    <s v="3.1.2"/>
    <m/>
    <n v="10"/>
    <m/>
    <n v="10"/>
    <m/>
    <n v="0"/>
    <n v="36"/>
    <n v="24"/>
    <n v="6"/>
    <n v="0"/>
    <n v="0"/>
    <n v="0"/>
    <n v="0"/>
    <n v="36"/>
    <n v="24"/>
    <n v="6"/>
    <n v="0"/>
    <n v="0"/>
    <n v="0"/>
    <n v="0"/>
    <n v="0"/>
    <n v="0"/>
    <n v="0"/>
    <n v="0"/>
    <n v="0"/>
    <n v="0"/>
    <n v="0"/>
    <n v="0"/>
    <n v="0"/>
    <n v="0"/>
    <n v="0"/>
    <n v="0"/>
    <n v="0"/>
    <x v="3"/>
    <x v="0"/>
    <x v="0"/>
    <n v="8"/>
    <m/>
    <m/>
    <m/>
    <m/>
    <n v="66"/>
    <m/>
    <m/>
    <m/>
    <m/>
    <m/>
    <m/>
    <m/>
    <m/>
    <m/>
    <m/>
    <m/>
    <m/>
    <m/>
    <m/>
    <m/>
    <n v="66"/>
    <n v="66"/>
  </r>
  <r>
    <n v="3980"/>
    <x v="1"/>
    <s v="2022/0249"/>
    <s v="Former Prices Candles Factory, 110 York Road"/>
    <s v="building 4 - affordable"/>
    <n v="526592"/>
    <n v="175883"/>
    <x v="5"/>
    <m/>
    <m/>
    <n v="0"/>
    <n v="64"/>
    <n v="64"/>
    <n v="177"/>
    <n v="177"/>
    <x v="0"/>
    <s v="Variation to Conditions 2 (Approved drawings), Condition 3 (Land use restriction), Condition 5 (Opening hours), Condition 6 (Amplified speech/sound), Condition 10 (Flood Risk Assessment), Condition 23 (BREEAM Assessment), Condition 28 (Number of residential units), Condition 29 (Land Uses), Condition 30 (Car and cycle parking), Condition 31 (Phasing Plans) pursuant to planning permission dated 05/12/2019 ref 2017/0745 as amended [Erection of a 25 storey building comprising residential accommodation (with balconies) and ground floor commercial floorspace. Demolition of car showroom on Bridges Court and erection of a five storey building to provide ground floor commercial and office floorspace on first to fourth floors. Excavation to create basements comprising car and cycle parking spaces, plant, refuse/recycling stores and other ancillary spaces serving the development. Alterations and erection of two additional storeys (and 2nd/3rd floor links) and roof terrace to retained York Road buildings with commercial and office use. Provision of a terrace of six single storey flexible commercial/service/Drinking establishment units. Provision of amenity space, public realm, landscaping, play space, car parking, and paving to Bridges Court] to allow: Changes to internal residential unit mix to allow for an increase from 136 units up to 177 units, alterations to the layout of the top three floors to increase roof terrace size, reduction in size of the approved basement, reduction in approved number of car parking spaces, increase in the number of cycle parking spaces, alterations to commercial offering and the inclusion of Air Source Heat Pumps system."/>
    <s v="PFLA"/>
    <d v="2022-01-21T00:00:00"/>
    <d v="2022-07-12T00:00:00"/>
    <x v="1"/>
    <s v="Nil"/>
    <m/>
    <s v="BF"/>
    <s v="NB"/>
    <x v="0"/>
    <x v="0"/>
    <n v="8.5000000000000006E-2"/>
    <m/>
    <x v="0"/>
    <m/>
    <x v="0"/>
    <s v="ISL"/>
    <s v="10.2"/>
    <m/>
    <n v="0"/>
    <m/>
    <n v="0"/>
    <m/>
    <n v="0"/>
    <n v="32"/>
    <n v="32"/>
    <n v="0"/>
    <n v="0"/>
    <n v="0"/>
    <n v="0"/>
    <n v="0"/>
    <n v="32"/>
    <n v="32"/>
    <n v="0"/>
    <n v="0"/>
    <n v="0"/>
    <n v="0"/>
    <n v="0"/>
    <n v="0"/>
    <n v="0"/>
    <n v="0"/>
    <n v="0"/>
    <n v="0"/>
    <n v="0"/>
    <n v="0"/>
    <n v="0"/>
    <n v="0"/>
    <n v="0"/>
    <n v="0"/>
    <n v="0"/>
    <n v="0"/>
    <x v="0"/>
    <x v="0"/>
    <x v="5"/>
    <n v="8"/>
    <m/>
    <m/>
    <m/>
    <n v="64"/>
    <m/>
    <m/>
    <m/>
    <m/>
    <m/>
    <m/>
    <m/>
    <m/>
    <m/>
    <m/>
    <m/>
    <m/>
    <m/>
    <m/>
    <m/>
    <m/>
    <n v="64"/>
    <n v="64"/>
  </r>
  <r>
    <n v="3980"/>
    <x v="1"/>
    <s v="2022/0249"/>
    <s v="Former Prices Candles Factory, 110 York Road"/>
    <s v="building 4 - market"/>
    <n v="526592"/>
    <n v="175883"/>
    <x v="5"/>
    <m/>
    <m/>
    <n v="0"/>
    <n v="113"/>
    <n v="113"/>
    <n v="177"/>
    <n v="177"/>
    <x v="0"/>
    <s v="Variation to Conditions 2 (Approved drawings), Condition 3 (Land use restriction), Condition 5 (Opening hours), Condition 6 (Amplified speech/sound), Condition 10 (Flood Risk Assessment), Condition 23 (BREEAM Assessment), Condition 28 (Number of residential units), Condition 29 (Land Uses), Condition 30 (Car and cycle parking), Condition 31 (Phasing Plans) pursuant to planning permission dated 05/12/2019 ref 2017/0745 as amended [Erection of a 25 storey building comprising residential accommodation (with balconies) and ground floor commercial floorspace. Demolition of car showroom on Bridges Court and erection of a five storey building to provide ground floor commercial and office floorspace on first to fourth floors. Excavation to create basements comprising car and cycle parking spaces, plant, refuse/recycling stores and other ancillary spaces serving the development. Alterations and erection of two additional storeys (and 2nd/3rd floor links) and roof terrace to retained York Road buildings with commercial and office use. Provision of a terrace of six single storey flexible commercial/service/Drinking establishment units. Provision of amenity space, public realm, landscaping, play space, car parking, and paving to Bridges Court] to allow: Changes to internal residential unit mix to allow for an increase from 136 units up to 177 units, alterations to the layout of the top three floors to increase roof terrace size, reduction in size of the approved basement, reduction in approved number of car parking spaces, increase in the number of cycle parking spaces, alterations to commercial offering and the inclusion of Air Source Heat Pumps system."/>
    <s v="PFLA"/>
    <d v="2022-01-21T00:00:00"/>
    <d v="2022-07-12T00:00:00"/>
    <x v="1"/>
    <s v="Nil"/>
    <m/>
    <s v="BF"/>
    <s v="NB"/>
    <x v="0"/>
    <x v="0"/>
    <n v="0.17299999999999999"/>
    <m/>
    <x v="0"/>
    <m/>
    <x v="2"/>
    <s v="M"/>
    <s v="10.2"/>
    <m/>
    <n v="0"/>
    <m/>
    <n v="0"/>
    <m/>
    <n v="0"/>
    <n v="50"/>
    <n v="54"/>
    <n v="9"/>
    <n v="0"/>
    <n v="0"/>
    <n v="0"/>
    <n v="0"/>
    <n v="50"/>
    <n v="54"/>
    <n v="9"/>
    <n v="0"/>
    <n v="0"/>
    <n v="0"/>
    <n v="0"/>
    <n v="0"/>
    <n v="0"/>
    <n v="0"/>
    <n v="0"/>
    <n v="0"/>
    <n v="0"/>
    <n v="0"/>
    <n v="0"/>
    <n v="0"/>
    <n v="0"/>
    <n v="0"/>
    <n v="0"/>
    <n v="0"/>
    <x v="0"/>
    <x v="0"/>
    <x v="5"/>
    <n v="8"/>
    <m/>
    <m/>
    <m/>
    <n v="113"/>
    <m/>
    <m/>
    <m/>
    <m/>
    <m/>
    <m/>
    <m/>
    <m/>
    <m/>
    <m/>
    <m/>
    <m/>
    <m/>
    <m/>
    <m/>
    <m/>
    <n v="113"/>
    <n v="113"/>
  </r>
  <r>
    <n v="1993"/>
    <x v="1"/>
    <s v="2020/3019"/>
    <s v="and 88E Eardley Road, 113 Blegborough Road"/>
    <s v="Building A"/>
    <n v="529441"/>
    <n v="170836"/>
    <x v="13"/>
    <m/>
    <m/>
    <n v="0"/>
    <n v="2"/>
    <n v="2"/>
    <n v="8"/>
    <n v="8"/>
    <x v="1"/>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x v="0"/>
    <s v="Nil"/>
    <m/>
    <s v="BF"/>
    <s v="NB"/>
    <x v="2"/>
    <x v="1"/>
    <n v="8.9999999999999993E-3"/>
    <m/>
    <x v="0"/>
    <m/>
    <x v="2"/>
    <s v="M"/>
    <s v=""/>
    <m/>
    <n v="0"/>
    <m/>
    <n v="0"/>
    <m/>
    <n v="0"/>
    <n v="2"/>
    <n v="0"/>
    <n v="0"/>
    <n v="0"/>
    <n v="0"/>
    <n v="0"/>
    <n v="0"/>
    <n v="2"/>
    <n v="0"/>
    <n v="0"/>
    <n v="0"/>
    <n v="0"/>
    <n v="0"/>
    <n v="0"/>
    <n v="0"/>
    <n v="0"/>
    <n v="0"/>
    <n v="0"/>
    <n v="0"/>
    <n v="0"/>
    <n v="0"/>
    <n v="0"/>
    <n v="0"/>
    <n v="0"/>
    <n v="0"/>
    <n v="0"/>
    <n v="0"/>
    <x v="0"/>
    <x v="0"/>
    <x v="1"/>
    <n v="10"/>
    <m/>
    <m/>
    <m/>
    <m/>
    <n v="0.66666666666666663"/>
    <n v="0.66666666666666663"/>
    <n v="0.66666666666666663"/>
    <m/>
    <m/>
    <m/>
    <m/>
    <m/>
    <m/>
    <m/>
    <m/>
    <m/>
    <m/>
    <m/>
    <m/>
    <m/>
    <n v="1.3333333333333333"/>
    <n v="2"/>
  </r>
  <r>
    <n v="1993"/>
    <x v="1"/>
    <s v="2020/3019"/>
    <s v="and 88E Eardley Road, 113 Blegborough Road"/>
    <s v="Building B"/>
    <n v="529441"/>
    <n v="170836"/>
    <x v="13"/>
    <m/>
    <m/>
    <n v="0"/>
    <n v="6"/>
    <n v="6"/>
    <n v="8"/>
    <n v="8"/>
    <x v="1"/>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x v="0"/>
    <s v="Nil"/>
    <m/>
    <s v="BF"/>
    <s v="NB"/>
    <x v="2"/>
    <x v="1"/>
    <n v="2.7E-2"/>
    <m/>
    <x v="0"/>
    <m/>
    <x v="2"/>
    <s v="M"/>
    <s v=""/>
    <m/>
    <n v="0"/>
    <m/>
    <n v="0"/>
    <m/>
    <n v="0"/>
    <n v="4"/>
    <n v="1"/>
    <n v="1"/>
    <n v="0"/>
    <n v="0"/>
    <n v="0"/>
    <n v="0"/>
    <n v="4"/>
    <n v="1"/>
    <n v="1"/>
    <n v="0"/>
    <n v="0"/>
    <n v="0"/>
    <n v="0"/>
    <n v="0"/>
    <n v="0"/>
    <n v="0"/>
    <n v="0"/>
    <n v="0"/>
    <n v="0"/>
    <n v="0"/>
    <n v="0"/>
    <n v="0"/>
    <n v="0"/>
    <n v="0"/>
    <n v="0"/>
    <n v="0"/>
    <x v="0"/>
    <x v="0"/>
    <x v="1"/>
    <n v="10"/>
    <m/>
    <m/>
    <m/>
    <m/>
    <n v="2"/>
    <n v="2"/>
    <n v="2"/>
    <m/>
    <m/>
    <m/>
    <m/>
    <m/>
    <m/>
    <m/>
    <m/>
    <m/>
    <m/>
    <m/>
    <m/>
    <m/>
    <n v="4"/>
    <n v="6"/>
  </r>
  <r>
    <n v="3154"/>
    <x v="1"/>
    <s v="2018/3525"/>
    <s v="216-218 Upper Tooting Road"/>
    <s v="conversion"/>
    <n v="527643"/>
    <n v="171818"/>
    <x v="9"/>
    <m/>
    <m/>
    <n v="2"/>
    <n v="4"/>
    <n v="2"/>
    <n v="7"/>
    <n v="5"/>
    <x v="1"/>
    <s v="Extensions and re-modelling of building adding two storeys to main building and 3/4 storeys at rear to form a 5 storey building consisting of seven flats (five additional flats) with formation of a roof terrace on top (5th) floor."/>
    <s v="PF"/>
    <d v="2018-07-13T00:00:00"/>
    <d v="2019-03-29T00:00:00"/>
    <x v="0"/>
    <s v="Nil"/>
    <m/>
    <s v="BF"/>
    <s v="EXT"/>
    <x v="2"/>
    <x v="2"/>
    <n v="6.0000000000000001E-3"/>
    <m/>
    <x v="0"/>
    <m/>
    <x v="2"/>
    <s v="M"/>
    <s v="5.1"/>
    <m/>
    <n v="0"/>
    <m/>
    <n v="0"/>
    <m/>
    <n v="3"/>
    <n v="0"/>
    <n v="0"/>
    <n v="-1"/>
    <n v="0"/>
    <n v="0"/>
    <n v="0"/>
    <n v="3"/>
    <n v="0"/>
    <n v="0"/>
    <n v="-1"/>
    <n v="0"/>
    <n v="0"/>
    <n v="0"/>
    <n v="0"/>
    <n v="0"/>
    <n v="0"/>
    <n v="0"/>
    <n v="0"/>
    <n v="0"/>
    <n v="0"/>
    <n v="0"/>
    <n v="0"/>
    <n v="0"/>
    <n v="0"/>
    <n v="0"/>
    <n v="0"/>
    <n v="0"/>
    <x v="2"/>
    <x v="0"/>
    <x v="3"/>
    <n v="15"/>
    <m/>
    <n v="0.5"/>
    <n v="0.5"/>
    <n v="0.5"/>
    <n v="0.5"/>
    <m/>
    <m/>
    <m/>
    <m/>
    <m/>
    <m/>
    <m/>
    <m/>
    <m/>
    <m/>
    <m/>
    <m/>
    <m/>
    <m/>
    <m/>
    <n v="2"/>
    <n v="2"/>
  </r>
  <r>
    <n v="6885"/>
    <x v="1"/>
    <s v="2018/1377"/>
    <s v="217 Garratt Lane"/>
    <s v="conversion"/>
    <n v="525906"/>
    <n v="173856"/>
    <x v="11"/>
    <m/>
    <m/>
    <n v="1"/>
    <n v="2"/>
    <n v="1"/>
    <n v="3"/>
    <n v="1"/>
    <x v="1"/>
    <s v="Alterations including erection of part single/part two storey rear/side extension,  in connection with use of front part of ground floor as a shop and the remainder as, 1 x 2-bedroom and 2 x 1-bedroom flats with rear first floor terrace."/>
    <s v="PF"/>
    <d v="2018-03-27T00:00:00"/>
    <d v="2018-05-22T00:00:00"/>
    <x v="0"/>
    <s v="Nil"/>
    <m/>
    <s v="BF"/>
    <s v="MIX"/>
    <x v="2"/>
    <x v="7"/>
    <n v="8.0000000000000002E-3"/>
    <m/>
    <x v="0"/>
    <m/>
    <x v="2"/>
    <s v="M"/>
    <s v=""/>
    <m/>
    <n v="0"/>
    <m/>
    <n v="0"/>
    <m/>
    <n v="0"/>
    <n v="2"/>
    <n v="-1"/>
    <n v="0"/>
    <n v="0"/>
    <n v="0"/>
    <n v="0"/>
    <n v="0"/>
    <n v="2"/>
    <n v="-1"/>
    <n v="0"/>
    <n v="0"/>
    <n v="0"/>
    <n v="0"/>
    <n v="0"/>
    <n v="0"/>
    <n v="0"/>
    <n v="0"/>
    <n v="0"/>
    <n v="0"/>
    <n v="0"/>
    <n v="0"/>
    <n v="0"/>
    <n v="0"/>
    <n v="0"/>
    <n v="0"/>
    <n v="0"/>
    <n v="0"/>
    <x v="0"/>
    <x v="0"/>
    <x v="6"/>
    <n v="15"/>
    <m/>
    <n v="0.25"/>
    <n v="0.25"/>
    <n v="0.25"/>
    <n v="0.25"/>
    <m/>
    <m/>
    <m/>
    <m/>
    <m/>
    <m/>
    <m/>
    <m/>
    <m/>
    <m/>
    <m/>
    <m/>
    <m/>
    <m/>
    <m/>
    <n v="1"/>
    <n v="1"/>
  </r>
  <r>
    <n v="1563"/>
    <x v="1"/>
    <s v="2018/2123"/>
    <s v="28 Totterdown Street"/>
    <s v="conversion"/>
    <n v="527638"/>
    <n v="171599"/>
    <x v="3"/>
    <m/>
    <m/>
    <n v="3"/>
    <n v="3"/>
    <n v="0"/>
    <n v="4"/>
    <n v="1"/>
    <x v="1"/>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x v="0"/>
    <s v="Nil"/>
    <m/>
    <s v="BF"/>
    <s v="MIX"/>
    <x v="2"/>
    <x v="7"/>
    <n v="5.0000000000000001E-3"/>
    <m/>
    <x v="0"/>
    <m/>
    <x v="2"/>
    <s v="M"/>
    <s v="5.2"/>
    <m/>
    <n v="0"/>
    <m/>
    <n v="0"/>
    <m/>
    <n v="0"/>
    <n v="1"/>
    <n v="-1"/>
    <n v="0"/>
    <n v="0"/>
    <n v="0"/>
    <n v="0"/>
    <n v="0"/>
    <n v="1"/>
    <n v="-1"/>
    <n v="0"/>
    <n v="0"/>
    <n v="0"/>
    <n v="0"/>
    <n v="0"/>
    <n v="0"/>
    <n v="0"/>
    <n v="0"/>
    <n v="0"/>
    <n v="0"/>
    <n v="0"/>
    <n v="0"/>
    <n v="0"/>
    <n v="0"/>
    <n v="0"/>
    <n v="0"/>
    <n v="0"/>
    <n v="0"/>
    <x v="2"/>
    <x v="0"/>
    <x v="3"/>
    <n v="15"/>
    <m/>
    <n v="0"/>
    <n v="0"/>
    <n v="0"/>
    <n v="0"/>
    <m/>
    <m/>
    <m/>
    <m/>
    <m/>
    <m/>
    <m/>
    <m/>
    <m/>
    <m/>
    <m/>
    <m/>
    <m/>
    <m/>
    <m/>
    <n v="0"/>
    <n v="0"/>
  </r>
  <r>
    <n v="7076"/>
    <x v="1"/>
    <s v="2019/1697"/>
    <s v="57-63 Tooting High Street"/>
    <s v="conversion"/>
    <n v="527497"/>
    <n v="171501"/>
    <x v="3"/>
    <m/>
    <m/>
    <n v="7"/>
    <n v="7"/>
    <n v="0"/>
    <n v="11"/>
    <n v="4"/>
    <x v="0"/>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x v="0"/>
    <s v="Nil"/>
    <m/>
    <s v="BF"/>
    <s v="MIX"/>
    <x v="4"/>
    <x v="0"/>
    <n v="2.3E-2"/>
    <m/>
    <x v="0"/>
    <m/>
    <x v="2"/>
    <s v="M"/>
    <s v="5.2"/>
    <m/>
    <n v="0"/>
    <m/>
    <n v="0"/>
    <m/>
    <n v="2"/>
    <n v="0"/>
    <n v="3"/>
    <n v="-4"/>
    <n v="-1"/>
    <n v="0"/>
    <n v="0"/>
    <n v="2"/>
    <n v="0"/>
    <n v="3"/>
    <n v="-4"/>
    <n v="-1"/>
    <n v="0"/>
    <n v="0"/>
    <n v="0"/>
    <n v="0"/>
    <n v="0"/>
    <n v="0"/>
    <n v="0"/>
    <n v="0"/>
    <n v="0"/>
    <n v="0"/>
    <n v="0"/>
    <n v="0"/>
    <n v="0"/>
    <n v="0"/>
    <n v="0"/>
    <n v="0"/>
    <x v="2"/>
    <x v="0"/>
    <x v="3"/>
    <n v="15"/>
    <m/>
    <n v="0"/>
    <n v="0"/>
    <n v="0"/>
    <n v="0"/>
    <m/>
    <m/>
    <m/>
    <m/>
    <m/>
    <m/>
    <m/>
    <m/>
    <m/>
    <m/>
    <m/>
    <m/>
    <m/>
    <m/>
    <m/>
    <n v="0"/>
    <n v="0"/>
  </r>
  <r>
    <n v="6983"/>
    <x v="1"/>
    <s v="2019/1556"/>
    <s v="824 Garratt Lane"/>
    <s v="Conversion"/>
    <n v="526930"/>
    <n v="171771"/>
    <x v="3"/>
    <m/>
    <m/>
    <n v="1"/>
    <n v="1"/>
    <n v="0"/>
    <n v="3"/>
    <n v="2"/>
    <x v="1"/>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0"/>
    <s v="Nil"/>
    <m/>
    <s v="BF"/>
    <s v="MIX"/>
    <x v="2"/>
    <x v="7"/>
    <n v="3.0000000000000001E-3"/>
    <m/>
    <x v="0"/>
    <m/>
    <x v="2"/>
    <s v="M"/>
    <s v=""/>
    <m/>
    <n v="0"/>
    <m/>
    <n v="0"/>
    <m/>
    <n v="0"/>
    <n v="1"/>
    <n v="-1"/>
    <n v="0"/>
    <n v="0"/>
    <n v="0"/>
    <n v="0"/>
    <n v="0"/>
    <n v="1"/>
    <n v="-1"/>
    <n v="0"/>
    <n v="0"/>
    <n v="0"/>
    <n v="0"/>
    <n v="0"/>
    <n v="0"/>
    <n v="0"/>
    <n v="0"/>
    <n v="0"/>
    <n v="0"/>
    <n v="0"/>
    <n v="0"/>
    <n v="0"/>
    <n v="0"/>
    <n v="0"/>
    <n v="0"/>
    <n v="0"/>
    <n v="0"/>
    <x v="0"/>
    <x v="0"/>
    <x v="1"/>
    <n v="15"/>
    <m/>
    <n v="0"/>
    <n v="0"/>
    <n v="0"/>
    <n v="0"/>
    <m/>
    <m/>
    <m/>
    <m/>
    <m/>
    <m/>
    <m/>
    <m/>
    <m/>
    <m/>
    <m/>
    <m/>
    <m/>
    <m/>
    <m/>
    <n v="0"/>
    <n v="0"/>
  </r>
  <r>
    <n v="7015"/>
    <x v="1"/>
    <s v="2018/3776"/>
    <s v="York Road Business Centre, 55-59 Lombard Road"/>
    <s v="Core 1"/>
    <n v="526723"/>
    <n v="176108"/>
    <x v="5"/>
    <d v="2019-06-30T00:00:00"/>
    <m/>
    <n v="0"/>
    <n v="108"/>
    <n v="108"/>
    <n v="168"/>
    <n v="168"/>
    <x v="0"/>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0"/>
    <s v="Nil"/>
    <m/>
    <s v="BF"/>
    <s v="NB"/>
    <x v="0"/>
    <x v="0"/>
    <n v="0.19500000000000001"/>
    <m/>
    <x v="0"/>
    <m/>
    <x v="2"/>
    <s v="M"/>
    <s v="10.9"/>
    <m/>
    <n v="0"/>
    <n v="157"/>
    <n v="0"/>
    <n v="5"/>
    <n v="0"/>
    <n v="27"/>
    <n v="60"/>
    <n v="18"/>
    <n v="3"/>
    <n v="0"/>
    <n v="0"/>
    <n v="0"/>
    <n v="27"/>
    <n v="60"/>
    <n v="18"/>
    <n v="3"/>
    <n v="0"/>
    <n v="0"/>
    <n v="0"/>
    <n v="0"/>
    <n v="0"/>
    <n v="0"/>
    <n v="0"/>
    <n v="0"/>
    <n v="0"/>
    <n v="0"/>
    <n v="0"/>
    <n v="0"/>
    <n v="0"/>
    <n v="0"/>
    <n v="0"/>
    <n v="0"/>
    <x v="0"/>
    <x v="0"/>
    <x v="5"/>
    <n v="10"/>
    <m/>
    <m/>
    <m/>
    <m/>
    <n v="36"/>
    <n v="36"/>
    <n v="36"/>
    <m/>
    <m/>
    <m/>
    <m/>
    <m/>
    <m/>
    <m/>
    <m/>
    <m/>
    <m/>
    <m/>
    <m/>
    <m/>
    <n v="72"/>
    <n v="108"/>
  </r>
  <r>
    <n v="7015"/>
    <x v="1"/>
    <s v="2018/3776"/>
    <s v="York Road Business Centre, 55-59 Lombard Road"/>
    <s v="Core 2"/>
    <n v="526723"/>
    <n v="176108"/>
    <x v="5"/>
    <d v="2019-06-30T00:00:00"/>
    <m/>
    <n v="0"/>
    <n v="21"/>
    <n v="21"/>
    <n v="168"/>
    <n v="168"/>
    <x v="0"/>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0"/>
    <s v="Nil"/>
    <m/>
    <s v="BF"/>
    <s v="NB"/>
    <x v="0"/>
    <x v="0"/>
    <n v="3.7999999999999999E-2"/>
    <m/>
    <x v="0"/>
    <m/>
    <x v="0"/>
    <s v="IU"/>
    <s v="10.9"/>
    <m/>
    <n v="0"/>
    <m/>
    <n v="0"/>
    <n v="2"/>
    <n v="0"/>
    <n v="4"/>
    <n v="14"/>
    <n v="3"/>
    <n v="0"/>
    <n v="0"/>
    <n v="0"/>
    <n v="0"/>
    <n v="4"/>
    <n v="14"/>
    <n v="3"/>
    <n v="0"/>
    <n v="0"/>
    <n v="0"/>
    <n v="0"/>
    <n v="0"/>
    <n v="0"/>
    <n v="0"/>
    <n v="0"/>
    <n v="0"/>
    <n v="0"/>
    <n v="0"/>
    <n v="0"/>
    <n v="0"/>
    <n v="0"/>
    <n v="0"/>
    <n v="0"/>
    <n v="0"/>
    <x v="0"/>
    <x v="0"/>
    <x v="5"/>
    <n v="10"/>
    <m/>
    <m/>
    <m/>
    <m/>
    <n v="7"/>
    <n v="7"/>
    <n v="7"/>
    <m/>
    <m/>
    <m/>
    <m/>
    <m/>
    <m/>
    <m/>
    <m/>
    <m/>
    <m/>
    <m/>
    <m/>
    <m/>
    <n v="14"/>
    <n v="21"/>
  </r>
  <r>
    <n v="7015"/>
    <x v="1"/>
    <s v="2018/3776"/>
    <s v="York Road Business Centre, 55-59 Lombard Road"/>
    <s v="Core 3"/>
    <n v="526723"/>
    <n v="176108"/>
    <x v="5"/>
    <d v="2019-06-30T00:00:00"/>
    <m/>
    <n v="0"/>
    <n v="39"/>
    <n v="39"/>
    <n v="168"/>
    <n v="168"/>
    <x v="0"/>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0"/>
    <s v="Nil"/>
    <m/>
    <s v="BF"/>
    <s v="NB"/>
    <x v="0"/>
    <x v="0"/>
    <n v="7.0999999999999994E-2"/>
    <m/>
    <x v="0"/>
    <m/>
    <x v="1"/>
    <s v="AA"/>
    <s v="10.9"/>
    <m/>
    <n v="0"/>
    <m/>
    <n v="0"/>
    <n v="4"/>
    <n v="0"/>
    <n v="7"/>
    <n v="26"/>
    <n v="6"/>
    <n v="0"/>
    <n v="0"/>
    <n v="0"/>
    <n v="0"/>
    <n v="7"/>
    <n v="26"/>
    <n v="6"/>
    <n v="0"/>
    <n v="0"/>
    <n v="0"/>
    <n v="0"/>
    <n v="0"/>
    <n v="0"/>
    <n v="0"/>
    <n v="0"/>
    <n v="0"/>
    <n v="0"/>
    <n v="0"/>
    <n v="0"/>
    <n v="0"/>
    <n v="0"/>
    <n v="0"/>
    <n v="0"/>
    <n v="0"/>
    <x v="0"/>
    <x v="0"/>
    <x v="5"/>
    <n v="10"/>
    <m/>
    <m/>
    <m/>
    <m/>
    <n v="13"/>
    <n v="13"/>
    <n v="13"/>
    <m/>
    <m/>
    <m/>
    <m/>
    <m/>
    <m/>
    <m/>
    <m/>
    <m/>
    <m/>
    <m/>
    <m/>
    <m/>
    <n v="26"/>
    <n v="39"/>
  </r>
  <r>
    <n v="6628"/>
    <x v="1"/>
    <s v="2022/2881"/>
    <s v="66 Alton Road"/>
    <s v="Cottages (New Build)"/>
    <n v="522237"/>
    <n v="173213"/>
    <x v="16"/>
    <m/>
    <m/>
    <n v="0"/>
    <n v="2"/>
    <n v="2"/>
    <n v="8"/>
    <n v="5"/>
    <x v="1"/>
    <s v="Refurbishment and reconfiguration of existing building with extensions to the sides and rear (with associated lightwells) to provide 6 no. flats (2 x 1 bed, 1 x 2 bed, 3 x 3 bed) and the provision of a 2 no. two-storey cottages (2 x 2 bed) to the rear of the site with associated landscaping"/>
    <s v="PF"/>
    <d v="2022-07-08T00:00:00"/>
    <d v="2022-11-23T00:00:00"/>
    <x v="1"/>
    <s v="Nil"/>
    <m/>
    <s v="BF"/>
    <s v="MIX"/>
    <x v="2"/>
    <x v="1"/>
    <n v="9.7999999999999997E-3"/>
    <m/>
    <x v="0"/>
    <m/>
    <x v="2"/>
    <s v="M"/>
    <s v=""/>
    <m/>
    <n v="0"/>
    <m/>
    <n v="0"/>
    <m/>
    <n v="0"/>
    <n v="0"/>
    <n v="2"/>
    <n v="0"/>
    <n v="0"/>
    <n v="0"/>
    <n v="0"/>
    <n v="0"/>
    <n v="0"/>
    <n v="0"/>
    <n v="0"/>
    <n v="0"/>
    <n v="0"/>
    <n v="0"/>
    <n v="0"/>
    <n v="0"/>
    <n v="2"/>
    <n v="0"/>
    <n v="0"/>
    <n v="0"/>
    <n v="0"/>
    <n v="0"/>
    <n v="0"/>
    <n v="0"/>
    <n v="0"/>
    <n v="0"/>
    <n v="0"/>
    <n v="0"/>
    <x v="0"/>
    <x v="0"/>
    <x v="1"/>
    <n v="15"/>
    <m/>
    <m/>
    <m/>
    <n v="2"/>
    <m/>
    <m/>
    <m/>
    <m/>
    <m/>
    <m/>
    <m/>
    <m/>
    <m/>
    <m/>
    <m/>
    <m/>
    <m/>
    <m/>
    <m/>
    <m/>
    <n v="2"/>
    <n v="2"/>
  </r>
  <r>
    <n v="6481"/>
    <x v="1"/>
    <s v="2020/1555"/>
    <s v="189 Balham High Road"/>
    <s v="CoU"/>
    <n v="528408"/>
    <n v="173055"/>
    <x v="8"/>
    <m/>
    <m/>
    <n v="0"/>
    <n v="2"/>
    <n v="2"/>
    <n v="3"/>
    <n v="3"/>
    <x v="1"/>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x v="0"/>
    <s v="Nil"/>
    <m/>
    <s v="BF"/>
    <s v="MIX"/>
    <x v="2"/>
    <x v="6"/>
    <n v="6.0000000000000001E-3"/>
    <m/>
    <x v="0"/>
    <m/>
    <x v="2"/>
    <s v="M"/>
    <s v=""/>
    <m/>
    <n v="0"/>
    <m/>
    <n v="0"/>
    <m/>
    <n v="0"/>
    <n v="2"/>
    <n v="0"/>
    <n v="0"/>
    <n v="0"/>
    <n v="0"/>
    <n v="0"/>
    <n v="0"/>
    <n v="2"/>
    <n v="0"/>
    <n v="0"/>
    <n v="0"/>
    <n v="0"/>
    <n v="0"/>
    <n v="0"/>
    <n v="0"/>
    <n v="0"/>
    <n v="0"/>
    <n v="0"/>
    <n v="0"/>
    <n v="0"/>
    <n v="0"/>
    <n v="0"/>
    <n v="0"/>
    <n v="0"/>
    <n v="0"/>
    <n v="0"/>
    <n v="0"/>
    <x v="0"/>
    <x v="0"/>
    <x v="1"/>
    <n v="15"/>
    <m/>
    <n v="0.5"/>
    <n v="0.5"/>
    <n v="0.5"/>
    <n v="0.5"/>
    <m/>
    <m/>
    <m/>
    <m/>
    <m/>
    <m/>
    <m/>
    <m/>
    <m/>
    <m/>
    <m/>
    <m/>
    <m/>
    <m/>
    <m/>
    <n v="2"/>
    <n v="2"/>
  </r>
  <r>
    <n v="6953"/>
    <x v="1"/>
    <s v="2019/4849"/>
    <s v="890 Garratt Lane"/>
    <s v="CoU"/>
    <n v="527131"/>
    <n v="171625"/>
    <x v="3"/>
    <d v="2019-03-31T00:00:00"/>
    <m/>
    <n v="0"/>
    <n v="1"/>
    <n v="1"/>
    <n v="3"/>
    <n v="2"/>
    <x v="1"/>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x v="0"/>
    <s v="Nil"/>
    <m/>
    <s v="BF"/>
    <s v="MIX"/>
    <x v="2"/>
    <x v="6"/>
    <n v="5.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6983"/>
    <x v="1"/>
    <s v="2019/1556"/>
    <s v="824 Garratt Lane"/>
    <s v="CoU from SG"/>
    <n v="526930"/>
    <n v="171771"/>
    <x v="3"/>
    <m/>
    <m/>
    <n v="0"/>
    <n v="1"/>
    <n v="1"/>
    <n v="3"/>
    <n v="2"/>
    <x v="1"/>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0"/>
    <s v="Nil"/>
    <m/>
    <s v="BF"/>
    <s v="MIX"/>
    <x v="2"/>
    <x v="3"/>
    <n v="3.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179"/>
    <x v="1"/>
    <s v="2018/2166"/>
    <s v="1a Merivale Road"/>
    <s v="Cou/extn"/>
    <n v="524331"/>
    <n v="175422"/>
    <x v="0"/>
    <m/>
    <m/>
    <n v="0"/>
    <n v="4"/>
    <n v="4"/>
    <n v="7"/>
    <n v="7"/>
    <x v="1"/>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0"/>
    <s v="Nil"/>
    <m/>
    <s v="BF"/>
    <s v="MIX"/>
    <x v="2"/>
    <x v="3"/>
    <n v="3.9E-2"/>
    <m/>
    <x v="0"/>
    <m/>
    <x v="2"/>
    <s v="M"/>
    <s v=""/>
    <m/>
    <n v="0"/>
    <m/>
    <n v="0"/>
    <m/>
    <n v="0"/>
    <n v="1"/>
    <n v="2"/>
    <n v="1"/>
    <n v="0"/>
    <n v="0"/>
    <n v="0"/>
    <n v="0"/>
    <n v="1"/>
    <n v="2"/>
    <n v="1"/>
    <n v="0"/>
    <n v="0"/>
    <n v="0"/>
    <n v="0"/>
    <n v="0"/>
    <n v="0"/>
    <n v="0"/>
    <n v="0"/>
    <n v="0"/>
    <n v="0"/>
    <n v="0"/>
    <n v="0"/>
    <n v="0"/>
    <n v="0"/>
    <n v="0"/>
    <n v="0"/>
    <n v="0"/>
    <x v="0"/>
    <x v="0"/>
    <x v="1"/>
    <n v="18"/>
    <m/>
    <n v="1"/>
    <n v="1"/>
    <n v="1"/>
    <n v="1"/>
    <m/>
    <m/>
    <m/>
    <m/>
    <m/>
    <m/>
    <m/>
    <m/>
    <m/>
    <m/>
    <m/>
    <m/>
    <m/>
    <m/>
    <m/>
    <n v="4"/>
    <n v="4"/>
  </r>
  <r>
    <n v="6885"/>
    <x v="1"/>
    <s v="2018/1377"/>
    <s v="217 Garratt Lane"/>
    <s v="CoU+"/>
    <n v="525906"/>
    <n v="173856"/>
    <x v="11"/>
    <m/>
    <m/>
    <n v="1"/>
    <n v="1"/>
    <n v="0"/>
    <n v="3"/>
    <n v="1"/>
    <x v="1"/>
    <s v="Alterations including erection of part single/part two storey rear/side extension,  in connection with use of front part of ground floor as a shop and the remainder as, 1 x 2-bedroom and 2 x 1-bedroom flats with rear first floor terrace."/>
    <s v="PF"/>
    <d v="2018-03-27T00:00:00"/>
    <d v="2018-05-22T00:00:00"/>
    <x v="0"/>
    <s v="Nil"/>
    <m/>
    <s v="BF"/>
    <s v="MIX"/>
    <x v="2"/>
    <x v="4"/>
    <n v="3.0000000000000001E-3"/>
    <m/>
    <x v="0"/>
    <m/>
    <x v="2"/>
    <s v="M"/>
    <s v=""/>
    <m/>
    <n v="0"/>
    <m/>
    <n v="0"/>
    <m/>
    <n v="-1"/>
    <n v="1"/>
    <n v="0"/>
    <n v="0"/>
    <n v="0"/>
    <n v="0"/>
    <n v="0"/>
    <n v="-1"/>
    <n v="1"/>
    <n v="0"/>
    <n v="0"/>
    <n v="0"/>
    <n v="0"/>
    <n v="0"/>
    <n v="0"/>
    <n v="0"/>
    <n v="0"/>
    <n v="0"/>
    <n v="0"/>
    <n v="0"/>
    <n v="0"/>
    <n v="0"/>
    <n v="0"/>
    <n v="0"/>
    <n v="0"/>
    <n v="0"/>
    <n v="0"/>
    <n v="0"/>
    <x v="0"/>
    <x v="0"/>
    <x v="6"/>
    <n v="15"/>
    <m/>
    <n v="0"/>
    <n v="0"/>
    <n v="0"/>
    <n v="0"/>
    <m/>
    <m/>
    <m/>
    <m/>
    <m/>
    <m/>
    <m/>
    <m/>
    <m/>
    <m/>
    <m/>
    <m/>
    <m/>
    <m/>
    <m/>
    <n v="0"/>
    <n v="0"/>
  </r>
  <r>
    <n v="6908"/>
    <x v="1"/>
    <s v="2021/3601"/>
    <s v="Riverside Business Centre and Former Bingo Hall, Bendon Valley"/>
    <s v="Courtyard Building B"/>
    <n v="525716"/>
    <n v="173464"/>
    <x v="11"/>
    <m/>
    <m/>
    <n v="0"/>
    <n v="33"/>
    <n v="33"/>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x v="1"/>
    <s v="Nil"/>
    <m/>
    <s v="BF"/>
    <s v="NB"/>
    <x v="0"/>
    <x v="0"/>
    <n v="0"/>
    <m/>
    <x v="0"/>
    <m/>
    <x v="0"/>
    <s v="ISL"/>
    <s v=""/>
    <n v="17320085"/>
    <n v="0"/>
    <m/>
    <n v="0"/>
    <n v="4"/>
    <n v="0"/>
    <n v="13"/>
    <n v="14"/>
    <n v="6"/>
    <n v="0"/>
    <n v="0"/>
    <n v="0"/>
    <n v="0"/>
    <n v="13"/>
    <n v="14"/>
    <n v="6"/>
    <n v="0"/>
    <n v="0"/>
    <n v="0"/>
    <n v="0"/>
    <n v="0"/>
    <n v="0"/>
    <n v="0"/>
    <n v="0"/>
    <n v="0"/>
    <n v="0"/>
    <n v="0"/>
    <n v="0"/>
    <n v="0"/>
    <n v="0"/>
    <n v="0"/>
    <n v="0"/>
    <n v="0"/>
    <x v="0"/>
    <x v="0"/>
    <x v="6"/>
    <n v="8"/>
    <m/>
    <m/>
    <m/>
    <m/>
    <n v="33"/>
    <m/>
    <m/>
    <m/>
    <m/>
    <m/>
    <m/>
    <m/>
    <m/>
    <m/>
    <m/>
    <m/>
    <m/>
    <m/>
    <m/>
    <m/>
    <n v="33"/>
    <n v="33"/>
  </r>
  <r>
    <n v="6908"/>
    <x v="1"/>
    <s v="2021/3601"/>
    <s v="Riverside Business Centre and Former Bingo Hall, Bendon Valley"/>
    <s v="Courtyard Building C"/>
    <n v="525716"/>
    <n v="173464"/>
    <x v="11"/>
    <m/>
    <m/>
    <n v="0"/>
    <n v="33"/>
    <n v="33"/>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x v="1"/>
    <s v="Nil"/>
    <m/>
    <s v="BF"/>
    <s v="NB"/>
    <x v="0"/>
    <x v="0"/>
    <n v="0"/>
    <m/>
    <x v="0"/>
    <m/>
    <x v="0"/>
    <s v="ISL"/>
    <s v=""/>
    <n v="17320085"/>
    <n v="0"/>
    <m/>
    <n v="0"/>
    <n v="4"/>
    <n v="0"/>
    <n v="14"/>
    <n v="19"/>
    <n v="0"/>
    <n v="0"/>
    <n v="0"/>
    <n v="0"/>
    <n v="0"/>
    <n v="14"/>
    <n v="19"/>
    <n v="0"/>
    <n v="0"/>
    <n v="0"/>
    <n v="0"/>
    <n v="0"/>
    <n v="0"/>
    <n v="0"/>
    <n v="0"/>
    <n v="0"/>
    <n v="0"/>
    <n v="0"/>
    <n v="0"/>
    <n v="0"/>
    <n v="0"/>
    <n v="0"/>
    <n v="0"/>
    <n v="0"/>
    <n v="0"/>
    <x v="0"/>
    <x v="0"/>
    <x v="6"/>
    <n v="8"/>
    <m/>
    <m/>
    <m/>
    <m/>
    <n v="33"/>
    <m/>
    <m/>
    <m/>
    <m/>
    <m/>
    <m/>
    <m/>
    <m/>
    <m/>
    <m/>
    <m/>
    <m/>
    <m/>
    <m/>
    <m/>
    <n v="33"/>
    <n v="33"/>
  </r>
  <r>
    <n v="6908"/>
    <x v="1"/>
    <s v="2021/3601"/>
    <s v="Riverside Business Centre and Former Bingo Hall, Bendon Valley"/>
    <s v="Courtyard Building D"/>
    <n v="525716"/>
    <n v="173464"/>
    <x v="11"/>
    <m/>
    <m/>
    <n v="0"/>
    <n v="66"/>
    <n v="66"/>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x v="1"/>
    <s v="Nil"/>
    <m/>
    <s v="BF"/>
    <s v="NB"/>
    <x v="0"/>
    <x v="0"/>
    <n v="0"/>
    <m/>
    <x v="0"/>
    <m/>
    <x v="1"/>
    <s v="AL"/>
    <s v=""/>
    <n v="17320085"/>
    <n v="0"/>
    <m/>
    <n v="0"/>
    <n v="8"/>
    <n v="0"/>
    <n v="8"/>
    <n v="27"/>
    <n v="25"/>
    <n v="6"/>
    <n v="0"/>
    <n v="0"/>
    <n v="0"/>
    <n v="8"/>
    <n v="27"/>
    <n v="25"/>
    <n v="6"/>
    <n v="0"/>
    <n v="0"/>
    <n v="0"/>
    <n v="0"/>
    <n v="0"/>
    <n v="0"/>
    <n v="0"/>
    <n v="0"/>
    <n v="0"/>
    <n v="0"/>
    <n v="0"/>
    <n v="0"/>
    <n v="0"/>
    <n v="0"/>
    <n v="0"/>
    <n v="0"/>
    <x v="0"/>
    <x v="0"/>
    <x v="6"/>
    <n v="8"/>
    <m/>
    <m/>
    <m/>
    <m/>
    <n v="66"/>
    <m/>
    <m/>
    <m/>
    <m/>
    <m/>
    <m/>
    <m/>
    <m/>
    <m/>
    <m/>
    <m/>
    <m/>
    <m/>
    <m/>
    <m/>
    <n v="66"/>
    <n v="66"/>
  </r>
  <r>
    <n v="6908"/>
    <x v="1"/>
    <s v="2021/3601"/>
    <s v="Riverside Business Centre and Former Bingo Hall, Bendon Valley"/>
    <s v="Courtyard Building E"/>
    <n v="525716"/>
    <n v="173464"/>
    <x v="11"/>
    <m/>
    <m/>
    <n v="0"/>
    <n v="55"/>
    <n v="55"/>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x v="1"/>
    <s v="Nil"/>
    <m/>
    <s v="BF"/>
    <s v="NB"/>
    <x v="0"/>
    <x v="0"/>
    <n v="0"/>
    <m/>
    <x v="0"/>
    <m/>
    <x v="2"/>
    <s v="M"/>
    <s v=""/>
    <n v="17320085"/>
    <n v="0"/>
    <m/>
    <n v="0"/>
    <m/>
    <n v="0"/>
    <n v="14"/>
    <n v="35"/>
    <n v="6"/>
    <n v="0"/>
    <n v="0"/>
    <n v="0"/>
    <n v="0"/>
    <n v="14"/>
    <n v="35"/>
    <n v="6"/>
    <n v="0"/>
    <n v="0"/>
    <n v="0"/>
    <n v="0"/>
    <n v="0"/>
    <n v="0"/>
    <n v="0"/>
    <n v="0"/>
    <n v="0"/>
    <n v="0"/>
    <n v="0"/>
    <n v="0"/>
    <n v="0"/>
    <n v="0"/>
    <n v="0"/>
    <n v="0"/>
    <n v="0"/>
    <x v="0"/>
    <x v="0"/>
    <x v="6"/>
    <n v="8"/>
    <m/>
    <m/>
    <m/>
    <m/>
    <n v="55"/>
    <m/>
    <m/>
    <m/>
    <m/>
    <m/>
    <m/>
    <m/>
    <m/>
    <m/>
    <m/>
    <m/>
    <m/>
    <m/>
    <m/>
    <m/>
    <n v="55"/>
    <n v="55"/>
  </r>
  <r>
    <n v="6908"/>
    <x v="1"/>
    <s v="2021/3601"/>
    <s v="Riverside Business Centre and Former Bingo Hall, Bendon Valley"/>
    <s v="Courtyard Building F"/>
    <n v="525716"/>
    <n v="173464"/>
    <x v="11"/>
    <m/>
    <m/>
    <n v="0"/>
    <n v="75"/>
    <n v="75"/>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x v="1"/>
    <s v="Nil"/>
    <m/>
    <s v="BF"/>
    <s v="NB"/>
    <x v="0"/>
    <x v="0"/>
    <n v="0"/>
    <m/>
    <x v="0"/>
    <m/>
    <x v="2"/>
    <s v="M"/>
    <s v=""/>
    <n v="17320085"/>
    <n v="0"/>
    <m/>
    <n v="0"/>
    <m/>
    <n v="5"/>
    <n v="47"/>
    <n v="23"/>
    <n v="0"/>
    <n v="0"/>
    <n v="0"/>
    <n v="0"/>
    <n v="5"/>
    <n v="47"/>
    <n v="23"/>
    <n v="0"/>
    <n v="0"/>
    <n v="0"/>
    <n v="0"/>
    <n v="0"/>
    <n v="0"/>
    <n v="0"/>
    <n v="0"/>
    <n v="0"/>
    <n v="0"/>
    <n v="0"/>
    <n v="0"/>
    <n v="0"/>
    <n v="0"/>
    <n v="0"/>
    <n v="0"/>
    <n v="0"/>
    <n v="0"/>
    <x v="0"/>
    <x v="0"/>
    <x v="6"/>
    <n v="8"/>
    <m/>
    <m/>
    <m/>
    <m/>
    <n v="75"/>
    <m/>
    <m/>
    <m/>
    <m/>
    <m/>
    <m/>
    <m/>
    <m/>
    <m/>
    <m/>
    <m/>
    <m/>
    <m/>
    <m/>
    <m/>
    <n v="75"/>
    <n v="75"/>
  </r>
  <r>
    <n v="1813"/>
    <x v="1"/>
    <s v="2019/5337"/>
    <s v="Electricity substation, Tilford Gardens"/>
    <s v="Dwelling 1 (2-storey)"/>
    <n v="523804"/>
    <n v="173079"/>
    <x v="19"/>
    <m/>
    <m/>
    <n v="0"/>
    <n v="1"/>
    <n v="1"/>
    <n v="2"/>
    <n v="2"/>
    <x v="1"/>
    <s v="Alterations including relocation of electricity substation in connection with erection of 1 x two storey 3-bedroom and 1 x three-storey 3-bedroom houses with first floor level terrace, associated parking and refuse/cycle storage."/>
    <s v="PF"/>
    <d v="2020-01-14T00:00:00"/>
    <d v="2020-04-02T00:00:00"/>
    <x v="0"/>
    <s v="Nil"/>
    <m/>
    <s v="BF"/>
    <s v="NB"/>
    <x v="2"/>
    <x v="1"/>
    <n v="3.7999999999999999E-2"/>
    <m/>
    <x v="0"/>
    <m/>
    <x v="2"/>
    <s v="M"/>
    <s v=""/>
    <m/>
    <n v="0"/>
    <m/>
    <n v="0"/>
    <m/>
    <n v="0"/>
    <n v="0"/>
    <n v="0"/>
    <n v="1"/>
    <n v="0"/>
    <n v="0"/>
    <n v="0"/>
    <n v="0"/>
    <n v="0"/>
    <n v="0"/>
    <n v="0"/>
    <n v="0"/>
    <n v="0"/>
    <n v="0"/>
    <n v="0"/>
    <n v="0"/>
    <n v="0"/>
    <n v="1"/>
    <n v="0"/>
    <n v="0"/>
    <n v="0"/>
    <n v="0"/>
    <n v="0"/>
    <n v="0"/>
    <n v="0"/>
    <n v="0"/>
    <n v="0"/>
    <n v="0"/>
    <x v="0"/>
    <x v="0"/>
    <x v="1"/>
    <n v="7"/>
    <m/>
    <m/>
    <n v="0.25"/>
    <n v="0.25"/>
    <n v="0.25"/>
    <n v="0.25"/>
    <m/>
    <m/>
    <m/>
    <m/>
    <m/>
    <m/>
    <m/>
    <m/>
    <m/>
    <m/>
    <m/>
    <m/>
    <m/>
    <m/>
    <n v="1"/>
    <n v="1"/>
  </r>
  <r>
    <n v="1813"/>
    <x v="1"/>
    <s v="2019/5337"/>
    <s v="Electricity substation, Tilford Gardens"/>
    <s v="Dwelling 2 (3-storey)"/>
    <n v="523804"/>
    <n v="173079"/>
    <x v="19"/>
    <m/>
    <m/>
    <n v="0"/>
    <n v="1"/>
    <n v="1"/>
    <n v="2"/>
    <n v="2"/>
    <x v="1"/>
    <s v="Alterations including relocation of electricity substation in connection with erection of 1 x two storey 3-bedroom and 1 x three-storey 3-bedroom houses with first floor level terrace, associated parking and refuse/cycle storage."/>
    <s v="PF"/>
    <d v="2020-01-14T00:00:00"/>
    <d v="2020-04-02T00:00:00"/>
    <x v="0"/>
    <s v="Nil"/>
    <m/>
    <s v="BF"/>
    <s v="NB"/>
    <x v="2"/>
    <x v="1"/>
    <n v="3.2000000000000001E-2"/>
    <m/>
    <x v="0"/>
    <m/>
    <x v="2"/>
    <s v="M"/>
    <s v=""/>
    <m/>
    <n v="0"/>
    <m/>
    <n v="0"/>
    <m/>
    <n v="0"/>
    <n v="0"/>
    <n v="0"/>
    <n v="1"/>
    <n v="0"/>
    <n v="0"/>
    <n v="0"/>
    <n v="0"/>
    <n v="0"/>
    <n v="0"/>
    <n v="0"/>
    <n v="0"/>
    <n v="0"/>
    <n v="0"/>
    <n v="0"/>
    <n v="0"/>
    <n v="0"/>
    <n v="1"/>
    <n v="0"/>
    <n v="0"/>
    <n v="0"/>
    <n v="0"/>
    <n v="0"/>
    <n v="0"/>
    <n v="0"/>
    <n v="0"/>
    <n v="0"/>
    <n v="0"/>
    <x v="0"/>
    <x v="0"/>
    <x v="1"/>
    <n v="7"/>
    <m/>
    <m/>
    <n v="0.25"/>
    <n v="0.25"/>
    <n v="0.25"/>
    <n v="0.25"/>
    <m/>
    <m/>
    <m/>
    <m/>
    <m/>
    <m/>
    <m/>
    <m/>
    <m/>
    <m/>
    <m/>
    <m/>
    <m/>
    <m/>
    <n v="1"/>
    <n v="1"/>
  </r>
  <r>
    <n v="3511"/>
    <x v="1"/>
    <s v="2018/5698"/>
    <s v="New Covent Garden Market, Nine Elms Lane (Combined Main Market, Entrance site and Thessaly College site)"/>
    <s v="N12"/>
    <n v="529369"/>
    <n v="177317"/>
    <x v="15"/>
    <d v="2019-07-26T00:00:00"/>
    <m/>
    <n v="0"/>
    <n v="13"/>
    <n v="13"/>
    <n v="559"/>
    <n v="559"/>
    <x v="0"/>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a_Marketand ancillary buildings and structures, and residential building on Nine Elms Lane (apart from the existing multi storey car park); (b) Construction_x000a_ofmixed-use redevelopment comprising: a new Fruit and Vegetable Market and Flower Market and ancillary uses, including temporary and_x000a_permanentfaçade; refurbishment and extension of existing waste collection area (including rooftop sports pitches); residential dwellings; flexible_x000a_commercial uses, including retail, financial and professional services, café/restaurant, bar uses and hot food takeaways and offices; non-residential_x000a_institutions; assembly and leisure uses; temporary storage and distribution buildings and associated works; associated car, cycle and motorcycle_x000a_parking and servicing and new vehicle accesses, energy centres; and landscaping public realm and open space including part of the Linear Park._x000a_All matters reserved apart from access, details of all new markets and supporting buildings, and details of Building N8 and associated landscaping);_x000a_(c) Site clearance and enabling works. An Environmental Statement has been submitted with the application under The Town and Country Planning_x000a_(Environmental Impact Assessment) Regulations 2011.&quot;"/>
    <s v="DT"/>
    <d v="2018-11-29T00:00:00"/>
    <d v="2019-03-22T00:00:00"/>
    <x v="0"/>
    <s v="Nil"/>
    <m/>
    <s v="BF"/>
    <s v="NB"/>
    <x v="0"/>
    <x v="0"/>
    <n v="7.1999999999999995E-2"/>
    <m/>
    <x v="0"/>
    <m/>
    <x v="0"/>
    <s v="ISO"/>
    <s v="2.1.27"/>
    <m/>
    <n v="13"/>
    <m/>
    <n v="0"/>
    <m/>
    <n v="0"/>
    <n v="6"/>
    <n v="6"/>
    <n v="1"/>
    <n v="0"/>
    <n v="0"/>
    <n v="0"/>
    <n v="0"/>
    <n v="6"/>
    <n v="6"/>
    <n v="1"/>
    <n v="0"/>
    <n v="0"/>
    <n v="0"/>
    <n v="0"/>
    <n v="0"/>
    <n v="0"/>
    <n v="0"/>
    <n v="0"/>
    <n v="0"/>
    <n v="0"/>
    <n v="0"/>
    <n v="0"/>
    <n v="0"/>
    <n v="0"/>
    <n v="0"/>
    <n v="0"/>
    <n v="0"/>
    <x v="0"/>
    <x v="1"/>
    <x v="7"/>
    <n v="10"/>
    <m/>
    <m/>
    <m/>
    <m/>
    <n v="4.333333333333333"/>
    <n v="4.333333333333333"/>
    <n v="4.333333333333333"/>
    <m/>
    <m/>
    <m/>
    <m/>
    <m/>
    <m/>
    <m/>
    <m/>
    <m/>
    <m/>
    <m/>
    <m/>
    <m/>
    <n v="8.6666666666666661"/>
    <n v="13"/>
  </r>
  <r>
    <n v="3511"/>
    <x v="2"/>
    <s v="2019/2995"/>
    <s v="New Covent Garden Market, Nine Elms Lane (Combined Main Market, Entrance site and Thessaly College site)"/>
    <s v="N2a"/>
    <n v="529369"/>
    <n v="177317"/>
    <x v="15"/>
    <d v="2019-12-01T00:00:00"/>
    <m/>
    <n v="0"/>
    <n v="81"/>
    <n v="81"/>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0"/>
    <s v="Nil"/>
    <m/>
    <s v="BF"/>
    <s v="NB"/>
    <x v="0"/>
    <x v="0"/>
    <n v="0.48799999999999999"/>
    <d v="2019-12-01T00:00:00"/>
    <x v="0"/>
    <m/>
    <x v="0"/>
    <s v="ISO"/>
    <s v="2.1.27"/>
    <m/>
    <n v="0"/>
    <n v="65"/>
    <n v="0"/>
    <n v="16"/>
    <n v="0"/>
    <n v="37"/>
    <n v="36"/>
    <n v="8"/>
    <n v="0"/>
    <n v="0"/>
    <n v="0"/>
    <n v="0"/>
    <n v="37"/>
    <n v="36"/>
    <n v="8"/>
    <n v="0"/>
    <n v="0"/>
    <n v="0"/>
    <n v="0"/>
    <n v="0"/>
    <n v="0"/>
    <n v="0"/>
    <n v="0"/>
    <n v="0"/>
    <n v="0"/>
    <n v="0"/>
    <n v="0"/>
    <n v="0"/>
    <n v="0"/>
    <n v="0"/>
    <n v="0"/>
    <n v="0"/>
    <x v="0"/>
    <x v="1"/>
    <x v="7"/>
    <n v="5"/>
    <m/>
    <m/>
    <m/>
    <n v="81"/>
    <m/>
    <m/>
    <m/>
    <m/>
    <m/>
    <m/>
    <m/>
    <m/>
    <m/>
    <m/>
    <m/>
    <m/>
    <m/>
    <m/>
    <m/>
    <m/>
    <n v="81"/>
    <n v="81"/>
  </r>
  <r>
    <n v="3511"/>
    <x v="2"/>
    <s v="2019/2995"/>
    <s v="New Covent Garden Market, Nine Elms Lane (Combined Main Market, Entrance site and Thessaly College site)"/>
    <s v="N2b"/>
    <n v="529369"/>
    <n v="177317"/>
    <x v="15"/>
    <d v="2019-12-01T00:00:00"/>
    <m/>
    <n v="0"/>
    <n v="19"/>
    <n v="19"/>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0"/>
    <s v="Nil"/>
    <m/>
    <s v="BF"/>
    <s v="NB"/>
    <x v="0"/>
    <x v="0"/>
    <n v="0.44"/>
    <d v="2019-12-01T00:00:00"/>
    <x v="0"/>
    <m/>
    <x v="2"/>
    <s v="M"/>
    <s v="2.1.27"/>
    <m/>
    <n v="0"/>
    <n v="13"/>
    <n v="0"/>
    <n v="6"/>
    <n v="1"/>
    <n v="1"/>
    <n v="0"/>
    <n v="17"/>
    <n v="0"/>
    <n v="0"/>
    <n v="0"/>
    <n v="1"/>
    <n v="1"/>
    <n v="0"/>
    <n v="17"/>
    <n v="0"/>
    <n v="0"/>
    <n v="0"/>
    <n v="0"/>
    <n v="0"/>
    <n v="0"/>
    <n v="0"/>
    <n v="0"/>
    <n v="0"/>
    <n v="0"/>
    <n v="0"/>
    <n v="0"/>
    <n v="0"/>
    <n v="0"/>
    <n v="0"/>
    <n v="0"/>
    <n v="0"/>
    <x v="0"/>
    <x v="1"/>
    <x v="7"/>
    <n v="5"/>
    <m/>
    <m/>
    <m/>
    <n v="19"/>
    <m/>
    <m/>
    <m/>
    <m/>
    <m/>
    <m/>
    <m/>
    <m/>
    <m/>
    <m/>
    <m/>
    <m/>
    <m/>
    <m/>
    <m/>
    <m/>
    <n v="19"/>
    <n v="19"/>
  </r>
  <r>
    <n v="3511"/>
    <x v="2"/>
    <s v="2019/2995"/>
    <s v="New Covent Garden Market, Nine Elms Lane (Combined Main Market, Entrance site and Thessaly College site)"/>
    <s v="N3"/>
    <n v="529369"/>
    <n v="177317"/>
    <x v="15"/>
    <d v="2019-12-01T00:00:00"/>
    <m/>
    <n v="0"/>
    <n v="41"/>
    <n v="41"/>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0"/>
    <s v="Nil"/>
    <m/>
    <s v="BF"/>
    <s v="NB"/>
    <x v="0"/>
    <x v="0"/>
    <n v="0.50600000000000001"/>
    <d v="2019-12-01T00:00:00"/>
    <x v="0"/>
    <m/>
    <x v="2"/>
    <s v="M"/>
    <s v="2.1.27"/>
    <m/>
    <n v="0"/>
    <n v="37"/>
    <n v="0"/>
    <n v="4"/>
    <n v="2"/>
    <n v="2"/>
    <n v="10"/>
    <n v="25"/>
    <n v="2"/>
    <n v="0"/>
    <n v="0"/>
    <n v="2"/>
    <n v="2"/>
    <n v="10"/>
    <n v="25"/>
    <n v="2"/>
    <n v="0"/>
    <n v="0"/>
    <n v="0"/>
    <n v="0"/>
    <n v="0"/>
    <n v="0"/>
    <n v="0"/>
    <n v="0"/>
    <n v="0"/>
    <n v="0"/>
    <n v="0"/>
    <n v="0"/>
    <n v="0"/>
    <n v="0"/>
    <n v="0"/>
    <n v="0"/>
    <x v="0"/>
    <x v="1"/>
    <x v="7"/>
    <n v="5"/>
    <m/>
    <m/>
    <m/>
    <n v="41"/>
    <m/>
    <m/>
    <m/>
    <m/>
    <m/>
    <m/>
    <m/>
    <m/>
    <m/>
    <m/>
    <m/>
    <m/>
    <m/>
    <m/>
    <m/>
    <m/>
    <n v="41"/>
    <n v="41"/>
  </r>
  <r>
    <n v="3511"/>
    <x v="2"/>
    <s v="2019/2995"/>
    <s v="New Covent Garden Market, Nine Elms Lane (Combined Main Market, Entrance site and Thessaly College site)"/>
    <s v="N4"/>
    <n v="529369"/>
    <n v="177317"/>
    <x v="15"/>
    <d v="2019-12-01T00:00:00"/>
    <m/>
    <n v="0"/>
    <n v="59"/>
    <n v="59"/>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0"/>
    <s v="Nil"/>
    <m/>
    <s v="BF"/>
    <s v="NB"/>
    <x v="0"/>
    <x v="0"/>
    <n v="0.48799999999999999"/>
    <d v="2021-04-01T00:00:00"/>
    <x v="0"/>
    <m/>
    <x v="2"/>
    <s v="M"/>
    <s v="2.1.27"/>
    <m/>
    <n v="0"/>
    <n v="47"/>
    <n v="0"/>
    <n v="12"/>
    <n v="0"/>
    <n v="0"/>
    <n v="33"/>
    <n v="25"/>
    <n v="1"/>
    <n v="0"/>
    <n v="0"/>
    <n v="0"/>
    <n v="0"/>
    <n v="33"/>
    <n v="25"/>
    <n v="1"/>
    <n v="0"/>
    <n v="0"/>
    <n v="0"/>
    <n v="0"/>
    <n v="0"/>
    <n v="0"/>
    <n v="0"/>
    <n v="0"/>
    <n v="0"/>
    <n v="0"/>
    <n v="0"/>
    <n v="0"/>
    <n v="0"/>
    <n v="0"/>
    <n v="0"/>
    <n v="0"/>
    <x v="0"/>
    <x v="1"/>
    <x v="7"/>
    <n v="5"/>
    <m/>
    <m/>
    <m/>
    <n v="59"/>
    <m/>
    <m/>
    <m/>
    <m/>
    <m/>
    <m/>
    <m/>
    <m/>
    <m/>
    <m/>
    <m/>
    <m/>
    <m/>
    <m/>
    <m/>
    <m/>
    <n v="59"/>
    <n v="59"/>
  </r>
  <r>
    <n v="3511"/>
    <x v="2"/>
    <s v="2019/2995"/>
    <s v="New Covent Garden Market, Nine Elms Lane (Combined Main Market, Entrance site and Thessaly College site)"/>
    <s v="N5"/>
    <n v="529369"/>
    <n v="177317"/>
    <x v="15"/>
    <d v="2019-12-01T00:00:00"/>
    <m/>
    <n v="0"/>
    <n v="60"/>
    <n v="60"/>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0"/>
    <s v="Nil"/>
    <m/>
    <s v="BF"/>
    <s v="NB"/>
    <x v="0"/>
    <x v="0"/>
    <n v="0.69899999999999995"/>
    <d v="2021-04-01T00:00:00"/>
    <x v="0"/>
    <m/>
    <x v="2"/>
    <s v="M"/>
    <s v="2.1.27"/>
    <m/>
    <n v="0"/>
    <n v="54"/>
    <n v="0"/>
    <n v="6"/>
    <n v="0"/>
    <n v="12"/>
    <n v="22"/>
    <n v="25"/>
    <n v="1"/>
    <n v="0"/>
    <n v="0"/>
    <n v="0"/>
    <n v="12"/>
    <n v="22"/>
    <n v="25"/>
    <n v="1"/>
    <n v="0"/>
    <n v="0"/>
    <n v="0"/>
    <n v="0"/>
    <n v="0"/>
    <n v="0"/>
    <n v="0"/>
    <n v="0"/>
    <n v="0"/>
    <n v="0"/>
    <n v="0"/>
    <n v="0"/>
    <n v="0"/>
    <n v="0"/>
    <n v="0"/>
    <n v="0"/>
    <x v="0"/>
    <x v="1"/>
    <x v="7"/>
    <n v="5"/>
    <m/>
    <m/>
    <m/>
    <n v="60"/>
    <m/>
    <m/>
    <m/>
    <m/>
    <m/>
    <m/>
    <m/>
    <m/>
    <m/>
    <m/>
    <m/>
    <m/>
    <m/>
    <m/>
    <m/>
    <m/>
    <n v="60"/>
    <n v="60"/>
  </r>
  <r>
    <n v="3511"/>
    <x v="2"/>
    <s v="2021/0660"/>
    <s v="New Covent Garden Market, Nine Elms Lane (Combined Main Market, Entrance site and Thessaly College site)"/>
    <s v="N6"/>
    <n v="529369"/>
    <n v="177317"/>
    <x v="15"/>
    <d v="2019-12-01T00:00:00"/>
    <m/>
    <n v="0"/>
    <n v="17"/>
    <n v="17"/>
    <n v="17"/>
    <n v="17"/>
    <x v="0"/>
    <s v="Non-Material Amendment (S96A) to amend the details of Reserved Matters approval (ref. 2019/2995 - dated 22 November 2019) for Phase 2 and amended under ref. 2020/1541 (approved 27 May 2020) for 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21-02-12T00:00:00"/>
    <d v="2021-05-12T00:00:00"/>
    <x v="0"/>
    <s v="Nil"/>
    <m/>
    <s v="BF"/>
    <s v="NB"/>
    <x v="0"/>
    <x v="0"/>
    <n v="0.72299999999999998"/>
    <d v="2019-12-01T00:00:00"/>
    <x v="0"/>
    <m/>
    <x v="2"/>
    <s v="M"/>
    <s v="2.1.27"/>
    <m/>
    <n v="0"/>
    <m/>
    <n v="0"/>
    <m/>
    <n v="0"/>
    <n v="0"/>
    <n v="0"/>
    <n v="0"/>
    <n v="17"/>
    <n v="0"/>
    <n v="0"/>
    <n v="0"/>
    <n v="0"/>
    <n v="0"/>
    <n v="0"/>
    <n v="17"/>
    <n v="0"/>
    <n v="0"/>
    <n v="0"/>
    <n v="0"/>
    <n v="0"/>
    <n v="0"/>
    <n v="0"/>
    <n v="0"/>
    <n v="0"/>
    <n v="0"/>
    <n v="0"/>
    <n v="0"/>
    <n v="0"/>
    <n v="0"/>
    <n v="0"/>
    <n v="0"/>
    <x v="0"/>
    <x v="1"/>
    <x v="7"/>
    <n v="5"/>
    <m/>
    <n v="17"/>
    <m/>
    <m/>
    <m/>
    <m/>
    <m/>
    <m/>
    <m/>
    <m/>
    <m/>
    <m/>
    <m/>
    <m/>
    <m/>
    <m/>
    <m/>
    <m/>
    <m/>
    <m/>
    <n v="17"/>
    <n v="17"/>
  </r>
  <r>
    <n v="3511"/>
    <x v="0"/>
    <s v="2021/5316"/>
    <s v="New Covent Garden Market, Nine Elms Lane (Combined Main Market, Entrance site and Thessaly College site)"/>
    <s v="N8"/>
    <n v="529369"/>
    <n v="177317"/>
    <x v="15"/>
    <d v="2019-05-28T00:00:00"/>
    <d v="2023-03-31T00:00:00"/>
    <n v="0"/>
    <n v="299"/>
    <n v="299"/>
    <n v="299"/>
    <n v="299"/>
    <x v="0"/>
    <s v="Non Material Amendment under Section 96A of the TCPA in respect of Building N8 pursuant to planning permission 2014/2810 (as amended by planning permission 2019/4186), dated 11th February 2015 for &quot;(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was submitted with the application under The Town and Country Planning (Environmental Impact Assessment) Regulations 2011).&quot; Summary of Amendments: Reconfiguration of retail units; Improved access arrangement; minor changes to elevations to reflect amended internal layouts;  changing the top floor quadplex into two duplex units, as follows: One duplex unit at Levels 49 and 50 an one duplex unit at Levels 51 and 52"/>
    <s v="S96A"/>
    <d v="2021-11-22T00:00:00"/>
    <d v="2022-04-06T00:00:00"/>
    <x v="1"/>
    <s v="Nil"/>
    <m/>
    <s v="BF"/>
    <s v="NB"/>
    <x v="0"/>
    <x v="0"/>
    <n v="2.0390000000000001"/>
    <d v="2019-05-28T00:00:00"/>
    <x v="0"/>
    <d v="2023-03-31T00:00:00"/>
    <x v="2"/>
    <s v="M"/>
    <s v="2.1.27"/>
    <m/>
    <n v="299"/>
    <m/>
    <n v="32"/>
    <m/>
    <n v="0"/>
    <n v="67"/>
    <n v="100"/>
    <n v="109"/>
    <n v="19"/>
    <n v="4"/>
    <n v="0"/>
    <n v="0"/>
    <n v="67"/>
    <n v="100"/>
    <n v="109"/>
    <n v="19"/>
    <n v="4"/>
    <n v="0"/>
    <n v="0"/>
    <n v="0"/>
    <n v="0"/>
    <n v="0"/>
    <n v="0"/>
    <n v="0"/>
    <n v="0"/>
    <n v="0"/>
    <n v="0"/>
    <n v="0"/>
    <n v="0"/>
    <n v="0"/>
    <n v="0"/>
    <n v="0"/>
    <x v="0"/>
    <x v="1"/>
    <x v="7"/>
    <n v="1"/>
    <n v="299"/>
    <m/>
    <m/>
    <m/>
    <m/>
    <m/>
    <m/>
    <m/>
    <m/>
    <m/>
    <m/>
    <m/>
    <m/>
    <m/>
    <m/>
    <m/>
    <m/>
    <m/>
    <m/>
    <m/>
    <n v="0"/>
    <n v="0"/>
  </r>
  <r>
    <n v="7304"/>
    <x v="1"/>
    <s v="2019/2516"/>
    <s v="Development Site of Alton Estate, Danebury Avenue (Alton Estate)"/>
    <s v="Existing"/>
    <n v="522152"/>
    <n v="173834"/>
    <x v="16"/>
    <m/>
    <m/>
    <n v="158"/>
    <n v="0"/>
    <n v="-158"/>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0"/>
    <x v="0"/>
    <n v="0"/>
    <m/>
    <x v="0"/>
    <m/>
    <x v="1"/>
    <s v="AC"/>
    <s v="8.1.1"/>
    <m/>
    <n v="0"/>
    <m/>
    <n v="0"/>
    <m/>
    <n v="0"/>
    <n v="-20"/>
    <n v="-34"/>
    <n v="-103"/>
    <n v="0"/>
    <n v="-1"/>
    <n v="0"/>
    <n v="0"/>
    <n v="-20"/>
    <n v="-34"/>
    <n v="-103"/>
    <n v="0"/>
    <n v="-1"/>
    <n v="0"/>
    <n v="0"/>
    <n v="0"/>
    <n v="0"/>
    <n v="0"/>
    <n v="0"/>
    <n v="0"/>
    <n v="0"/>
    <n v="0"/>
    <n v="0"/>
    <n v="0"/>
    <n v="0"/>
    <n v="0"/>
    <n v="0"/>
    <n v="0"/>
    <x v="0"/>
    <x v="0"/>
    <x v="9"/>
    <n v="10"/>
    <m/>
    <m/>
    <m/>
    <m/>
    <n v="-52.666666666666664"/>
    <n v="-52.666666666666664"/>
    <n v="-52.666666666666664"/>
    <m/>
    <m/>
    <m/>
    <m/>
    <m/>
    <m/>
    <m/>
    <m/>
    <m/>
    <m/>
    <m/>
    <m/>
    <m/>
    <n v="-105.33333333333333"/>
    <n v="-158"/>
  </r>
  <r>
    <n v="7304"/>
    <x v="1"/>
    <s v="2019/2516"/>
    <s v="Development Site of Alton Estate, Danebury Avenue (Alton Estate)"/>
    <s v="Existing"/>
    <n v="522152"/>
    <n v="173834"/>
    <x v="16"/>
    <m/>
    <m/>
    <n v="130"/>
    <n v="0"/>
    <n v="-130"/>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0"/>
    <x v="0"/>
    <n v="0"/>
    <m/>
    <x v="0"/>
    <m/>
    <x v="2"/>
    <s v="M"/>
    <s v="8.1.1"/>
    <m/>
    <n v="0"/>
    <m/>
    <n v="0"/>
    <m/>
    <n v="0"/>
    <n v="-4"/>
    <n v="-8"/>
    <n v="-118"/>
    <n v="0"/>
    <n v="0"/>
    <n v="0"/>
    <n v="0"/>
    <n v="-4"/>
    <n v="-8"/>
    <n v="-118"/>
    <n v="0"/>
    <n v="0"/>
    <n v="0"/>
    <n v="0"/>
    <n v="0"/>
    <n v="0"/>
    <n v="0"/>
    <n v="0"/>
    <n v="0"/>
    <n v="0"/>
    <n v="0"/>
    <n v="0"/>
    <n v="0"/>
    <n v="0"/>
    <n v="0"/>
    <n v="0"/>
    <n v="0"/>
    <x v="0"/>
    <x v="0"/>
    <x v="9"/>
    <n v="10"/>
    <m/>
    <m/>
    <m/>
    <m/>
    <n v="-43.333333333333336"/>
    <n v="-43.333333333333336"/>
    <n v="-43.333333333333336"/>
    <m/>
    <m/>
    <m/>
    <m/>
    <m/>
    <m/>
    <m/>
    <m/>
    <m/>
    <m/>
    <m/>
    <m/>
    <m/>
    <n v="-86.666666666666671"/>
    <n v="-130"/>
  </r>
  <r>
    <n v="7367"/>
    <x v="1"/>
    <s v="2020/0530"/>
    <s v="Coleman Court, Kimber Road"/>
    <s v="Extension"/>
    <n v="525438"/>
    <n v="173644"/>
    <x v="20"/>
    <m/>
    <m/>
    <n v="0"/>
    <n v="20"/>
    <n v="20"/>
    <n v="23"/>
    <n v="22"/>
    <x v="0"/>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x v="0"/>
    <s v="Nil"/>
    <m/>
    <s v="BF"/>
    <s v="MIX"/>
    <x v="1"/>
    <x v="0"/>
    <n v="0.11799999999999999"/>
    <m/>
    <x v="0"/>
    <m/>
    <x v="2"/>
    <s v="M"/>
    <s v=""/>
    <m/>
    <n v="0"/>
    <m/>
    <n v="0"/>
    <m/>
    <n v="5"/>
    <n v="15"/>
    <n v="0"/>
    <n v="0"/>
    <n v="0"/>
    <n v="0"/>
    <n v="0"/>
    <n v="5"/>
    <n v="15"/>
    <n v="0"/>
    <n v="0"/>
    <n v="0"/>
    <n v="0"/>
    <n v="0"/>
    <n v="0"/>
    <n v="0"/>
    <n v="0"/>
    <n v="0"/>
    <n v="0"/>
    <n v="0"/>
    <n v="0"/>
    <n v="0"/>
    <n v="0"/>
    <n v="0"/>
    <n v="0"/>
    <n v="0"/>
    <n v="0"/>
    <n v="0"/>
    <x v="0"/>
    <x v="0"/>
    <x v="6"/>
    <n v="17"/>
    <m/>
    <m/>
    <m/>
    <m/>
    <m/>
    <m/>
    <n v="5"/>
    <n v="5"/>
    <n v="5"/>
    <n v="5"/>
    <m/>
    <m/>
    <m/>
    <m/>
    <m/>
    <m/>
    <m/>
    <m/>
    <m/>
    <m/>
    <n v="0"/>
    <n v="20"/>
  </r>
  <r>
    <n v="6481"/>
    <x v="1"/>
    <s v="2020/1555"/>
    <s v="189 Balham High Road"/>
    <s v="extension"/>
    <n v="528408"/>
    <n v="173055"/>
    <x v="8"/>
    <m/>
    <m/>
    <n v="0"/>
    <n v="1"/>
    <n v="1"/>
    <n v="3"/>
    <n v="3"/>
    <x v="1"/>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x v="0"/>
    <s v="Nil"/>
    <m/>
    <s v="BF"/>
    <s v="MIX"/>
    <x v="2"/>
    <x v="2"/>
    <n v="4.0000000000000001E-3"/>
    <m/>
    <x v="0"/>
    <m/>
    <x v="2"/>
    <s v="M"/>
    <s v=""/>
    <m/>
    <n v="0"/>
    <m/>
    <n v="0"/>
    <m/>
    <n v="0"/>
    <n v="0"/>
    <n v="1"/>
    <n v="0"/>
    <n v="0"/>
    <n v="0"/>
    <n v="0"/>
    <n v="0"/>
    <n v="0"/>
    <n v="1"/>
    <n v="0"/>
    <n v="0"/>
    <n v="0"/>
    <n v="0"/>
    <n v="0"/>
    <n v="0"/>
    <n v="0"/>
    <n v="0"/>
    <n v="0"/>
    <n v="0"/>
    <n v="0"/>
    <n v="0"/>
    <n v="0"/>
    <n v="0"/>
    <n v="0"/>
    <n v="0"/>
    <n v="0"/>
    <n v="0"/>
    <x v="0"/>
    <x v="0"/>
    <x v="1"/>
    <n v="15"/>
    <m/>
    <n v="0.25"/>
    <n v="0.25"/>
    <n v="0.25"/>
    <n v="0.25"/>
    <m/>
    <m/>
    <m/>
    <m/>
    <m/>
    <m/>
    <m/>
    <m/>
    <m/>
    <m/>
    <m/>
    <m/>
    <m/>
    <m/>
    <m/>
    <n v="1"/>
    <n v="1"/>
  </r>
  <r>
    <n v="6983"/>
    <x v="1"/>
    <s v="2019/1556"/>
    <s v="824 Garratt Lane"/>
    <s v="extension"/>
    <n v="526930"/>
    <n v="171771"/>
    <x v="3"/>
    <m/>
    <m/>
    <n v="0"/>
    <n v="1"/>
    <n v="1"/>
    <n v="3"/>
    <n v="2"/>
    <x v="1"/>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0"/>
    <s v="Nil"/>
    <m/>
    <s v="BF"/>
    <s v="MIX"/>
    <x v="2"/>
    <x v="2"/>
    <n v="3.0000000000000001E-3"/>
    <m/>
    <x v="0"/>
    <m/>
    <x v="2"/>
    <s v="M"/>
    <s v=""/>
    <m/>
    <n v="0"/>
    <m/>
    <n v="0"/>
    <m/>
    <n v="0"/>
    <n v="1"/>
    <n v="0"/>
    <n v="0"/>
    <n v="0"/>
    <n v="0"/>
    <n v="0"/>
    <n v="0"/>
    <n v="1"/>
    <n v="0"/>
    <n v="0"/>
    <n v="0"/>
    <n v="0"/>
    <n v="0"/>
    <n v="0"/>
    <n v="0"/>
    <n v="0"/>
    <n v="0"/>
    <n v="0"/>
    <n v="0"/>
    <n v="0"/>
    <n v="0"/>
    <n v="0"/>
    <n v="0"/>
    <n v="0"/>
    <n v="0"/>
    <n v="0"/>
    <n v="0"/>
    <x v="0"/>
    <x v="0"/>
    <x v="1"/>
    <n v="15"/>
    <m/>
    <n v="0.25"/>
    <n v="0.25"/>
    <n v="0.25"/>
    <n v="0.25"/>
    <m/>
    <m/>
    <m/>
    <m/>
    <m/>
    <m/>
    <m/>
    <m/>
    <m/>
    <m/>
    <m/>
    <m/>
    <m/>
    <m/>
    <m/>
    <n v="1"/>
    <n v="1"/>
  </r>
  <r>
    <n v="2492"/>
    <x v="1"/>
    <s v="2018/5245"/>
    <s v="Flats 7-10 and land rear of, 126 Bedford Hill (Elmfield Road)"/>
    <s v="extension to ex"/>
    <n v="528761"/>
    <n v="172884"/>
    <x v="8"/>
    <m/>
    <m/>
    <n v="0"/>
    <n v="2"/>
    <n v="2"/>
    <n v="3"/>
    <n v="3"/>
    <x v="1"/>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x v="0"/>
    <s v="Nil"/>
    <m/>
    <s v="BF"/>
    <s v="MIX"/>
    <x v="2"/>
    <x v="2"/>
    <n v="1.0999999999999999E-2"/>
    <m/>
    <x v="0"/>
    <m/>
    <x v="2"/>
    <s v="M"/>
    <s v=""/>
    <m/>
    <n v="0"/>
    <m/>
    <n v="0"/>
    <m/>
    <n v="0"/>
    <n v="0"/>
    <n v="2"/>
    <n v="0"/>
    <n v="0"/>
    <n v="0"/>
    <n v="0"/>
    <n v="0"/>
    <n v="0"/>
    <n v="2"/>
    <n v="0"/>
    <n v="0"/>
    <n v="0"/>
    <n v="0"/>
    <n v="0"/>
    <n v="0"/>
    <n v="0"/>
    <n v="0"/>
    <n v="0"/>
    <n v="0"/>
    <n v="0"/>
    <n v="0"/>
    <n v="0"/>
    <n v="0"/>
    <n v="0"/>
    <n v="0"/>
    <n v="0"/>
    <n v="0"/>
    <x v="0"/>
    <x v="0"/>
    <x v="1"/>
    <n v="15"/>
    <m/>
    <n v="0.5"/>
    <n v="0.5"/>
    <n v="0.5"/>
    <n v="0.5"/>
    <m/>
    <m/>
    <m/>
    <m/>
    <m/>
    <m/>
    <m/>
    <m/>
    <m/>
    <m/>
    <m/>
    <m/>
    <m/>
    <m/>
    <m/>
    <n v="2"/>
    <n v="2"/>
  </r>
  <r>
    <n v="1563"/>
    <x v="1"/>
    <s v="2018/2123"/>
    <s v="28 Totterdown Street"/>
    <s v="extension to existing"/>
    <n v="527638"/>
    <n v="171599"/>
    <x v="3"/>
    <m/>
    <m/>
    <n v="0"/>
    <n v="1"/>
    <n v="1"/>
    <n v="4"/>
    <n v="1"/>
    <x v="1"/>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x v="0"/>
    <s v="Nil"/>
    <m/>
    <s v="BF"/>
    <s v="MIX"/>
    <x v="2"/>
    <x v="2"/>
    <n v="2E-3"/>
    <m/>
    <x v="0"/>
    <m/>
    <x v="2"/>
    <s v="M"/>
    <s v="5.2"/>
    <m/>
    <n v="0"/>
    <m/>
    <n v="0"/>
    <m/>
    <n v="0"/>
    <n v="0"/>
    <n v="1"/>
    <n v="0"/>
    <n v="0"/>
    <n v="0"/>
    <n v="0"/>
    <n v="0"/>
    <n v="0"/>
    <n v="1"/>
    <n v="0"/>
    <n v="0"/>
    <n v="0"/>
    <n v="0"/>
    <n v="0"/>
    <n v="0"/>
    <n v="0"/>
    <n v="0"/>
    <n v="0"/>
    <n v="0"/>
    <n v="0"/>
    <n v="0"/>
    <n v="0"/>
    <n v="0"/>
    <n v="0"/>
    <n v="0"/>
    <n v="0"/>
    <n v="0"/>
    <x v="2"/>
    <x v="0"/>
    <x v="3"/>
    <n v="15"/>
    <m/>
    <n v="0.25"/>
    <n v="0.25"/>
    <n v="0.25"/>
    <n v="0.25"/>
    <m/>
    <m/>
    <m/>
    <m/>
    <m/>
    <m/>
    <m/>
    <m/>
    <m/>
    <m/>
    <m/>
    <m/>
    <m/>
    <m/>
    <m/>
    <n v="1"/>
    <n v="1"/>
  </r>
  <r>
    <n v="6779"/>
    <x v="1"/>
    <s v="2018/0131"/>
    <s v="30 Oakhill Road"/>
    <s v="extension to existing"/>
    <n v="524846"/>
    <n v="174902"/>
    <x v="7"/>
    <m/>
    <m/>
    <n v="0"/>
    <n v="1"/>
    <n v="1"/>
    <n v="1"/>
    <n v="1"/>
    <x v="1"/>
    <s v="Enlargement of existing rear lightwell in connection with conversion of basement into1 x 2-bedroom flat"/>
    <s v="PF"/>
    <d v="2018-01-16T00:00:00"/>
    <d v="2018-05-29T00:00:00"/>
    <x v="0"/>
    <s v="Nil"/>
    <m/>
    <s v="BF"/>
    <s v="EXT"/>
    <x v="2"/>
    <x v="2"/>
    <n v="6.0000000000000001E-3"/>
    <m/>
    <x v="0"/>
    <m/>
    <x v="2"/>
    <s v="M"/>
    <s v=""/>
    <m/>
    <n v="0"/>
    <m/>
    <n v="0"/>
    <m/>
    <n v="0"/>
    <n v="0"/>
    <n v="1"/>
    <n v="0"/>
    <n v="0"/>
    <n v="0"/>
    <n v="0"/>
    <n v="0"/>
    <n v="0"/>
    <n v="1"/>
    <n v="0"/>
    <n v="0"/>
    <n v="0"/>
    <n v="0"/>
    <n v="0"/>
    <n v="0"/>
    <n v="0"/>
    <n v="0"/>
    <n v="0"/>
    <n v="0"/>
    <n v="0"/>
    <n v="0"/>
    <n v="0"/>
    <n v="0"/>
    <n v="0"/>
    <n v="0"/>
    <n v="0"/>
    <n v="0"/>
    <x v="0"/>
    <x v="0"/>
    <x v="1"/>
    <n v="15"/>
    <m/>
    <n v="0.25"/>
    <n v="0.25"/>
    <n v="0.25"/>
    <n v="0.25"/>
    <m/>
    <m/>
    <m/>
    <m/>
    <m/>
    <m/>
    <m/>
    <m/>
    <m/>
    <m/>
    <m/>
    <m/>
    <m/>
    <m/>
    <m/>
    <n v="1"/>
    <n v="1"/>
  </r>
  <r>
    <n v="7076"/>
    <x v="1"/>
    <s v="2019/1697"/>
    <s v="57-63 Tooting High Street"/>
    <s v="extn"/>
    <n v="527497"/>
    <n v="171501"/>
    <x v="3"/>
    <m/>
    <m/>
    <n v="0"/>
    <n v="4"/>
    <n v="4"/>
    <n v="11"/>
    <n v="4"/>
    <x v="0"/>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x v="0"/>
    <s v="Nil"/>
    <m/>
    <s v="BF"/>
    <s v="MIX"/>
    <x v="1"/>
    <x v="0"/>
    <n v="8.9999999999999993E-3"/>
    <m/>
    <x v="0"/>
    <m/>
    <x v="2"/>
    <s v="M"/>
    <s v="5.2"/>
    <m/>
    <n v="0"/>
    <m/>
    <n v="0"/>
    <m/>
    <n v="0"/>
    <n v="0"/>
    <n v="4"/>
    <n v="0"/>
    <n v="0"/>
    <n v="0"/>
    <n v="0"/>
    <n v="0"/>
    <n v="0"/>
    <n v="4"/>
    <n v="0"/>
    <n v="0"/>
    <n v="0"/>
    <n v="0"/>
    <n v="0"/>
    <n v="0"/>
    <n v="0"/>
    <n v="0"/>
    <n v="0"/>
    <n v="0"/>
    <n v="0"/>
    <n v="0"/>
    <n v="0"/>
    <n v="0"/>
    <n v="0"/>
    <n v="0"/>
    <n v="0"/>
    <n v="0"/>
    <x v="2"/>
    <x v="0"/>
    <x v="3"/>
    <n v="15"/>
    <m/>
    <n v="1"/>
    <n v="1"/>
    <n v="1"/>
    <n v="1"/>
    <m/>
    <m/>
    <m/>
    <m/>
    <m/>
    <m/>
    <m/>
    <m/>
    <m/>
    <m/>
    <m/>
    <m/>
    <m/>
    <m/>
    <m/>
    <n v="4"/>
    <n v="4"/>
  </r>
  <r>
    <n v="3154"/>
    <x v="1"/>
    <s v="2018/3525"/>
    <s v="216-218 Upper Tooting Road"/>
    <s v="extn to ex"/>
    <n v="527643"/>
    <n v="171818"/>
    <x v="9"/>
    <m/>
    <m/>
    <n v="0"/>
    <n v="3"/>
    <n v="3"/>
    <n v="7"/>
    <n v="5"/>
    <x v="1"/>
    <s v="Extensions and re-modelling of building adding two storeys to main building and 3/4 storeys at rear to form a 5 storey building consisting of seven flats (five additional flats) with formation of a roof terrace on top (5th) floor."/>
    <s v="PF"/>
    <d v="2018-07-13T00:00:00"/>
    <d v="2019-03-29T00:00:00"/>
    <x v="0"/>
    <s v="Nil"/>
    <m/>
    <s v="BF"/>
    <s v="EXT"/>
    <x v="2"/>
    <x v="2"/>
    <n v="4.0000000000000001E-3"/>
    <m/>
    <x v="0"/>
    <m/>
    <x v="2"/>
    <s v="M"/>
    <s v="5.1"/>
    <m/>
    <n v="0"/>
    <m/>
    <n v="0"/>
    <m/>
    <n v="0"/>
    <n v="3"/>
    <n v="0"/>
    <n v="0"/>
    <n v="0"/>
    <n v="0"/>
    <n v="0"/>
    <n v="0"/>
    <n v="3"/>
    <n v="0"/>
    <n v="0"/>
    <n v="0"/>
    <n v="0"/>
    <n v="0"/>
    <n v="0"/>
    <n v="0"/>
    <n v="0"/>
    <n v="0"/>
    <n v="0"/>
    <n v="0"/>
    <n v="0"/>
    <n v="0"/>
    <n v="0"/>
    <n v="0"/>
    <n v="0"/>
    <n v="0"/>
    <n v="0"/>
    <n v="0"/>
    <x v="2"/>
    <x v="0"/>
    <x v="3"/>
    <n v="15"/>
    <m/>
    <n v="0.75"/>
    <n v="0.75"/>
    <n v="0.75"/>
    <n v="0.75"/>
    <m/>
    <m/>
    <m/>
    <m/>
    <m/>
    <m/>
    <m/>
    <m/>
    <m/>
    <m/>
    <m/>
    <m/>
    <m/>
    <m/>
    <m/>
    <n v="3"/>
    <n v="3"/>
  </r>
  <r>
    <n v="7867"/>
    <x v="1"/>
    <s v="2022/2668"/>
    <s v="25 Coverton Road"/>
    <s v="Extn/Conv"/>
    <n v="527266"/>
    <n v="171375"/>
    <x v="3"/>
    <m/>
    <m/>
    <n v="2"/>
    <n v="4"/>
    <n v="2"/>
    <n v="4"/>
    <n v="2"/>
    <x v="1"/>
    <s v="Alterations including erection of mansard roof extension to the main rear roof (with French doors and safety railings) including raising ridge by 300mm and erection of roof extension above two storey back addition, erection of single-story rear/side extension, lowering of front first floor windows and replacement to front, rear and side windows, formation of rear roof terrace with 1.7m glazed screen surround over two storey back addition in connection with conversion of two flats to four flats; 1 x 3-bedroom, 1 x 2-bedroom, 1 x 1-bedroom and 1 x 1 bedroom/studio. Provision of refuse and cycle storage."/>
    <s v="PF"/>
    <d v="2022-06-24T00:00:00"/>
    <d v="2022-08-24T00:00:00"/>
    <x v="1"/>
    <s v="Nil"/>
    <m/>
    <s v="BF"/>
    <s v="MIX"/>
    <x v="2"/>
    <x v="2"/>
    <n v="6.5500000000000003E-3"/>
    <m/>
    <x v="0"/>
    <m/>
    <x v="2"/>
    <s v="M"/>
    <s v=""/>
    <m/>
    <n v="0"/>
    <m/>
    <n v="0"/>
    <m/>
    <n v="1"/>
    <n v="0"/>
    <n v="1"/>
    <n v="0"/>
    <n v="0"/>
    <n v="0"/>
    <n v="0"/>
    <n v="1"/>
    <n v="0"/>
    <n v="1"/>
    <n v="0"/>
    <n v="0"/>
    <n v="0"/>
    <n v="0"/>
    <n v="0"/>
    <n v="0"/>
    <n v="0"/>
    <n v="0"/>
    <n v="0"/>
    <n v="0"/>
    <n v="0"/>
    <n v="0"/>
    <n v="0"/>
    <n v="0"/>
    <n v="0"/>
    <n v="0"/>
    <n v="0"/>
    <n v="0"/>
    <x v="0"/>
    <x v="0"/>
    <x v="3"/>
    <n v="15"/>
    <m/>
    <n v="0.5"/>
    <n v="0.5"/>
    <n v="0.5"/>
    <n v="0.5"/>
    <m/>
    <m/>
    <m/>
    <m/>
    <m/>
    <m/>
    <m/>
    <m/>
    <m/>
    <m/>
    <m/>
    <m/>
    <m/>
    <m/>
    <m/>
    <n v="2"/>
    <n v="2"/>
  </r>
  <r>
    <n v="4797"/>
    <x v="1"/>
    <s v="2014/3470"/>
    <s v="Unit 25-28 Ransomes Dock, 35-37 Parkgate Road (Ransomes Dock Business Centre)"/>
    <s v="Flat 12"/>
    <n v="527293"/>
    <n v="177185"/>
    <x v="17"/>
    <d v="2014-08-19T00:00:00"/>
    <m/>
    <n v="0"/>
    <n v="1"/>
    <n v="1"/>
    <n v="2"/>
    <n v="2"/>
    <x v="1"/>
    <s v="Change of use of 232 sqm of floorspace at third floor level from Office (Class B1a) to Residential use (Class C3) to provide two flats."/>
    <s v="PAG"/>
    <d v="2014-06-24T00:00:00"/>
    <d v="2014-08-19T00:00:00"/>
    <x v="0"/>
    <s v="Nil"/>
    <m/>
    <s v="BF"/>
    <s v="COU"/>
    <x v="2"/>
    <x v="6"/>
    <n v="7.0000000000000001E-3"/>
    <m/>
    <x v="0"/>
    <m/>
    <x v="2"/>
    <s v="M"/>
    <s v=""/>
    <m/>
    <n v="0"/>
    <m/>
    <n v="0"/>
    <m/>
    <n v="0"/>
    <n v="0"/>
    <n v="0"/>
    <n v="1"/>
    <n v="0"/>
    <n v="0"/>
    <n v="0"/>
    <n v="0"/>
    <n v="0"/>
    <n v="0"/>
    <n v="1"/>
    <n v="0"/>
    <n v="0"/>
    <n v="0"/>
    <n v="0"/>
    <n v="0"/>
    <n v="0"/>
    <n v="0"/>
    <n v="0"/>
    <n v="0"/>
    <n v="0"/>
    <n v="0"/>
    <n v="0"/>
    <n v="0"/>
    <n v="0"/>
    <n v="0"/>
    <n v="0"/>
    <n v="0"/>
    <x v="0"/>
    <x v="0"/>
    <x v="8"/>
    <n v="15"/>
    <m/>
    <n v="0.25"/>
    <n v="0.25"/>
    <n v="0.25"/>
    <n v="0.25"/>
    <m/>
    <m/>
    <m/>
    <m/>
    <m/>
    <m/>
    <m/>
    <m/>
    <m/>
    <m/>
    <m/>
    <m/>
    <m/>
    <m/>
    <m/>
    <n v="1"/>
    <n v="1"/>
  </r>
  <r>
    <n v="6628"/>
    <x v="1"/>
    <s v="2022/2881"/>
    <s v="66 Alton Road"/>
    <s v="Flats (Conversion/Extention)"/>
    <n v="522237"/>
    <n v="173213"/>
    <x v="16"/>
    <m/>
    <m/>
    <n v="3"/>
    <n v="6"/>
    <n v="3"/>
    <n v="8"/>
    <n v="5"/>
    <x v="1"/>
    <s v="Refurbishment and reconfiguration of existing building with extensions to the sides and rear (with associated lightwells) to provide 6 no. flats (2 x 1 bed, 1 x 2 bed, 3 x 3 bed) and the provision of a 2 no. two-storey cottages (2 x 2 bed) to the rear of the site with associated landscaping"/>
    <s v="PF"/>
    <d v="2022-07-08T00:00:00"/>
    <d v="2022-11-23T00:00:00"/>
    <x v="1"/>
    <s v="Nil"/>
    <m/>
    <s v="BF"/>
    <s v="MIX"/>
    <x v="2"/>
    <x v="2"/>
    <n v="1.4999999999999999E-2"/>
    <m/>
    <x v="0"/>
    <m/>
    <x v="2"/>
    <s v="M"/>
    <s v=""/>
    <m/>
    <n v="0"/>
    <m/>
    <n v="0"/>
    <m/>
    <n v="0"/>
    <n v="2"/>
    <n v="1"/>
    <n v="0"/>
    <n v="0"/>
    <n v="0"/>
    <n v="0"/>
    <n v="0"/>
    <n v="2"/>
    <n v="1"/>
    <n v="0"/>
    <n v="0"/>
    <n v="0"/>
    <n v="0"/>
    <n v="0"/>
    <n v="0"/>
    <n v="0"/>
    <n v="0"/>
    <n v="0"/>
    <n v="0"/>
    <n v="0"/>
    <n v="0"/>
    <n v="0"/>
    <n v="0"/>
    <n v="0"/>
    <n v="0"/>
    <n v="0"/>
    <n v="0"/>
    <x v="0"/>
    <x v="0"/>
    <x v="1"/>
    <n v="15"/>
    <m/>
    <m/>
    <m/>
    <n v="3"/>
    <m/>
    <m/>
    <m/>
    <m/>
    <m/>
    <m/>
    <m/>
    <m/>
    <m/>
    <m/>
    <m/>
    <m/>
    <m/>
    <m/>
    <m/>
    <m/>
    <n v="3"/>
    <n v="3"/>
  </r>
  <r>
    <n v="7298"/>
    <x v="1"/>
    <s v="2019/4666"/>
    <s v="206 Mitcham Road"/>
    <s v="Flats x 8"/>
    <n v="527967"/>
    <n v="170922"/>
    <x v="3"/>
    <m/>
    <m/>
    <n v="4"/>
    <n v="8"/>
    <n v="4"/>
    <n v="9"/>
    <n v="5"/>
    <x v="1"/>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x v="0"/>
    <s v="Nil"/>
    <m/>
    <s v="BF"/>
    <s v="NB"/>
    <x v="2"/>
    <x v="1"/>
    <n v="4.2999999999999997E-2"/>
    <m/>
    <x v="0"/>
    <m/>
    <x v="2"/>
    <s v="M"/>
    <s v=""/>
    <m/>
    <n v="0"/>
    <m/>
    <n v="0"/>
    <m/>
    <n v="-3"/>
    <n v="3"/>
    <n v="2"/>
    <n v="2"/>
    <n v="0"/>
    <n v="0"/>
    <n v="0"/>
    <n v="-3"/>
    <n v="3"/>
    <n v="2"/>
    <n v="2"/>
    <n v="0"/>
    <n v="0"/>
    <n v="0"/>
    <n v="0"/>
    <n v="0"/>
    <n v="0"/>
    <n v="0"/>
    <n v="0"/>
    <n v="0"/>
    <n v="0"/>
    <n v="0"/>
    <n v="0"/>
    <n v="0"/>
    <n v="0"/>
    <n v="0"/>
    <n v="0"/>
    <n v="0"/>
    <x v="0"/>
    <x v="0"/>
    <x v="1"/>
    <n v="7"/>
    <m/>
    <m/>
    <n v="1"/>
    <n v="1"/>
    <n v="1"/>
    <n v="1"/>
    <m/>
    <m/>
    <m/>
    <m/>
    <m/>
    <m/>
    <m/>
    <m/>
    <m/>
    <m/>
    <m/>
    <m/>
    <m/>
    <m/>
    <n v="4"/>
    <n v="4"/>
  </r>
  <r>
    <n v="7463"/>
    <x v="1"/>
    <s v="2020/5015"/>
    <s v="7a Putney Bridge Road"/>
    <s v="Front Building"/>
    <n v="525270"/>
    <n v="174719"/>
    <x v="7"/>
    <d v="2022-08-19T00:00:00"/>
    <m/>
    <n v="0"/>
    <n v="5"/>
    <n v="5"/>
    <n v="9"/>
    <n v="9"/>
    <x v="1"/>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x v="0"/>
    <s v="Nil"/>
    <m/>
    <s v="BF"/>
    <s v="NB"/>
    <x v="2"/>
    <x v="1"/>
    <n v="2.5000000000000001E-2"/>
    <m/>
    <x v="0"/>
    <m/>
    <x v="2"/>
    <s v="M"/>
    <s v=""/>
    <m/>
    <n v="0"/>
    <m/>
    <n v="0"/>
    <m/>
    <n v="2"/>
    <n v="2"/>
    <n v="1"/>
    <n v="0"/>
    <n v="0"/>
    <n v="0"/>
    <n v="0"/>
    <n v="2"/>
    <n v="2"/>
    <n v="1"/>
    <n v="0"/>
    <n v="0"/>
    <n v="0"/>
    <n v="0"/>
    <n v="0"/>
    <n v="0"/>
    <n v="0"/>
    <n v="0"/>
    <n v="0"/>
    <n v="0"/>
    <n v="0"/>
    <n v="0"/>
    <n v="0"/>
    <n v="0"/>
    <n v="0"/>
    <n v="0"/>
    <n v="0"/>
    <n v="0"/>
    <x v="0"/>
    <x v="0"/>
    <x v="0"/>
    <n v="8"/>
    <m/>
    <m/>
    <n v="5"/>
    <m/>
    <m/>
    <m/>
    <m/>
    <m/>
    <m/>
    <m/>
    <m/>
    <m/>
    <m/>
    <m/>
    <m/>
    <m/>
    <m/>
    <m/>
    <m/>
    <m/>
    <n v="5"/>
    <n v="5"/>
  </r>
  <r>
    <n v="7298"/>
    <x v="1"/>
    <s v="2019/4666"/>
    <s v="206 Mitcham Road"/>
    <s v="House"/>
    <n v="527967"/>
    <n v="170922"/>
    <x v="3"/>
    <m/>
    <m/>
    <n v="0"/>
    <n v="1"/>
    <n v="1"/>
    <n v="9"/>
    <n v="5"/>
    <x v="1"/>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x v="0"/>
    <s v="Nil"/>
    <m/>
    <s v="BF"/>
    <s v="NB"/>
    <x v="2"/>
    <x v="1"/>
    <n v="1.0999999999999999E-2"/>
    <m/>
    <x v="0"/>
    <m/>
    <x v="2"/>
    <s v="M"/>
    <s v=""/>
    <m/>
    <n v="0"/>
    <m/>
    <n v="0"/>
    <m/>
    <n v="0"/>
    <n v="0"/>
    <n v="0"/>
    <n v="1"/>
    <n v="0"/>
    <n v="0"/>
    <n v="0"/>
    <n v="0"/>
    <n v="0"/>
    <n v="0"/>
    <n v="0"/>
    <n v="0"/>
    <n v="0"/>
    <n v="0"/>
    <n v="0"/>
    <n v="0"/>
    <n v="0"/>
    <n v="1"/>
    <n v="0"/>
    <n v="0"/>
    <n v="0"/>
    <n v="0"/>
    <n v="0"/>
    <n v="0"/>
    <n v="0"/>
    <n v="0"/>
    <n v="0"/>
    <n v="0"/>
    <x v="0"/>
    <x v="0"/>
    <x v="1"/>
    <n v="7"/>
    <m/>
    <m/>
    <n v="0.25"/>
    <n v="0.25"/>
    <n v="0.25"/>
    <n v="0.25"/>
    <m/>
    <m/>
    <m/>
    <m/>
    <m/>
    <m/>
    <m/>
    <m/>
    <m/>
    <m/>
    <m/>
    <m/>
    <m/>
    <m/>
    <n v="1"/>
    <n v="1"/>
  </r>
  <r>
    <n v="7350"/>
    <x v="1"/>
    <s v="2021/5328"/>
    <s v="Garages at, 143 Byrne Road"/>
    <s v="House 1"/>
    <n v="529158"/>
    <n v="172857"/>
    <x v="8"/>
    <d v="2023-03-01T00:00:00"/>
    <m/>
    <n v="0"/>
    <n v="1"/>
    <n v="1"/>
    <n v="3"/>
    <n v="3"/>
    <x v="1"/>
    <s v="[REVISED] Demolition of existing single-storey garage and the erection of a 1 x 3-bedroom two-storey house and 2 x 2-bedroom single-storey properties to rear."/>
    <s v="PF"/>
    <d v="2022-03-25T00:00:00"/>
    <d v="2022-07-29T00:00:00"/>
    <x v="1"/>
    <s v="Nil"/>
    <m/>
    <s v="BF"/>
    <s v="NB"/>
    <x v="2"/>
    <x v="1"/>
    <n v="5.7499999999999999E-3"/>
    <m/>
    <x v="0"/>
    <m/>
    <x v="2"/>
    <s v="M"/>
    <s v=""/>
    <m/>
    <n v="0"/>
    <m/>
    <n v="0"/>
    <m/>
    <n v="0"/>
    <n v="0"/>
    <n v="0"/>
    <n v="1"/>
    <n v="0"/>
    <n v="0"/>
    <n v="0"/>
    <n v="0"/>
    <n v="0"/>
    <n v="0"/>
    <n v="0"/>
    <n v="0"/>
    <n v="0"/>
    <n v="0"/>
    <n v="0"/>
    <n v="0"/>
    <n v="0"/>
    <n v="1"/>
    <n v="0"/>
    <n v="0"/>
    <n v="0"/>
    <n v="0"/>
    <n v="0"/>
    <n v="0"/>
    <n v="0"/>
    <n v="0"/>
    <n v="0"/>
    <n v="0"/>
    <x v="0"/>
    <x v="0"/>
    <x v="1"/>
    <n v="7"/>
    <m/>
    <m/>
    <n v="0.25"/>
    <n v="0.25"/>
    <n v="0.25"/>
    <n v="0.25"/>
    <m/>
    <m/>
    <m/>
    <m/>
    <m/>
    <m/>
    <m/>
    <m/>
    <m/>
    <m/>
    <m/>
    <m/>
    <m/>
    <m/>
    <n v="1"/>
    <n v="1"/>
  </r>
  <r>
    <n v="7838"/>
    <x v="1"/>
    <s v="2022/1764"/>
    <s v="Land adjacent to, 28 Kingsclere Close"/>
    <s v="House 1, 3-storey"/>
    <n v="522109"/>
    <n v="173890"/>
    <x v="16"/>
    <m/>
    <m/>
    <n v="0"/>
    <n v="1"/>
    <n v="1"/>
    <n v="3"/>
    <n v="3"/>
    <x v="1"/>
    <s v="Erection of 3 x houses."/>
    <s v="PIPD"/>
    <d v="2022-05-05T00:00:00"/>
    <d v="2022-09-08T00:00:00"/>
    <x v="1"/>
    <s v="Nil"/>
    <m/>
    <s v="BF"/>
    <s v="NB"/>
    <x v="2"/>
    <x v="1"/>
    <n v="4.0000000000000001E-3"/>
    <m/>
    <x v="0"/>
    <m/>
    <x v="2"/>
    <s v="M"/>
    <s v=""/>
    <m/>
    <n v="0"/>
    <m/>
    <n v="0"/>
    <m/>
    <n v="0"/>
    <n v="0"/>
    <n v="0"/>
    <n v="0"/>
    <n v="0"/>
    <n v="0"/>
    <n v="1"/>
    <n v="0"/>
    <n v="0"/>
    <n v="0"/>
    <n v="0"/>
    <n v="0"/>
    <n v="0"/>
    <n v="0"/>
    <n v="0"/>
    <n v="0"/>
    <n v="0"/>
    <n v="0"/>
    <n v="0"/>
    <n v="0"/>
    <n v="1"/>
    <n v="0"/>
    <n v="0"/>
    <n v="0"/>
    <n v="0"/>
    <n v="0"/>
    <n v="0"/>
    <n v="0"/>
    <x v="0"/>
    <x v="0"/>
    <x v="9"/>
    <n v="7"/>
    <m/>
    <m/>
    <n v="0.25"/>
    <n v="0.25"/>
    <n v="0.25"/>
    <n v="0.25"/>
    <m/>
    <m/>
    <m/>
    <m/>
    <m/>
    <m/>
    <m/>
    <m/>
    <m/>
    <m/>
    <m/>
    <m/>
    <m/>
    <m/>
    <n v="1"/>
    <n v="1"/>
  </r>
  <r>
    <n v="7350"/>
    <x v="1"/>
    <s v="2021/5328"/>
    <s v="Garages at, 143 Byrne Road"/>
    <s v="House 2"/>
    <n v="529158"/>
    <n v="172857"/>
    <x v="8"/>
    <d v="2023-03-01T00:00:00"/>
    <m/>
    <n v="0"/>
    <n v="1"/>
    <n v="1"/>
    <n v="3"/>
    <n v="3"/>
    <x v="1"/>
    <s v="[REVISED] Demolition of existing single-storey garage and the erection of a 1 x 3-bedroom two-storey house and 2 x 2-bedroom single-storey properties to rear."/>
    <s v="PF"/>
    <d v="2022-03-25T00:00:00"/>
    <d v="2022-07-29T00:00:00"/>
    <x v="1"/>
    <s v="Nil"/>
    <m/>
    <s v="BF"/>
    <s v="NB"/>
    <x v="2"/>
    <x v="1"/>
    <n v="8.0000000000000002E-3"/>
    <m/>
    <x v="0"/>
    <m/>
    <x v="2"/>
    <s v="M"/>
    <s v=""/>
    <m/>
    <n v="0"/>
    <m/>
    <n v="0"/>
    <m/>
    <n v="0"/>
    <n v="0"/>
    <n v="1"/>
    <n v="0"/>
    <n v="0"/>
    <n v="0"/>
    <n v="0"/>
    <n v="0"/>
    <n v="0"/>
    <n v="0"/>
    <n v="0"/>
    <n v="0"/>
    <n v="0"/>
    <n v="0"/>
    <n v="0"/>
    <n v="0"/>
    <n v="1"/>
    <n v="0"/>
    <n v="0"/>
    <n v="0"/>
    <n v="0"/>
    <n v="0"/>
    <n v="0"/>
    <n v="0"/>
    <n v="0"/>
    <n v="0"/>
    <n v="0"/>
    <n v="0"/>
    <x v="0"/>
    <x v="0"/>
    <x v="1"/>
    <n v="7"/>
    <m/>
    <m/>
    <n v="0.25"/>
    <n v="0.25"/>
    <n v="0.25"/>
    <n v="0.25"/>
    <m/>
    <m/>
    <m/>
    <m/>
    <m/>
    <m/>
    <m/>
    <m/>
    <m/>
    <m/>
    <m/>
    <m/>
    <m/>
    <m/>
    <n v="1"/>
    <n v="1"/>
  </r>
  <r>
    <n v="7838"/>
    <x v="1"/>
    <s v="2022/1764"/>
    <s v="Land adjacent to, 28 Kingsclere Close"/>
    <s v="House 2, 2-storey"/>
    <n v="522109"/>
    <n v="173890"/>
    <x v="16"/>
    <m/>
    <m/>
    <n v="0"/>
    <n v="1"/>
    <n v="1"/>
    <n v="3"/>
    <n v="3"/>
    <x v="1"/>
    <s v="Erection of 3 x houses."/>
    <s v="PIPD"/>
    <d v="2022-05-05T00:00:00"/>
    <d v="2022-09-08T00:00:00"/>
    <x v="1"/>
    <s v="Nil"/>
    <m/>
    <s v="BF"/>
    <s v="NB"/>
    <x v="2"/>
    <x v="1"/>
    <n v="4.0000000000000001E-3"/>
    <m/>
    <x v="0"/>
    <m/>
    <x v="2"/>
    <s v="M"/>
    <s v=""/>
    <m/>
    <n v="0"/>
    <m/>
    <n v="0"/>
    <m/>
    <n v="0"/>
    <n v="0"/>
    <n v="0"/>
    <n v="0"/>
    <n v="0"/>
    <n v="0"/>
    <n v="1"/>
    <n v="0"/>
    <n v="0"/>
    <n v="0"/>
    <n v="0"/>
    <n v="0"/>
    <n v="0"/>
    <n v="0"/>
    <n v="0"/>
    <n v="0"/>
    <n v="0"/>
    <n v="0"/>
    <n v="0"/>
    <n v="0"/>
    <n v="1"/>
    <n v="0"/>
    <n v="0"/>
    <n v="0"/>
    <n v="0"/>
    <n v="0"/>
    <n v="0"/>
    <n v="0"/>
    <x v="0"/>
    <x v="0"/>
    <x v="9"/>
    <n v="7"/>
    <m/>
    <m/>
    <n v="0.25"/>
    <n v="0.25"/>
    <n v="0.25"/>
    <n v="0.25"/>
    <m/>
    <m/>
    <m/>
    <m/>
    <m/>
    <m/>
    <m/>
    <m/>
    <m/>
    <m/>
    <m/>
    <m/>
    <m/>
    <m/>
    <n v="1"/>
    <n v="1"/>
  </r>
  <r>
    <n v="7350"/>
    <x v="1"/>
    <s v="2021/5328"/>
    <s v="Garages at, 143 Byrne Road"/>
    <s v="House 3"/>
    <n v="529158"/>
    <n v="172857"/>
    <x v="8"/>
    <d v="2023-03-01T00:00:00"/>
    <m/>
    <n v="0"/>
    <n v="1"/>
    <n v="1"/>
    <n v="3"/>
    <n v="3"/>
    <x v="1"/>
    <s v="[REVISED] Demolition of existing single-storey garage and the erection of a 1 x 3-bedroom two-storey house and 2 x 2-bedroom single-storey properties to rear."/>
    <s v="PF"/>
    <d v="2022-03-25T00:00:00"/>
    <d v="2022-07-29T00:00:00"/>
    <x v="1"/>
    <s v="Nil"/>
    <m/>
    <s v="BF"/>
    <s v="NB"/>
    <x v="2"/>
    <x v="1"/>
    <n v="6.1999999999999998E-3"/>
    <m/>
    <x v="0"/>
    <m/>
    <x v="2"/>
    <s v="M"/>
    <s v=""/>
    <m/>
    <n v="0"/>
    <m/>
    <n v="0"/>
    <m/>
    <n v="0"/>
    <n v="0"/>
    <n v="1"/>
    <n v="0"/>
    <n v="0"/>
    <n v="0"/>
    <n v="0"/>
    <n v="0"/>
    <n v="0"/>
    <n v="0"/>
    <n v="0"/>
    <n v="0"/>
    <n v="0"/>
    <n v="0"/>
    <n v="0"/>
    <n v="0"/>
    <n v="1"/>
    <n v="0"/>
    <n v="0"/>
    <n v="0"/>
    <n v="0"/>
    <n v="0"/>
    <n v="0"/>
    <n v="0"/>
    <n v="0"/>
    <n v="0"/>
    <n v="0"/>
    <n v="0"/>
    <x v="0"/>
    <x v="0"/>
    <x v="1"/>
    <n v="7"/>
    <m/>
    <m/>
    <n v="0.25"/>
    <n v="0.25"/>
    <n v="0.25"/>
    <n v="0.25"/>
    <m/>
    <m/>
    <m/>
    <m/>
    <m/>
    <m/>
    <m/>
    <m/>
    <m/>
    <m/>
    <m/>
    <m/>
    <m/>
    <m/>
    <n v="1"/>
    <n v="1"/>
  </r>
  <r>
    <n v="7838"/>
    <x v="1"/>
    <s v="2022/1764"/>
    <s v="Land adjacent to, 28 Kingsclere Close"/>
    <s v="House 3, 2-storey"/>
    <n v="522109"/>
    <n v="173890"/>
    <x v="16"/>
    <m/>
    <m/>
    <n v="0"/>
    <n v="1"/>
    <n v="1"/>
    <n v="3"/>
    <n v="3"/>
    <x v="1"/>
    <s v="Erection of 3 x houses."/>
    <s v="PIPD"/>
    <d v="2022-05-05T00:00:00"/>
    <d v="2022-09-08T00:00:00"/>
    <x v="1"/>
    <s v="Nil"/>
    <m/>
    <s v="BF"/>
    <s v="NB"/>
    <x v="2"/>
    <x v="1"/>
    <n v="4.0000000000000001E-3"/>
    <m/>
    <x v="0"/>
    <m/>
    <x v="2"/>
    <s v="M"/>
    <s v=""/>
    <m/>
    <n v="0"/>
    <m/>
    <n v="0"/>
    <m/>
    <n v="0"/>
    <n v="0"/>
    <n v="0"/>
    <n v="0"/>
    <n v="0"/>
    <n v="0"/>
    <n v="1"/>
    <n v="0"/>
    <n v="0"/>
    <n v="0"/>
    <n v="0"/>
    <n v="0"/>
    <n v="0"/>
    <n v="0"/>
    <n v="0"/>
    <n v="0"/>
    <n v="0"/>
    <n v="0"/>
    <n v="0"/>
    <n v="0"/>
    <n v="1"/>
    <n v="0"/>
    <n v="0"/>
    <n v="0"/>
    <n v="0"/>
    <n v="0"/>
    <n v="0"/>
    <n v="0"/>
    <x v="0"/>
    <x v="0"/>
    <x v="9"/>
    <n v="7"/>
    <m/>
    <m/>
    <n v="0.25"/>
    <n v="0.25"/>
    <n v="0.25"/>
    <n v="0.25"/>
    <m/>
    <m/>
    <m/>
    <m/>
    <m/>
    <m/>
    <m/>
    <m/>
    <m/>
    <m/>
    <m/>
    <m/>
    <m/>
    <m/>
    <n v="1"/>
    <n v="1"/>
  </r>
  <r>
    <n v="6526"/>
    <x v="1"/>
    <s v="2017/0535"/>
    <s v="Land west of 86-96, Garratt Lane"/>
    <s v="Intermediate"/>
    <n v="525688"/>
    <n v="174300"/>
    <x v="6"/>
    <m/>
    <m/>
    <n v="0"/>
    <n v="10"/>
    <n v="10"/>
    <n v="27"/>
    <n v="27"/>
    <x v="0"/>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x v="0"/>
    <s v="Nil"/>
    <m/>
    <s v="BF"/>
    <s v="NB"/>
    <x v="0"/>
    <x v="0"/>
    <n v="6.7000000000000004E-2"/>
    <m/>
    <x v="0"/>
    <m/>
    <x v="0"/>
    <s v="ISD"/>
    <s v=""/>
    <m/>
    <n v="10"/>
    <m/>
    <n v="1"/>
    <m/>
    <n v="3"/>
    <n v="7"/>
    <n v="0"/>
    <n v="0"/>
    <n v="0"/>
    <n v="0"/>
    <n v="0"/>
    <n v="3"/>
    <n v="7"/>
    <n v="0"/>
    <n v="0"/>
    <n v="0"/>
    <n v="0"/>
    <n v="0"/>
    <n v="0"/>
    <n v="0"/>
    <n v="0"/>
    <n v="0"/>
    <n v="0"/>
    <n v="0"/>
    <n v="0"/>
    <n v="0"/>
    <n v="0"/>
    <n v="0"/>
    <n v="0"/>
    <n v="0"/>
    <n v="0"/>
    <n v="0"/>
    <x v="3"/>
    <x v="0"/>
    <x v="0"/>
    <n v="10"/>
    <m/>
    <m/>
    <m/>
    <m/>
    <n v="3.3333333333333335"/>
    <n v="3.3333333333333335"/>
    <n v="3.3333333333333335"/>
    <m/>
    <m/>
    <m/>
    <m/>
    <m/>
    <m/>
    <m/>
    <m/>
    <m/>
    <m/>
    <m/>
    <m/>
    <m/>
    <n v="6.666666666666667"/>
    <n v="10"/>
  </r>
  <r>
    <n v="7835"/>
    <x v="1"/>
    <s v="2022/1694"/>
    <s v="223 Balham High Road"/>
    <s v="LDN Affordable Rent"/>
    <n v="528255"/>
    <n v="172659"/>
    <x v="8"/>
    <m/>
    <m/>
    <n v="0"/>
    <n v="5"/>
    <n v="5"/>
    <n v="42"/>
    <n v="42"/>
    <x v="0"/>
    <s v="Demolition of existing ground floor commercial unit and erection of a part 3/4/5 storey building with basement to provide commercial (Class E) on the basement and front ground floor and 42 residential units (Class C3) to the rear ground floor and above with private and communal amenity spaces. Provision of cycle storage, refuse storage and landscaping."/>
    <s v="PFLA"/>
    <d v="2022-04-25T00:00:00"/>
    <d v="2023-03-08T00:00:00"/>
    <x v="1"/>
    <s v="Nil"/>
    <m/>
    <s v="BF"/>
    <s v="NB"/>
    <x v="0"/>
    <x v="0"/>
    <n v="4.6600000000000003E-2"/>
    <m/>
    <x v="0"/>
    <m/>
    <x v="1"/>
    <s v="AL"/>
    <s v=""/>
    <m/>
    <n v="0"/>
    <m/>
    <n v="0"/>
    <m/>
    <n v="0"/>
    <n v="0"/>
    <n v="0"/>
    <n v="5"/>
    <n v="0"/>
    <n v="0"/>
    <n v="0"/>
    <n v="0"/>
    <n v="0"/>
    <n v="0"/>
    <n v="5"/>
    <n v="0"/>
    <n v="0"/>
    <n v="0"/>
    <n v="0"/>
    <n v="0"/>
    <n v="0"/>
    <n v="0"/>
    <n v="0"/>
    <n v="0"/>
    <n v="0"/>
    <n v="0"/>
    <n v="0"/>
    <n v="0"/>
    <n v="0"/>
    <n v="0"/>
    <n v="0"/>
    <n v="0"/>
    <x v="0"/>
    <x v="0"/>
    <x v="1"/>
    <n v="8"/>
    <m/>
    <m/>
    <m/>
    <n v="5"/>
    <m/>
    <m/>
    <m/>
    <m/>
    <m/>
    <m/>
    <m/>
    <m/>
    <m/>
    <m/>
    <m/>
    <m/>
    <m/>
    <m/>
    <m/>
    <m/>
    <n v="5"/>
    <n v="5"/>
  </r>
  <r>
    <n v="5044"/>
    <x v="1"/>
    <s v="2020/1615"/>
    <s v="329-339 &amp; 45-53 Putney Bridge Road &amp; Putney High Street, Putney Bridge Road (The Blades)"/>
    <s v="Levellers Court (ISO)"/>
    <n v="524136"/>
    <n v="175435"/>
    <x v="0"/>
    <d v="2022-07-06T00:00:00"/>
    <m/>
    <n v="0"/>
    <n v="33"/>
    <n v="33"/>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0"/>
    <s v="Nil"/>
    <m/>
    <s v="BF"/>
    <s v="NB"/>
    <x v="0"/>
    <x v="0"/>
    <n v="8.1000000000000003E-2"/>
    <m/>
    <x v="0"/>
    <m/>
    <x v="0"/>
    <s v="ISO"/>
    <s v="6.1.3"/>
    <m/>
    <n v="0"/>
    <m/>
    <n v="0"/>
    <n v="4"/>
    <n v="0"/>
    <n v="13"/>
    <n v="20"/>
    <n v="0"/>
    <n v="0"/>
    <n v="0"/>
    <n v="0"/>
    <n v="0"/>
    <n v="13"/>
    <n v="20"/>
    <n v="0"/>
    <n v="0"/>
    <n v="0"/>
    <n v="0"/>
    <n v="0"/>
    <n v="0"/>
    <n v="0"/>
    <n v="0"/>
    <n v="0"/>
    <n v="0"/>
    <n v="0"/>
    <n v="0"/>
    <n v="0"/>
    <n v="0"/>
    <n v="0"/>
    <n v="0"/>
    <n v="0"/>
    <n v="0"/>
    <x v="4"/>
    <x v="0"/>
    <x v="4"/>
    <n v="10"/>
    <m/>
    <m/>
    <m/>
    <m/>
    <n v="11"/>
    <n v="11"/>
    <n v="11"/>
    <m/>
    <m/>
    <m/>
    <m/>
    <m/>
    <m/>
    <m/>
    <m/>
    <m/>
    <m/>
    <m/>
    <m/>
    <m/>
    <n v="22"/>
    <n v="33"/>
  </r>
  <r>
    <n v="5044"/>
    <x v="1"/>
    <s v="2020/1615"/>
    <s v="329-339 &amp; 45-53 Putney Bridge Road &amp; Putney High Street, Putney Bridge Road (The Blades)"/>
    <s v="Levellers Court (private)"/>
    <n v="524136"/>
    <n v="175435"/>
    <x v="0"/>
    <d v="2022-07-06T00:00:00"/>
    <m/>
    <n v="2"/>
    <n v="82"/>
    <n v="80"/>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0"/>
    <s v="Nil"/>
    <m/>
    <s v="BF"/>
    <s v="NB"/>
    <x v="0"/>
    <x v="0"/>
    <n v="0.19600000000000001"/>
    <m/>
    <x v="0"/>
    <m/>
    <x v="2"/>
    <s v="M"/>
    <s v="6.1.3"/>
    <m/>
    <n v="0"/>
    <m/>
    <n v="0"/>
    <n v="8"/>
    <n v="0"/>
    <n v="23"/>
    <n v="29"/>
    <n v="28"/>
    <n v="0"/>
    <n v="0"/>
    <n v="0"/>
    <n v="0"/>
    <n v="23"/>
    <n v="29"/>
    <n v="28"/>
    <n v="0"/>
    <n v="0"/>
    <n v="0"/>
    <n v="0"/>
    <n v="0"/>
    <n v="0"/>
    <n v="0"/>
    <n v="0"/>
    <n v="0"/>
    <n v="0"/>
    <n v="0"/>
    <n v="0"/>
    <n v="0"/>
    <n v="0"/>
    <n v="0"/>
    <n v="0"/>
    <n v="0"/>
    <x v="4"/>
    <x v="0"/>
    <x v="4"/>
    <n v="10"/>
    <m/>
    <m/>
    <m/>
    <m/>
    <n v="26.666666666666668"/>
    <n v="26.666666666666668"/>
    <n v="26.666666666666668"/>
    <m/>
    <m/>
    <m/>
    <m/>
    <m/>
    <m/>
    <m/>
    <m/>
    <m/>
    <m/>
    <m/>
    <m/>
    <m/>
    <n v="53.333333333333336"/>
    <n v="80"/>
  </r>
  <r>
    <n v="5044"/>
    <x v="1"/>
    <s v="2020/1615"/>
    <s v="329-339 &amp; 45-53 Putney Bridge Road &amp; Putney High Street, Putney Bridge Road (The Blades)"/>
    <s v="Levellers Mews"/>
    <n v="524136"/>
    <n v="175435"/>
    <x v="0"/>
    <d v="2022-07-06T00:00:00"/>
    <m/>
    <n v="0"/>
    <n v="8"/>
    <n v="8"/>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0"/>
    <s v="Nil"/>
    <m/>
    <s v="BF"/>
    <s v="NB"/>
    <x v="0"/>
    <x v="0"/>
    <n v="6.6000000000000003E-2"/>
    <m/>
    <x v="0"/>
    <m/>
    <x v="2"/>
    <s v="M"/>
    <s v="6.1.3"/>
    <m/>
    <n v="0"/>
    <m/>
    <n v="0"/>
    <m/>
    <n v="0"/>
    <n v="0"/>
    <n v="8"/>
    <n v="0"/>
    <n v="0"/>
    <n v="0"/>
    <n v="0"/>
    <n v="0"/>
    <n v="0"/>
    <n v="0"/>
    <n v="0"/>
    <n v="0"/>
    <n v="0"/>
    <n v="0"/>
    <n v="0"/>
    <n v="0"/>
    <n v="8"/>
    <n v="0"/>
    <n v="0"/>
    <n v="0"/>
    <n v="0"/>
    <n v="0"/>
    <n v="0"/>
    <n v="0"/>
    <n v="0"/>
    <n v="0"/>
    <n v="0"/>
    <n v="0"/>
    <x v="4"/>
    <x v="0"/>
    <x v="4"/>
    <n v="10"/>
    <m/>
    <m/>
    <m/>
    <m/>
    <n v="2.6666666666666665"/>
    <n v="2.6666666666666665"/>
    <n v="2.6666666666666665"/>
    <m/>
    <m/>
    <m/>
    <m/>
    <m/>
    <m/>
    <m/>
    <m/>
    <m/>
    <m/>
    <m/>
    <m/>
    <m/>
    <n v="5.333333333333333"/>
    <n v="8"/>
  </r>
  <r>
    <n v="7835"/>
    <x v="1"/>
    <s v="2022/1694"/>
    <s v="223 Balham High Road"/>
    <s v="Market"/>
    <n v="528255"/>
    <n v="172659"/>
    <x v="8"/>
    <m/>
    <m/>
    <n v="0"/>
    <n v="37"/>
    <n v="37"/>
    <n v="42"/>
    <n v="42"/>
    <x v="0"/>
    <s v="Demolition of existing ground floor commercial unit and erection of a part 3/4/5 storey building with basement to provide commercial (Class E) on the basement and front ground floor and 42 residential units (Class C3) to the rear ground floor and above with private and communal amenity spaces. Provision of cycle storage, refuse storage and landscaping."/>
    <s v="PFLA"/>
    <d v="2022-04-25T00:00:00"/>
    <d v="2023-03-08T00:00:00"/>
    <x v="1"/>
    <s v="Nil"/>
    <m/>
    <s v="BF"/>
    <s v="NB"/>
    <x v="0"/>
    <x v="0"/>
    <n v="0.34520000000000001"/>
    <m/>
    <x v="0"/>
    <m/>
    <x v="2"/>
    <s v="M"/>
    <s v=""/>
    <m/>
    <n v="0"/>
    <m/>
    <n v="0"/>
    <m/>
    <n v="1"/>
    <n v="18"/>
    <n v="14"/>
    <n v="4"/>
    <n v="0"/>
    <n v="0"/>
    <n v="0"/>
    <n v="1"/>
    <n v="18"/>
    <n v="14"/>
    <n v="4"/>
    <n v="0"/>
    <n v="0"/>
    <n v="0"/>
    <n v="0"/>
    <n v="0"/>
    <n v="0"/>
    <n v="0"/>
    <n v="0"/>
    <n v="0"/>
    <n v="0"/>
    <n v="0"/>
    <n v="0"/>
    <n v="0"/>
    <n v="0"/>
    <n v="0"/>
    <n v="0"/>
    <n v="0"/>
    <x v="0"/>
    <x v="0"/>
    <x v="1"/>
    <n v="8"/>
    <m/>
    <m/>
    <m/>
    <n v="37"/>
    <m/>
    <m/>
    <m/>
    <m/>
    <m/>
    <m/>
    <m/>
    <m/>
    <m/>
    <m/>
    <m/>
    <m/>
    <m/>
    <m/>
    <m/>
    <m/>
    <n v="37"/>
    <n v="37"/>
  </r>
  <r>
    <n v="6526"/>
    <x v="1"/>
    <s v="2017/0535"/>
    <s v="Land west of 86-96, Garratt Lane"/>
    <s v="Market"/>
    <n v="525688"/>
    <n v="174300"/>
    <x v="6"/>
    <m/>
    <m/>
    <n v="0"/>
    <n v="17"/>
    <n v="17"/>
    <n v="27"/>
    <n v="27"/>
    <x v="0"/>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x v="0"/>
    <s v="Nil"/>
    <m/>
    <s v="BF"/>
    <s v="NB"/>
    <x v="0"/>
    <x v="0"/>
    <n v="0.1139"/>
    <m/>
    <x v="0"/>
    <m/>
    <x v="2"/>
    <s v="M"/>
    <s v=""/>
    <m/>
    <n v="15"/>
    <m/>
    <n v="2"/>
    <m/>
    <n v="0"/>
    <n v="7"/>
    <n v="6"/>
    <n v="4"/>
    <n v="0"/>
    <n v="0"/>
    <n v="0"/>
    <n v="0"/>
    <n v="7"/>
    <n v="6"/>
    <n v="4"/>
    <n v="0"/>
    <n v="0"/>
    <n v="0"/>
    <n v="0"/>
    <n v="0"/>
    <n v="0"/>
    <n v="0"/>
    <n v="0"/>
    <n v="0"/>
    <n v="0"/>
    <n v="0"/>
    <n v="0"/>
    <n v="0"/>
    <n v="0"/>
    <n v="0"/>
    <n v="0"/>
    <n v="0"/>
    <x v="3"/>
    <x v="0"/>
    <x v="0"/>
    <n v="10"/>
    <m/>
    <m/>
    <m/>
    <m/>
    <n v="5.666666666666667"/>
    <n v="5.666666666666667"/>
    <n v="5.666666666666667"/>
    <m/>
    <m/>
    <m/>
    <m/>
    <m/>
    <m/>
    <m/>
    <m/>
    <m/>
    <m/>
    <m/>
    <m/>
    <m/>
    <n v="11.333333333333334"/>
    <n v="17"/>
  </r>
  <r>
    <n v="7463"/>
    <x v="1"/>
    <s v="2020/5015"/>
    <s v="7a Putney Bridge Road"/>
    <s v="Mews House"/>
    <n v="525270"/>
    <n v="174719"/>
    <x v="7"/>
    <d v="2022-08-19T00:00:00"/>
    <m/>
    <n v="0"/>
    <n v="1"/>
    <n v="1"/>
    <n v="9"/>
    <n v="9"/>
    <x v="1"/>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x v="0"/>
    <s v="Nil"/>
    <m/>
    <s v="BF"/>
    <s v="NB"/>
    <x v="2"/>
    <x v="1"/>
    <n v="8.9999999999999993E-3"/>
    <m/>
    <x v="0"/>
    <m/>
    <x v="2"/>
    <s v="M"/>
    <s v=""/>
    <m/>
    <n v="0"/>
    <m/>
    <n v="0"/>
    <m/>
    <n v="0"/>
    <n v="0"/>
    <n v="0"/>
    <n v="1"/>
    <n v="0"/>
    <n v="0"/>
    <n v="0"/>
    <n v="0"/>
    <n v="0"/>
    <n v="0"/>
    <n v="0"/>
    <n v="0"/>
    <n v="0"/>
    <n v="0"/>
    <n v="0"/>
    <n v="0"/>
    <n v="0"/>
    <n v="1"/>
    <n v="0"/>
    <n v="0"/>
    <n v="0"/>
    <n v="0"/>
    <n v="0"/>
    <n v="0"/>
    <n v="0"/>
    <n v="0"/>
    <n v="0"/>
    <n v="0"/>
    <x v="0"/>
    <x v="0"/>
    <x v="0"/>
    <n v="8"/>
    <m/>
    <m/>
    <n v="1"/>
    <m/>
    <m/>
    <m/>
    <m/>
    <m/>
    <m/>
    <m/>
    <m/>
    <m/>
    <m/>
    <m/>
    <m/>
    <m/>
    <m/>
    <m/>
    <m/>
    <m/>
    <n v="1"/>
    <n v="1"/>
  </r>
  <r>
    <n v="3511"/>
    <x v="0"/>
    <s v="2021/4010"/>
    <s v="New Covent Garden Market, Nine Elms Lane (Combined Main Market, Entrance site and Thessaly College site)"/>
    <s v="N9"/>
    <n v="529369"/>
    <n v="177317"/>
    <x v="15"/>
    <d v="2019-07-26T00:00:00"/>
    <d v="2023-03-31T00:00:00"/>
    <n v="0"/>
    <n v="227"/>
    <n v="227"/>
    <n v="227"/>
    <n v="227"/>
    <x v="0"/>
    <s v="Non-material amendment to planning permission dated 22/03/2019 ref 2018/5698 (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_x000a_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_x000a_(Environmental Impact Assessment) Regulations 2011.&quot;), to allow amendment to the retail's units; minor amendments to internal amenities; removal of gym from podium level; podium roof landscaping; addition of retail unit fronting Parry Street and minor updates to the podium elevations and amend a quadplex into two duplex units' at N9."/>
    <s v="S96A"/>
    <d v="2021-08-27T00:00:00"/>
    <d v="2022-06-21T00:00:00"/>
    <x v="1"/>
    <s v="Nil"/>
    <m/>
    <s v="BF"/>
    <s v="NB"/>
    <x v="0"/>
    <x v="0"/>
    <n v="1.264"/>
    <d v="2019-07-26T00:00:00"/>
    <x v="0"/>
    <d v="2023-03-31T00:00:00"/>
    <x v="2"/>
    <s v="M"/>
    <s v="2.1.27"/>
    <m/>
    <n v="227"/>
    <m/>
    <n v="23"/>
    <m/>
    <n v="0"/>
    <n v="68"/>
    <n v="94"/>
    <n v="54"/>
    <n v="11"/>
    <n v="0"/>
    <n v="0"/>
    <n v="0"/>
    <n v="68"/>
    <n v="94"/>
    <n v="54"/>
    <n v="11"/>
    <n v="0"/>
    <n v="0"/>
    <n v="0"/>
    <n v="0"/>
    <n v="0"/>
    <n v="0"/>
    <n v="0"/>
    <n v="0"/>
    <n v="0"/>
    <n v="0"/>
    <n v="0"/>
    <n v="0"/>
    <n v="0"/>
    <n v="0"/>
    <n v="0"/>
    <n v="0"/>
    <x v="0"/>
    <x v="1"/>
    <x v="7"/>
    <n v="1"/>
    <n v="227"/>
    <m/>
    <m/>
    <m/>
    <m/>
    <m/>
    <m/>
    <m/>
    <m/>
    <m/>
    <m/>
    <m/>
    <m/>
    <m/>
    <m/>
    <m/>
    <m/>
    <m/>
    <m/>
    <m/>
    <n v="0"/>
    <n v="0"/>
  </r>
  <r>
    <n v="179"/>
    <x v="1"/>
    <s v="2018/2166"/>
    <s v="1a Merivale Road"/>
    <s v="New build"/>
    <n v="524331"/>
    <n v="175422"/>
    <x v="0"/>
    <m/>
    <m/>
    <n v="0"/>
    <n v="3"/>
    <n v="3"/>
    <n v="7"/>
    <n v="7"/>
    <x v="1"/>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0"/>
    <s v="Nil"/>
    <m/>
    <s v="BF"/>
    <s v="MIX"/>
    <x v="2"/>
    <x v="1"/>
    <n v="0.04"/>
    <m/>
    <x v="0"/>
    <m/>
    <x v="2"/>
    <s v="M"/>
    <s v=""/>
    <m/>
    <n v="0"/>
    <m/>
    <n v="0"/>
    <m/>
    <n v="0"/>
    <n v="0"/>
    <n v="2"/>
    <n v="1"/>
    <n v="0"/>
    <n v="0"/>
    <n v="0"/>
    <n v="0"/>
    <n v="0"/>
    <n v="0"/>
    <n v="0"/>
    <n v="0"/>
    <n v="0"/>
    <n v="0"/>
    <n v="0"/>
    <n v="0"/>
    <n v="2"/>
    <n v="1"/>
    <n v="0"/>
    <n v="0"/>
    <n v="0"/>
    <n v="0"/>
    <n v="0"/>
    <n v="0"/>
    <n v="0"/>
    <n v="0"/>
    <n v="0"/>
    <n v="0"/>
    <x v="0"/>
    <x v="0"/>
    <x v="1"/>
    <n v="18"/>
    <m/>
    <n v="0.75"/>
    <n v="0.75"/>
    <n v="0.75"/>
    <n v="0.75"/>
    <m/>
    <m/>
    <m/>
    <m/>
    <m/>
    <m/>
    <m/>
    <m/>
    <m/>
    <m/>
    <m/>
    <m/>
    <m/>
    <m/>
    <m/>
    <n v="3"/>
    <n v="3"/>
  </r>
  <r>
    <n v="7367"/>
    <x v="1"/>
    <s v="2020/0530"/>
    <s v="Coleman Court, Kimber Road"/>
    <s v="New build"/>
    <n v="525438"/>
    <n v="173644"/>
    <x v="20"/>
    <m/>
    <m/>
    <n v="1"/>
    <n v="3"/>
    <n v="2"/>
    <n v="23"/>
    <n v="22"/>
    <x v="0"/>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x v="0"/>
    <s v="Nil"/>
    <m/>
    <s v="BF"/>
    <s v="MIX"/>
    <x v="0"/>
    <x v="0"/>
    <n v="2.1999999999999999E-2"/>
    <m/>
    <x v="0"/>
    <m/>
    <x v="2"/>
    <s v="M"/>
    <s v=""/>
    <m/>
    <n v="0"/>
    <m/>
    <n v="0"/>
    <m/>
    <n v="0"/>
    <n v="0"/>
    <n v="2"/>
    <n v="0"/>
    <n v="0"/>
    <n v="0"/>
    <n v="0"/>
    <n v="0"/>
    <n v="0"/>
    <n v="3"/>
    <n v="0"/>
    <n v="0"/>
    <n v="0"/>
    <n v="0"/>
    <n v="0"/>
    <n v="0"/>
    <n v="-1"/>
    <n v="0"/>
    <n v="0"/>
    <n v="0"/>
    <n v="0"/>
    <n v="0"/>
    <n v="0"/>
    <n v="0"/>
    <n v="0"/>
    <n v="0"/>
    <n v="0"/>
    <n v="0"/>
    <x v="0"/>
    <x v="0"/>
    <x v="6"/>
    <n v="17"/>
    <m/>
    <m/>
    <m/>
    <m/>
    <m/>
    <m/>
    <n v="0.5"/>
    <n v="0.5"/>
    <n v="0.5"/>
    <n v="0.5"/>
    <m/>
    <m/>
    <m/>
    <m/>
    <m/>
    <m/>
    <m/>
    <m/>
    <m/>
    <m/>
    <n v="0"/>
    <n v="2"/>
  </r>
  <r>
    <n v="2492"/>
    <x v="1"/>
    <s v="2018/5245"/>
    <s v="Flats 7-10 and land rear of, 126 Bedford Hill (Elmfield Road)"/>
    <s v="New Build"/>
    <n v="528761"/>
    <n v="172884"/>
    <x v="8"/>
    <m/>
    <m/>
    <n v="0"/>
    <n v="1"/>
    <n v="1"/>
    <n v="3"/>
    <n v="3"/>
    <x v="1"/>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x v="0"/>
    <s v="Nil"/>
    <m/>
    <s v="BF"/>
    <s v="MIX"/>
    <x v="2"/>
    <x v="1"/>
    <n v="1.4999999999999999E-2"/>
    <m/>
    <x v="0"/>
    <m/>
    <x v="2"/>
    <s v="M"/>
    <s v=""/>
    <m/>
    <n v="0"/>
    <m/>
    <n v="0"/>
    <n v="1"/>
    <n v="0"/>
    <n v="0"/>
    <n v="0"/>
    <n v="0"/>
    <n v="1"/>
    <n v="0"/>
    <n v="0"/>
    <n v="0"/>
    <n v="0"/>
    <n v="0"/>
    <n v="0"/>
    <n v="1"/>
    <n v="0"/>
    <n v="0"/>
    <n v="0"/>
    <n v="0"/>
    <n v="0"/>
    <n v="0"/>
    <n v="0"/>
    <n v="0"/>
    <n v="0"/>
    <n v="0"/>
    <n v="0"/>
    <n v="0"/>
    <n v="0"/>
    <n v="0"/>
    <n v="0"/>
    <n v="0"/>
    <x v="0"/>
    <x v="0"/>
    <x v="1"/>
    <n v="15"/>
    <m/>
    <n v="0.25"/>
    <n v="0.25"/>
    <n v="0.25"/>
    <n v="0.25"/>
    <m/>
    <m/>
    <m/>
    <m/>
    <m/>
    <m/>
    <m/>
    <m/>
    <m/>
    <m/>
    <m/>
    <m/>
    <m/>
    <m/>
    <m/>
    <n v="1"/>
    <n v="1"/>
  </r>
  <r>
    <n v="7090"/>
    <x v="1"/>
    <s v="2018/5833"/>
    <s v="The Northcote Library, Chatham Hall and garages west of Chatham Hall, 155e Northcote Road"/>
    <s v="Northcote Library Site"/>
    <n v="527587"/>
    <n v="174507"/>
    <x v="14"/>
    <d v="2021-04-01T00:00:00"/>
    <m/>
    <n v="0"/>
    <n v="9"/>
    <n v="9"/>
    <n v="16"/>
    <n v="16"/>
    <x v="0"/>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0"/>
    <s v="Nil"/>
    <m/>
    <s v="BF"/>
    <s v="NB"/>
    <x v="0"/>
    <x v="0"/>
    <n v="6.6000000000000003E-2"/>
    <m/>
    <x v="0"/>
    <m/>
    <x v="2"/>
    <s v="M"/>
    <s v=""/>
    <m/>
    <n v="0"/>
    <m/>
    <n v="0"/>
    <m/>
    <n v="0"/>
    <n v="1"/>
    <n v="8"/>
    <n v="0"/>
    <n v="0"/>
    <n v="0"/>
    <n v="0"/>
    <n v="0"/>
    <n v="1"/>
    <n v="8"/>
    <n v="0"/>
    <n v="0"/>
    <n v="0"/>
    <n v="0"/>
    <n v="0"/>
    <n v="0"/>
    <n v="0"/>
    <n v="0"/>
    <n v="0"/>
    <n v="0"/>
    <n v="0"/>
    <n v="0"/>
    <n v="0"/>
    <n v="0"/>
    <n v="0"/>
    <n v="0"/>
    <n v="0"/>
    <n v="0"/>
    <x v="0"/>
    <x v="0"/>
    <x v="1"/>
    <n v="10"/>
    <m/>
    <m/>
    <m/>
    <m/>
    <n v="3"/>
    <n v="3"/>
    <n v="3"/>
    <m/>
    <m/>
    <m/>
    <m/>
    <m/>
    <m/>
    <m/>
    <m/>
    <m/>
    <m/>
    <m/>
    <m/>
    <m/>
    <n v="6"/>
    <n v="9"/>
  </r>
  <r>
    <n v="3511"/>
    <x v="1"/>
    <s v="2014/2810"/>
    <s v="New Covent Garden Market, Nine Elms Lane (Combined Main Market, Entrance site and Thessaly College site)"/>
    <s v="Northern Site - N7"/>
    <n v="529369"/>
    <n v="177317"/>
    <x v="15"/>
    <d v="2017-03-31T00:00:00"/>
    <m/>
    <n v="0"/>
    <n v="166"/>
    <n v="16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1.0009999999999999"/>
    <m/>
    <x v="0"/>
    <m/>
    <x v="2"/>
    <s v="M"/>
    <s v="2.1.27"/>
    <m/>
    <n v="0"/>
    <n v="149"/>
    <n v="0"/>
    <n v="17"/>
    <n v="0"/>
    <n v="33"/>
    <n v="58"/>
    <n v="75"/>
    <n v="0"/>
    <n v="0"/>
    <n v="0"/>
    <n v="0"/>
    <n v="33"/>
    <n v="58"/>
    <n v="75"/>
    <n v="0"/>
    <n v="0"/>
    <n v="0"/>
    <n v="0"/>
    <n v="0"/>
    <n v="0"/>
    <n v="0"/>
    <n v="0"/>
    <n v="0"/>
    <n v="0"/>
    <n v="0"/>
    <n v="0"/>
    <n v="0"/>
    <n v="0"/>
    <n v="0"/>
    <n v="0"/>
    <n v="0"/>
    <x v="0"/>
    <x v="1"/>
    <x v="7"/>
    <n v="9"/>
    <m/>
    <m/>
    <m/>
    <m/>
    <m/>
    <m/>
    <n v="55.333333333333336"/>
    <n v="55.333333333333336"/>
    <n v="55.333333333333336"/>
    <m/>
    <m/>
    <m/>
    <m/>
    <m/>
    <m/>
    <m/>
    <m/>
    <m/>
    <m/>
    <m/>
    <n v="0"/>
    <n v="166"/>
  </r>
  <r>
    <n v="7304"/>
    <x v="1"/>
    <s v="2019/2516"/>
    <s v="Development Site of Alton Estate, Danebury Avenue (Alton Estate)"/>
    <s v="Outline Affordable Housing Units (65 Units)"/>
    <n v="522152"/>
    <n v="173834"/>
    <x v="16"/>
    <m/>
    <m/>
    <n v="0"/>
    <n v="65"/>
    <n v="65"/>
    <n v="1068"/>
    <n v="780"/>
    <x v="0"/>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x v="0"/>
    <s v="Nil"/>
    <m/>
    <s v="BF"/>
    <s v="NB"/>
    <x v="0"/>
    <x v="0"/>
    <n v="0.23594999999999999"/>
    <m/>
    <x v="0"/>
    <m/>
    <x v="1"/>
    <s v="AA"/>
    <s v="8.1.1"/>
    <m/>
    <n v="0"/>
    <m/>
    <n v="0"/>
    <m/>
    <n v="0"/>
    <n v="0"/>
    <n v="0"/>
    <n v="0"/>
    <n v="0"/>
    <n v="0"/>
    <n v="65"/>
    <n v="0"/>
    <n v="0"/>
    <n v="0"/>
    <n v="0"/>
    <n v="0"/>
    <n v="0"/>
    <n v="65"/>
    <n v="0"/>
    <n v="0"/>
    <n v="0"/>
    <n v="0"/>
    <n v="0"/>
    <n v="0"/>
    <n v="0"/>
    <n v="0"/>
    <n v="0"/>
    <n v="0"/>
    <n v="0"/>
    <n v="0"/>
    <n v="0"/>
    <n v="0"/>
    <x v="0"/>
    <x v="0"/>
    <x v="9"/>
    <n v="10"/>
    <m/>
    <m/>
    <m/>
    <m/>
    <n v="21.666666666666668"/>
    <n v="21.666666666666668"/>
    <n v="21.666666666666668"/>
    <m/>
    <m/>
    <m/>
    <m/>
    <m/>
    <m/>
    <m/>
    <m/>
    <m/>
    <m/>
    <m/>
    <m/>
    <m/>
    <n v="43.333333333333336"/>
    <n v="65"/>
  </r>
  <r>
    <n v="6657"/>
    <x v="1"/>
    <s v="2021/1291"/>
    <s v="Brocklebank Health Centre, 249 Garratt Lane (and others), 229-247 Garratt Lane (Garratt Lane and Atheldene Regeneration Site)"/>
    <s v="Phase 1 (Block D)"/>
    <n v="525999"/>
    <n v="173647"/>
    <x v="11"/>
    <d v="2022-01-20T00:00:00"/>
    <m/>
    <n v="0"/>
    <n v="6"/>
    <n v="6"/>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5.0000000000000001E-3"/>
    <m/>
    <x v="0"/>
    <m/>
    <x v="0"/>
    <s v="ISL"/>
    <s v=""/>
    <m/>
    <n v="0"/>
    <m/>
    <n v="0"/>
    <n v="2"/>
    <n v="0"/>
    <n v="0"/>
    <n v="6"/>
    <n v="0"/>
    <n v="0"/>
    <n v="0"/>
    <n v="0"/>
    <n v="0"/>
    <n v="0"/>
    <n v="6"/>
    <n v="0"/>
    <n v="0"/>
    <n v="0"/>
    <n v="0"/>
    <n v="0"/>
    <n v="0"/>
    <n v="0"/>
    <n v="0"/>
    <n v="0"/>
    <n v="0"/>
    <n v="0"/>
    <n v="0"/>
    <n v="0"/>
    <n v="0"/>
    <n v="0"/>
    <n v="0"/>
    <n v="0"/>
    <n v="0"/>
    <x v="0"/>
    <x v="0"/>
    <x v="1"/>
    <n v="8"/>
    <m/>
    <n v="6"/>
    <m/>
    <m/>
    <m/>
    <m/>
    <m/>
    <m/>
    <m/>
    <m/>
    <m/>
    <m/>
    <m/>
    <m/>
    <m/>
    <m/>
    <m/>
    <m/>
    <m/>
    <m/>
    <n v="6"/>
    <n v="6"/>
  </r>
  <r>
    <n v="6657"/>
    <x v="1"/>
    <s v="2021/1291"/>
    <s v="Brocklebank Health Centre, 249 Garratt Lane (and others), 229-247 Garratt Lane (Garratt Lane and Atheldene Regeneration Site)"/>
    <s v="Phase 1 (Block D)"/>
    <n v="525999"/>
    <n v="173647"/>
    <x v="11"/>
    <d v="2022-01-20T00:00:00"/>
    <m/>
    <n v="0"/>
    <n v="2"/>
    <n v="2"/>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2E-3"/>
    <m/>
    <x v="0"/>
    <m/>
    <x v="1"/>
    <s v="AL"/>
    <s v=""/>
    <m/>
    <n v="0"/>
    <m/>
    <n v="0"/>
    <n v="2"/>
    <n v="0"/>
    <n v="0"/>
    <n v="2"/>
    <n v="0"/>
    <n v="0"/>
    <n v="0"/>
    <n v="0"/>
    <n v="0"/>
    <n v="0"/>
    <n v="2"/>
    <n v="0"/>
    <n v="0"/>
    <n v="0"/>
    <n v="0"/>
    <n v="0"/>
    <n v="0"/>
    <n v="0"/>
    <n v="0"/>
    <n v="0"/>
    <n v="0"/>
    <n v="0"/>
    <n v="0"/>
    <n v="0"/>
    <n v="0"/>
    <n v="0"/>
    <n v="0"/>
    <n v="0"/>
    <n v="0"/>
    <x v="0"/>
    <x v="0"/>
    <x v="1"/>
    <n v="8"/>
    <m/>
    <n v="2"/>
    <m/>
    <m/>
    <m/>
    <m/>
    <m/>
    <m/>
    <m/>
    <m/>
    <m/>
    <m/>
    <m/>
    <m/>
    <m/>
    <m/>
    <m/>
    <m/>
    <m/>
    <m/>
    <n v="2"/>
    <n v="2"/>
  </r>
  <r>
    <n v="6657"/>
    <x v="1"/>
    <s v="2021/1291"/>
    <s v="Brocklebank Health Centre, 249 Garratt Lane (and others), 229-247 Garratt Lane (Garratt Lane and Atheldene Regeneration Site)"/>
    <s v="Phase 2 (Block A)"/>
    <n v="525999"/>
    <n v="173647"/>
    <x v="11"/>
    <d v="2022-01-20T00:00:00"/>
    <m/>
    <n v="0"/>
    <n v="8"/>
    <n v="8"/>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7.0000000000000001E-3"/>
    <m/>
    <x v="0"/>
    <m/>
    <x v="1"/>
    <s v="AL"/>
    <s v=""/>
    <m/>
    <n v="0"/>
    <n v="6"/>
    <n v="0"/>
    <n v="2"/>
    <n v="0"/>
    <n v="0"/>
    <n v="4"/>
    <n v="4"/>
    <n v="0"/>
    <n v="0"/>
    <n v="0"/>
    <n v="0"/>
    <n v="0"/>
    <n v="4"/>
    <n v="4"/>
    <n v="0"/>
    <n v="0"/>
    <n v="0"/>
    <n v="0"/>
    <n v="0"/>
    <n v="0"/>
    <n v="0"/>
    <n v="0"/>
    <n v="0"/>
    <n v="0"/>
    <n v="0"/>
    <n v="0"/>
    <n v="0"/>
    <n v="0"/>
    <n v="0"/>
    <n v="0"/>
    <n v="0"/>
    <x v="0"/>
    <x v="0"/>
    <x v="1"/>
    <n v="8"/>
    <m/>
    <m/>
    <m/>
    <m/>
    <m/>
    <n v="8"/>
    <m/>
    <m/>
    <m/>
    <m/>
    <m/>
    <m/>
    <m/>
    <m/>
    <m/>
    <m/>
    <m/>
    <m/>
    <m/>
    <m/>
    <n v="8"/>
    <n v="8"/>
  </r>
  <r>
    <n v="6657"/>
    <x v="1"/>
    <s v="2021/1291"/>
    <s v="Brocklebank Health Centre, 249 Garratt Lane (and others), 229-247 Garratt Lane (Garratt Lane and Atheldene Regeneration Site)"/>
    <s v="Phase 2 (Block B)"/>
    <n v="525999"/>
    <n v="173647"/>
    <x v="11"/>
    <d v="2022-01-20T00:00:00"/>
    <m/>
    <n v="0"/>
    <n v="13"/>
    <n v="13"/>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1.2E-2"/>
    <m/>
    <x v="0"/>
    <m/>
    <x v="2"/>
    <s v="M"/>
    <s v=""/>
    <m/>
    <n v="0"/>
    <n v="13"/>
    <n v="0"/>
    <m/>
    <n v="0"/>
    <n v="1"/>
    <n v="10"/>
    <n v="2"/>
    <n v="0"/>
    <n v="0"/>
    <n v="0"/>
    <n v="0"/>
    <n v="1"/>
    <n v="10"/>
    <n v="2"/>
    <n v="0"/>
    <n v="0"/>
    <n v="0"/>
    <n v="0"/>
    <n v="0"/>
    <n v="0"/>
    <n v="0"/>
    <n v="0"/>
    <n v="0"/>
    <n v="0"/>
    <n v="0"/>
    <n v="0"/>
    <n v="0"/>
    <n v="0"/>
    <n v="0"/>
    <n v="0"/>
    <n v="0"/>
    <x v="0"/>
    <x v="0"/>
    <x v="1"/>
    <n v="8"/>
    <m/>
    <m/>
    <m/>
    <m/>
    <m/>
    <n v="13"/>
    <m/>
    <m/>
    <m/>
    <m/>
    <m/>
    <m/>
    <m/>
    <m/>
    <m/>
    <m/>
    <m/>
    <m/>
    <m/>
    <m/>
    <n v="13"/>
    <n v="13"/>
  </r>
  <r>
    <n v="6657"/>
    <x v="1"/>
    <s v="2021/1291"/>
    <s v="Brocklebank Health Centre, 249 Garratt Lane (and others), 229-247 Garratt Lane (Garratt Lane and Atheldene Regeneration Site)"/>
    <s v="Phase 2 (Block B)"/>
    <n v="525999"/>
    <n v="173647"/>
    <x v="11"/>
    <d v="2022-01-20T00:00:00"/>
    <m/>
    <n v="0"/>
    <n v="6"/>
    <n v="6"/>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3.0000000000000001E-3"/>
    <m/>
    <x v="0"/>
    <m/>
    <x v="0"/>
    <s v="ISL"/>
    <s v=""/>
    <m/>
    <n v="0"/>
    <n v="2"/>
    <n v="0"/>
    <n v="1"/>
    <n v="0"/>
    <n v="1"/>
    <n v="3"/>
    <n v="2"/>
    <n v="0"/>
    <n v="0"/>
    <n v="0"/>
    <n v="0"/>
    <n v="1"/>
    <n v="3"/>
    <n v="2"/>
    <n v="0"/>
    <n v="0"/>
    <n v="0"/>
    <n v="0"/>
    <n v="0"/>
    <n v="0"/>
    <n v="0"/>
    <n v="0"/>
    <n v="0"/>
    <n v="0"/>
    <n v="0"/>
    <n v="0"/>
    <n v="0"/>
    <n v="0"/>
    <n v="0"/>
    <n v="0"/>
    <n v="0"/>
    <x v="0"/>
    <x v="0"/>
    <x v="1"/>
    <n v="8"/>
    <m/>
    <m/>
    <m/>
    <m/>
    <m/>
    <n v="6"/>
    <m/>
    <m/>
    <m/>
    <m/>
    <m/>
    <m/>
    <m/>
    <m/>
    <m/>
    <m/>
    <m/>
    <m/>
    <m/>
    <m/>
    <n v="6"/>
    <n v="6"/>
  </r>
  <r>
    <n v="6657"/>
    <x v="1"/>
    <s v="2021/1291"/>
    <s v="Brocklebank Health Centre, 249 Garratt Lane (and others), 229-247 Garratt Lane (Garratt Lane and Atheldene Regeneration Site)"/>
    <s v="Phase 2 (Block C)"/>
    <n v="525999"/>
    <n v="173647"/>
    <x v="11"/>
    <d v="2022-01-20T00:00:00"/>
    <m/>
    <n v="0"/>
    <n v="17"/>
    <n v="17"/>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1.7000000000000001E-2"/>
    <m/>
    <x v="0"/>
    <m/>
    <x v="2"/>
    <s v="M"/>
    <s v=""/>
    <m/>
    <n v="0"/>
    <n v="16"/>
    <n v="0"/>
    <n v="1"/>
    <n v="0"/>
    <n v="1"/>
    <n v="12"/>
    <n v="4"/>
    <n v="0"/>
    <n v="0"/>
    <n v="0"/>
    <n v="0"/>
    <n v="1"/>
    <n v="12"/>
    <n v="4"/>
    <n v="0"/>
    <n v="0"/>
    <n v="0"/>
    <n v="0"/>
    <n v="0"/>
    <n v="0"/>
    <n v="0"/>
    <n v="0"/>
    <n v="0"/>
    <n v="0"/>
    <n v="0"/>
    <n v="0"/>
    <n v="0"/>
    <n v="0"/>
    <n v="0"/>
    <n v="0"/>
    <n v="0"/>
    <x v="0"/>
    <x v="0"/>
    <x v="1"/>
    <n v="8"/>
    <m/>
    <m/>
    <m/>
    <m/>
    <m/>
    <n v="17"/>
    <m/>
    <m/>
    <m/>
    <m/>
    <m/>
    <m/>
    <m/>
    <m/>
    <m/>
    <m/>
    <m/>
    <m/>
    <m/>
    <m/>
    <n v="17"/>
    <n v="17"/>
  </r>
  <r>
    <n v="6657"/>
    <x v="1"/>
    <s v="2021/1291"/>
    <s v="Brocklebank Health Centre, 249 Garratt Lane (and others), 229-247 Garratt Lane (Garratt Lane and Atheldene Regeneration Site)"/>
    <s v="Phase 2 (Block D)"/>
    <n v="525999"/>
    <n v="173647"/>
    <x v="11"/>
    <d v="2022-01-20T00:00:00"/>
    <m/>
    <n v="0"/>
    <n v="20"/>
    <n v="20"/>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1.7999999999999999E-2"/>
    <m/>
    <x v="0"/>
    <m/>
    <x v="2"/>
    <s v="M"/>
    <s v=""/>
    <m/>
    <n v="0"/>
    <n v="18"/>
    <n v="0"/>
    <n v="2"/>
    <n v="0"/>
    <n v="6"/>
    <n v="14"/>
    <n v="0"/>
    <n v="0"/>
    <n v="0"/>
    <n v="0"/>
    <n v="0"/>
    <n v="6"/>
    <n v="14"/>
    <n v="0"/>
    <n v="0"/>
    <n v="0"/>
    <n v="0"/>
    <n v="0"/>
    <n v="0"/>
    <n v="0"/>
    <n v="0"/>
    <n v="0"/>
    <n v="0"/>
    <n v="0"/>
    <n v="0"/>
    <n v="0"/>
    <n v="0"/>
    <n v="0"/>
    <n v="0"/>
    <n v="0"/>
    <n v="0"/>
    <x v="0"/>
    <x v="0"/>
    <x v="1"/>
    <n v="8"/>
    <m/>
    <m/>
    <m/>
    <m/>
    <m/>
    <n v="20"/>
    <m/>
    <m/>
    <m/>
    <m/>
    <m/>
    <m/>
    <m/>
    <m/>
    <m/>
    <m/>
    <m/>
    <m/>
    <m/>
    <m/>
    <n v="20"/>
    <n v="20"/>
  </r>
  <r>
    <n v="6657"/>
    <x v="1"/>
    <s v="2021/1291"/>
    <s v="Brocklebank Health Centre, 249 Garratt Lane (and others), 229-247 Garratt Lane (Garratt Lane and Atheldene Regeneration Site)"/>
    <s v="Phase 2 (Block E)"/>
    <n v="525999"/>
    <n v="173647"/>
    <x v="11"/>
    <d v="2022-01-20T00:00:00"/>
    <m/>
    <n v="0"/>
    <n v="19"/>
    <n v="19"/>
    <n v="193"/>
    <n v="182"/>
    <x v="0"/>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x v="0"/>
    <s v="Nil"/>
    <m/>
    <s v="BF"/>
    <s v="NB"/>
    <x v="0"/>
    <x v="0"/>
    <n v="1.7000000000000001E-2"/>
    <m/>
    <x v="0"/>
    <m/>
    <x v="2"/>
    <s v="M"/>
    <s v=""/>
    <m/>
    <n v="0"/>
    <n v="18"/>
    <n v="0"/>
    <n v="1"/>
    <n v="0"/>
    <n v="7"/>
    <n v="12"/>
    <n v="0"/>
    <n v="0"/>
    <n v="0"/>
    <n v="0"/>
    <n v="0"/>
    <n v="7"/>
    <n v="12"/>
    <n v="0"/>
    <n v="0"/>
    <n v="0"/>
    <n v="0"/>
    <n v="0"/>
    <n v="0"/>
    <n v="0"/>
    <n v="0"/>
    <n v="0"/>
    <n v="0"/>
    <n v="0"/>
    <n v="0"/>
    <n v="0"/>
    <n v="0"/>
    <n v="0"/>
    <n v="0"/>
    <n v="0"/>
    <n v="0"/>
    <x v="0"/>
    <x v="0"/>
    <x v="1"/>
    <n v="8"/>
    <m/>
    <m/>
    <m/>
    <m/>
    <m/>
    <n v="19"/>
    <m/>
    <m/>
    <m/>
    <m/>
    <m/>
    <m/>
    <m/>
    <m/>
    <m/>
    <m/>
    <m/>
    <m/>
    <m/>
    <m/>
    <n v="19"/>
    <n v="19"/>
  </r>
  <r>
    <n v="3521"/>
    <x v="1"/>
    <s v="2017/5837"/>
    <s v="Peabody Estate, St Johns Hill"/>
    <s v="Phase 3"/>
    <n v="527156"/>
    <n v="175243"/>
    <x v="12"/>
    <d v="2020-02-01T00:00:00"/>
    <m/>
    <n v="56"/>
    <n v="0"/>
    <n v="-56"/>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0"/>
    <m/>
    <x v="0"/>
    <m/>
    <x v="1"/>
    <s v="AS"/>
    <s v="4.1.5"/>
    <m/>
    <n v="0"/>
    <m/>
    <n v="0"/>
    <m/>
    <n v="-1"/>
    <n v="-18"/>
    <n v="-22"/>
    <n v="-15"/>
    <n v="0"/>
    <n v="0"/>
    <n v="0"/>
    <n v="-1"/>
    <n v="-18"/>
    <n v="-22"/>
    <n v="-15"/>
    <n v="0"/>
    <n v="0"/>
    <n v="0"/>
    <n v="0"/>
    <n v="0"/>
    <n v="0"/>
    <n v="0"/>
    <n v="0"/>
    <n v="0"/>
    <n v="0"/>
    <n v="0"/>
    <n v="0"/>
    <n v="0"/>
    <n v="0"/>
    <n v="0"/>
    <n v="0"/>
    <n v="0"/>
    <x v="0"/>
    <x v="0"/>
    <x v="5"/>
    <n v="8"/>
    <m/>
    <m/>
    <m/>
    <m/>
    <n v="-56"/>
    <m/>
    <m/>
    <m/>
    <m/>
    <m/>
    <m/>
    <m/>
    <m/>
    <m/>
    <m/>
    <m/>
    <m/>
    <m/>
    <m/>
    <m/>
    <n v="-56"/>
    <n v="-56"/>
  </r>
  <r>
    <n v="3521"/>
    <x v="1"/>
    <s v="2017/5837"/>
    <s v="Peabody Estate, St Johns Hill"/>
    <s v="Phase 3"/>
    <n v="527156"/>
    <n v="175243"/>
    <x v="12"/>
    <d v="2020-02-01T00:00:00"/>
    <m/>
    <n v="28"/>
    <n v="0"/>
    <n v="-28"/>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0"/>
    <m/>
    <x v="0"/>
    <m/>
    <x v="2"/>
    <s v="M"/>
    <s v="4.1.5"/>
    <m/>
    <n v="0"/>
    <m/>
    <n v="0"/>
    <m/>
    <n v="-1"/>
    <n v="-12"/>
    <n v="-12"/>
    <n v="-3"/>
    <n v="0"/>
    <n v="0"/>
    <n v="0"/>
    <n v="-1"/>
    <n v="-12"/>
    <n v="-12"/>
    <n v="-3"/>
    <n v="0"/>
    <n v="0"/>
    <n v="0"/>
    <n v="0"/>
    <n v="0"/>
    <n v="0"/>
    <n v="0"/>
    <n v="0"/>
    <n v="0"/>
    <n v="0"/>
    <n v="0"/>
    <n v="0"/>
    <n v="0"/>
    <n v="0"/>
    <n v="0"/>
    <n v="0"/>
    <n v="0"/>
    <x v="0"/>
    <x v="0"/>
    <x v="5"/>
    <n v="8"/>
    <m/>
    <m/>
    <m/>
    <m/>
    <n v="-28"/>
    <m/>
    <m/>
    <m/>
    <m/>
    <m/>
    <m/>
    <m/>
    <m/>
    <m/>
    <m/>
    <m/>
    <m/>
    <m/>
    <m/>
    <m/>
    <n v="-28"/>
    <n v="-28"/>
  </r>
  <r>
    <n v="3521"/>
    <x v="1"/>
    <s v="2021/5678"/>
    <s v="Peabody Estate, St Johns Hill"/>
    <s v="Phase 3 IR"/>
    <n v="527156"/>
    <n v="175243"/>
    <x v="12"/>
    <d v="2022-11-03T00:00:00"/>
    <m/>
    <n v="0"/>
    <n v="37"/>
    <n v="37"/>
    <n v="315"/>
    <n v="307"/>
    <x v="0"/>
    <s v="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_x000a_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
    <s v="S73"/>
    <d v="2021-12-17T00:00:00"/>
    <d v="2022-11-03T00:00:00"/>
    <x v="1"/>
    <s v="Nil"/>
    <m/>
    <s v="BF"/>
    <s v="MIX"/>
    <x v="0"/>
    <x v="0"/>
    <n v="0.155"/>
    <m/>
    <x v="0"/>
    <m/>
    <x v="0"/>
    <s v="IR"/>
    <s v="4.1.5"/>
    <m/>
    <n v="37"/>
    <m/>
    <n v="0"/>
    <m/>
    <n v="0"/>
    <n v="18"/>
    <n v="16"/>
    <n v="3"/>
    <n v="0"/>
    <n v="0"/>
    <n v="0"/>
    <n v="0"/>
    <n v="18"/>
    <n v="16"/>
    <n v="3"/>
    <n v="0"/>
    <n v="0"/>
    <n v="0"/>
    <n v="0"/>
    <n v="0"/>
    <n v="0"/>
    <n v="0"/>
    <n v="0"/>
    <n v="0"/>
    <n v="0"/>
    <n v="0"/>
    <n v="0"/>
    <n v="0"/>
    <n v="0"/>
    <n v="0"/>
    <n v="0"/>
    <n v="0"/>
    <x v="0"/>
    <x v="0"/>
    <x v="5"/>
    <n v="8"/>
    <m/>
    <m/>
    <m/>
    <m/>
    <n v="37"/>
    <m/>
    <m/>
    <m/>
    <m/>
    <m/>
    <m/>
    <m/>
    <m/>
    <m/>
    <m/>
    <m/>
    <m/>
    <m/>
    <m/>
    <m/>
    <n v="37"/>
    <n v="37"/>
  </r>
  <r>
    <n v="3521"/>
    <x v="1"/>
    <s v="2021/5678"/>
    <s v="Peabody Estate, St Johns Hill"/>
    <s v="Phase 3 M"/>
    <n v="527156"/>
    <n v="175243"/>
    <x v="12"/>
    <d v="2022-11-03T00:00:00"/>
    <m/>
    <n v="0"/>
    <n v="270"/>
    <n v="270"/>
    <n v="315"/>
    <n v="307"/>
    <x v="0"/>
    <s v="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_x000a_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
    <s v="S73"/>
    <d v="2021-12-17T00:00:00"/>
    <d v="2022-11-03T00:00:00"/>
    <x v="1"/>
    <s v="Nil"/>
    <m/>
    <s v="BF"/>
    <s v="MIX"/>
    <x v="0"/>
    <x v="0"/>
    <n v="1.0840000000000001"/>
    <m/>
    <x v="0"/>
    <m/>
    <x v="2"/>
    <s v="M"/>
    <s v="4.1.5"/>
    <m/>
    <n v="270"/>
    <m/>
    <n v="0"/>
    <m/>
    <n v="11"/>
    <n v="133"/>
    <n v="123"/>
    <n v="3"/>
    <n v="0"/>
    <n v="0"/>
    <n v="0"/>
    <n v="11"/>
    <n v="133"/>
    <n v="123"/>
    <n v="3"/>
    <n v="0"/>
    <n v="0"/>
    <n v="0"/>
    <n v="0"/>
    <n v="0"/>
    <n v="0"/>
    <n v="0"/>
    <n v="0"/>
    <n v="0"/>
    <n v="0"/>
    <n v="0"/>
    <n v="0"/>
    <n v="0"/>
    <n v="0"/>
    <n v="0"/>
    <n v="0"/>
    <n v="0"/>
    <x v="0"/>
    <x v="0"/>
    <x v="5"/>
    <n v="8"/>
    <m/>
    <m/>
    <m/>
    <m/>
    <n v="270"/>
    <m/>
    <m/>
    <m/>
    <m/>
    <m/>
    <m/>
    <m/>
    <m/>
    <m/>
    <m/>
    <m/>
    <m/>
    <m/>
    <m/>
    <m/>
    <n v="270"/>
    <n v="270"/>
  </r>
  <r>
    <n v="2411"/>
    <x v="1"/>
    <s v="2017/1680"/>
    <s v="South Lambeth Goods Depot, Cringle St./Battersea Park Rd., Kirtling Street (Battersea Power Station)"/>
    <s v="Phase 6 (RS-2)"/>
    <n v="528934"/>
    <n v="177496"/>
    <x v="15"/>
    <d v="2016-05-16T00:00:00"/>
    <m/>
    <n v="0"/>
    <n v="306"/>
    <n v="306"/>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0"/>
    <x v="0"/>
    <n v="0.38600000000000001"/>
    <m/>
    <x v="0"/>
    <m/>
    <x v="2"/>
    <s v="M"/>
    <s v="2.1.1"/>
    <m/>
    <n v="306"/>
    <m/>
    <n v="31"/>
    <m/>
    <n v="29"/>
    <n v="0"/>
    <n v="36"/>
    <n v="140"/>
    <n v="35"/>
    <n v="66"/>
    <n v="0"/>
    <n v="29"/>
    <n v="0"/>
    <n v="36"/>
    <n v="140"/>
    <n v="35"/>
    <n v="66"/>
    <n v="0"/>
    <n v="0"/>
    <n v="0"/>
    <n v="0"/>
    <n v="0"/>
    <n v="0"/>
    <n v="0"/>
    <n v="0"/>
    <n v="0"/>
    <n v="0"/>
    <n v="0"/>
    <n v="0"/>
    <n v="0"/>
    <n v="0"/>
    <n v="0"/>
    <x v="0"/>
    <x v="1"/>
    <x v="7"/>
    <n v="10"/>
    <m/>
    <m/>
    <m/>
    <m/>
    <n v="102"/>
    <n v="102"/>
    <n v="102"/>
    <m/>
    <m/>
    <m/>
    <m/>
    <m/>
    <m/>
    <m/>
    <m/>
    <m/>
    <m/>
    <m/>
    <m/>
    <m/>
    <n v="204"/>
    <n v="306"/>
  </r>
  <r>
    <n v="2411"/>
    <x v="1"/>
    <s v="2017/1680"/>
    <s v="South Lambeth Goods Depot, Cringle St./Battersea Park Rd., Kirtling Street (Battersea Power Station)"/>
    <s v="Phase 6 (RS-2)"/>
    <n v="528934"/>
    <n v="177496"/>
    <x v="15"/>
    <d v="2016-05-16T00:00:00"/>
    <m/>
    <n v="0"/>
    <n v="92"/>
    <n v="92"/>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0"/>
    <x v="0"/>
    <n v="0.11600000000000001"/>
    <m/>
    <x v="0"/>
    <m/>
    <x v="0"/>
    <s v="IR"/>
    <s v="2.1.1"/>
    <m/>
    <n v="92"/>
    <m/>
    <n v="9"/>
    <m/>
    <n v="0"/>
    <n v="41"/>
    <n v="48"/>
    <n v="3"/>
    <n v="0"/>
    <n v="0"/>
    <n v="0"/>
    <n v="0"/>
    <n v="41"/>
    <n v="48"/>
    <n v="3"/>
    <n v="0"/>
    <n v="0"/>
    <n v="0"/>
    <n v="0"/>
    <n v="0"/>
    <n v="0"/>
    <n v="0"/>
    <n v="0"/>
    <n v="0"/>
    <n v="0"/>
    <n v="0"/>
    <n v="0"/>
    <n v="0"/>
    <n v="0"/>
    <n v="0"/>
    <n v="0"/>
    <n v="0"/>
    <x v="0"/>
    <x v="1"/>
    <x v="7"/>
    <n v="10"/>
    <m/>
    <m/>
    <m/>
    <m/>
    <n v="30.666666666666668"/>
    <n v="30.666666666666668"/>
    <n v="30.666666666666668"/>
    <m/>
    <m/>
    <m/>
    <m/>
    <m/>
    <m/>
    <m/>
    <m/>
    <m/>
    <m/>
    <m/>
    <m/>
    <m/>
    <n v="61.333333333333336"/>
    <n v="92"/>
  </r>
  <r>
    <n v="2411"/>
    <x v="1"/>
    <s v="2016/1119"/>
    <s v="South Lambeth Goods Depot, Cringle St./Battersea Park Rd., Kirtling Street (Battersea Power Station)"/>
    <s v="Phase 7 (RS-WF)"/>
    <n v="528934"/>
    <n v="177496"/>
    <x v="15"/>
    <d v="2013-11-21T00:00:00"/>
    <m/>
    <n v="0"/>
    <n v="152"/>
    <n v="152"/>
    <n v="2735"/>
    <n v="2735"/>
    <x v="0"/>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x v="0"/>
    <s v="Nil"/>
    <m/>
    <s v="BF"/>
    <s v="NB"/>
    <x v="0"/>
    <x v="0"/>
    <n v="0.21"/>
    <m/>
    <x v="0"/>
    <m/>
    <x v="2"/>
    <s v="M"/>
    <s v="2.1.1"/>
    <m/>
    <n v="152"/>
    <m/>
    <n v="15"/>
    <m/>
    <n v="26"/>
    <n v="1"/>
    <n v="31"/>
    <n v="55"/>
    <n v="14"/>
    <n v="25"/>
    <n v="0"/>
    <n v="26"/>
    <n v="1"/>
    <n v="31"/>
    <n v="55"/>
    <n v="14"/>
    <n v="25"/>
    <n v="0"/>
    <n v="0"/>
    <n v="0"/>
    <n v="0"/>
    <n v="0"/>
    <n v="0"/>
    <n v="0"/>
    <n v="0"/>
    <n v="0"/>
    <n v="0"/>
    <n v="0"/>
    <n v="0"/>
    <n v="0"/>
    <n v="0"/>
    <n v="0"/>
    <x v="0"/>
    <x v="1"/>
    <x v="7"/>
    <n v="10"/>
    <m/>
    <m/>
    <m/>
    <m/>
    <n v="50.666666666666664"/>
    <n v="50.666666666666664"/>
    <n v="50.666666666666664"/>
    <m/>
    <m/>
    <m/>
    <m/>
    <m/>
    <m/>
    <m/>
    <m/>
    <m/>
    <m/>
    <m/>
    <m/>
    <m/>
    <n v="101.33333333333333"/>
    <n v="152"/>
  </r>
  <r>
    <n v="3938"/>
    <x v="0"/>
    <s v="2021/3086"/>
    <s v="Sleaford Street Industrial Estate &amp; Dairy Crest Distribution Depot, Sleaford Street (Battersea Power Station Phase 4A)"/>
    <s v="Phase 4A (A1.4 and A1.5)"/>
    <n v="529318"/>
    <n v="177190"/>
    <x v="15"/>
    <d v="2016-05-16T00:00:00"/>
    <m/>
    <n v="0"/>
    <n v="136"/>
    <n v="136"/>
    <n v="386"/>
    <n v="386"/>
    <x v="0"/>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x v="0"/>
    <s v="Nil"/>
    <m/>
    <s v="BF"/>
    <s v="NB"/>
    <x v="0"/>
    <x v="0"/>
    <n v="0.25"/>
    <d v="2019-03-25T00:00:00"/>
    <x v="0"/>
    <d v="2023-03-31T00:00:00"/>
    <x v="0"/>
    <s v="ISO"/>
    <s v="2.1.14"/>
    <m/>
    <n v="0"/>
    <n v="123"/>
    <n v="0"/>
    <n v="13"/>
    <n v="11"/>
    <n v="73"/>
    <n v="52"/>
    <n v="0"/>
    <n v="0"/>
    <n v="0"/>
    <n v="0"/>
    <n v="11"/>
    <n v="73"/>
    <n v="52"/>
    <n v="0"/>
    <n v="0"/>
    <n v="0"/>
    <n v="0"/>
    <n v="0"/>
    <n v="0"/>
    <n v="0"/>
    <n v="0"/>
    <n v="0"/>
    <n v="0"/>
    <n v="0"/>
    <n v="0"/>
    <n v="0"/>
    <n v="0"/>
    <n v="0"/>
    <n v="0"/>
    <n v="0"/>
    <n v="0"/>
    <x v="0"/>
    <x v="1"/>
    <x v="7"/>
    <n v="1"/>
    <n v="136"/>
    <m/>
    <m/>
    <m/>
    <m/>
    <m/>
    <m/>
    <m/>
    <m/>
    <m/>
    <m/>
    <m/>
    <m/>
    <m/>
    <m/>
    <m/>
    <m/>
    <m/>
    <m/>
    <m/>
    <n v="0"/>
    <n v="0"/>
  </r>
  <r>
    <n v="3938"/>
    <x v="2"/>
    <s v="2021/3086"/>
    <s v="Sleaford Street Industrial Estate &amp; Dairy Crest Distribution Depot, Sleaford Street (Battersea Power Station Phase 4A)"/>
    <s v="Phase 4A (A1.1, A1.2 and A1.3)"/>
    <n v="529318"/>
    <n v="177190"/>
    <x v="15"/>
    <d v="2016-05-16T00:00:00"/>
    <m/>
    <n v="0"/>
    <n v="168"/>
    <n v="168"/>
    <n v="386"/>
    <n v="386"/>
    <x v="0"/>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x v="0"/>
    <s v="Nil"/>
    <m/>
    <s v="BF"/>
    <s v="NB"/>
    <x v="0"/>
    <x v="0"/>
    <n v="0.309"/>
    <d v="2019-03-25T00:00:00"/>
    <x v="0"/>
    <m/>
    <x v="1"/>
    <s v="AL"/>
    <s v="2.1.14"/>
    <m/>
    <n v="0"/>
    <n v="147"/>
    <n v="0"/>
    <n v="21"/>
    <n v="2"/>
    <n v="60"/>
    <n v="44"/>
    <n v="30"/>
    <n v="32"/>
    <n v="0"/>
    <n v="0"/>
    <n v="2"/>
    <n v="60"/>
    <n v="44"/>
    <n v="30"/>
    <n v="32"/>
    <n v="0"/>
    <n v="0"/>
    <n v="0"/>
    <n v="0"/>
    <n v="0"/>
    <n v="0"/>
    <n v="0"/>
    <n v="0"/>
    <n v="0"/>
    <n v="0"/>
    <n v="0"/>
    <n v="0"/>
    <n v="0"/>
    <n v="0"/>
    <n v="0"/>
    <n v="0"/>
    <x v="0"/>
    <x v="1"/>
    <x v="7"/>
    <n v="5"/>
    <m/>
    <n v="168"/>
    <m/>
    <m/>
    <m/>
    <m/>
    <m/>
    <m/>
    <m/>
    <m/>
    <m/>
    <m/>
    <m/>
    <m/>
    <m/>
    <m/>
    <m/>
    <m/>
    <m/>
    <m/>
    <n v="168"/>
    <n v="168"/>
  </r>
  <r>
    <n v="2502"/>
    <x v="1"/>
    <s v="2021/4678"/>
    <s v="Springfield Hospital site, 61 Glenburnie Road"/>
    <s v="Phase 6C"/>
    <n v="527221"/>
    <n v="172443"/>
    <x v="10"/>
    <d v="2015-08-28T00:00:00"/>
    <m/>
    <n v="0"/>
    <n v="80"/>
    <n v="80"/>
    <n v="80"/>
    <n v="80"/>
    <x v="0"/>
    <s v="Reserved matters relating to landscaping, scale and appearance in respect of the part demolition, conversion, restoration and repair of part of the Main Building (Grade II listed) to provide 80 residential units with landscaping and associated works (forming part of Phase 6C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details and surface and foul water drainage pursuant to conditions 7, 10 and 30."/>
    <s v="PF"/>
    <d v="2021-10-11T00:00:00"/>
    <d v="2022-02-22T00:00:00"/>
    <x v="0"/>
    <s v="Nil"/>
    <m/>
    <s v="BF"/>
    <s v="NB"/>
    <x v="0"/>
    <x v="0"/>
    <n v="2E-3"/>
    <m/>
    <x v="0"/>
    <m/>
    <x v="2"/>
    <s v="M"/>
    <s v="9.1"/>
    <m/>
    <n v="0"/>
    <m/>
    <n v="0"/>
    <m/>
    <n v="0"/>
    <n v="45"/>
    <n v="33"/>
    <n v="2"/>
    <n v="0"/>
    <n v="0"/>
    <n v="0"/>
    <n v="0"/>
    <n v="45"/>
    <n v="33"/>
    <n v="2"/>
    <n v="0"/>
    <n v="0"/>
    <n v="0"/>
    <n v="0"/>
    <n v="0"/>
    <n v="0"/>
    <n v="0"/>
    <n v="0"/>
    <n v="0"/>
    <n v="0"/>
    <n v="0"/>
    <n v="0"/>
    <n v="0"/>
    <n v="0"/>
    <n v="0"/>
    <n v="0"/>
    <n v="0"/>
    <x v="0"/>
    <x v="0"/>
    <x v="1"/>
    <n v="10"/>
    <m/>
    <m/>
    <m/>
    <m/>
    <n v="26.666666666666668"/>
    <n v="26.666666666666668"/>
    <n v="26.666666666666668"/>
    <m/>
    <m/>
    <m/>
    <m/>
    <m/>
    <m/>
    <m/>
    <m/>
    <m/>
    <m/>
    <m/>
    <m/>
    <m/>
    <n v="53.333333333333336"/>
    <n v="80"/>
  </r>
  <r>
    <n v="3938"/>
    <x v="2"/>
    <s v="2021/3086"/>
    <s v="Sleaford Street Industrial Estate &amp; Dairy Crest Distribution Depot, Sleaford Street (Battersea Power Station Phase 4A)"/>
    <s v="Phase 4A (A2 and A3)"/>
    <n v="529318"/>
    <n v="177190"/>
    <x v="15"/>
    <d v="2016-05-16T00:00:00"/>
    <m/>
    <n v="0"/>
    <n v="82"/>
    <n v="82"/>
    <n v="386"/>
    <n v="386"/>
    <x v="0"/>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x v="0"/>
    <s v="Nil"/>
    <m/>
    <s v="BF"/>
    <s v="NB"/>
    <x v="0"/>
    <x v="0"/>
    <n v="0.151"/>
    <d v="2019-03-25T00:00:00"/>
    <x v="0"/>
    <m/>
    <x v="1"/>
    <s v="AL"/>
    <s v="2.1.14"/>
    <m/>
    <n v="0"/>
    <n v="77"/>
    <n v="0"/>
    <n v="5"/>
    <n v="0"/>
    <n v="0"/>
    <n v="40"/>
    <n v="39"/>
    <n v="3"/>
    <n v="0"/>
    <n v="0"/>
    <n v="0"/>
    <n v="0"/>
    <n v="40"/>
    <n v="39"/>
    <n v="3"/>
    <n v="0"/>
    <n v="0"/>
    <n v="0"/>
    <n v="0"/>
    <n v="0"/>
    <n v="0"/>
    <n v="0"/>
    <n v="0"/>
    <n v="0"/>
    <n v="0"/>
    <n v="0"/>
    <n v="0"/>
    <n v="0"/>
    <n v="0"/>
    <n v="0"/>
    <n v="0"/>
    <x v="0"/>
    <x v="1"/>
    <x v="7"/>
    <n v="5"/>
    <m/>
    <n v="82"/>
    <m/>
    <m/>
    <m/>
    <m/>
    <m/>
    <m/>
    <m/>
    <m/>
    <m/>
    <m/>
    <m/>
    <m/>
    <m/>
    <m/>
    <m/>
    <m/>
    <m/>
    <m/>
    <n v="82"/>
    <n v="82"/>
  </r>
  <r>
    <n v="6505"/>
    <x v="1"/>
    <s v="2016/5644"/>
    <s v="Part of Plantation Wharf, York Place, Gartons Way (Plantation Wharf)"/>
    <s v="Port House"/>
    <n v="526483"/>
    <n v="175747"/>
    <x v="5"/>
    <m/>
    <m/>
    <n v="0"/>
    <n v="77"/>
    <n v="77"/>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x v="0"/>
    <s v="Nil"/>
    <m/>
    <s v="BF"/>
    <s v="NB"/>
    <x v="0"/>
    <x v="0"/>
    <n v="0.2"/>
    <m/>
    <x v="0"/>
    <m/>
    <x v="2"/>
    <s v="M"/>
    <s v="10.15"/>
    <m/>
    <n v="0"/>
    <m/>
    <n v="0"/>
    <m/>
    <n v="0"/>
    <n v="10"/>
    <n v="64"/>
    <n v="3"/>
    <n v="0"/>
    <n v="0"/>
    <n v="0"/>
    <n v="0"/>
    <n v="10"/>
    <n v="64"/>
    <n v="3"/>
    <n v="0"/>
    <n v="0"/>
    <n v="0"/>
    <n v="0"/>
    <n v="0"/>
    <n v="0"/>
    <n v="0"/>
    <n v="0"/>
    <n v="0"/>
    <n v="0"/>
    <n v="0"/>
    <n v="0"/>
    <n v="0"/>
    <n v="0"/>
    <n v="0"/>
    <n v="0"/>
    <n v="0"/>
    <x v="0"/>
    <x v="0"/>
    <x v="8"/>
    <n v="10"/>
    <m/>
    <m/>
    <m/>
    <m/>
    <n v="25.666666666666668"/>
    <n v="25.666666666666668"/>
    <n v="25.666666666666668"/>
    <m/>
    <m/>
    <m/>
    <m/>
    <m/>
    <m/>
    <m/>
    <m/>
    <m/>
    <m/>
    <m/>
    <m/>
    <m/>
    <n v="51.333333333333336"/>
    <n v="77"/>
  </r>
  <r>
    <n v="6505"/>
    <x v="1"/>
    <s v="2016/5644"/>
    <s v="Part of Plantation Wharf, York Place, Gartons Way (Plantation Wharf)"/>
    <s v="Port House"/>
    <n v="526483"/>
    <n v="175747"/>
    <x v="5"/>
    <m/>
    <m/>
    <n v="0"/>
    <n v="8"/>
    <n v="8"/>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x v="0"/>
    <s v="Nil"/>
    <m/>
    <s v="BF"/>
    <s v="NB"/>
    <x v="0"/>
    <x v="0"/>
    <n v="1.84E-2"/>
    <m/>
    <x v="0"/>
    <m/>
    <x v="0"/>
    <s v="ISL"/>
    <s v="10.15"/>
    <m/>
    <n v="0"/>
    <m/>
    <n v="0"/>
    <m/>
    <n v="0"/>
    <n v="4"/>
    <n v="4"/>
    <n v="0"/>
    <n v="0"/>
    <n v="0"/>
    <n v="0"/>
    <n v="0"/>
    <n v="4"/>
    <n v="4"/>
    <n v="0"/>
    <n v="0"/>
    <n v="0"/>
    <n v="0"/>
    <n v="0"/>
    <n v="0"/>
    <n v="0"/>
    <n v="0"/>
    <n v="0"/>
    <n v="0"/>
    <n v="0"/>
    <n v="0"/>
    <n v="0"/>
    <n v="0"/>
    <n v="0"/>
    <n v="0"/>
    <n v="0"/>
    <n v="0"/>
    <x v="0"/>
    <x v="0"/>
    <x v="8"/>
    <n v="10"/>
    <m/>
    <m/>
    <m/>
    <m/>
    <n v="2.6666666666666665"/>
    <n v="2.6666666666666665"/>
    <n v="2.6666666666666665"/>
    <m/>
    <m/>
    <m/>
    <m/>
    <m/>
    <m/>
    <m/>
    <m/>
    <m/>
    <m/>
    <m/>
    <m/>
    <m/>
    <n v="5.333333333333333"/>
    <n v="8"/>
  </r>
  <r>
    <n v="7463"/>
    <x v="1"/>
    <s v="2020/5015"/>
    <s v="7a Putney Bridge Road"/>
    <s v="Rear Building"/>
    <n v="525270"/>
    <n v="174719"/>
    <x v="7"/>
    <d v="2022-08-19T00:00:00"/>
    <m/>
    <n v="0"/>
    <n v="3"/>
    <n v="3"/>
    <n v="9"/>
    <n v="9"/>
    <x v="1"/>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x v="0"/>
    <s v="Nil"/>
    <m/>
    <s v="BF"/>
    <s v="NB"/>
    <x v="2"/>
    <x v="1"/>
    <n v="2.1000000000000001E-2"/>
    <m/>
    <x v="0"/>
    <m/>
    <x v="2"/>
    <s v="M"/>
    <s v=""/>
    <m/>
    <n v="0"/>
    <m/>
    <n v="0"/>
    <m/>
    <n v="0"/>
    <n v="0"/>
    <n v="3"/>
    <n v="0"/>
    <n v="0"/>
    <n v="0"/>
    <n v="0"/>
    <n v="0"/>
    <n v="0"/>
    <n v="3"/>
    <n v="0"/>
    <n v="0"/>
    <n v="0"/>
    <n v="0"/>
    <n v="0"/>
    <n v="0"/>
    <n v="0"/>
    <n v="0"/>
    <n v="0"/>
    <n v="0"/>
    <n v="0"/>
    <n v="0"/>
    <n v="0"/>
    <n v="0"/>
    <n v="0"/>
    <n v="0"/>
    <n v="0"/>
    <n v="0"/>
    <x v="0"/>
    <x v="0"/>
    <x v="0"/>
    <n v="8"/>
    <m/>
    <m/>
    <n v="3"/>
    <m/>
    <m/>
    <m/>
    <m/>
    <m/>
    <m/>
    <m/>
    <m/>
    <m/>
    <m/>
    <m/>
    <m/>
    <m/>
    <m/>
    <m/>
    <m/>
    <m/>
    <n v="3"/>
    <n v="3"/>
  </r>
  <r>
    <n v="6908"/>
    <x v="1"/>
    <s v="2021/3601"/>
    <s v="Riverside Business Centre and Former Bingo Hall, Bendon Valley"/>
    <s v="Riverside Building G"/>
    <n v="525716"/>
    <n v="173464"/>
    <x v="11"/>
    <m/>
    <m/>
    <n v="0"/>
    <n v="41"/>
    <n v="41"/>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x v="1"/>
    <s v="Nil"/>
    <m/>
    <s v="BF"/>
    <s v="NB"/>
    <x v="0"/>
    <x v="0"/>
    <n v="0"/>
    <m/>
    <x v="0"/>
    <m/>
    <x v="2"/>
    <s v="M"/>
    <s v=""/>
    <n v="17320085"/>
    <n v="0"/>
    <m/>
    <n v="0"/>
    <m/>
    <n v="0"/>
    <n v="18"/>
    <n v="13"/>
    <n v="10"/>
    <n v="0"/>
    <n v="0"/>
    <n v="0"/>
    <n v="0"/>
    <n v="18"/>
    <n v="13"/>
    <n v="10"/>
    <n v="0"/>
    <n v="0"/>
    <n v="0"/>
    <n v="0"/>
    <n v="0"/>
    <n v="0"/>
    <n v="0"/>
    <n v="0"/>
    <n v="0"/>
    <n v="0"/>
    <n v="0"/>
    <n v="0"/>
    <n v="0"/>
    <n v="0"/>
    <n v="0"/>
    <n v="0"/>
    <n v="0"/>
    <x v="0"/>
    <x v="0"/>
    <x v="6"/>
    <n v="8"/>
    <m/>
    <m/>
    <m/>
    <m/>
    <n v="41"/>
    <m/>
    <m/>
    <m/>
    <m/>
    <m/>
    <m/>
    <m/>
    <m/>
    <m/>
    <m/>
    <m/>
    <m/>
    <m/>
    <m/>
    <m/>
    <n v="41"/>
    <n v="41"/>
  </r>
  <r>
    <n v="6908"/>
    <x v="1"/>
    <s v="2021/3601"/>
    <s v="Riverside Business Centre and Former Bingo Hall, Bendon Valley"/>
    <s v="Riverside Building H"/>
    <n v="525716"/>
    <n v="173464"/>
    <x v="11"/>
    <m/>
    <m/>
    <n v="0"/>
    <n v="79"/>
    <n v="79"/>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x v="1"/>
    <s v="Nil"/>
    <m/>
    <s v="BF"/>
    <s v="NB"/>
    <x v="0"/>
    <x v="0"/>
    <n v="0"/>
    <m/>
    <x v="0"/>
    <m/>
    <x v="2"/>
    <s v="M"/>
    <s v=""/>
    <n v="17320085"/>
    <n v="0"/>
    <m/>
    <n v="0"/>
    <m/>
    <n v="7"/>
    <n v="39"/>
    <n v="31"/>
    <n v="2"/>
    <n v="0"/>
    <n v="0"/>
    <n v="0"/>
    <n v="7"/>
    <n v="39"/>
    <n v="31"/>
    <n v="2"/>
    <n v="0"/>
    <n v="0"/>
    <n v="0"/>
    <n v="0"/>
    <n v="0"/>
    <n v="0"/>
    <n v="0"/>
    <n v="0"/>
    <n v="0"/>
    <n v="0"/>
    <n v="0"/>
    <n v="0"/>
    <n v="0"/>
    <n v="0"/>
    <n v="0"/>
    <n v="0"/>
    <n v="0"/>
    <x v="0"/>
    <x v="0"/>
    <x v="6"/>
    <n v="8"/>
    <m/>
    <m/>
    <m/>
    <m/>
    <m/>
    <n v="79"/>
    <m/>
    <m/>
    <m/>
    <m/>
    <m/>
    <m/>
    <m/>
    <m/>
    <m/>
    <m/>
    <m/>
    <m/>
    <m/>
    <m/>
    <n v="79"/>
    <n v="79"/>
  </r>
  <r>
    <n v="6908"/>
    <x v="1"/>
    <s v="2021/3601"/>
    <s v="Riverside Business Centre and Former Bingo Hall, Bendon Valley"/>
    <s v="Riverside Building I"/>
    <n v="525716"/>
    <n v="173464"/>
    <x v="11"/>
    <m/>
    <m/>
    <n v="0"/>
    <n v="51"/>
    <n v="51"/>
    <n v="433"/>
    <n v="433"/>
    <x v="0"/>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x v="1"/>
    <s v="Nil"/>
    <m/>
    <s v="BF"/>
    <s v="NB"/>
    <x v="0"/>
    <x v="0"/>
    <n v="0"/>
    <m/>
    <x v="0"/>
    <m/>
    <x v="2"/>
    <s v="M"/>
    <s v=""/>
    <n v="17320085"/>
    <n v="0"/>
    <m/>
    <n v="0"/>
    <m/>
    <n v="0"/>
    <n v="33"/>
    <n v="17"/>
    <n v="1"/>
    <n v="0"/>
    <n v="0"/>
    <n v="0"/>
    <n v="0"/>
    <n v="33"/>
    <n v="17"/>
    <n v="1"/>
    <n v="0"/>
    <n v="0"/>
    <n v="0"/>
    <n v="0"/>
    <n v="0"/>
    <n v="0"/>
    <n v="0"/>
    <n v="0"/>
    <n v="0"/>
    <n v="0"/>
    <n v="0"/>
    <n v="0"/>
    <n v="0"/>
    <n v="0"/>
    <n v="0"/>
    <n v="0"/>
    <n v="0"/>
    <x v="0"/>
    <x v="0"/>
    <x v="6"/>
    <n v="8"/>
    <m/>
    <m/>
    <m/>
    <m/>
    <m/>
    <n v="51"/>
    <m/>
    <m/>
    <m/>
    <m/>
    <m/>
    <m/>
    <m/>
    <m/>
    <m/>
    <m/>
    <m/>
    <m/>
    <m/>
    <m/>
    <n v="51"/>
    <n v="51"/>
  </r>
  <r>
    <n v="6505"/>
    <x v="1"/>
    <s v="2016/5644"/>
    <s v="Part of Plantation Wharf, York Place, Gartons Way (Plantation Wharf)"/>
    <s v="Spice Court"/>
    <n v="526483"/>
    <n v="175747"/>
    <x v="5"/>
    <m/>
    <m/>
    <n v="0"/>
    <n v="32"/>
    <n v="32"/>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x v="0"/>
    <s v="Nil"/>
    <m/>
    <s v="BF"/>
    <s v="NB"/>
    <x v="0"/>
    <x v="0"/>
    <n v="7.4999999999999997E-2"/>
    <m/>
    <x v="0"/>
    <m/>
    <x v="0"/>
    <s v="ISL"/>
    <s v="10.15"/>
    <m/>
    <n v="0"/>
    <m/>
    <n v="0"/>
    <m/>
    <n v="0"/>
    <n v="10"/>
    <n v="20"/>
    <n v="2"/>
    <n v="0"/>
    <n v="0"/>
    <n v="0"/>
    <n v="0"/>
    <n v="10"/>
    <n v="20"/>
    <n v="2"/>
    <n v="0"/>
    <n v="0"/>
    <n v="0"/>
    <n v="0"/>
    <n v="0"/>
    <n v="0"/>
    <n v="0"/>
    <n v="0"/>
    <n v="0"/>
    <n v="0"/>
    <n v="0"/>
    <n v="0"/>
    <n v="0"/>
    <n v="0"/>
    <n v="0"/>
    <n v="0"/>
    <n v="0"/>
    <x v="0"/>
    <x v="0"/>
    <x v="8"/>
    <n v="10"/>
    <m/>
    <m/>
    <m/>
    <m/>
    <n v="10.666666666666666"/>
    <n v="10.666666666666666"/>
    <n v="10.666666666666666"/>
    <m/>
    <m/>
    <m/>
    <m/>
    <m/>
    <m/>
    <m/>
    <m/>
    <m/>
    <m/>
    <m/>
    <m/>
    <m/>
    <n v="21.333333333333332"/>
    <n v="32"/>
  </r>
  <r>
    <n v="7863"/>
    <x v="1"/>
    <s v="2022/2530"/>
    <s v="178 Mitcham Road"/>
    <s v="Studio"/>
    <n v="527882"/>
    <n v="170985"/>
    <x v="3"/>
    <m/>
    <m/>
    <n v="0"/>
    <n v="1"/>
    <n v="1"/>
    <n v="4"/>
    <n v="2"/>
    <x v="1"/>
    <s v="Alterations including erection of roof extensions to the main rear roof and above the back addition and erection of part single, part three-storey side and rear extension with first floor terrace in connection with partial change of use from restaurant (Class E) to residential (Class C3) to provide 2 x 1-bedroom and 2 x 2-bedroom flats with the retention of commercial space (Class E) at front ground floor, and associated refuse and cycle storage."/>
    <s v="PF"/>
    <d v="2022-06-16T00:00:00"/>
    <d v="2022-10-13T00:00:00"/>
    <x v="1"/>
    <s v="Nil"/>
    <m/>
    <s v="BF"/>
    <s v="MIX"/>
    <x v="2"/>
    <x v="2"/>
    <n v="3.7399999999999998E-3"/>
    <m/>
    <x v="0"/>
    <m/>
    <x v="2"/>
    <s v="MR"/>
    <s v=""/>
    <m/>
    <n v="0"/>
    <m/>
    <n v="0"/>
    <m/>
    <n v="1"/>
    <n v="0"/>
    <n v="0"/>
    <n v="0"/>
    <n v="0"/>
    <n v="0"/>
    <n v="0"/>
    <n v="1"/>
    <n v="0"/>
    <n v="0"/>
    <n v="0"/>
    <n v="0"/>
    <n v="0"/>
    <n v="0"/>
    <n v="0"/>
    <n v="0"/>
    <n v="0"/>
    <n v="0"/>
    <n v="0"/>
    <n v="0"/>
    <n v="0"/>
    <n v="0"/>
    <n v="0"/>
    <n v="0"/>
    <n v="0"/>
    <n v="0"/>
    <n v="0"/>
    <n v="0"/>
    <x v="0"/>
    <x v="0"/>
    <x v="3"/>
    <n v="15"/>
    <m/>
    <n v="0.25"/>
    <n v="0.25"/>
    <n v="0.25"/>
    <n v="0.25"/>
    <m/>
    <m/>
    <m/>
    <m/>
    <m/>
    <m/>
    <m/>
    <m/>
    <m/>
    <m/>
    <m/>
    <m/>
    <m/>
    <m/>
    <m/>
    <n v="1"/>
    <n v="1"/>
  </r>
  <r>
    <n v="5479"/>
    <x v="1"/>
    <s v="2021/0988"/>
    <s v="Land rear of, 76-77 Stanley Grove (Land adjacent to 76a Stanley Grove)"/>
    <s v="The Orpheus House"/>
    <n v="528475"/>
    <n v="176217"/>
    <x v="1"/>
    <m/>
    <m/>
    <n v="0"/>
    <n v="1"/>
    <n v="1"/>
    <n v="2"/>
    <n v="2"/>
    <x v="1"/>
    <s v="Erection of two-storey plus roof and basement three bedroom house adjoining no. 76 Stanley Grove and erection of two-storey four bedroom house to the rear of the terrace and associated cycle and refuse storage."/>
    <s v="PF"/>
    <d v="2021-03-03T00:00:00"/>
    <d v="2021-06-22T00:00:00"/>
    <x v="0"/>
    <s v="Nil"/>
    <m/>
    <s v="BF"/>
    <s v="NB"/>
    <x v="2"/>
    <x v="1"/>
    <n v="0.02"/>
    <m/>
    <x v="0"/>
    <m/>
    <x v="2"/>
    <s v="M"/>
    <s v=""/>
    <m/>
    <n v="0"/>
    <m/>
    <n v="0"/>
    <m/>
    <n v="0"/>
    <n v="0"/>
    <n v="0"/>
    <n v="0"/>
    <n v="1"/>
    <n v="0"/>
    <n v="0"/>
    <n v="0"/>
    <n v="0"/>
    <n v="0"/>
    <n v="0"/>
    <n v="0"/>
    <n v="0"/>
    <n v="0"/>
    <n v="0"/>
    <n v="0"/>
    <n v="0"/>
    <n v="0"/>
    <n v="1"/>
    <n v="0"/>
    <n v="0"/>
    <n v="0"/>
    <n v="0"/>
    <n v="0"/>
    <n v="0"/>
    <n v="0"/>
    <n v="0"/>
    <n v="0"/>
    <x v="0"/>
    <x v="0"/>
    <x v="1"/>
    <n v="7"/>
    <m/>
    <m/>
    <n v="0.25"/>
    <n v="0.25"/>
    <n v="0.25"/>
    <n v="0.25"/>
    <m/>
    <m/>
    <m/>
    <m/>
    <m/>
    <m/>
    <m/>
    <m/>
    <m/>
    <m/>
    <m/>
    <m/>
    <m/>
    <m/>
    <n v="1"/>
    <n v="1"/>
  </r>
  <r>
    <n v="5479"/>
    <x v="1"/>
    <s v="2021/0988"/>
    <s v="Land rear of, 76-77 Stanley Grove (Land adjacent to 76a Stanley Grove)"/>
    <s v="The Terraced House"/>
    <n v="528475"/>
    <n v="176217"/>
    <x v="1"/>
    <m/>
    <m/>
    <n v="0"/>
    <n v="1"/>
    <n v="1"/>
    <n v="2"/>
    <n v="2"/>
    <x v="1"/>
    <s v="Erection of two-storey plus roof and basement three bedroom house adjoining no. 76 Stanley Grove and erection of two-storey four bedroom house to the rear of the terrace and associated cycle and refuse storage."/>
    <s v="PF"/>
    <d v="2021-03-03T00:00:00"/>
    <d v="2021-06-22T00:00:00"/>
    <x v="0"/>
    <s v="Nil"/>
    <m/>
    <s v="BF"/>
    <s v="NB"/>
    <x v="2"/>
    <x v="1"/>
    <n v="1.2999999999999999E-2"/>
    <m/>
    <x v="0"/>
    <m/>
    <x v="2"/>
    <s v="M"/>
    <s v=""/>
    <m/>
    <n v="0"/>
    <m/>
    <n v="0"/>
    <m/>
    <n v="0"/>
    <n v="0"/>
    <n v="0"/>
    <n v="1"/>
    <n v="0"/>
    <n v="0"/>
    <n v="0"/>
    <n v="0"/>
    <n v="0"/>
    <n v="0"/>
    <n v="0"/>
    <n v="0"/>
    <n v="0"/>
    <n v="0"/>
    <n v="0"/>
    <n v="0"/>
    <n v="0"/>
    <n v="1"/>
    <n v="0"/>
    <n v="0"/>
    <n v="0"/>
    <n v="0"/>
    <n v="0"/>
    <n v="0"/>
    <n v="0"/>
    <n v="0"/>
    <n v="0"/>
    <n v="0"/>
    <x v="0"/>
    <x v="0"/>
    <x v="1"/>
    <n v="7"/>
    <m/>
    <m/>
    <n v="0.25"/>
    <n v="0.25"/>
    <n v="0.25"/>
    <n v="0.25"/>
    <m/>
    <m/>
    <m/>
    <m/>
    <m/>
    <m/>
    <m/>
    <m/>
    <m/>
    <m/>
    <m/>
    <m/>
    <m/>
    <m/>
    <n v="1"/>
    <n v="1"/>
  </r>
  <r>
    <n v="3511"/>
    <x v="1"/>
    <s v="2014/2810"/>
    <s v="New Covent Garden Market, Nine Elms Lane (Combined Main Market, Entrance site and Thessaly College site)"/>
    <s v="Thessaly Road Site - T2"/>
    <n v="529369"/>
    <n v="177317"/>
    <x v="15"/>
    <d v="2017-03-31T00:00:00"/>
    <m/>
    <n v="0"/>
    <n v="17"/>
    <n v="1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10199999999999999"/>
    <m/>
    <x v="0"/>
    <m/>
    <x v="1"/>
    <s v="AA"/>
    <s v="2.1.27"/>
    <m/>
    <n v="0"/>
    <n v="15"/>
    <n v="0"/>
    <n v="2"/>
    <n v="0"/>
    <n v="2"/>
    <n v="7"/>
    <n v="8"/>
    <n v="0"/>
    <n v="0"/>
    <n v="0"/>
    <n v="0"/>
    <n v="2"/>
    <n v="7"/>
    <n v="8"/>
    <n v="0"/>
    <n v="0"/>
    <n v="0"/>
    <n v="0"/>
    <n v="0"/>
    <n v="0"/>
    <n v="0"/>
    <n v="0"/>
    <n v="0"/>
    <n v="0"/>
    <n v="0"/>
    <n v="0"/>
    <n v="0"/>
    <n v="0"/>
    <n v="0"/>
    <n v="0"/>
    <n v="0"/>
    <x v="0"/>
    <x v="1"/>
    <x v="7"/>
    <n v="8"/>
    <m/>
    <m/>
    <m/>
    <m/>
    <m/>
    <m/>
    <m/>
    <n v="17"/>
    <m/>
    <m/>
    <m/>
    <m/>
    <m/>
    <m/>
    <m/>
    <m/>
    <m/>
    <m/>
    <m/>
    <m/>
    <n v="0"/>
    <n v="17"/>
  </r>
  <r>
    <n v="3511"/>
    <x v="1"/>
    <s v="2014/2810"/>
    <s v="New Covent Garden Market, Nine Elms Lane (Combined Main Market, Entrance site and Thessaly College site)"/>
    <s v="Thessaly Road Site - T3A"/>
    <n v="529369"/>
    <n v="177317"/>
    <x v="15"/>
    <d v="2017-03-31T00:00:00"/>
    <m/>
    <n v="0"/>
    <n v="11"/>
    <n v="1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6.6000000000000003E-2"/>
    <m/>
    <x v="0"/>
    <m/>
    <x v="1"/>
    <s v="AA"/>
    <s v="2.1.27"/>
    <m/>
    <n v="0"/>
    <n v="10"/>
    <n v="0"/>
    <n v="1"/>
    <n v="0"/>
    <n v="2"/>
    <n v="5"/>
    <n v="4"/>
    <n v="0"/>
    <n v="0"/>
    <n v="0"/>
    <n v="0"/>
    <n v="2"/>
    <n v="5"/>
    <n v="4"/>
    <n v="0"/>
    <n v="0"/>
    <n v="0"/>
    <n v="0"/>
    <n v="0"/>
    <n v="0"/>
    <n v="0"/>
    <n v="0"/>
    <n v="0"/>
    <n v="0"/>
    <n v="0"/>
    <n v="0"/>
    <n v="0"/>
    <n v="0"/>
    <n v="0"/>
    <n v="0"/>
    <n v="0"/>
    <x v="0"/>
    <x v="1"/>
    <x v="7"/>
    <n v="8"/>
    <m/>
    <m/>
    <m/>
    <m/>
    <m/>
    <m/>
    <m/>
    <n v="11"/>
    <m/>
    <m/>
    <m/>
    <m/>
    <m/>
    <m/>
    <m/>
    <m/>
    <m/>
    <m/>
    <m/>
    <m/>
    <n v="0"/>
    <n v="11"/>
  </r>
  <r>
    <n v="3511"/>
    <x v="1"/>
    <s v="2014/2810"/>
    <s v="New Covent Garden Market, Nine Elms Lane (Combined Main Market, Entrance site and Thessaly College site)"/>
    <s v="Thessaly Road Site - T3B"/>
    <n v="529369"/>
    <n v="177317"/>
    <x v="15"/>
    <d v="2017-03-31T00:00:00"/>
    <m/>
    <n v="0"/>
    <n v="6"/>
    <n v="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3.5999999999999997E-2"/>
    <m/>
    <x v="0"/>
    <m/>
    <x v="1"/>
    <s v="AA"/>
    <s v="2.1.27"/>
    <m/>
    <n v="0"/>
    <n v="5"/>
    <n v="0"/>
    <n v="1"/>
    <n v="0"/>
    <n v="0"/>
    <n v="2"/>
    <n v="4"/>
    <n v="0"/>
    <n v="0"/>
    <n v="0"/>
    <n v="0"/>
    <n v="0"/>
    <n v="2"/>
    <n v="4"/>
    <n v="0"/>
    <n v="0"/>
    <n v="0"/>
    <n v="0"/>
    <n v="0"/>
    <n v="0"/>
    <n v="0"/>
    <n v="0"/>
    <n v="0"/>
    <n v="0"/>
    <n v="0"/>
    <n v="0"/>
    <n v="0"/>
    <n v="0"/>
    <n v="0"/>
    <n v="0"/>
    <n v="0"/>
    <x v="0"/>
    <x v="1"/>
    <x v="7"/>
    <n v="8"/>
    <m/>
    <m/>
    <m/>
    <m/>
    <m/>
    <m/>
    <m/>
    <n v="6"/>
    <m/>
    <m/>
    <m/>
    <m/>
    <m/>
    <m/>
    <m/>
    <m/>
    <m/>
    <m/>
    <m/>
    <m/>
    <n v="0"/>
    <n v="6"/>
  </r>
  <r>
    <n v="3511"/>
    <x v="1"/>
    <s v="2014/2810"/>
    <s v="New Covent Garden Market, Nine Elms Lane (Combined Main Market, Entrance site and Thessaly College site)"/>
    <s v="Thessaly Road Site - T4"/>
    <n v="529369"/>
    <n v="177317"/>
    <x v="15"/>
    <d v="2017-03-31T00:00:00"/>
    <m/>
    <n v="0"/>
    <n v="17"/>
    <n v="1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10199999999999999"/>
    <m/>
    <x v="0"/>
    <m/>
    <x v="1"/>
    <s v="AA"/>
    <s v="2.1.27"/>
    <m/>
    <n v="0"/>
    <n v="15"/>
    <n v="0"/>
    <n v="2"/>
    <n v="0"/>
    <n v="2"/>
    <n v="7"/>
    <n v="8"/>
    <n v="0"/>
    <n v="0"/>
    <n v="0"/>
    <n v="0"/>
    <n v="2"/>
    <n v="7"/>
    <n v="8"/>
    <n v="0"/>
    <n v="0"/>
    <n v="0"/>
    <n v="0"/>
    <n v="0"/>
    <n v="0"/>
    <n v="0"/>
    <n v="0"/>
    <n v="0"/>
    <n v="0"/>
    <n v="0"/>
    <n v="0"/>
    <n v="0"/>
    <n v="0"/>
    <n v="0"/>
    <n v="0"/>
    <n v="0"/>
    <x v="0"/>
    <x v="1"/>
    <x v="7"/>
    <n v="8"/>
    <m/>
    <m/>
    <m/>
    <m/>
    <m/>
    <m/>
    <m/>
    <n v="17"/>
    <m/>
    <m/>
    <m/>
    <m/>
    <m/>
    <m/>
    <m/>
    <m/>
    <m/>
    <m/>
    <m/>
    <m/>
    <n v="0"/>
    <n v="17"/>
  </r>
  <r>
    <n v="6505"/>
    <x v="1"/>
    <s v="2016/5644"/>
    <s v="Part of Plantation Wharf, York Place, Gartons Way (Plantation Wharf)"/>
    <s v="Trade Tower"/>
    <n v="526483"/>
    <n v="175747"/>
    <x v="5"/>
    <m/>
    <m/>
    <n v="2"/>
    <n v="10"/>
    <n v="8"/>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x v="0"/>
    <s v="Nil"/>
    <m/>
    <s v="BF"/>
    <s v="NB"/>
    <x v="0"/>
    <x v="0"/>
    <n v="2.3E-2"/>
    <m/>
    <x v="0"/>
    <m/>
    <x v="2"/>
    <s v="M"/>
    <s v="10.15"/>
    <m/>
    <n v="0"/>
    <m/>
    <n v="0"/>
    <m/>
    <n v="0"/>
    <n v="0"/>
    <n v="6"/>
    <n v="1"/>
    <n v="1"/>
    <n v="0"/>
    <n v="0"/>
    <n v="0"/>
    <n v="0"/>
    <n v="6"/>
    <n v="1"/>
    <n v="1"/>
    <n v="0"/>
    <n v="0"/>
    <n v="0"/>
    <n v="0"/>
    <n v="0"/>
    <n v="0"/>
    <n v="0"/>
    <n v="0"/>
    <n v="0"/>
    <n v="0"/>
    <n v="0"/>
    <n v="0"/>
    <n v="0"/>
    <n v="0"/>
    <n v="0"/>
    <n v="0"/>
    <x v="0"/>
    <x v="0"/>
    <x v="8"/>
    <n v="10"/>
    <m/>
    <m/>
    <m/>
    <m/>
    <n v="2.6666666666666665"/>
    <n v="2.6666666666666665"/>
    <n v="2.6666666666666665"/>
    <m/>
    <m/>
    <m/>
    <m/>
    <m/>
    <m/>
    <m/>
    <m/>
    <m/>
    <m/>
    <m/>
    <m/>
    <m/>
    <n v="5.333333333333333"/>
    <n v="8"/>
  </r>
  <r>
    <n v="6149"/>
    <x v="3"/>
    <s v="2020/4512"/>
    <s v="8 Ravensbury Terrace"/>
    <s v=""/>
    <n v="525867"/>
    <n v="172948"/>
    <x v="20"/>
    <m/>
    <m/>
    <n v="0"/>
    <n v="17"/>
    <n v="17"/>
    <n v="17"/>
    <n v="17"/>
    <x v="0"/>
    <s v="Demolition of existing buildings and erection of a part-1, part-3, part-4 storey building to accommodate 17 residential units (3x 1-bedroom, 13x 2-bedroom and 1x 3-bedroom units); together with a flood water attenuation tank at basement level, landscaping, bicycle and refuse storage, and works to the river wall"/>
    <s v="SLA"/>
    <d v="2020-11-24T00:00:00"/>
    <m/>
    <x v="0"/>
    <s v="Nil"/>
    <m/>
    <s v="BF"/>
    <s v="NB"/>
    <x v="0"/>
    <x v="0"/>
    <n v="6.7000000000000004E-2"/>
    <s v=""/>
    <x v="0"/>
    <m/>
    <x v="2"/>
    <s v="M"/>
    <s v=""/>
    <m/>
    <m/>
    <m/>
    <m/>
    <m/>
    <n v="0"/>
    <n v="3"/>
    <n v="13"/>
    <n v="1"/>
    <n v="0"/>
    <n v="0"/>
    <n v="0"/>
    <n v="0"/>
    <n v="3"/>
    <n v="13"/>
    <n v="1"/>
    <n v="0"/>
    <n v="0"/>
    <n v="0"/>
    <n v="0"/>
    <n v="0"/>
    <n v="0"/>
    <n v="0"/>
    <n v="0"/>
    <n v="0"/>
    <n v="0"/>
    <n v="0"/>
    <n v="0"/>
    <n v="0"/>
    <n v="0"/>
    <n v="0"/>
    <n v="0"/>
    <n v="0"/>
    <x v="0"/>
    <x v="0"/>
    <x v="6"/>
    <n v="9"/>
    <m/>
    <m/>
    <m/>
    <m/>
    <m/>
    <m/>
    <n v="5.666666666666667"/>
    <n v="5.666666666666667"/>
    <n v="5.666666666666667"/>
    <m/>
    <m/>
    <m/>
    <m/>
    <m/>
    <m/>
    <m/>
    <m/>
    <m/>
    <m/>
    <m/>
    <n v="0"/>
    <n v="17"/>
  </r>
  <r>
    <n v="7911"/>
    <x v="3"/>
    <s v="2022/4356"/>
    <s v="The Kalos Centre, 48 Endlesham Road"/>
    <s v=""/>
    <n v="528292"/>
    <n v="173674"/>
    <x v="2"/>
    <m/>
    <m/>
    <n v="0"/>
    <n v="9"/>
    <n v="9"/>
    <n v="9"/>
    <n v="9"/>
    <x v="1"/>
    <s v="Demolition of the existing building and erection of a part-single, part-three storey building to provide a community centre at ground floor level (Class F), and 8 x studio and 1 x 1-bed flats above (Class C3), with associated landscaping, refuse and cycle storage."/>
    <s v="SLA"/>
    <d v="2022-10-26T00:00:00"/>
    <m/>
    <x v="0"/>
    <s v="Nil"/>
    <m/>
    <s v="BF"/>
    <s v="NB"/>
    <x v="2"/>
    <x v="1"/>
    <n v="1.7299999999999999E-2"/>
    <s v=""/>
    <x v="0"/>
    <m/>
    <x v="1"/>
    <s v="AL"/>
    <s v=""/>
    <m/>
    <n v="0"/>
    <m/>
    <n v="0"/>
    <m/>
    <n v="8"/>
    <n v="1"/>
    <n v="0"/>
    <n v="0"/>
    <n v="0"/>
    <n v="0"/>
    <n v="0"/>
    <n v="8"/>
    <n v="1"/>
    <n v="0"/>
    <n v="0"/>
    <n v="0"/>
    <n v="0"/>
    <n v="0"/>
    <n v="0"/>
    <n v="0"/>
    <n v="0"/>
    <n v="0"/>
    <n v="0"/>
    <n v="0"/>
    <n v="0"/>
    <n v="0"/>
    <n v="0"/>
    <n v="0"/>
    <n v="0"/>
    <n v="0"/>
    <n v="0"/>
    <n v="0"/>
    <x v="0"/>
    <x v="0"/>
    <x v="1"/>
    <n v="9"/>
    <m/>
    <m/>
    <m/>
    <m/>
    <m/>
    <m/>
    <n v="3"/>
    <n v="3"/>
    <n v="3"/>
    <m/>
    <m/>
    <m/>
    <m/>
    <m/>
    <m/>
    <m/>
    <m/>
    <m/>
    <m/>
    <m/>
    <n v="0"/>
    <n v="9"/>
  </r>
  <r>
    <n v="6670"/>
    <x v="3"/>
    <s v="2021/3145"/>
    <s v="15a Selkirk Road"/>
    <s v="BLOCK 1 (two storeys)"/>
    <n v="527469"/>
    <n v="171617"/>
    <x v="3"/>
    <m/>
    <m/>
    <n v="0"/>
    <n v="6"/>
    <n v="6"/>
    <n v="16"/>
    <n v="16"/>
    <x v="0"/>
    <s v="Demolition of existing buildings in association with an MOT garage. Erection of two-storey and four-storey buildings to create 16 flats with associated landscaping, refuse and cycle storage."/>
    <s v="SLA"/>
    <d v="2021-09-06T00:00:00"/>
    <m/>
    <x v="0"/>
    <s v="Nil"/>
    <m/>
    <s v="BF"/>
    <s v="NB"/>
    <x v="0"/>
    <x v="0"/>
    <n v="1.6549999999999999E-2"/>
    <s v=""/>
    <x v="0"/>
    <m/>
    <x v="2"/>
    <s v="MR"/>
    <s v=""/>
    <m/>
    <n v="0"/>
    <n v="6"/>
    <n v="0"/>
    <m/>
    <n v="1"/>
    <n v="3"/>
    <n v="1"/>
    <n v="1"/>
    <n v="0"/>
    <n v="0"/>
    <n v="0"/>
    <n v="1"/>
    <n v="3"/>
    <n v="1"/>
    <n v="1"/>
    <n v="0"/>
    <n v="0"/>
    <n v="0"/>
    <n v="0"/>
    <n v="0"/>
    <n v="0"/>
    <n v="0"/>
    <n v="0"/>
    <n v="0"/>
    <n v="0"/>
    <n v="0"/>
    <n v="0"/>
    <n v="0"/>
    <n v="0"/>
    <n v="0"/>
    <n v="0"/>
    <n v="0"/>
    <x v="2"/>
    <x v="0"/>
    <x v="3"/>
    <n v="9"/>
    <m/>
    <m/>
    <m/>
    <m/>
    <m/>
    <m/>
    <n v="2"/>
    <n v="2"/>
    <n v="2"/>
    <m/>
    <m/>
    <m/>
    <m/>
    <m/>
    <m/>
    <m/>
    <m/>
    <m/>
    <m/>
    <m/>
    <n v="0"/>
    <n v="6"/>
  </r>
  <r>
    <n v="6670"/>
    <x v="3"/>
    <s v="2021/3145"/>
    <s v="15a Selkirk Road"/>
    <s v="BLOCK 2 (four storeys)"/>
    <n v="527469"/>
    <n v="171617"/>
    <x v="3"/>
    <m/>
    <m/>
    <n v="0"/>
    <n v="10"/>
    <n v="10"/>
    <n v="16"/>
    <n v="16"/>
    <x v="0"/>
    <s v="Demolition of existing buildings in association with an MOT garage. Erection of two-storey and four-storey buildings to create 16 flats with associated landscaping, refuse and cycle storage."/>
    <s v="SLA"/>
    <d v="2021-09-06T00:00:00"/>
    <m/>
    <x v="0"/>
    <s v="Nil"/>
    <m/>
    <s v="BF"/>
    <s v="NB"/>
    <x v="0"/>
    <x v="0"/>
    <n v="1.525E-2"/>
    <s v=""/>
    <x v="0"/>
    <m/>
    <x v="2"/>
    <s v="MR"/>
    <s v=""/>
    <m/>
    <n v="0"/>
    <n v="8"/>
    <n v="0"/>
    <n v="2"/>
    <n v="0"/>
    <n v="4"/>
    <n v="5"/>
    <n v="1"/>
    <n v="0"/>
    <n v="0"/>
    <n v="0"/>
    <n v="0"/>
    <n v="4"/>
    <n v="5"/>
    <n v="1"/>
    <n v="0"/>
    <n v="0"/>
    <n v="0"/>
    <n v="0"/>
    <n v="0"/>
    <n v="0"/>
    <n v="0"/>
    <n v="0"/>
    <n v="0"/>
    <n v="0"/>
    <n v="0"/>
    <n v="0"/>
    <n v="0"/>
    <n v="0"/>
    <n v="0"/>
    <n v="0"/>
    <n v="0"/>
    <x v="2"/>
    <x v="0"/>
    <x v="3"/>
    <n v="9"/>
    <m/>
    <m/>
    <m/>
    <m/>
    <m/>
    <m/>
    <n v="3.3333333333333335"/>
    <n v="3.3333333333333335"/>
    <n v="3.3333333333333335"/>
    <m/>
    <m/>
    <m/>
    <m/>
    <m/>
    <m/>
    <m/>
    <m/>
    <m/>
    <m/>
    <m/>
    <n v="0"/>
    <n v="10"/>
  </r>
  <r>
    <n v="5339"/>
    <x v="3"/>
    <s v="2021/5839"/>
    <s v="103-111 Mitcham Road"/>
    <s v="Block A"/>
    <n v="527711"/>
    <n v="171233"/>
    <x v="3"/>
    <m/>
    <m/>
    <n v="0"/>
    <n v="15"/>
    <n v="15"/>
    <n v="24"/>
    <n v="24"/>
    <x v="0"/>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SLA"/>
    <d v="2021-12-24T00:00:00"/>
    <m/>
    <x v="0"/>
    <s v="Nil"/>
    <m/>
    <s v="BF"/>
    <s v="MIX"/>
    <x v="0"/>
    <x v="0"/>
    <n v="8.8999999999999996E-2"/>
    <s v=""/>
    <x v="0"/>
    <m/>
    <x v="2"/>
    <s v="M"/>
    <s v=""/>
    <m/>
    <n v="0"/>
    <n v="13"/>
    <n v="0"/>
    <n v="2"/>
    <n v="1"/>
    <n v="5"/>
    <n v="8"/>
    <n v="1"/>
    <n v="0"/>
    <n v="0"/>
    <n v="0"/>
    <n v="1"/>
    <n v="5"/>
    <n v="8"/>
    <n v="1"/>
    <n v="0"/>
    <n v="0"/>
    <n v="0"/>
    <n v="0"/>
    <n v="0"/>
    <n v="0"/>
    <n v="0"/>
    <n v="0"/>
    <n v="0"/>
    <n v="0"/>
    <n v="0"/>
    <n v="0"/>
    <n v="0"/>
    <n v="0"/>
    <n v="0"/>
    <n v="0"/>
    <n v="0"/>
    <x v="2"/>
    <x v="0"/>
    <x v="3"/>
    <n v="17"/>
    <m/>
    <m/>
    <m/>
    <m/>
    <m/>
    <m/>
    <n v="3.75"/>
    <n v="3.75"/>
    <n v="3.75"/>
    <n v="3.75"/>
    <m/>
    <m/>
    <m/>
    <m/>
    <m/>
    <m/>
    <m/>
    <m/>
    <m/>
    <m/>
    <n v="0"/>
    <n v="15"/>
  </r>
  <r>
    <n v="5339"/>
    <x v="3"/>
    <s v="2021/5839"/>
    <s v="103-111 Mitcham Road"/>
    <s v="Block B"/>
    <n v="527711"/>
    <n v="171233"/>
    <x v="3"/>
    <m/>
    <m/>
    <n v="0"/>
    <n v="6"/>
    <n v="6"/>
    <n v="24"/>
    <n v="24"/>
    <x v="0"/>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SLA"/>
    <d v="2021-12-24T00:00:00"/>
    <m/>
    <x v="0"/>
    <s v="Nil"/>
    <m/>
    <s v="BF"/>
    <s v="MIX"/>
    <x v="0"/>
    <x v="0"/>
    <n v="3.5000000000000003E-2"/>
    <s v=""/>
    <x v="0"/>
    <m/>
    <x v="2"/>
    <s v="M"/>
    <s v=""/>
    <m/>
    <n v="0"/>
    <n v="5"/>
    <n v="0"/>
    <n v="1"/>
    <n v="0"/>
    <n v="0"/>
    <n v="4"/>
    <n v="2"/>
    <n v="0"/>
    <n v="0"/>
    <n v="0"/>
    <n v="0"/>
    <n v="0"/>
    <n v="4"/>
    <n v="2"/>
    <n v="0"/>
    <n v="0"/>
    <n v="0"/>
    <n v="0"/>
    <n v="0"/>
    <n v="0"/>
    <n v="0"/>
    <n v="0"/>
    <n v="0"/>
    <n v="0"/>
    <n v="0"/>
    <n v="0"/>
    <n v="0"/>
    <n v="0"/>
    <n v="0"/>
    <n v="0"/>
    <n v="0"/>
    <x v="2"/>
    <x v="0"/>
    <x v="3"/>
    <n v="17"/>
    <m/>
    <m/>
    <m/>
    <m/>
    <m/>
    <m/>
    <n v="1.5"/>
    <n v="1.5"/>
    <n v="1.5"/>
    <n v="1.5"/>
    <m/>
    <m/>
    <m/>
    <m/>
    <m/>
    <m/>
    <m/>
    <m/>
    <m/>
    <m/>
    <n v="0"/>
    <n v="6"/>
  </r>
  <r>
    <n v="5339"/>
    <x v="3"/>
    <s v="2021/5839"/>
    <s v="103-111 Mitcham Road"/>
    <s v="Block C"/>
    <n v="527711"/>
    <n v="171233"/>
    <x v="3"/>
    <m/>
    <m/>
    <n v="0"/>
    <n v="1"/>
    <n v="1"/>
    <n v="24"/>
    <n v="24"/>
    <x v="0"/>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SLA"/>
    <d v="2021-12-24T00:00:00"/>
    <m/>
    <x v="0"/>
    <s v="Nil"/>
    <m/>
    <s v="BF"/>
    <s v="MIX"/>
    <x v="0"/>
    <x v="0"/>
    <n v="6.0000000000000001E-3"/>
    <s v=""/>
    <x v="0"/>
    <m/>
    <x v="2"/>
    <s v="M"/>
    <s v=""/>
    <m/>
    <n v="0"/>
    <n v="1"/>
    <n v="0"/>
    <n v="0"/>
    <n v="0"/>
    <n v="0"/>
    <n v="0"/>
    <n v="1"/>
    <n v="0"/>
    <n v="0"/>
    <n v="0"/>
    <n v="0"/>
    <n v="0"/>
    <n v="0"/>
    <n v="1"/>
    <n v="0"/>
    <n v="0"/>
    <n v="0"/>
    <n v="0"/>
    <n v="0"/>
    <n v="0"/>
    <n v="0"/>
    <n v="0"/>
    <n v="0"/>
    <n v="0"/>
    <n v="0"/>
    <n v="0"/>
    <n v="0"/>
    <n v="0"/>
    <n v="0"/>
    <n v="0"/>
    <n v="0"/>
    <x v="2"/>
    <x v="0"/>
    <x v="3"/>
    <n v="17"/>
    <m/>
    <m/>
    <m/>
    <m/>
    <m/>
    <m/>
    <n v="0.25"/>
    <n v="0.25"/>
    <n v="0.25"/>
    <n v="0.25"/>
    <m/>
    <m/>
    <m/>
    <m/>
    <m/>
    <m/>
    <m/>
    <m/>
    <m/>
    <m/>
    <n v="0"/>
    <n v="1"/>
  </r>
  <r>
    <n v="5339"/>
    <x v="3"/>
    <s v="2021/5839"/>
    <s v="103-111 Mitcham Road"/>
    <s v="Block D"/>
    <n v="527711"/>
    <n v="171233"/>
    <x v="3"/>
    <m/>
    <m/>
    <n v="0"/>
    <n v="2"/>
    <n v="2"/>
    <n v="24"/>
    <n v="24"/>
    <x v="0"/>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SLA"/>
    <d v="2021-12-24T00:00:00"/>
    <m/>
    <x v="0"/>
    <s v="Nil"/>
    <m/>
    <s v="BF"/>
    <s v="MIX"/>
    <x v="4"/>
    <x v="0"/>
    <n v="1.2E-2"/>
    <s v=""/>
    <x v="0"/>
    <m/>
    <x v="2"/>
    <s v="M"/>
    <s v=""/>
    <m/>
    <n v="0"/>
    <n v="2"/>
    <n v="0"/>
    <n v="0"/>
    <n v="0"/>
    <n v="0"/>
    <n v="2"/>
    <n v="0"/>
    <n v="0"/>
    <n v="0"/>
    <n v="0"/>
    <n v="0"/>
    <n v="0"/>
    <n v="2"/>
    <n v="0"/>
    <n v="0"/>
    <n v="0"/>
    <n v="0"/>
    <n v="0"/>
    <n v="0"/>
    <n v="0"/>
    <n v="0"/>
    <n v="0"/>
    <n v="0"/>
    <n v="0"/>
    <n v="0"/>
    <n v="0"/>
    <n v="0"/>
    <n v="0"/>
    <n v="0"/>
    <n v="0"/>
    <n v="0"/>
    <x v="2"/>
    <x v="0"/>
    <x v="3"/>
    <n v="17"/>
    <m/>
    <m/>
    <m/>
    <m/>
    <m/>
    <m/>
    <n v="0.5"/>
    <n v="0.5"/>
    <n v="0.5"/>
    <n v="0.5"/>
    <m/>
    <m/>
    <m/>
    <m/>
    <m/>
    <m/>
    <m/>
    <m/>
    <m/>
    <m/>
    <n v="0"/>
    <n v="2"/>
  </r>
  <r>
    <n v="7571"/>
    <x v="4"/>
    <m/>
    <s v="36-46 St John's Road and 17 Severus Road"/>
    <m/>
    <n v="527351"/>
    <n v="175329"/>
    <x v="12"/>
    <m/>
    <m/>
    <n v="0"/>
    <n v="7"/>
    <n v="7"/>
    <n v="10"/>
    <n v="10"/>
    <x v="0"/>
    <s v="Redevelopment"/>
    <s v="NONE"/>
    <m/>
    <m/>
    <x v="0"/>
    <s v="Nil"/>
    <m/>
    <s v="BF"/>
    <s v="NB"/>
    <x v="0"/>
    <x v="0"/>
    <n v="0"/>
    <m/>
    <x v="0"/>
    <m/>
    <x v="2"/>
    <s v="M"/>
    <s v="CJ7"/>
    <m/>
    <n v="0"/>
    <n v="0"/>
    <n v="0"/>
    <n v="0"/>
    <n v="0"/>
    <n v="0"/>
    <n v="0"/>
    <n v="0"/>
    <n v="0"/>
    <n v="0"/>
    <n v="7"/>
    <n v="0"/>
    <n v="0"/>
    <n v="0"/>
    <n v="0"/>
    <n v="0"/>
    <n v="0"/>
    <n v="7"/>
    <n v="0"/>
    <n v="0"/>
    <n v="0"/>
    <n v="0"/>
    <n v="0"/>
    <n v="0"/>
    <n v="0"/>
    <n v="0"/>
    <n v="0"/>
    <n v="0"/>
    <n v="0"/>
    <n v="0"/>
    <n v="0"/>
    <n v="0"/>
    <x v="5"/>
    <x v="0"/>
    <x v="5"/>
    <n v="19"/>
    <m/>
    <m/>
    <m/>
    <n v="7"/>
    <m/>
    <m/>
    <m/>
    <m/>
    <m/>
    <m/>
    <m/>
    <m/>
    <m/>
    <m/>
    <m/>
    <m/>
    <m/>
    <m/>
    <m/>
    <m/>
    <n v="7"/>
    <n v="7"/>
  </r>
  <r>
    <n v="7571"/>
    <x v="4"/>
    <m/>
    <s v="36-46 St John's Road and 17 Severus Road"/>
    <m/>
    <n v="527351"/>
    <n v="175329"/>
    <x v="12"/>
    <m/>
    <m/>
    <n v="0"/>
    <n v="2"/>
    <n v="2"/>
    <n v="10"/>
    <n v="10"/>
    <x v="0"/>
    <s v="Redevelopment"/>
    <s v="NONE"/>
    <m/>
    <m/>
    <x v="0"/>
    <s v="Nil"/>
    <m/>
    <s v="BF"/>
    <s v="NB"/>
    <x v="0"/>
    <x v="0"/>
    <n v="0"/>
    <m/>
    <x v="0"/>
    <m/>
    <x v="1"/>
    <s v="AA"/>
    <s v="CJ7"/>
    <m/>
    <n v="0"/>
    <n v="0"/>
    <n v="0"/>
    <n v="0"/>
    <n v="0"/>
    <n v="0"/>
    <n v="0"/>
    <n v="0"/>
    <n v="0"/>
    <n v="0"/>
    <n v="2"/>
    <n v="0"/>
    <n v="0"/>
    <n v="0"/>
    <n v="0"/>
    <n v="0"/>
    <n v="0"/>
    <n v="2"/>
    <n v="0"/>
    <n v="0"/>
    <n v="0"/>
    <n v="0"/>
    <n v="0"/>
    <n v="0"/>
    <n v="0"/>
    <n v="0"/>
    <n v="0"/>
    <n v="0"/>
    <n v="0"/>
    <n v="0"/>
    <n v="0"/>
    <n v="0"/>
    <x v="5"/>
    <x v="0"/>
    <x v="5"/>
    <n v="19"/>
    <m/>
    <m/>
    <m/>
    <n v="2"/>
    <m/>
    <m/>
    <m/>
    <m/>
    <m/>
    <m/>
    <m/>
    <m/>
    <m/>
    <m/>
    <m/>
    <m/>
    <m/>
    <m/>
    <m/>
    <m/>
    <n v="2"/>
    <n v="2"/>
  </r>
  <r>
    <n v="7571"/>
    <x v="4"/>
    <m/>
    <s v="36-46 St John's Road and 17 Severus Road"/>
    <m/>
    <n v="527351"/>
    <n v="175329"/>
    <x v="12"/>
    <m/>
    <m/>
    <n v="0"/>
    <n v="1"/>
    <n v="1"/>
    <n v="10"/>
    <n v="10"/>
    <x v="0"/>
    <s v="Redevelopment"/>
    <s v="NONE"/>
    <m/>
    <m/>
    <x v="0"/>
    <s v="Nil"/>
    <m/>
    <s v="BF"/>
    <s v="NB"/>
    <x v="0"/>
    <x v="0"/>
    <n v="0"/>
    <m/>
    <x v="0"/>
    <m/>
    <x v="0"/>
    <s v="IU"/>
    <s v="CJ7"/>
    <m/>
    <n v="0"/>
    <n v="0"/>
    <n v="0"/>
    <n v="0"/>
    <n v="0"/>
    <n v="0"/>
    <n v="0"/>
    <n v="0"/>
    <n v="0"/>
    <n v="0"/>
    <n v="1"/>
    <n v="0"/>
    <n v="0"/>
    <n v="0"/>
    <n v="0"/>
    <n v="0"/>
    <n v="0"/>
    <n v="1"/>
    <n v="0"/>
    <n v="0"/>
    <n v="0"/>
    <n v="0"/>
    <n v="0"/>
    <n v="0"/>
    <n v="0"/>
    <n v="0"/>
    <n v="0"/>
    <n v="0"/>
    <n v="0"/>
    <n v="0"/>
    <n v="0"/>
    <n v="0"/>
    <x v="5"/>
    <x v="0"/>
    <x v="5"/>
    <n v="19"/>
    <m/>
    <m/>
    <m/>
    <n v="1"/>
    <m/>
    <m/>
    <m/>
    <m/>
    <m/>
    <m/>
    <m/>
    <m/>
    <m/>
    <m/>
    <m/>
    <m/>
    <m/>
    <m/>
    <m/>
    <m/>
    <n v="1"/>
    <n v="1"/>
  </r>
  <r>
    <n v="7572"/>
    <x v="4"/>
    <m/>
    <s v="55-61 Putney High Road (Former M&amp;S site), SW15 1SP"/>
    <m/>
    <n v="524096"/>
    <n v="175411"/>
    <x v="0"/>
    <m/>
    <m/>
    <n v="0"/>
    <n v="5"/>
    <n v="5"/>
    <n v="5"/>
    <n v="5"/>
    <x v="1"/>
    <s v="Redevelopment"/>
    <s v="NONE"/>
    <m/>
    <m/>
    <x v="0"/>
    <s v="Nil"/>
    <m/>
    <s v="BF"/>
    <s v="NB"/>
    <x v="2"/>
    <x v="1"/>
    <n v="0"/>
    <m/>
    <x v="0"/>
    <m/>
    <x v="2"/>
    <s v="M"/>
    <s v="PUT6"/>
    <m/>
    <n v="0"/>
    <n v="0"/>
    <n v="0"/>
    <n v="0"/>
    <n v="0"/>
    <n v="0"/>
    <n v="0"/>
    <n v="0"/>
    <n v="0"/>
    <n v="0"/>
    <n v="5"/>
    <n v="0"/>
    <n v="0"/>
    <n v="0"/>
    <n v="0"/>
    <n v="0"/>
    <n v="0"/>
    <n v="5"/>
    <n v="0"/>
    <n v="0"/>
    <n v="0"/>
    <n v="0"/>
    <n v="0"/>
    <n v="0"/>
    <n v="0"/>
    <n v="0"/>
    <n v="0"/>
    <n v="0"/>
    <n v="0"/>
    <n v="0"/>
    <n v="0"/>
    <n v="0"/>
    <x v="4"/>
    <x v="0"/>
    <x v="4"/>
    <n v="19"/>
    <m/>
    <m/>
    <m/>
    <n v="5"/>
    <m/>
    <m/>
    <m/>
    <m/>
    <m/>
    <m/>
    <m/>
    <m/>
    <m/>
    <m/>
    <m/>
    <m/>
    <m/>
    <m/>
    <m/>
    <m/>
    <n v="5"/>
    <n v="5"/>
  </r>
  <r>
    <n v="7386"/>
    <x v="4"/>
    <m/>
    <s v="Crewkerne Court Garages, Battersea Church Road (Somerset Estate)"/>
    <m/>
    <n v="526944"/>
    <n v="176965"/>
    <x v="5"/>
    <m/>
    <m/>
    <n v="0"/>
    <n v="54"/>
    <n v="54"/>
    <n v="81"/>
    <n v="81"/>
    <x v="0"/>
    <s v="Redevelopment"/>
    <s v="NONE"/>
    <m/>
    <m/>
    <x v="0"/>
    <s v="Nil"/>
    <m/>
    <s v="BF"/>
    <s v="NB"/>
    <x v="0"/>
    <x v="0"/>
    <n v="0"/>
    <m/>
    <x v="0"/>
    <m/>
    <x v="2"/>
    <s v="M"/>
    <s v="RIV11"/>
    <m/>
    <n v="0"/>
    <n v="0"/>
    <n v="0"/>
    <n v="0"/>
    <n v="0"/>
    <n v="0"/>
    <n v="0"/>
    <n v="0"/>
    <n v="0"/>
    <n v="0"/>
    <n v="54"/>
    <n v="0"/>
    <n v="0"/>
    <n v="0"/>
    <n v="0"/>
    <n v="0"/>
    <n v="0"/>
    <n v="54"/>
    <n v="0"/>
    <n v="0"/>
    <n v="0"/>
    <n v="0"/>
    <n v="0"/>
    <n v="0"/>
    <n v="0"/>
    <n v="0"/>
    <n v="0"/>
    <n v="0"/>
    <n v="0"/>
    <n v="0"/>
    <n v="0"/>
    <n v="0"/>
    <x v="0"/>
    <x v="0"/>
    <x v="8"/>
    <n v="19"/>
    <m/>
    <m/>
    <m/>
    <n v="54"/>
    <m/>
    <m/>
    <m/>
    <m/>
    <m/>
    <m/>
    <m/>
    <m/>
    <m/>
    <m/>
    <m/>
    <m/>
    <m/>
    <m/>
    <m/>
    <m/>
    <n v="54"/>
    <n v="54"/>
  </r>
  <r>
    <n v="7386"/>
    <x v="4"/>
    <m/>
    <s v="Crewkerne Court Garages, Battersea Church Road (Somerset Estate)"/>
    <m/>
    <n v="526944"/>
    <n v="176965"/>
    <x v="5"/>
    <m/>
    <m/>
    <n v="0"/>
    <n v="16"/>
    <n v="16"/>
    <n v="81"/>
    <n v="81"/>
    <x v="0"/>
    <s v="Redevelopment"/>
    <s v="NONE"/>
    <m/>
    <m/>
    <x v="0"/>
    <s v="Nil"/>
    <m/>
    <s v="BF"/>
    <s v="NB"/>
    <x v="0"/>
    <x v="0"/>
    <n v="0"/>
    <m/>
    <x v="0"/>
    <m/>
    <x v="1"/>
    <s v="AA"/>
    <s v="RIV11"/>
    <m/>
    <n v="0"/>
    <n v="0"/>
    <n v="0"/>
    <n v="0"/>
    <n v="0"/>
    <n v="0"/>
    <n v="0"/>
    <n v="0"/>
    <n v="0"/>
    <n v="0"/>
    <n v="16"/>
    <n v="0"/>
    <n v="0"/>
    <n v="0"/>
    <n v="0"/>
    <n v="0"/>
    <n v="0"/>
    <n v="16"/>
    <n v="0"/>
    <n v="0"/>
    <n v="0"/>
    <n v="0"/>
    <n v="0"/>
    <n v="0"/>
    <n v="0"/>
    <n v="0"/>
    <n v="0"/>
    <n v="0"/>
    <n v="0"/>
    <n v="0"/>
    <n v="0"/>
    <n v="0"/>
    <x v="0"/>
    <x v="0"/>
    <x v="8"/>
    <n v="19"/>
    <m/>
    <m/>
    <m/>
    <n v="16"/>
    <m/>
    <m/>
    <m/>
    <m/>
    <m/>
    <m/>
    <m/>
    <m/>
    <m/>
    <m/>
    <m/>
    <m/>
    <m/>
    <m/>
    <m/>
    <m/>
    <n v="16"/>
    <n v="16"/>
  </r>
  <r>
    <n v="7386"/>
    <x v="4"/>
    <m/>
    <s v="Crewkerne Court Garages, Battersea Church Road (Somerset Estate)"/>
    <m/>
    <n v="526944"/>
    <n v="176965"/>
    <x v="5"/>
    <m/>
    <m/>
    <n v="0"/>
    <n v="11"/>
    <n v="11"/>
    <n v="81"/>
    <n v="81"/>
    <x v="0"/>
    <s v="Redevelopment"/>
    <s v="NONE"/>
    <m/>
    <m/>
    <x v="0"/>
    <s v="Nil"/>
    <m/>
    <s v="BF"/>
    <s v="NB"/>
    <x v="0"/>
    <x v="0"/>
    <n v="0"/>
    <m/>
    <x v="0"/>
    <m/>
    <x v="0"/>
    <s v="IU"/>
    <s v="RIV11"/>
    <m/>
    <n v="0"/>
    <n v="0"/>
    <n v="0"/>
    <n v="0"/>
    <n v="0"/>
    <n v="0"/>
    <n v="0"/>
    <n v="0"/>
    <n v="0"/>
    <n v="0"/>
    <n v="11"/>
    <n v="0"/>
    <n v="0"/>
    <n v="0"/>
    <n v="0"/>
    <n v="0"/>
    <n v="0"/>
    <n v="11"/>
    <n v="0"/>
    <n v="0"/>
    <n v="0"/>
    <n v="0"/>
    <n v="0"/>
    <n v="0"/>
    <n v="0"/>
    <n v="0"/>
    <n v="0"/>
    <n v="0"/>
    <n v="0"/>
    <n v="0"/>
    <n v="0"/>
    <n v="0"/>
    <x v="0"/>
    <x v="0"/>
    <x v="8"/>
    <n v="19"/>
    <m/>
    <m/>
    <m/>
    <n v="11"/>
    <m/>
    <m/>
    <m/>
    <m/>
    <m/>
    <m/>
    <m/>
    <m/>
    <m/>
    <m/>
    <m/>
    <m/>
    <m/>
    <m/>
    <m/>
    <m/>
    <n v="11"/>
    <n v="11"/>
  </r>
  <r>
    <n v="6899"/>
    <x v="4"/>
    <m/>
    <s v="Land on the corner of Grant Road and, Falcon Road"/>
    <m/>
    <n v="527207"/>
    <n v="175690"/>
    <x v="21"/>
    <m/>
    <m/>
    <n v="0"/>
    <n v="163"/>
    <n v="163"/>
    <n v="243"/>
    <n v="243"/>
    <x v="0"/>
    <s v="Redevelopment"/>
    <s v="NONE"/>
    <m/>
    <m/>
    <x v="0"/>
    <s v="Nil"/>
    <m/>
    <s v="BF"/>
    <s v="NB"/>
    <x v="0"/>
    <x v="0"/>
    <n v="0"/>
    <m/>
    <x v="0"/>
    <m/>
    <x v="2"/>
    <s v="M"/>
    <s v="CJ3"/>
    <m/>
    <n v="0"/>
    <n v="0"/>
    <n v="0"/>
    <n v="0"/>
    <n v="0"/>
    <n v="0"/>
    <n v="0"/>
    <n v="0"/>
    <n v="0"/>
    <n v="0"/>
    <n v="163"/>
    <n v="0"/>
    <n v="0"/>
    <n v="0"/>
    <n v="0"/>
    <n v="0"/>
    <n v="0"/>
    <n v="163"/>
    <n v="0"/>
    <n v="0"/>
    <n v="0"/>
    <n v="0"/>
    <n v="0"/>
    <n v="0"/>
    <n v="0"/>
    <n v="0"/>
    <n v="0"/>
    <n v="0"/>
    <n v="0"/>
    <n v="0"/>
    <n v="0"/>
    <n v="0"/>
    <x v="5"/>
    <x v="0"/>
    <x v="5"/>
    <n v="19"/>
    <m/>
    <m/>
    <m/>
    <n v="163"/>
    <m/>
    <m/>
    <m/>
    <m/>
    <m/>
    <m/>
    <m/>
    <m/>
    <m/>
    <m/>
    <m/>
    <m/>
    <m/>
    <m/>
    <m/>
    <m/>
    <n v="163"/>
    <n v="163"/>
  </r>
  <r>
    <n v="6899"/>
    <x v="4"/>
    <m/>
    <s v="Land on the corner of Grant Road and, Falcon Road"/>
    <m/>
    <n v="527207"/>
    <n v="175690"/>
    <x v="21"/>
    <m/>
    <m/>
    <n v="0"/>
    <n v="49"/>
    <n v="49"/>
    <n v="243"/>
    <n v="243"/>
    <x v="0"/>
    <s v="Redevelopment"/>
    <s v="NONE"/>
    <m/>
    <m/>
    <x v="0"/>
    <s v="Nil"/>
    <m/>
    <s v="BF"/>
    <s v="NB"/>
    <x v="0"/>
    <x v="0"/>
    <n v="0"/>
    <m/>
    <x v="0"/>
    <m/>
    <x v="1"/>
    <s v="AA"/>
    <s v="CJ3"/>
    <m/>
    <n v="0"/>
    <n v="0"/>
    <n v="0"/>
    <n v="0"/>
    <n v="0"/>
    <n v="0"/>
    <n v="0"/>
    <n v="0"/>
    <n v="0"/>
    <n v="0"/>
    <n v="49"/>
    <n v="0"/>
    <n v="0"/>
    <n v="0"/>
    <n v="0"/>
    <n v="0"/>
    <n v="0"/>
    <n v="49"/>
    <n v="0"/>
    <n v="0"/>
    <n v="0"/>
    <n v="0"/>
    <n v="0"/>
    <n v="0"/>
    <n v="0"/>
    <n v="0"/>
    <n v="0"/>
    <n v="0"/>
    <n v="0"/>
    <n v="0"/>
    <n v="0"/>
    <n v="0"/>
    <x v="5"/>
    <x v="0"/>
    <x v="5"/>
    <n v="19"/>
    <m/>
    <m/>
    <m/>
    <n v="49"/>
    <m/>
    <m/>
    <m/>
    <m/>
    <m/>
    <m/>
    <m/>
    <m/>
    <m/>
    <m/>
    <m/>
    <m/>
    <m/>
    <m/>
    <m/>
    <m/>
    <n v="49"/>
    <n v="49"/>
  </r>
  <r>
    <n v="6899"/>
    <x v="4"/>
    <m/>
    <s v="Land on the corner of Grant Road and, Falcon Road"/>
    <m/>
    <n v="527207"/>
    <n v="175690"/>
    <x v="21"/>
    <m/>
    <m/>
    <n v="0"/>
    <n v="31"/>
    <n v="31"/>
    <n v="243"/>
    <n v="243"/>
    <x v="0"/>
    <s v="Redevelopment"/>
    <s v="NONE"/>
    <m/>
    <m/>
    <x v="0"/>
    <s v="Nil"/>
    <m/>
    <s v="BF"/>
    <s v="NB"/>
    <x v="0"/>
    <x v="0"/>
    <n v="0"/>
    <m/>
    <x v="0"/>
    <m/>
    <x v="0"/>
    <s v="IU"/>
    <s v="CJ3"/>
    <m/>
    <n v="0"/>
    <n v="0"/>
    <n v="0"/>
    <n v="0"/>
    <n v="0"/>
    <n v="0"/>
    <n v="0"/>
    <n v="0"/>
    <n v="0"/>
    <n v="0"/>
    <n v="31"/>
    <n v="0"/>
    <n v="0"/>
    <n v="0"/>
    <n v="0"/>
    <n v="0"/>
    <n v="0"/>
    <n v="31"/>
    <n v="0"/>
    <n v="0"/>
    <n v="0"/>
    <n v="0"/>
    <n v="0"/>
    <n v="0"/>
    <n v="0"/>
    <n v="0"/>
    <n v="0"/>
    <n v="0"/>
    <n v="0"/>
    <n v="0"/>
    <n v="0"/>
    <n v="0"/>
    <x v="5"/>
    <x v="0"/>
    <x v="5"/>
    <n v="19"/>
    <m/>
    <m/>
    <m/>
    <n v="31"/>
    <m/>
    <m/>
    <m/>
    <m/>
    <m/>
    <m/>
    <m/>
    <m/>
    <m/>
    <m/>
    <m/>
    <m/>
    <m/>
    <m/>
    <m/>
    <m/>
    <n v="31"/>
    <n v="31"/>
  </r>
  <r>
    <n v="7541"/>
    <x v="4"/>
    <m/>
    <s v="104 Friars Avenue, Roehampton Vale Campus Kingston University, SW15 3DW"/>
    <m/>
    <n v="521608"/>
    <n v="172378"/>
    <x v="16"/>
    <m/>
    <m/>
    <n v="0"/>
    <n v="6"/>
    <n v="6"/>
    <n v="6"/>
    <n v="6"/>
    <x v="1"/>
    <s v="Redevelopment"/>
    <s v="NONE"/>
    <m/>
    <m/>
    <x v="0"/>
    <s v="Nil"/>
    <m/>
    <s v="BF"/>
    <s v="NB"/>
    <x v="2"/>
    <x v="1"/>
    <n v="0"/>
    <m/>
    <x v="0"/>
    <m/>
    <x v="2"/>
    <s v="M"/>
    <m/>
    <m/>
    <n v="0"/>
    <n v="0"/>
    <n v="0"/>
    <n v="0"/>
    <n v="0"/>
    <n v="0"/>
    <n v="0"/>
    <n v="0"/>
    <n v="0"/>
    <n v="0"/>
    <n v="6"/>
    <n v="0"/>
    <n v="0"/>
    <n v="0"/>
    <n v="0"/>
    <n v="0"/>
    <n v="0"/>
    <n v="6"/>
    <n v="0"/>
    <n v="0"/>
    <n v="0"/>
    <n v="0"/>
    <n v="0"/>
    <n v="0"/>
    <n v="0"/>
    <n v="0"/>
    <n v="0"/>
    <n v="0"/>
    <n v="0"/>
    <n v="0"/>
    <n v="0"/>
    <n v="0"/>
    <x v="0"/>
    <x v="0"/>
    <x v="1"/>
    <n v="19"/>
    <m/>
    <m/>
    <m/>
    <m/>
    <m/>
    <n v="6"/>
    <m/>
    <m/>
    <m/>
    <m/>
    <m/>
    <m/>
    <m/>
    <m/>
    <m/>
    <m/>
    <m/>
    <m/>
    <m/>
    <m/>
    <n v="6"/>
    <n v="6"/>
  </r>
  <r>
    <n v="6867"/>
    <x v="4"/>
    <m/>
    <s v="259-311 Battersea Park Road, SW 11 (Doddington Estate part)"/>
    <m/>
    <n v="528331.56229999894"/>
    <n v="176668.96749999901"/>
    <x v="17"/>
    <m/>
    <m/>
    <n v="0"/>
    <n v="13"/>
    <n v="13"/>
    <n v="20"/>
    <n v="20"/>
    <x v="0"/>
    <s v="Redevelopment"/>
    <s v="NONE"/>
    <m/>
    <m/>
    <x v="0"/>
    <s v="Nil"/>
    <m/>
    <s v="BF"/>
    <s v="NB"/>
    <x v="0"/>
    <x v="0"/>
    <n v="0"/>
    <m/>
    <x v="0"/>
    <m/>
    <x v="2"/>
    <s v="M"/>
    <s v="OUT2"/>
    <m/>
    <n v="0"/>
    <n v="0"/>
    <n v="0"/>
    <n v="0"/>
    <n v="0"/>
    <n v="0"/>
    <n v="0"/>
    <n v="0"/>
    <n v="0"/>
    <n v="0"/>
    <n v="13"/>
    <n v="0"/>
    <n v="0"/>
    <n v="0"/>
    <n v="0"/>
    <n v="0"/>
    <n v="0"/>
    <n v="13"/>
    <n v="0"/>
    <n v="0"/>
    <n v="0"/>
    <n v="0"/>
    <n v="0"/>
    <n v="0"/>
    <n v="0"/>
    <n v="0"/>
    <n v="0"/>
    <n v="0"/>
    <n v="0"/>
    <n v="0"/>
    <n v="0"/>
    <n v="0"/>
    <x v="0"/>
    <x v="0"/>
    <x v="1"/>
    <n v="19"/>
    <m/>
    <m/>
    <m/>
    <m/>
    <m/>
    <m/>
    <m/>
    <m/>
    <m/>
    <n v="1.0833333333333333"/>
    <n v="1.0833333333333333"/>
    <n v="1.0833333333333333"/>
    <n v="1.0833333333333333"/>
    <n v="1.0833333333333333"/>
    <n v="1.0833333333333333"/>
    <n v="1.0833333333333333"/>
    <n v="1.0833333333333333"/>
    <n v="1.0833333333333333"/>
    <n v="1.0833333333333333"/>
    <n v="1.0833333333333333"/>
    <n v="0"/>
    <n v="2.1666666666666665"/>
  </r>
  <r>
    <n v="6867"/>
    <x v="4"/>
    <m/>
    <s v="259-311 Battersea Park Road, SW 11 (Doddington Estate part)"/>
    <m/>
    <n v="528331.56229999894"/>
    <n v="176668.96749999901"/>
    <x v="17"/>
    <m/>
    <m/>
    <n v="0"/>
    <n v="4"/>
    <n v="4"/>
    <n v="20"/>
    <n v="20"/>
    <x v="0"/>
    <s v="Redevelopment"/>
    <s v="NONE"/>
    <m/>
    <m/>
    <x v="0"/>
    <s v="Nil"/>
    <m/>
    <s v="BF"/>
    <s v="NB"/>
    <x v="0"/>
    <x v="0"/>
    <n v="0"/>
    <m/>
    <x v="0"/>
    <m/>
    <x v="1"/>
    <s v="AA"/>
    <s v="OUT2"/>
    <m/>
    <n v="0"/>
    <n v="0"/>
    <n v="0"/>
    <n v="0"/>
    <n v="0"/>
    <n v="0"/>
    <n v="0"/>
    <n v="0"/>
    <n v="0"/>
    <n v="0"/>
    <n v="4"/>
    <n v="0"/>
    <n v="0"/>
    <n v="0"/>
    <n v="0"/>
    <n v="0"/>
    <n v="0"/>
    <n v="4"/>
    <n v="0"/>
    <n v="0"/>
    <n v="0"/>
    <n v="0"/>
    <n v="0"/>
    <n v="0"/>
    <n v="0"/>
    <n v="0"/>
    <n v="0"/>
    <n v="0"/>
    <n v="0"/>
    <n v="0"/>
    <n v="0"/>
    <n v="0"/>
    <x v="0"/>
    <x v="0"/>
    <x v="1"/>
    <n v="19"/>
    <m/>
    <m/>
    <m/>
    <m/>
    <m/>
    <m/>
    <m/>
    <m/>
    <m/>
    <n v="0.33333333333333331"/>
    <n v="0.33333333333333331"/>
    <n v="0.33333333333333331"/>
    <n v="0.33333333333333331"/>
    <n v="0.33333333333333331"/>
    <n v="0.33333333333333331"/>
    <n v="0.33333333333333331"/>
    <n v="0.33333333333333331"/>
    <n v="0.33333333333333331"/>
    <n v="0.33333333333333331"/>
    <n v="0.33333333333333331"/>
    <n v="0"/>
    <n v="0.66666666666666663"/>
  </r>
  <r>
    <n v="6867"/>
    <x v="4"/>
    <m/>
    <s v="259-311 Battersea Park Road, SW 11 (Doddington Estate part)"/>
    <m/>
    <n v="528331.56229999894"/>
    <n v="176668.96749999901"/>
    <x v="17"/>
    <m/>
    <m/>
    <n v="0"/>
    <n v="3"/>
    <n v="3"/>
    <n v="20"/>
    <n v="20"/>
    <x v="0"/>
    <s v="Redevelopment"/>
    <s v="NONE"/>
    <m/>
    <m/>
    <x v="0"/>
    <s v="Nil"/>
    <m/>
    <s v="BF"/>
    <s v="NB"/>
    <x v="0"/>
    <x v="0"/>
    <n v="0"/>
    <m/>
    <x v="0"/>
    <m/>
    <x v="0"/>
    <s v="IU"/>
    <s v="OUT2"/>
    <m/>
    <n v="0"/>
    <n v="0"/>
    <n v="0"/>
    <n v="0"/>
    <n v="0"/>
    <n v="0"/>
    <n v="0"/>
    <n v="0"/>
    <n v="0"/>
    <n v="0"/>
    <n v="3"/>
    <n v="0"/>
    <n v="0"/>
    <n v="0"/>
    <n v="0"/>
    <n v="0"/>
    <n v="0"/>
    <n v="3"/>
    <n v="0"/>
    <n v="0"/>
    <n v="0"/>
    <n v="0"/>
    <n v="0"/>
    <n v="0"/>
    <n v="0"/>
    <n v="0"/>
    <n v="0"/>
    <n v="0"/>
    <n v="0"/>
    <n v="0"/>
    <n v="0"/>
    <n v="0"/>
    <x v="0"/>
    <x v="0"/>
    <x v="1"/>
    <n v="19"/>
    <m/>
    <m/>
    <m/>
    <m/>
    <m/>
    <m/>
    <m/>
    <m/>
    <m/>
    <n v="0.25"/>
    <n v="0.25"/>
    <n v="0.25"/>
    <n v="0.25"/>
    <n v="0.25"/>
    <n v="0.25"/>
    <n v="0.25"/>
    <n v="0.25"/>
    <n v="0.25"/>
    <n v="0.25"/>
    <n v="0.25"/>
    <n v="0"/>
    <n v="0.5"/>
  </r>
  <r>
    <n v="223"/>
    <x v="4"/>
    <m/>
    <s v="282 Mitcham Lane, SW16"/>
    <m/>
    <n v="528890"/>
    <n v="170545"/>
    <x v="13"/>
    <m/>
    <m/>
    <n v="0"/>
    <n v="2"/>
    <n v="2"/>
    <n v="2"/>
    <n v="2"/>
    <x v="1"/>
    <s v="Redevelopment"/>
    <s v="NONE"/>
    <m/>
    <m/>
    <x v="0"/>
    <s v="Nil"/>
    <m/>
    <s v="BF"/>
    <s v="NB"/>
    <x v="2"/>
    <x v="1"/>
    <n v="0"/>
    <m/>
    <x v="0"/>
    <m/>
    <x v="2"/>
    <s v="M"/>
    <m/>
    <m/>
    <n v="0"/>
    <n v="0"/>
    <n v="0"/>
    <n v="0"/>
    <n v="0"/>
    <n v="0"/>
    <n v="0"/>
    <n v="0"/>
    <n v="0"/>
    <n v="0"/>
    <n v="2"/>
    <n v="0"/>
    <n v="0"/>
    <n v="0"/>
    <n v="0"/>
    <n v="0"/>
    <n v="0"/>
    <n v="2"/>
    <n v="0"/>
    <n v="0"/>
    <n v="0"/>
    <n v="0"/>
    <n v="0"/>
    <n v="0"/>
    <n v="0"/>
    <n v="0"/>
    <n v="0"/>
    <n v="0"/>
    <n v="0"/>
    <n v="0"/>
    <n v="0"/>
    <n v="0"/>
    <x v="0"/>
    <x v="0"/>
    <x v="1"/>
    <n v="19"/>
    <m/>
    <m/>
    <m/>
    <m/>
    <m/>
    <n v="2"/>
    <m/>
    <m/>
    <m/>
    <m/>
    <m/>
    <m/>
    <m/>
    <m/>
    <m/>
    <m/>
    <m/>
    <m/>
    <m/>
    <m/>
    <n v="2"/>
    <n v="2"/>
  </r>
  <r>
    <n v="6869"/>
    <x v="4"/>
    <m/>
    <s v="36 Lombard Road"/>
    <m/>
    <n v="526639"/>
    <n v="176128"/>
    <x v="5"/>
    <m/>
    <m/>
    <n v="0"/>
    <n v="43"/>
    <n v="43"/>
    <n v="64"/>
    <n v="64"/>
    <x v="0"/>
    <s v="Redevelopment"/>
    <s v="NONE"/>
    <m/>
    <m/>
    <x v="0"/>
    <s v="Nil"/>
    <m/>
    <s v="BF"/>
    <s v="NB"/>
    <x v="0"/>
    <x v="0"/>
    <n v="0"/>
    <m/>
    <x v="0"/>
    <m/>
    <x v="2"/>
    <s v="M"/>
    <s v="RIV6"/>
    <m/>
    <n v="0"/>
    <n v="0"/>
    <n v="0"/>
    <n v="0"/>
    <n v="0"/>
    <n v="0"/>
    <n v="0"/>
    <n v="0"/>
    <n v="0"/>
    <n v="0"/>
    <n v="43"/>
    <n v="0"/>
    <n v="0"/>
    <n v="0"/>
    <n v="0"/>
    <n v="0"/>
    <n v="0"/>
    <n v="43"/>
    <n v="0"/>
    <n v="0"/>
    <n v="0"/>
    <n v="0"/>
    <n v="0"/>
    <n v="0"/>
    <n v="0"/>
    <n v="0"/>
    <n v="0"/>
    <n v="0"/>
    <n v="0"/>
    <n v="0"/>
    <n v="0"/>
    <n v="0"/>
    <x v="0"/>
    <x v="0"/>
    <x v="8"/>
    <n v="19"/>
    <m/>
    <m/>
    <m/>
    <m/>
    <m/>
    <n v="2.6875"/>
    <n v="2.6875"/>
    <n v="2.6875"/>
    <n v="2.6875"/>
    <n v="2.6875"/>
    <n v="2.6875"/>
    <n v="2.6875"/>
    <n v="2.6875"/>
    <n v="2.6875"/>
    <n v="2.6875"/>
    <n v="2.6875"/>
    <n v="2.6875"/>
    <n v="2.6875"/>
    <n v="2.6875"/>
    <n v="2.6875"/>
    <n v="2.6875"/>
    <n v="16.125"/>
  </r>
  <r>
    <n v="6869"/>
    <x v="4"/>
    <m/>
    <s v="36 Lombard Road"/>
    <m/>
    <n v="526639"/>
    <n v="176128"/>
    <x v="5"/>
    <m/>
    <m/>
    <n v="0"/>
    <n v="13"/>
    <n v="13"/>
    <n v="64"/>
    <n v="64"/>
    <x v="0"/>
    <s v="Redevelopment"/>
    <s v="NONE"/>
    <m/>
    <m/>
    <x v="0"/>
    <s v="Nil"/>
    <m/>
    <s v="BF"/>
    <s v="NB"/>
    <x v="0"/>
    <x v="0"/>
    <n v="0"/>
    <m/>
    <x v="0"/>
    <m/>
    <x v="1"/>
    <s v="AA"/>
    <s v="RIV6"/>
    <m/>
    <n v="0"/>
    <n v="0"/>
    <n v="0"/>
    <n v="0"/>
    <n v="0"/>
    <n v="0"/>
    <n v="0"/>
    <n v="0"/>
    <n v="0"/>
    <n v="0"/>
    <n v="13"/>
    <n v="0"/>
    <n v="0"/>
    <n v="0"/>
    <n v="0"/>
    <n v="0"/>
    <n v="0"/>
    <n v="13"/>
    <n v="0"/>
    <n v="0"/>
    <n v="0"/>
    <n v="0"/>
    <n v="0"/>
    <n v="0"/>
    <n v="0"/>
    <n v="0"/>
    <n v="0"/>
    <n v="0"/>
    <n v="0"/>
    <n v="0"/>
    <n v="0"/>
    <n v="0"/>
    <x v="0"/>
    <x v="0"/>
    <x v="8"/>
    <n v="19"/>
    <m/>
    <m/>
    <m/>
    <m/>
    <m/>
    <n v="0.8125"/>
    <n v="0.8125"/>
    <n v="0.8125"/>
    <n v="0.8125"/>
    <n v="0.8125"/>
    <n v="0.8125"/>
    <n v="0.8125"/>
    <n v="0.8125"/>
    <n v="0.8125"/>
    <n v="0.8125"/>
    <n v="0.8125"/>
    <n v="0.8125"/>
    <n v="0.8125"/>
    <n v="0.8125"/>
    <n v="0.8125"/>
    <n v="0.8125"/>
    <n v="4.875"/>
  </r>
  <r>
    <n v="6869"/>
    <x v="4"/>
    <m/>
    <s v="36 Lombard Road"/>
    <m/>
    <n v="526639"/>
    <n v="176128"/>
    <x v="5"/>
    <m/>
    <m/>
    <n v="0"/>
    <n v="8"/>
    <n v="8"/>
    <n v="64"/>
    <n v="64"/>
    <x v="0"/>
    <s v="Redevelopment"/>
    <s v="NONE"/>
    <m/>
    <m/>
    <x v="0"/>
    <s v="Nil"/>
    <m/>
    <s v="BF"/>
    <s v="NB"/>
    <x v="0"/>
    <x v="0"/>
    <n v="0"/>
    <m/>
    <x v="0"/>
    <m/>
    <x v="0"/>
    <s v="IU"/>
    <s v="RIV6"/>
    <m/>
    <n v="0"/>
    <n v="0"/>
    <n v="0"/>
    <n v="0"/>
    <n v="0"/>
    <n v="0"/>
    <n v="0"/>
    <n v="0"/>
    <n v="0"/>
    <n v="0"/>
    <n v="8"/>
    <n v="0"/>
    <n v="0"/>
    <n v="0"/>
    <n v="0"/>
    <n v="0"/>
    <n v="0"/>
    <n v="8"/>
    <n v="0"/>
    <n v="0"/>
    <n v="0"/>
    <n v="0"/>
    <n v="0"/>
    <n v="0"/>
    <n v="0"/>
    <n v="0"/>
    <n v="0"/>
    <n v="0"/>
    <n v="0"/>
    <n v="0"/>
    <n v="0"/>
    <n v="0"/>
    <x v="0"/>
    <x v="0"/>
    <x v="8"/>
    <n v="19"/>
    <m/>
    <m/>
    <m/>
    <m/>
    <m/>
    <n v="0.5"/>
    <n v="0.5"/>
    <n v="0.5"/>
    <n v="0.5"/>
    <n v="0.5"/>
    <n v="0.5"/>
    <n v="0.5"/>
    <n v="0.5"/>
    <n v="0.5"/>
    <n v="0.5"/>
    <n v="0.5"/>
    <n v="0.5"/>
    <n v="0.5"/>
    <n v="0.5"/>
    <n v="0.5"/>
    <n v="0.5"/>
    <n v="3"/>
  </r>
  <r>
    <n v="7580"/>
    <x v="4"/>
    <m/>
    <s v="50  56 Tooting High Street, Tooting, SW17"/>
    <m/>
    <n v="527411.84160000004"/>
    <n v="171480.26829999901"/>
    <x v="3"/>
    <m/>
    <m/>
    <n v="0"/>
    <n v="5"/>
    <n v="5"/>
    <n v="5"/>
    <n v="5"/>
    <x v="1"/>
    <s v="Redevelopment"/>
    <s v="NONE"/>
    <m/>
    <m/>
    <x v="0"/>
    <s v="Nil"/>
    <m/>
    <s v="BF"/>
    <s v="NB"/>
    <x v="2"/>
    <x v="1"/>
    <n v="0"/>
    <m/>
    <x v="0"/>
    <m/>
    <x v="2"/>
    <s v="M"/>
    <s v="TO3"/>
    <m/>
    <n v="0"/>
    <n v="0"/>
    <n v="0"/>
    <n v="0"/>
    <n v="0"/>
    <n v="0"/>
    <n v="0"/>
    <n v="0"/>
    <n v="0"/>
    <n v="0"/>
    <n v="5"/>
    <n v="0"/>
    <n v="0"/>
    <n v="0"/>
    <n v="0"/>
    <n v="0"/>
    <n v="0"/>
    <n v="5"/>
    <n v="0"/>
    <n v="0"/>
    <n v="0"/>
    <n v="0"/>
    <n v="0"/>
    <n v="0"/>
    <n v="0"/>
    <n v="0"/>
    <n v="0"/>
    <n v="0"/>
    <n v="0"/>
    <n v="0"/>
    <n v="0"/>
    <n v="0"/>
    <x v="2"/>
    <x v="0"/>
    <x v="3"/>
    <n v="19"/>
    <m/>
    <m/>
    <m/>
    <m/>
    <n v="1"/>
    <n v="1"/>
    <n v="1"/>
    <n v="1"/>
    <n v="1"/>
    <m/>
    <m/>
    <m/>
    <m/>
    <m/>
    <m/>
    <m/>
    <m/>
    <m/>
    <m/>
    <m/>
    <n v="2"/>
    <n v="5"/>
  </r>
  <r>
    <n v="3515"/>
    <x v="4"/>
    <m/>
    <s v="56-70, 56-66 Putney High Street (Wereldhave Site)"/>
    <m/>
    <n v="524039"/>
    <n v="175460"/>
    <x v="0"/>
    <m/>
    <m/>
    <n v="0"/>
    <n v="65"/>
    <n v="65"/>
    <n v="97"/>
    <n v="97"/>
    <x v="0"/>
    <s v="Redevelopment"/>
    <s v="NONE"/>
    <m/>
    <m/>
    <x v="0"/>
    <s v="Nil"/>
    <m/>
    <s v="BF"/>
    <s v="NB"/>
    <x v="0"/>
    <x v="0"/>
    <n v="0"/>
    <m/>
    <x v="0"/>
    <m/>
    <x v="2"/>
    <s v="M"/>
    <s v="PUT1"/>
    <m/>
    <n v="0"/>
    <n v="0"/>
    <n v="0"/>
    <n v="0"/>
    <n v="0"/>
    <n v="0"/>
    <n v="0"/>
    <n v="0"/>
    <n v="0"/>
    <n v="0"/>
    <n v="65"/>
    <n v="0"/>
    <n v="0"/>
    <n v="0"/>
    <n v="0"/>
    <n v="0"/>
    <n v="0"/>
    <n v="65"/>
    <n v="0"/>
    <n v="0"/>
    <n v="0"/>
    <n v="0"/>
    <n v="0"/>
    <n v="0"/>
    <n v="0"/>
    <n v="0"/>
    <n v="0"/>
    <n v="0"/>
    <n v="0"/>
    <n v="0"/>
    <n v="0"/>
    <n v="0"/>
    <x v="4"/>
    <x v="0"/>
    <x v="4"/>
    <n v="19"/>
    <m/>
    <m/>
    <m/>
    <m/>
    <m/>
    <m/>
    <m/>
    <n v="16.25"/>
    <n v="16.25"/>
    <n v="16.25"/>
    <n v="16.25"/>
    <m/>
    <m/>
    <m/>
    <m/>
    <m/>
    <m/>
    <m/>
    <m/>
    <m/>
    <n v="0"/>
    <n v="65"/>
  </r>
  <r>
    <n v="3515"/>
    <x v="4"/>
    <m/>
    <s v="56-70, 56-66 Putney High Street (Wereldhave Site)"/>
    <m/>
    <n v="524039"/>
    <n v="175460"/>
    <x v="0"/>
    <m/>
    <m/>
    <n v="0"/>
    <n v="20"/>
    <n v="20"/>
    <n v="97"/>
    <n v="97"/>
    <x v="0"/>
    <s v="Redevelopment"/>
    <s v="NONE"/>
    <m/>
    <m/>
    <x v="0"/>
    <s v="Nil"/>
    <m/>
    <s v="BF"/>
    <s v="NB"/>
    <x v="0"/>
    <x v="0"/>
    <n v="0"/>
    <m/>
    <x v="0"/>
    <m/>
    <x v="1"/>
    <s v="AA"/>
    <s v="PUT1"/>
    <m/>
    <n v="0"/>
    <n v="0"/>
    <n v="0"/>
    <n v="0"/>
    <n v="0"/>
    <n v="0"/>
    <n v="0"/>
    <n v="0"/>
    <n v="0"/>
    <n v="0"/>
    <n v="20"/>
    <n v="0"/>
    <n v="0"/>
    <n v="0"/>
    <n v="0"/>
    <n v="0"/>
    <n v="0"/>
    <n v="20"/>
    <n v="0"/>
    <n v="0"/>
    <n v="0"/>
    <n v="0"/>
    <n v="0"/>
    <n v="0"/>
    <n v="0"/>
    <n v="0"/>
    <n v="0"/>
    <n v="0"/>
    <n v="0"/>
    <n v="0"/>
    <n v="0"/>
    <n v="0"/>
    <x v="4"/>
    <x v="0"/>
    <x v="4"/>
    <n v="19"/>
    <m/>
    <m/>
    <m/>
    <m/>
    <m/>
    <m/>
    <m/>
    <n v="5"/>
    <n v="5"/>
    <n v="5"/>
    <n v="5"/>
    <m/>
    <m/>
    <m/>
    <m/>
    <m/>
    <m/>
    <m/>
    <m/>
    <m/>
    <n v="0"/>
    <n v="20"/>
  </r>
  <r>
    <n v="3515"/>
    <x v="4"/>
    <m/>
    <s v="56-70, 56-66 Putney High Street (Wereldhave Site)"/>
    <m/>
    <n v="524039"/>
    <n v="175460"/>
    <x v="0"/>
    <m/>
    <m/>
    <n v="0"/>
    <n v="12"/>
    <n v="12"/>
    <n v="97"/>
    <n v="97"/>
    <x v="0"/>
    <s v="Redevelopment"/>
    <s v="NONE"/>
    <m/>
    <m/>
    <x v="0"/>
    <s v="Nil"/>
    <m/>
    <s v="BF"/>
    <s v="NB"/>
    <x v="0"/>
    <x v="0"/>
    <n v="0"/>
    <m/>
    <x v="0"/>
    <m/>
    <x v="0"/>
    <s v="IU"/>
    <s v="PUT1"/>
    <m/>
    <n v="0"/>
    <n v="0"/>
    <n v="0"/>
    <n v="0"/>
    <n v="0"/>
    <n v="0"/>
    <n v="0"/>
    <n v="0"/>
    <n v="0"/>
    <n v="0"/>
    <n v="12"/>
    <n v="0"/>
    <n v="0"/>
    <n v="0"/>
    <n v="0"/>
    <n v="0"/>
    <n v="0"/>
    <n v="12"/>
    <n v="0"/>
    <n v="0"/>
    <n v="0"/>
    <n v="0"/>
    <n v="0"/>
    <n v="0"/>
    <n v="0"/>
    <n v="0"/>
    <n v="0"/>
    <n v="0"/>
    <n v="0"/>
    <n v="0"/>
    <n v="0"/>
    <n v="0"/>
    <x v="4"/>
    <x v="0"/>
    <x v="4"/>
    <n v="19"/>
    <m/>
    <m/>
    <m/>
    <m/>
    <m/>
    <m/>
    <m/>
    <n v="3"/>
    <n v="3"/>
    <n v="3"/>
    <n v="3"/>
    <m/>
    <m/>
    <m/>
    <m/>
    <m/>
    <m/>
    <m/>
    <m/>
    <m/>
    <n v="0"/>
    <n v="12"/>
  </r>
  <r>
    <n v="7132"/>
    <x v="4"/>
    <m/>
    <s v="65-71 Wandsworth High Street incl. Spread Eagle Public House; Wandsworth High Street and 5 Garratt Lane, SW18"/>
    <m/>
    <n v="525690.77379999903"/>
    <n v="174603.17490000001"/>
    <x v="6"/>
    <m/>
    <m/>
    <n v="0"/>
    <n v="7"/>
    <n v="7"/>
    <n v="7"/>
    <n v="7"/>
    <x v="1"/>
    <s v="Redevelopment"/>
    <s v="NONE"/>
    <m/>
    <m/>
    <x v="0"/>
    <s v="Nil"/>
    <m/>
    <s v="BF"/>
    <s v="NB"/>
    <x v="2"/>
    <x v="1"/>
    <n v="0"/>
    <m/>
    <x v="0"/>
    <m/>
    <x v="2"/>
    <s v="M"/>
    <s v="WT18"/>
    <m/>
    <n v="0"/>
    <n v="0"/>
    <n v="0"/>
    <n v="0"/>
    <n v="0"/>
    <n v="0"/>
    <n v="0"/>
    <n v="0"/>
    <n v="0"/>
    <n v="0"/>
    <n v="7"/>
    <n v="0"/>
    <n v="0"/>
    <n v="0"/>
    <n v="0"/>
    <n v="0"/>
    <n v="0"/>
    <n v="7"/>
    <n v="0"/>
    <n v="0"/>
    <n v="0"/>
    <n v="0"/>
    <n v="0"/>
    <n v="0"/>
    <n v="0"/>
    <n v="0"/>
    <n v="0"/>
    <n v="0"/>
    <n v="0"/>
    <n v="0"/>
    <n v="0"/>
    <n v="0"/>
    <x v="3"/>
    <x v="0"/>
    <x v="0"/>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7587"/>
    <x v="4"/>
    <m/>
    <s v="70 - 90 Putney Bridge Road and 1-2 Adelaide Road, SW18"/>
    <m/>
    <n v="525271.18099999905"/>
    <n v="174956.73670000001"/>
    <x v="6"/>
    <m/>
    <m/>
    <n v="0"/>
    <n v="17"/>
    <n v="17"/>
    <n v="25"/>
    <n v="25"/>
    <x v="0"/>
    <s v="Redevelopment"/>
    <s v="NONE"/>
    <m/>
    <m/>
    <x v="0"/>
    <s v="Nil"/>
    <m/>
    <s v="BF"/>
    <s v="NB"/>
    <x v="0"/>
    <x v="0"/>
    <n v="0"/>
    <m/>
    <x v="0"/>
    <m/>
    <x v="2"/>
    <s v="M"/>
    <s v="WT21"/>
    <m/>
    <n v="0"/>
    <n v="0"/>
    <n v="0"/>
    <n v="0"/>
    <n v="0"/>
    <n v="0"/>
    <n v="0"/>
    <n v="0"/>
    <n v="0"/>
    <n v="0"/>
    <n v="17"/>
    <n v="0"/>
    <n v="0"/>
    <n v="0"/>
    <n v="0"/>
    <n v="0"/>
    <n v="0"/>
    <n v="17"/>
    <n v="0"/>
    <n v="0"/>
    <n v="0"/>
    <n v="0"/>
    <n v="0"/>
    <n v="0"/>
    <n v="0"/>
    <n v="0"/>
    <n v="0"/>
    <n v="0"/>
    <n v="0"/>
    <n v="0"/>
    <n v="0"/>
    <n v="0"/>
    <x v="0"/>
    <x v="0"/>
    <x v="0"/>
    <n v="19"/>
    <m/>
    <m/>
    <m/>
    <m/>
    <n v="17"/>
    <m/>
    <m/>
    <m/>
    <m/>
    <m/>
    <m/>
    <m/>
    <m/>
    <m/>
    <m/>
    <m/>
    <m/>
    <m/>
    <m/>
    <m/>
    <n v="17"/>
    <n v="17"/>
  </r>
  <r>
    <n v="7587"/>
    <x v="4"/>
    <m/>
    <s v="70 - 90 Putney Bridge Road and 1-2 Adelaide Road, SW18"/>
    <m/>
    <n v="525271.18099999905"/>
    <n v="174956.73670000001"/>
    <x v="6"/>
    <m/>
    <m/>
    <n v="0"/>
    <n v="5"/>
    <n v="5"/>
    <n v="25"/>
    <n v="25"/>
    <x v="0"/>
    <s v="Redevelopment"/>
    <s v="NONE"/>
    <m/>
    <m/>
    <x v="0"/>
    <s v="Nil"/>
    <m/>
    <s v="BF"/>
    <s v="NB"/>
    <x v="0"/>
    <x v="0"/>
    <n v="0"/>
    <m/>
    <x v="0"/>
    <m/>
    <x v="1"/>
    <s v="AA"/>
    <s v="WT21"/>
    <m/>
    <n v="0"/>
    <n v="0"/>
    <n v="0"/>
    <n v="0"/>
    <n v="0"/>
    <n v="0"/>
    <n v="0"/>
    <n v="0"/>
    <n v="0"/>
    <n v="0"/>
    <n v="5"/>
    <n v="0"/>
    <n v="0"/>
    <n v="0"/>
    <n v="0"/>
    <n v="0"/>
    <n v="0"/>
    <n v="5"/>
    <n v="0"/>
    <n v="0"/>
    <n v="0"/>
    <n v="0"/>
    <n v="0"/>
    <n v="0"/>
    <n v="0"/>
    <n v="0"/>
    <n v="0"/>
    <n v="0"/>
    <n v="0"/>
    <n v="0"/>
    <n v="0"/>
    <n v="0"/>
    <x v="0"/>
    <x v="0"/>
    <x v="0"/>
    <n v="19"/>
    <m/>
    <m/>
    <m/>
    <m/>
    <n v="5"/>
    <m/>
    <m/>
    <m/>
    <m/>
    <m/>
    <m/>
    <m/>
    <m/>
    <m/>
    <m/>
    <m/>
    <m/>
    <m/>
    <m/>
    <m/>
    <n v="5"/>
    <n v="5"/>
  </r>
  <r>
    <n v="7587"/>
    <x v="4"/>
    <m/>
    <s v="70 - 90 Putney Bridge Road and 1-2 Adelaide Road, SW18"/>
    <m/>
    <n v="525271.18099999905"/>
    <n v="174956.73670000001"/>
    <x v="6"/>
    <m/>
    <m/>
    <n v="0"/>
    <n v="3"/>
    <n v="3"/>
    <n v="25"/>
    <n v="25"/>
    <x v="0"/>
    <s v="Redevelopment"/>
    <s v="NONE"/>
    <m/>
    <m/>
    <x v="0"/>
    <s v="Nil"/>
    <m/>
    <s v="BF"/>
    <s v="NB"/>
    <x v="0"/>
    <x v="0"/>
    <n v="0"/>
    <m/>
    <x v="0"/>
    <m/>
    <x v="0"/>
    <s v="IU"/>
    <s v="WT21"/>
    <m/>
    <n v="0"/>
    <n v="0"/>
    <n v="0"/>
    <n v="0"/>
    <n v="0"/>
    <n v="0"/>
    <n v="0"/>
    <n v="0"/>
    <n v="0"/>
    <n v="0"/>
    <n v="3"/>
    <n v="0"/>
    <n v="0"/>
    <n v="0"/>
    <n v="0"/>
    <n v="0"/>
    <n v="0"/>
    <n v="3"/>
    <n v="0"/>
    <n v="0"/>
    <n v="0"/>
    <n v="0"/>
    <n v="0"/>
    <n v="0"/>
    <n v="0"/>
    <n v="0"/>
    <n v="0"/>
    <n v="0"/>
    <n v="0"/>
    <n v="0"/>
    <n v="0"/>
    <n v="0"/>
    <x v="0"/>
    <x v="0"/>
    <x v="0"/>
    <n v="19"/>
    <m/>
    <m/>
    <m/>
    <m/>
    <n v="3"/>
    <m/>
    <m/>
    <m/>
    <m/>
    <m/>
    <m/>
    <m/>
    <m/>
    <m/>
    <m/>
    <m/>
    <m/>
    <m/>
    <m/>
    <m/>
    <n v="3"/>
    <n v="3"/>
  </r>
  <r>
    <n v="6871"/>
    <x v="4"/>
    <m/>
    <s v="80 Gwynne Road, 19 Lombard Road"/>
    <m/>
    <n v="526746"/>
    <n v="176345"/>
    <x v="5"/>
    <m/>
    <m/>
    <n v="0"/>
    <n v="48"/>
    <n v="48"/>
    <n v="71"/>
    <n v="71"/>
    <x v="0"/>
    <s v="Redevelopment"/>
    <s v="NONE"/>
    <m/>
    <m/>
    <x v="0"/>
    <s v="Nil"/>
    <m/>
    <s v="BF"/>
    <s v="NB"/>
    <x v="0"/>
    <x v="0"/>
    <n v="0"/>
    <m/>
    <x v="0"/>
    <m/>
    <x v="2"/>
    <s v="M"/>
    <s v="RIV8"/>
    <m/>
    <n v="0"/>
    <n v="0"/>
    <n v="0"/>
    <n v="0"/>
    <n v="0"/>
    <n v="0"/>
    <n v="0"/>
    <n v="0"/>
    <n v="0"/>
    <n v="0"/>
    <n v="48"/>
    <n v="0"/>
    <n v="0"/>
    <n v="0"/>
    <n v="0"/>
    <n v="0"/>
    <n v="0"/>
    <n v="48"/>
    <n v="0"/>
    <n v="0"/>
    <n v="0"/>
    <n v="0"/>
    <n v="0"/>
    <n v="0"/>
    <n v="0"/>
    <n v="0"/>
    <n v="0"/>
    <n v="0"/>
    <n v="0"/>
    <n v="0"/>
    <n v="0"/>
    <n v="0"/>
    <x v="0"/>
    <x v="0"/>
    <x v="8"/>
    <n v="19"/>
    <m/>
    <m/>
    <m/>
    <m/>
    <m/>
    <n v="3"/>
    <n v="3"/>
    <n v="3"/>
    <n v="3"/>
    <n v="3"/>
    <n v="3"/>
    <n v="3"/>
    <n v="3"/>
    <n v="3"/>
    <n v="3"/>
    <n v="3"/>
    <n v="3"/>
    <n v="3"/>
    <n v="3"/>
    <n v="3"/>
    <n v="3"/>
    <n v="18"/>
  </r>
  <r>
    <n v="6871"/>
    <x v="4"/>
    <m/>
    <s v="80 Gwynne Road, 19 Lombard Road"/>
    <m/>
    <n v="526746"/>
    <n v="176345"/>
    <x v="5"/>
    <m/>
    <m/>
    <n v="0"/>
    <n v="14"/>
    <n v="14"/>
    <n v="71"/>
    <n v="71"/>
    <x v="0"/>
    <s v="Redevelopment"/>
    <s v="NONE"/>
    <m/>
    <m/>
    <x v="0"/>
    <s v="Nil"/>
    <m/>
    <s v="BF"/>
    <s v="NB"/>
    <x v="0"/>
    <x v="0"/>
    <n v="0"/>
    <m/>
    <x v="0"/>
    <m/>
    <x v="1"/>
    <s v="AA"/>
    <s v="RIV8"/>
    <m/>
    <n v="0"/>
    <n v="0"/>
    <n v="0"/>
    <n v="0"/>
    <n v="0"/>
    <n v="0"/>
    <n v="0"/>
    <n v="0"/>
    <n v="0"/>
    <n v="0"/>
    <n v="14"/>
    <n v="0"/>
    <n v="0"/>
    <n v="0"/>
    <n v="0"/>
    <n v="0"/>
    <n v="0"/>
    <n v="14"/>
    <n v="0"/>
    <n v="0"/>
    <n v="0"/>
    <n v="0"/>
    <n v="0"/>
    <n v="0"/>
    <n v="0"/>
    <n v="0"/>
    <n v="0"/>
    <n v="0"/>
    <n v="0"/>
    <n v="0"/>
    <n v="0"/>
    <n v="0"/>
    <x v="0"/>
    <x v="0"/>
    <x v="8"/>
    <n v="19"/>
    <m/>
    <m/>
    <m/>
    <m/>
    <m/>
    <n v="0.875"/>
    <n v="0.875"/>
    <n v="0.875"/>
    <n v="0.875"/>
    <n v="0.875"/>
    <n v="0.875"/>
    <n v="0.875"/>
    <n v="0.875"/>
    <n v="0.875"/>
    <n v="0.875"/>
    <n v="0.875"/>
    <n v="0.875"/>
    <n v="0.875"/>
    <n v="0.875"/>
    <n v="0.875"/>
    <n v="0.875"/>
    <n v="5.25"/>
  </r>
  <r>
    <n v="6871"/>
    <x v="4"/>
    <m/>
    <s v="80 Gwynne Road, 19 Lombard Road"/>
    <m/>
    <n v="526746"/>
    <n v="176345"/>
    <x v="5"/>
    <m/>
    <m/>
    <n v="0"/>
    <n v="9"/>
    <n v="9"/>
    <n v="71"/>
    <n v="71"/>
    <x v="0"/>
    <s v="Redevelopment"/>
    <s v="NONE"/>
    <m/>
    <m/>
    <x v="0"/>
    <s v="Nil"/>
    <m/>
    <s v="BF"/>
    <s v="NB"/>
    <x v="0"/>
    <x v="0"/>
    <n v="0"/>
    <m/>
    <x v="0"/>
    <m/>
    <x v="0"/>
    <s v="IU"/>
    <s v="RIV8"/>
    <m/>
    <n v="0"/>
    <n v="0"/>
    <n v="0"/>
    <n v="0"/>
    <n v="0"/>
    <n v="0"/>
    <n v="0"/>
    <n v="0"/>
    <n v="0"/>
    <n v="0"/>
    <n v="9"/>
    <n v="0"/>
    <n v="0"/>
    <n v="0"/>
    <n v="0"/>
    <n v="0"/>
    <n v="0"/>
    <n v="9"/>
    <n v="0"/>
    <n v="0"/>
    <n v="0"/>
    <n v="0"/>
    <n v="0"/>
    <n v="0"/>
    <n v="0"/>
    <n v="0"/>
    <n v="0"/>
    <n v="0"/>
    <n v="0"/>
    <n v="0"/>
    <n v="0"/>
    <n v="0"/>
    <x v="0"/>
    <x v="0"/>
    <x v="8"/>
    <n v="19"/>
    <m/>
    <m/>
    <m/>
    <m/>
    <m/>
    <n v="0.5625"/>
    <n v="0.5625"/>
    <n v="0.5625"/>
    <n v="0.5625"/>
    <n v="0.5625"/>
    <n v="0.5625"/>
    <n v="0.5625"/>
    <n v="0.5625"/>
    <n v="0.5625"/>
    <n v="0.5625"/>
    <n v="0.5625"/>
    <n v="0.5625"/>
    <n v="0.5625"/>
    <n v="0.5625"/>
    <n v="0.5625"/>
    <n v="0.5625"/>
    <n v="3.375"/>
  </r>
  <r>
    <n v="7546"/>
    <x v="4"/>
    <m/>
    <s v="8-10 Chelverton Road, Putney Bus Garage, SW15 1RH"/>
    <m/>
    <n v="523936"/>
    <n v="175285"/>
    <x v="0"/>
    <m/>
    <m/>
    <n v="0"/>
    <n v="1"/>
    <n v="1"/>
    <n v="1"/>
    <n v="1"/>
    <x v="1"/>
    <s v="Redevelopment"/>
    <s v="NONE"/>
    <m/>
    <m/>
    <x v="0"/>
    <s v="Nil"/>
    <m/>
    <s v="BF"/>
    <s v="NB"/>
    <x v="2"/>
    <x v="1"/>
    <n v="0"/>
    <m/>
    <x v="0"/>
    <m/>
    <x v="2"/>
    <s v="M"/>
    <m/>
    <m/>
    <n v="0"/>
    <n v="0"/>
    <n v="0"/>
    <n v="0"/>
    <n v="0"/>
    <n v="0"/>
    <n v="0"/>
    <n v="0"/>
    <n v="0"/>
    <n v="0"/>
    <n v="1"/>
    <n v="0"/>
    <n v="0"/>
    <n v="0"/>
    <n v="0"/>
    <n v="0"/>
    <n v="0"/>
    <n v="1"/>
    <n v="0"/>
    <n v="0"/>
    <n v="0"/>
    <n v="0"/>
    <n v="0"/>
    <n v="0"/>
    <n v="0"/>
    <n v="0"/>
    <n v="0"/>
    <n v="0"/>
    <n v="0"/>
    <n v="0"/>
    <n v="0"/>
    <n v="0"/>
    <x v="4"/>
    <x v="0"/>
    <x v="4"/>
    <n v="19"/>
    <m/>
    <m/>
    <m/>
    <m/>
    <m/>
    <n v="1"/>
    <m/>
    <m/>
    <m/>
    <m/>
    <m/>
    <m/>
    <m/>
    <m/>
    <m/>
    <m/>
    <m/>
    <m/>
    <m/>
    <m/>
    <n v="1"/>
    <n v="1"/>
  </r>
  <r>
    <n v="6897"/>
    <x v="4"/>
    <m/>
    <s v="Asda, Lidl and Boots Sites, Falcon Lane"/>
    <m/>
    <n v="527569"/>
    <n v="175602"/>
    <x v="1"/>
    <m/>
    <m/>
    <n v="0"/>
    <n v="53"/>
    <n v="53"/>
    <n v="79"/>
    <n v="79"/>
    <x v="0"/>
    <s v="Redevelopment"/>
    <s v="NONE"/>
    <m/>
    <m/>
    <x v="0"/>
    <s v="Nil"/>
    <m/>
    <s v="BF"/>
    <s v="NB"/>
    <x v="0"/>
    <x v="0"/>
    <n v="0"/>
    <m/>
    <x v="0"/>
    <m/>
    <x v="2"/>
    <s v="M"/>
    <s v="CJ1"/>
    <m/>
    <n v="0"/>
    <n v="0"/>
    <n v="0"/>
    <n v="0"/>
    <n v="0"/>
    <n v="0"/>
    <n v="0"/>
    <n v="0"/>
    <n v="0"/>
    <n v="0"/>
    <n v="53"/>
    <n v="0"/>
    <n v="0"/>
    <n v="0"/>
    <n v="0"/>
    <n v="0"/>
    <n v="0"/>
    <n v="53"/>
    <n v="0"/>
    <n v="0"/>
    <n v="0"/>
    <n v="0"/>
    <n v="0"/>
    <n v="0"/>
    <n v="0"/>
    <n v="0"/>
    <n v="0"/>
    <n v="0"/>
    <n v="0"/>
    <n v="0"/>
    <n v="0"/>
    <n v="0"/>
    <x v="5"/>
    <x v="0"/>
    <x v="5"/>
    <n v="19"/>
    <m/>
    <m/>
    <m/>
    <m/>
    <m/>
    <m/>
    <m/>
    <m/>
    <m/>
    <n v="4.416666666666667"/>
    <n v="4.416666666666667"/>
    <n v="4.416666666666667"/>
    <n v="4.416666666666667"/>
    <n v="4.416666666666667"/>
    <n v="4.416666666666667"/>
    <n v="4.416666666666667"/>
    <n v="4.416666666666667"/>
    <n v="4.416666666666667"/>
    <n v="4.416666666666667"/>
    <n v="4.416666666666667"/>
    <n v="0"/>
    <n v="8.8333333333333339"/>
  </r>
  <r>
    <n v="6897"/>
    <x v="4"/>
    <m/>
    <s v="Asda, Lidl and Boots Sites, Falcon Lane"/>
    <m/>
    <n v="527569"/>
    <n v="175602"/>
    <x v="1"/>
    <m/>
    <m/>
    <n v="0"/>
    <n v="16"/>
    <n v="16"/>
    <n v="79"/>
    <n v="79"/>
    <x v="0"/>
    <s v="Redevelopment"/>
    <s v="NONE"/>
    <m/>
    <m/>
    <x v="0"/>
    <s v="Nil"/>
    <m/>
    <s v="BF"/>
    <s v="NB"/>
    <x v="0"/>
    <x v="0"/>
    <n v="0"/>
    <m/>
    <x v="0"/>
    <m/>
    <x v="1"/>
    <s v="AA"/>
    <s v="CJ1"/>
    <m/>
    <n v="0"/>
    <n v="0"/>
    <n v="0"/>
    <n v="0"/>
    <n v="0"/>
    <n v="0"/>
    <n v="0"/>
    <n v="0"/>
    <n v="0"/>
    <n v="0"/>
    <n v="16"/>
    <n v="0"/>
    <n v="0"/>
    <n v="0"/>
    <n v="0"/>
    <n v="0"/>
    <n v="0"/>
    <n v="16"/>
    <n v="0"/>
    <n v="0"/>
    <n v="0"/>
    <n v="0"/>
    <n v="0"/>
    <n v="0"/>
    <n v="0"/>
    <n v="0"/>
    <n v="0"/>
    <n v="0"/>
    <n v="0"/>
    <n v="0"/>
    <n v="0"/>
    <n v="0"/>
    <x v="5"/>
    <x v="0"/>
    <x v="5"/>
    <n v="19"/>
    <m/>
    <m/>
    <m/>
    <m/>
    <m/>
    <m/>
    <m/>
    <m/>
    <m/>
    <n v="1.3333333333333333"/>
    <n v="1.3333333333333333"/>
    <n v="1.3333333333333333"/>
    <n v="1.3333333333333333"/>
    <n v="1.3333333333333333"/>
    <n v="1.3333333333333333"/>
    <n v="1.3333333333333333"/>
    <n v="1.3333333333333333"/>
    <n v="1.3333333333333333"/>
    <n v="1.3333333333333333"/>
    <n v="1.3333333333333333"/>
    <n v="0"/>
    <n v="2.6666666666666665"/>
  </r>
  <r>
    <n v="6897"/>
    <x v="4"/>
    <m/>
    <s v="Asda, Lidl and Boots Sites, Falcon Lane"/>
    <m/>
    <n v="527569"/>
    <n v="175602"/>
    <x v="1"/>
    <m/>
    <m/>
    <n v="0"/>
    <n v="10"/>
    <n v="10"/>
    <n v="79"/>
    <n v="79"/>
    <x v="0"/>
    <s v="Redevelopment"/>
    <s v="NONE"/>
    <m/>
    <m/>
    <x v="0"/>
    <s v="Nil"/>
    <m/>
    <s v="BF"/>
    <s v="NB"/>
    <x v="0"/>
    <x v="0"/>
    <n v="0"/>
    <m/>
    <x v="0"/>
    <m/>
    <x v="0"/>
    <s v="IU"/>
    <s v="CJ1"/>
    <m/>
    <n v="0"/>
    <n v="0"/>
    <n v="0"/>
    <n v="0"/>
    <n v="0"/>
    <n v="0"/>
    <n v="0"/>
    <n v="0"/>
    <n v="0"/>
    <n v="0"/>
    <n v="10"/>
    <n v="0"/>
    <n v="0"/>
    <n v="0"/>
    <n v="0"/>
    <n v="0"/>
    <n v="0"/>
    <n v="10"/>
    <n v="0"/>
    <n v="0"/>
    <n v="0"/>
    <n v="0"/>
    <n v="0"/>
    <n v="0"/>
    <n v="0"/>
    <n v="0"/>
    <n v="0"/>
    <n v="0"/>
    <n v="0"/>
    <n v="0"/>
    <n v="0"/>
    <n v="0"/>
    <x v="5"/>
    <x v="0"/>
    <x v="5"/>
    <n v="19"/>
    <m/>
    <m/>
    <m/>
    <m/>
    <m/>
    <m/>
    <m/>
    <m/>
    <m/>
    <n v="0.83333333333333337"/>
    <n v="0.83333333333333337"/>
    <n v="0.83333333333333337"/>
    <n v="0.83333333333333337"/>
    <n v="0.83333333333333337"/>
    <n v="0.83333333333333337"/>
    <n v="0.83333333333333337"/>
    <n v="0.83333333333333337"/>
    <n v="0.83333333333333337"/>
    <n v="0.83333333333333337"/>
    <n v="0.83333333333333337"/>
    <n v="0"/>
    <n v="1.6666666666666667"/>
  </r>
  <r>
    <n v="7387"/>
    <x v="4"/>
    <m/>
    <s v="Ashburton Community Centre, Westleigh Avenue (Ashburton South Estate)"/>
    <m/>
    <n v="523041"/>
    <n v="174501"/>
    <x v="18"/>
    <m/>
    <m/>
    <n v="0"/>
    <n v="1"/>
    <n v="1"/>
    <n v="1"/>
    <n v="1"/>
    <x v="1"/>
    <s v="Redevelopment"/>
    <s v="NONE"/>
    <m/>
    <m/>
    <x v="0"/>
    <s v="Nil"/>
    <m/>
    <s v="BF"/>
    <s v="NB"/>
    <x v="2"/>
    <x v="1"/>
    <n v="0"/>
    <m/>
    <x v="0"/>
    <m/>
    <x v="2"/>
    <s v="M"/>
    <m/>
    <m/>
    <n v="0"/>
    <n v="0"/>
    <n v="0"/>
    <n v="0"/>
    <n v="0"/>
    <n v="0"/>
    <n v="0"/>
    <n v="0"/>
    <n v="0"/>
    <n v="0"/>
    <n v="1"/>
    <n v="0"/>
    <n v="0"/>
    <n v="0"/>
    <n v="0"/>
    <n v="0"/>
    <n v="0"/>
    <n v="1"/>
    <n v="0"/>
    <n v="0"/>
    <n v="0"/>
    <n v="0"/>
    <n v="0"/>
    <n v="0"/>
    <n v="0"/>
    <n v="0"/>
    <n v="0"/>
    <n v="0"/>
    <n v="0"/>
    <n v="0"/>
    <n v="0"/>
    <n v="0"/>
    <x v="0"/>
    <x v="0"/>
    <x v="1"/>
    <n v="19"/>
    <m/>
    <m/>
    <m/>
    <m/>
    <m/>
    <n v="1"/>
    <m/>
    <m/>
    <m/>
    <m/>
    <m/>
    <m/>
    <m/>
    <m/>
    <m/>
    <m/>
    <m/>
    <m/>
    <m/>
    <m/>
    <n v="1"/>
    <n v="1"/>
  </r>
  <r>
    <n v="6910"/>
    <x v="4"/>
    <m/>
    <s v="Balham Health Centre, 120 Bedford Hill"/>
    <m/>
    <n v="528743"/>
    <n v="172931"/>
    <x v="8"/>
    <m/>
    <m/>
    <n v="0"/>
    <n v="29"/>
    <n v="29"/>
    <n v="44"/>
    <n v="44"/>
    <x v="0"/>
    <s v="Redevelopment"/>
    <s v="NONE"/>
    <m/>
    <m/>
    <x v="0"/>
    <s v="Nil"/>
    <m/>
    <s v="BF"/>
    <s v="NB"/>
    <x v="0"/>
    <x v="0"/>
    <n v="0"/>
    <m/>
    <x v="0"/>
    <m/>
    <x v="2"/>
    <s v="M"/>
    <s v="OUT1"/>
    <m/>
    <n v="0"/>
    <n v="0"/>
    <n v="0"/>
    <n v="0"/>
    <n v="0"/>
    <n v="0"/>
    <n v="0"/>
    <n v="0"/>
    <n v="0"/>
    <n v="0"/>
    <n v="29"/>
    <n v="0"/>
    <n v="0"/>
    <n v="0"/>
    <n v="0"/>
    <n v="0"/>
    <n v="0"/>
    <n v="29"/>
    <n v="0"/>
    <n v="0"/>
    <n v="0"/>
    <n v="0"/>
    <n v="0"/>
    <n v="0"/>
    <n v="0"/>
    <n v="0"/>
    <n v="0"/>
    <n v="0"/>
    <n v="0"/>
    <n v="0"/>
    <n v="0"/>
    <n v="0"/>
    <x v="0"/>
    <x v="0"/>
    <x v="1"/>
    <n v="19"/>
    <m/>
    <m/>
    <m/>
    <m/>
    <m/>
    <n v="1.8125"/>
    <n v="1.8125"/>
    <n v="1.8125"/>
    <n v="1.8125"/>
    <n v="1.8125"/>
    <n v="1.8125"/>
    <n v="1.8125"/>
    <n v="1.8125"/>
    <n v="1.8125"/>
    <n v="1.8125"/>
    <n v="1.8125"/>
    <n v="1.8125"/>
    <n v="1.8125"/>
    <n v="1.8125"/>
    <n v="1.8125"/>
    <n v="1.8125"/>
    <n v="10.875"/>
  </r>
  <r>
    <n v="6910"/>
    <x v="4"/>
    <m/>
    <s v="Balham Health Centre, 120 Bedford Hill"/>
    <m/>
    <n v="528743"/>
    <n v="172931"/>
    <x v="8"/>
    <m/>
    <m/>
    <n v="0"/>
    <n v="9"/>
    <n v="9"/>
    <n v="44"/>
    <n v="44"/>
    <x v="0"/>
    <s v="Redevelopment"/>
    <s v="NONE"/>
    <m/>
    <m/>
    <x v="0"/>
    <s v="Nil"/>
    <m/>
    <s v="BF"/>
    <s v="NB"/>
    <x v="0"/>
    <x v="0"/>
    <n v="0"/>
    <m/>
    <x v="0"/>
    <m/>
    <x v="1"/>
    <s v="AA"/>
    <s v="OUT1"/>
    <m/>
    <n v="0"/>
    <n v="0"/>
    <n v="0"/>
    <n v="0"/>
    <n v="0"/>
    <n v="0"/>
    <n v="0"/>
    <n v="0"/>
    <n v="0"/>
    <n v="0"/>
    <n v="9"/>
    <n v="0"/>
    <n v="0"/>
    <n v="0"/>
    <n v="0"/>
    <n v="0"/>
    <n v="0"/>
    <n v="9"/>
    <n v="0"/>
    <n v="0"/>
    <n v="0"/>
    <n v="0"/>
    <n v="0"/>
    <n v="0"/>
    <n v="0"/>
    <n v="0"/>
    <n v="0"/>
    <n v="0"/>
    <n v="0"/>
    <n v="0"/>
    <n v="0"/>
    <n v="0"/>
    <x v="0"/>
    <x v="0"/>
    <x v="1"/>
    <n v="19"/>
    <m/>
    <m/>
    <m/>
    <m/>
    <m/>
    <n v="0.5625"/>
    <n v="0.5625"/>
    <n v="0.5625"/>
    <n v="0.5625"/>
    <n v="0.5625"/>
    <n v="0.5625"/>
    <n v="0.5625"/>
    <n v="0.5625"/>
    <n v="0.5625"/>
    <n v="0.5625"/>
    <n v="0.5625"/>
    <n v="0.5625"/>
    <n v="0.5625"/>
    <n v="0.5625"/>
    <n v="0.5625"/>
    <n v="0.5625"/>
    <n v="3.375"/>
  </r>
  <r>
    <n v="6910"/>
    <x v="4"/>
    <m/>
    <s v="Balham Health Centre, 120 Bedford Hill"/>
    <m/>
    <n v="528743"/>
    <n v="172931"/>
    <x v="8"/>
    <m/>
    <m/>
    <n v="0"/>
    <n v="6"/>
    <n v="6"/>
    <n v="44"/>
    <n v="44"/>
    <x v="0"/>
    <s v="Redevelopment"/>
    <s v="NONE"/>
    <m/>
    <m/>
    <x v="0"/>
    <s v="Nil"/>
    <m/>
    <s v="BF"/>
    <s v="NB"/>
    <x v="0"/>
    <x v="0"/>
    <n v="0"/>
    <m/>
    <x v="0"/>
    <m/>
    <x v="0"/>
    <s v="IU"/>
    <s v="OUT1"/>
    <m/>
    <n v="0"/>
    <n v="0"/>
    <n v="0"/>
    <n v="0"/>
    <n v="0"/>
    <n v="0"/>
    <n v="0"/>
    <n v="0"/>
    <n v="0"/>
    <n v="0"/>
    <n v="6"/>
    <n v="0"/>
    <n v="0"/>
    <n v="0"/>
    <n v="0"/>
    <n v="0"/>
    <n v="0"/>
    <n v="6"/>
    <n v="0"/>
    <n v="0"/>
    <n v="0"/>
    <n v="0"/>
    <n v="0"/>
    <n v="0"/>
    <n v="0"/>
    <n v="0"/>
    <n v="0"/>
    <n v="0"/>
    <n v="0"/>
    <n v="0"/>
    <n v="0"/>
    <n v="0"/>
    <x v="0"/>
    <x v="0"/>
    <x v="1"/>
    <n v="19"/>
    <m/>
    <m/>
    <m/>
    <m/>
    <m/>
    <n v="0.375"/>
    <n v="0.375"/>
    <n v="0.375"/>
    <n v="0.375"/>
    <n v="0.375"/>
    <n v="0.375"/>
    <n v="0.375"/>
    <n v="0.375"/>
    <n v="0.375"/>
    <n v="0.375"/>
    <n v="0.375"/>
    <n v="0.375"/>
    <n v="0.375"/>
    <n v="0.375"/>
    <n v="0.375"/>
    <n v="0.375"/>
    <n v="2.25"/>
  </r>
  <r>
    <n v="7575"/>
    <x v="4"/>
    <m/>
    <s v="Battersea Park Road (between Stewarts Road and Thessally road)"/>
    <m/>
    <n v="529080.52989999903"/>
    <n v="177186.61449999901"/>
    <x v="1"/>
    <m/>
    <m/>
    <n v="0"/>
    <n v="143"/>
    <n v="143"/>
    <n v="168"/>
    <n v="168"/>
    <x v="0"/>
    <s v="Redevelopment"/>
    <s v="NONE"/>
    <m/>
    <m/>
    <x v="0"/>
    <s v="Nil"/>
    <m/>
    <s v="BF"/>
    <s v="NB"/>
    <x v="0"/>
    <x v="0"/>
    <n v="0"/>
    <m/>
    <x v="0"/>
    <m/>
    <x v="2"/>
    <s v="M"/>
    <s v="NE13"/>
    <m/>
    <n v="0"/>
    <n v="0"/>
    <n v="0"/>
    <n v="0"/>
    <n v="0"/>
    <n v="0"/>
    <n v="0"/>
    <n v="0"/>
    <n v="0"/>
    <n v="0"/>
    <n v="143"/>
    <n v="0"/>
    <n v="0"/>
    <n v="0"/>
    <n v="0"/>
    <n v="0"/>
    <n v="0"/>
    <n v="143"/>
    <n v="0"/>
    <n v="0"/>
    <n v="0"/>
    <n v="0"/>
    <n v="0"/>
    <n v="0"/>
    <n v="0"/>
    <n v="0"/>
    <n v="0"/>
    <n v="0"/>
    <n v="0"/>
    <n v="0"/>
    <n v="0"/>
    <n v="0"/>
    <x v="0"/>
    <x v="1"/>
    <x v="7"/>
    <n v="20"/>
    <m/>
    <m/>
    <m/>
    <m/>
    <n v="28.6"/>
    <n v="28.6"/>
    <n v="28.6"/>
    <n v="28.6"/>
    <n v="28.6"/>
    <m/>
    <m/>
    <m/>
    <m/>
    <m/>
    <m/>
    <m/>
    <m/>
    <m/>
    <m/>
    <m/>
    <n v="57.2"/>
    <n v="143"/>
  </r>
  <r>
    <n v="7575"/>
    <x v="4"/>
    <m/>
    <s v="Battersea Park Road (between Stewarts Road and Thessally road)"/>
    <m/>
    <n v="529080.52989999903"/>
    <n v="177186.61449999901"/>
    <x v="1"/>
    <m/>
    <m/>
    <n v="0"/>
    <n v="15"/>
    <n v="15"/>
    <n v="168"/>
    <n v="168"/>
    <x v="0"/>
    <s v="Redevelopment"/>
    <s v="NONE"/>
    <m/>
    <m/>
    <x v="0"/>
    <s v="Nil"/>
    <m/>
    <s v="BF"/>
    <s v="NB"/>
    <x v="0"/>
    <x v="0"/>
    <n v="0"/>
    <m/>
    <x v="0"/>
    <m/>
    <x v="1"/>
    <s v="AA"/>
    <s v="NE13"/>
    <m/>
    <n v="0"/>
    <n v="0"/>
    <n v="0"/>
    <n v="0"/>
    <n v="0"/>
    <n v="0"/>
    <n v="0"/>
    <n v="0"/>
    <n v="0"/>
    <n v="0"/>
    <n v="15"/>
    <n v="0"/>
    <n v="0"/>
    <n v="0"/>
    <n v="0"/>
    <n v="0"/>
    <n v="0"/>
    <n v="15"/>
    <n v="0"/>
    <n v="0"/>
    <n v="0"/>
    <n v="0"/>
    <n v="0"/>
    <n v="0"/>
    <n v="0"/>
    <n v="0"/>
    <n v="0"/>
    <n v="0"/>
    <n v="0"/>
    <n v="0"/>
    <n v="0"/>
    <n v="0"/>
    <x v="0"/>
    <x v="1"/>
    <x v="7"/>
    <n v="20"/>
    <m/>
    <m/>
    <m/>
    <m/>
    <n v="3"/>
    <n v="3"/>
    <n v="3"/>
    <n v="3"/>
    <n v="3"/>
    <m/>
    <m/>
    <m/>
    <m/>
    <m/>
    <m/>
    <m/>
    <m/>
    <m/>
    <m/>
    <m/>
    <n v="6"/>
    <n v="15"/>
  </r>
  <r>
    <n v="7575"/>
    <x v="4"/>
    <m/>
    <s v="Battersea Park Road (between Stewarts Road and Thessally road)"/>
    <m/>
    <n v="529080.52989999903"/>
    <n v="177186.61449999901"/>
    <x v="1"/>
    <m/>
    <m/>
    <n v="0"/>
    <n v="10"/>
    <n v="10"/>
    <n v="168"/>
    <n v="168"/>
    <x v="0"/>
    <s v="Redevelopment"/>
    <s v="NONE"/>
    <m/>
    <m/>
    <x v="0"/>
    <s v="Nil"/>
    <m/>
    <s v="BF"/>
    <s v="NB"/>
    <x v="0"/>
    <x v="0"/>
    <n v="0"/>
    <m/>
    <x v="0"/>
    <m/>
    <x v="0"/>
    <s v="IU"/>
    <s v="NE13"/>
    <m/>
    <n v="0"/>
    <n v="0"/>
    <n v="0"/>
    <n v="0"/>
    <n v="0"/>
    <n v="0"/>
    <n v="0"/>
    <n v="0"/>
    <n v="0"/>
    <n v="0"/>
    <n v="10"/>
    <n v="0"/>
    <n v="0"/>
    <n v="0"/>
    <n v="0"/>
    <n v="0"/>
    <n v="0"/>
    <n v="10"/>
    <n v="0"/>
    <n v="0"/>
    <n v="0"/>
    <n v="0"/>
    <n v="0"/>
    <n v="0"/>
    <n v="0"/>
    <n v="0"/>
    <n v="0"/>
    <n v="0"/>
    <n v="0"/>
    <n v="0"/>
    <n v="0"/>
    <n v="0"/>
    <x v="0"/>
    <x v="1"/>
    <x v="7"/>
    <n v="20"/>
    <m/>
    <m/>
    <m/>
    <m/>
    <n v="2"/>
    <n v="2"/>
    <n v="2"/>
    <n v="2"/>
    <n v="2"/>
    <m/>
    <m/>
    <m/>
    <m/>
    <m/>
    <m/>
    <m/>
    <m/>
    <m/>
    <m/>
    <m/>
    <n v="4"/>
    <n v="10"/>
  </r>
  <r>
    <n v="4437"/>
    <x v="4"/>
    <m/>
    <s v="Bridgelane Medical Group Practice, 20 Bridge Ln, Battersea, London SW11 3AD"/>
    <m/>
    <n v="527446.42059999902"/>
    <n v="176521.567799999"/>
    <x v="5"/>
    <m/>
    <m/>
    <n v="0"/>
    <n v="5"/>
    <n v="5"/>
    <n v="5"/>
    <n v="5"/>
    <x v="1"/>
    <s v="Redevelopment"/>
    <s v="NONE"/>
    <m/>
    <m/>
    <x v="0"/>
    <s v="Nil"/>
    <m/>
    <s v="BF"/>
    <s v="NB"/>
    <x v="2"/>
    <x v="1"/>
    <n v="0"/>
    <m/>
    <x v="0"/>
    <m/>
    <x v="2"/>
    <s v="M"/>
    <s v="OUT5"/>
    <m/>
    <n v="0"/>
    <n v="0"/>
    <n v="0"/>
    <n v="0"/>
    <n v="0"/>
    <n v="0"/>
    <n v="0"/>
    <n v="0"/>
    <n v="0"/>
    <n v="0"/>
    <n v="5"/>
    <n v="0"/>
    <n v="0"/>
    <n v="0"/>
    <n v="0"/>
    <n v="0"/>
    <n v="0"/>
    <n v="5"/>
    <n v="0"/>
    <n v="0"/>
    <n v="0"/>
    <n v="0"/>
    <n v="0"/>
    <n v="0"/>
    <n v="0"/>
    <n v="0"/>
    <n v="0"/>
    <n v="0"/>
    <n v="0"/>
    <n v="0"/>
    <n v="0"/>
    <n v="0"/>
    <x v="0"/>
    <x v="0"/>
    <x v="1"/>
    <n v="19"/>
    <m/>
    <m/>
    <m/>
    <m/>
    <n v="0.5"/>
    <n v="0.5"/>
    <n v="0.5"/>
    <n v="0.5"/>
    <n v="0.5"/>
    <n v="0.5"/>
    <n v="0.5"/>
    <n v="0.5"/>
    <n v="0.5"/>
    <n v="0.5"/>
    <m/>
    <m/>
    <m/>
    <m/>
    <m/>
    <m/>
    <n v="1"/>
    <n v="3.5"/>
  </r>
  <r>
    <n v="4472"/>
    <x v="4"/>
    <m/>
    <s v="Brooks Court, 1-10 Cringle Street"/>
    <m/>
    <n v="529267"/>
    <n v="177387"/>
    <x v="15"/>
    <m/>
    <m/>
    <n v="0"/>
    <n v="32"/>
    <n v="32"/>
    <n v="37"/>
    <n v="37"/>
    <x v="0"/>
    <s v="Redevelopment"/>
    <s v="NONE"/>
    <m/>
    <m/>
    <x v="0"/>
    <s v="Nil"/>
    <m/>
    <s v="BF"/>
    <s v="NB"/>
    <x v="0"/>
    <x v="0"/>
    <n v="0"/>
    <m/>
    <x v="0"/>
    <m/>
    <x v="2"/>
    <s v="M"/>
    <s v="NE5"/>
    <m/>
    <n v="0"/>
    <n v="0"/>
    <n v="0"/>
    <n v="0"/>
    <n v="0"/>
    <n v="0"/>
    <n v="0"/>
    <n v="0"/>
    <n v="0"/>
    <n v="0"/>
    <n v="32"/>
    <n v="0"/>
    <n v="0"/>
    <n v="0"/>
    <n v="0"/>
    <n v="0"/>
    <n v="0"/>
    <n v="32"/>
    <n v="0"/>
    <n v="0"/>
    <n v="0"/>
    <n v="0"/>
    <n v="0"/>
    <n v="0"/>
    <n v="0"/>
    <n v="0"/>
    <n v="0"/>
    <n v="0"/>
    <n v="0"/>
    <n v="0"/>
    <n v="0"/>
    <n v="0"/>
    <x v="0"/>
    <x v="1"/>
    <x v="7"/>
    <n v="20"/>
    <m/>
    <m/>
    <m/>
    <m/>
    <m/>
    <n v="32"/>
    <m/>
    <m/>
    <m/>
    <m/>
    <m/>
    <m/>
    <m/>
    <m/>
    <m/>
    <m/>
    <m/>
    <m/>
    <m/>
    <m/>
    <n v="32"/>
    <n v="32"/>
  </r>
  <r>
    <n v="4472"/>
    <x v="4"/>
    <m/>
    <s v="Brooks Court, 1-10 Cringle Street"/>
    <m/>
    <n v="529267"/>
    <n v="177387"/>
    <x v="15"/>
    <m/>
    <m/>
    <n v="0"/>
    <n v="3"/>
    <n v="3"/>
    <n v="37"/>
    <n v="37"/>
    <x v="0"/>
    <s v="Redevelopment"/>
    <s v="NONE"/>
    <m/>
    <m/>
    <x v="0"/>
    <s v="Nil"/>
    <m/>
    <s v="BF"/>
    <s v="NB"/>
    <x v="0"/>
    <x v="0"/>
    <n v="0"/>
    <m/>
    <x v="0"/>
    <m/>
    <x v="1"/>
    <s v="AA"/>
    <s v="NE5"/>
    <m/>
    <n v="0"/>
    <n v="0"/>
    <n v="0"/>
    <n v="0"/>
    <n v="0"/>
    <n v="0"/>
    <n v="0"/>
    <n v="0"/>
    <n v="0"/>
    <n v="0"/>
    <n v="3"/>
    <n v="0"/>
    <n v="0"/>
    <n v="0"/>
    <n v="0"/>
    <n v="0"/>
    <n v="0"/>
    <n v="3"/>
    <n v="0"/>
    <n v="0"/>
    <n v="0"/>
    <n v="0"/>
    <n v="0"/>
    <n v="0"/>
    <n v="0"/>
    <n v="0"/>
    <n v="0"/>
    <n v="0"/>
    <n v="0"/>
    <n v="0"/>
    <n v="0"/>
    <n v="0"/>
    <x v="0"/>
    <x v="1"/>
    <x v="7"/>
    <n v="20"/>
    <m/>
    <m/>
    <m/>
    <m/>
    <m/>
    <n v="3"/>
    <m/>
    <m/>
    <m/>
    <m/>
    <m/>
    <m/>
    <m/>
    <m/>
    <m/>
    <m/>
    <m/>
    <m/>
    <m/>
    <m/>
    <n v="3"/>
    <n v="3"/>
  </r>
  <r>
    <n v="4472"/>
    <x v="4"/>
    <m/>
    <s v="Brooks Court, 1-10 Cringle Street"/>
    <m/>
    <n v="529267"/>
    <n v="177387"/>
    <x v="15"/>
    <m/>
    <m/>
    <n v="0"/>
    <n v="2"/>
    <n v="2"/>
    <n v="37"/>
    <n v="37"/>
    <x v="0"/>
    <s v="Redevelopment"/>
    <s v="NONE"/>
    <m/>
    <m/>
    <x v="0"/>
    <s v="Nil"/>
    <m/>
    <s v="BF"/>
    <s v="NB"/>
    <x v="0"/>
    <x v="0"/>
    <n v="0"/>
    <m/>
    <x v="0"/>
    <m/>
    <x v="0"/>
    <s v="IU"/>
    <s v="NE5"/>
    <m/>
    <n v="0"/>
    <n v="0"/>
    <n v="0"/>
    <n v="0"/>
    <n v="0"/>
    <n v="0"/>
    <n v="0"/>
    <n v="0"/>
    <n v="0"/>
    <n v="0"/>
    <n v="2"/>
    <n v="0"/>
    <n v="0"/>
    <n v="0"/>
    <n v="0"/>
    <n v="0"/>
    <n v="0"/>
    <n v="2"/>
    <n v="0"/>
    <n v="0"/>
    <n v="0"/>
    <n v="0"/>
    <n v="0"/>
    <n v="0"/>
    <n v="0"/>
    <n v="0"/>
    <n v="0"/>
    <n v="0"/>
    <n v="0"/>
    <n v="0"/>
    <n v="0"/>
    <n v="0"/>
    <x v="0"/>
    <x v="1"/>
    <x v="7"/>
    <n v="20"/>
    <m/>
    <m/>
    <m/>
    <m/>
    <m/>
    <n v="2"/>
    <m/>
    <m/>
    <m/>
    <m/>
    <m/>
    <m/>
    <m/>
    <m/>
    <m/>
    <m/>
    <m/>
    <m/>
    <m/>
    <m/>
    <n v="2"/>
    <n v="2"/>
  </r>
  <r>
    <n v="6877"/>
    <x v="4"/>
    <m/>
    <s v="Cable and Wireless Ballymore Site 6, 2a Battersea Park Road"/>
    <m/>
    <n v="529311"/>
    <n v="177427"/>
    <x v="15"/>
    <m/>
    <m/>
    <n v="0"/>
    <n v="131"/>
    <n v="131"/>
    <n v="154"/>
    <n v="154"/>
    <x v="0"/>
    <s v="Redevelopment"/>
    <s v="NONE"/>
    <m/>
    <m/>
    <x v="0"/>
    <s v="Nil"/>
    <m/>
    <s v="BF"/>
    <s v="NB"/>
    <x v="0"/>
    <x v="0"/>
    <n v="0"/>
    <m/>
    <x v="0"/>
    <m/>
    <x v="2"/>
    <s v="M"/>
    <s v="NE1"/>
    <m/>
    <n v="0"/>
    <n v="0"/>
    <n v="0"/>
    <n v="0"/>
    <n v="0"/>
    <n v="0"/>
    <n v="0"/>
    <n v="0"/>
    <n v="0"/>
    <n v="0"/>
    <n v="131"/>
    <n v="0"/>
    <n v="0"/>
    <n v="0"/>
    <n v="0"/>
    <n v="0"/>
    <n v="0"/>
    <n v="131"/>
    <n v="0"/>
    <n v="0"/>
    <n v="0"/>
    <n v="0"/>
    <n v="0"/>
    <n v="0"/>
    <n v="0"/>
    <n v="0"/>
    <n v="0"/>
    <n v="0"/>
    <n v="0"/>
    <n v="0"/>
    <n v="0"/>
    <n v="0"/>
    <x v="0"/>
    <x v="1"/>
    <x v="7"/>
    <n v="20"/>
    <m/>
    <m/>
    <m/>
    <m/>
    <m/>
    <n v="131"/>
    <m/>
    <m/>
    <m/>
    <m/>
    <m/>
    <m/>
    <m/>
    <m/>
    <m/>
    <m/>
    <m/>
    <m/>
    <m/>
    <m/>
    <n v="131"/>
    <n v="131"/>
  </r>
  <r>
    <n v="6877"/>
    <x v="4"/>
    <m/>
    <s v="Cable and Wireless Ballymore Site 6, 2a Battersea Park Road"/>
    <m/>
    <n v="529311"/>
    <n v="177427"/>
    <x v="15"/>
    <m/>
    <m/>
    <n v="0"/>
    <n v="14"/>
    <n v="14"/>
    <n v="154"/>
    <n v="154"/>
    <x v="0"/>
    <s v="Redevelopment"/>
    <s v="NONE"/>
    <m/>
    <m/>
    <x v="0"/>
    <s v="Nil"/>
    <m/>
    <s v="BF"/>
    <s v="NB"/>
    <x v="0"/>
    <x v="0"/>
    <n v="0"/>
    <m/>
    <x v="0"/>
    <m/>
    <x v="1"/>
    <s v="AA"/>
    <s v="NE1"/>
    <m/>
    <n v="0"/>
    <n v="0"/>
    <n v="0"/>
    <n v="0"/>
    <n v="0"/>
    <n v="0"/>
    <n v="0"/>
    <n v="0"/>
    <n v="0"/>
    <n v="0"/>
    <n v="14"/>
    <n v="0"/>
    <n v="0"/>
    <n v="0"/>
    <n v="0"/>
    <n v="0"/>
    <n v="0"/>
    <n v="14"/>
    <n v="0"/>
    <n v="0"/>
    <n v="0"/>
    <n v="0"/>
    <n v="0"/>
    <n v="0"/>
    <n v="0"/>
    <n v="0"/>
    <n v="0"/>
    <n v="0"/>
    <n v="0"/>
    <n v="0"/>
    <n v="0"/>
    <n v="0"/>
    <x v="0"/>
    <x v="1"/>
    <x v="7"/>
    <n v="20"/>
    <m/>
    <m/>
    <m/>
    <m/>
    <m/>
    <n v="14"/>
    <m/>
    <m/>
    <m/>
    <m/>
    <m/>
    <m/>
    <m/>
    <m/>
    <m/>
    <m/>
    <m/>
    <m/>
    <m/>
    <m/>
    <n v="14"/>
    <n v="14"/>
  </r>
  <r>
    <n v="6877"/>
    <x v="4"/>
    <m/>
    <s v="Cable and Wireless Ballymore Site 6, 2a Battersea Park Road"/>
    <m/>
    <n v="529311"/>
    <n v="177427"/>
    <x v="15"/>
    <m/>
    <m/>
    <n v="0"/>
    <n v="9"/>
    <n v="9"/>
    <n v="154"/>
    <n v="154"/>
    <x v="0"/>
    <s v="Redevelopment"/>
    <s v="NONE"/>
    <m/>
    <m/>
    <x v="0"/>
    <s v="Nil"/>
    <m/>
    <s v="BF"/>
    <s v="NB"/>
    <x v="0"/>
    <x v="0"/>
    <n v="0"/>
    <m/>
    <x v="0"/>
    <m/>
    <x v="0"/>
    <s v="IU"/>
    <s v="NE1"/>
    <m/>
    <n v="0"/>
    <n v="0"/>
    <n v="0"/>
    <n v="0"/>
    <n v="0"/>
    <n v="0"/>
    <n v="0"/>
    <n v="0"/>
    <n v="0"/>
    <n v="0"/>
    <n v="9"/>
    <n v="0"/>
    <n v="0"/>
    <n v="0"/>
    <n v="0"/>
    <n v="0"/>
    <n v="0"/>
    <n v="9"/>
    <n v="0"/>
    <n v="0"/>
    <n v="0"/>
    <n v="0"/>
    <n v="0"/>
    <n v="0"/>
    <n v="0"/>
    <n v="0"/>
    <n v="0"/>
    <n v="0"/>
    <n v="0"/>
    <n v="0"/>
    <n v="0"/>
    <n v="0"/>
    <x v="0"/>
    <x v="1"/>
    <x v="7"/>
    <n v="20"/>
    <m/>
    <m/>
    <m/>
    <m/>
    <m/>
    <n v="9"/>
    <m/>
    <m/>
    <m/>
    <m/>
    <m/>
    <m/>
    <m/>
    <m/>
    <m/>
    <m/>
    <m/>
    <m/>
    <m/>
    <m/>
    <n v="9"/>
    <n v="9"/>
  </r>
  <r>
    <n v="4510"/>
    <x v="4"/>
    <m/>
    <s v="Cemex Battersea Plant, Cringle Street (Kirtling Wharf)"/>
    <m/>
    <n v="529218"/>
    <n v="177561"/>
    <x v="15"/>
    <m/>
    <m/>
    <n v="0"/>
    <n v="10"/>
    <n v="10"/>
    <n v="12"/>
    <n v="12"/>
    <x v="0"/>
    <s v="Redevelopment"/>
    <s v="NONE"/>
    <m/>
    <m/>
    <x v="0"/>
    <s v="Nil"/>
    <m/>
    <s v="BF"/>
    <s v="MIX"/>
    <x v="0"/>
    <x v="0"/>
    <n v="0"/>
    <m/>
    <x v="0"/>
    <m/>
    <x v="2"/>
    <s v="M"/>
    <s v="NE9"/>
    <m/>
    <n v="0"/>
    <n v="0"/>
    <n v="0"/>
    <n v="0"/>
    <n v="0"/>
    <n v="0"/>
    <n v="0"/>
    <n v="0"/>
    <n v="0"/>
    <n v="0"/>
    <n v="10"/>
    <n v="0"/>
    <n v="0"/>
    <n v="0"/>
    <n v="0"/>
    <n v="0"/>
    <n v="0"/>
    <n v="10"/>
    <n v="0"/>
    <n v="0"/>
    <n v="0"/>
    <n v="0"/>
    <n v="0"/>
    <n v="0"/>
    <n v="0"/>
    <n v="0"/>
    <n v="0"/>
    <n v="0"/>
    <n v="0"/>
    <n v="0"/>
    <n v="0"/>
    <n v="0"/>
    <x v="0"/>
    <x v="1"/>
    <x v="7"/>
    <n v="20"/>
    <m/>
    <m/>
    <m/>
    <m/>
    <n v="10"/>
    <m/>
    <m/>
    <m/>
    <m/>
    <m/>
    <m/>
    <m/>
    <m/>
    <m/>
    <m/>
    <m/>
    <m/>
    <m/>
    <m/>
    <m/>
    <n v="10"/>
    <n v="10"/>
  </r>
  <r>
    <n v="4510"/>
    <x v="4"/>
    <m/>
    <s v="Cemex Battersea Plant, Cringle Street (Kirtling Wharf)"/>
    <m/>
    <n v="529218"/>
    <n v="177561"/>
    <x v="15"/>
    <m/>
    <m/>
    <n v="0"/>
    <n v="1"/>
    <n v="1"/>
    <n v="12"/>
    <n v="12"/>
    <x v="0"/>
    <s v="Redevelopment"/>
    <s v="NONE"/>
    <m/>
    <m/>
    <x v="0"/>
    <s v="Nil"/>
    <m/>
    <s v="BF"/>
    <s v="MIX"/>
    <x v="0"/>
    <x v="0"/>
    <n v="0"/>
    <m/>
    <x v="0"/>
    <m/>
    <x v="0"/>
    <s v="IU"/>
    <s v="NE9"/>
    <m/>
    <n v="0"/>
    <n v="0"/>
    <n v="0"/>
    <n v="0"/>
    <n v="0"/>
    <n v="0"/>
    <n v="0"/>
    <n v="0"/>
    <n v="0"/>
    <n v="0"/>
    <n v="1"/>
    <n v="0"/>
    <n v="0"/>
    <n v="0"/>
    <n v="0"/>
    <n v="0"/>
    <n v="0"/>
    <n v="1"/>
    <n v="0"/>
    <n v="0"/>
    <n v="0"/>
    <n v="0"/>
    <n v="0"/>
    <n v="0"/>
    <n v="0"/>
    <n v="0"/>
    <n v="0"/>
    <n v="0"/>
    <n v="0"/>
    <n v="0"/>
    <n v="0"/>
    <n v="0"/>
    <x v="0"/>
    <x v="1"/>
    <x v="7"/>
    <n v="20"/>
    <m/>
    <m/>
    <m/>
    <m/>
    <n v="1"/>
    <m/>
    <m/>
    <m/>
    <m/>
    <m/>
    <m/>
    <m/>
    <m/>
    <m/>
    <m/>
    <m/>
    <m/>
    <m/>
    <m/>
    <m/>
    <n v="1"/>
    <n v="1"/>
  </r>
  <r>
    <n v="4510"/>
    <x v="4"/>
    <m/>
    <s v="Cemex Battersea Plant, Cringle Street (Kirtling Wharf)"/>
    <m/>
    <n v="529218"/>
    <n v="177561"/>
    <x v="15"/>
    <m/>
    <m/>
    <n v="0"/>
    <n v="1"/>
    <n v="1"/>
    <n v="12"/>
    <n v="12"/>
    <x v="0"/>
    <s v="Redevelopment"/>
    <s v="NONE"/>
    <m/>
    <m/>
    <x v="0"/>
    <s v="Nil"/>
    <m/>
    <s v="BF"/>
    <s v="MIX"/>
    <x v="0"/>
    <x v="0"/>
    <n v="0"/>
    <m/>
    <x v="0"/>
    <m/>
    <x v="1"/>
    <s v="AA"/>
    <s v="NE9"/>
    <m/>
    <n v="0"/>
    <n v="0"/>
    <n v="0"/>
    <n v="0"/>
    <n v="0"/>
    <n v="0"/>
    <n v="0"/>
    <n v="0"/>
    <n v="0"/>
    <n v="0"/>
    <n v="1"/>
    <n v="0"/>
    <n v="0"/>
    <n v="0"/>
    <n v="0"/>
    <n v="0"/>
    <n v="0"/>
    <n v="1"/>
    <n v="0"/>
    <n v="0"/>
    <n v="0"/>
    <n v="0"/>
    <n v="0"/>
    <n v="0"/>
    <n v="0"/>
    <n v="0"/>
    <n v="0"/>
    <n v="0"/>
    <n v="0"/>
    <n v="0"/>
    <n v="0"/>
    <n v="0"/>
    <x v="0"/>
    <x v="1"/>
    <x v="7"/>
    <n v="20"/>
    <m/>
    <m/>
    <m/>
    <m/>
    <n v="1"/>
    <m/>
    <m/>
    <m/>
    <m/>
    <m/>
    <m/>
    <m/>
    <m/>
    <m/>
    <m/>
    <m/>
    <m/>
    <m/>
    <m/>
    <m/>
    <n v="1"/>
    <n v="1"/>
  </r>
  <r>
    <n v="6904"/>
    <x v="4"/>
    <m/>
    <s v="Chelsea Cars and KwikFit, Armoury Way"/>
    <m/>
    <n v="525354"/>
    <n v="174734"/>
    <x v="6"/>
    <m/>
    <m/>
    <n v="0"/>
    <n v="8"/>
    <n v="8"/>
    <n v="11"/>
    <n v="11"/>
    <x v="0"/>
    <s v="Redevelopment"/>
    <s v="NONE"/>
    <m/>
    <m/>
    <x v="0"/>
    <s v="Nil"/>
    <m/>
    <s v="BF"/>
    <s v="NB"/>
    <x v="0"/>
    <x v="0"/>
    <n v="0"/>
    <m/>
    <x v="0"/>
    <m/>
    <x v="2"/>
    <s v="M"/>
    <s v="WT1"/>
    <m/>
    <n v="0"/>
    <n v="0"/>
    <n v="0"/>
    <n v="0"/>
    <n v="0"/>
    <n v="0"/>
    <n v="0"/>
    <n v="0"/>
    <n v="0"/>
    <n v="0"/>
    <n v="8"/>
    <n v="0"/>
    <n v="0"/>
    <n v="0"/>
    <n v="0"/>
    <n v="0"/>
    <n v="0"/>
    <n v="8"/>
    <n v="0"/>
    <n v="0"/>
    <n v="0"/>
    <n v="0"/>
    <n v="0"/>
    <n v="0"/>
    <n v="0"/>
    <n v="0"/>
    <n v="0"/>
    <n v="0"/>
    <n v="0"/>
    <n v="0"/>
    <n v="0"/>
    <n v="0"/>
    <x v="3"/>
    <x v="0"/>
    <x v="0"/>
    <n v="19"/>
    <m/>
    <m/>
    <m/>
    <m/>
    <m/>
    <n v="1.6"/>
    <n v="1.6"/>
    <n v="1.6"/>
    <n v="1.6"/>
    <n v="1.6"/>
    <m/>
    <m/>
    <m/>
    <m/>
    <m/>
    <m/>
    <m/>
    <m/>
    <m/>
    <m/>
    <n v="1.6"/>
    <n v="8"/>
  </r>
  <r>
    <n v="6904"/>
    <x v="4"/>
    <m/>
    <s v="Chelsea Cars and KwikFit, Armoury Way"/>
    <m/>
    <n v="525354"/>
    <n v="174734"/>
    <x v="6"/>
    <m/>
    <m/>
    <n v="0"/>
    <n v="2"/>
    <n v="2"/>
    <n v="11"/>
    <n v="11"/>
    <x v="0"/>
    <s v="Redevelopment"/>
    <s v="NONE"/>
    <m/>
    <m/>
    <x v="0"/>
    <s v="Nil"/>
    <m/>
    <s v="BF"/>
    <s v="NB"/>
    <x v="0"/>
    <x v="0"/>
    <n v="0"/>
    <m/>
    <x v="0"/>
    <m/>
    <x v="1"/>
    <s v="AA"/>
    <s v="WT1"/>
    <m/>
    <n v="0"/>
    <n v="0"/>
    <n v="0"/>
    <n v="0"/>
    <n v="0"/>
    <n v="0"/>
    <n v="0"/>
    <n v="0"/>
    <n v="0"/>
    <n v="0"/>
    <n v="2"/>
    <n v="0"/>
    <n v="0"/>
    <n v="0"/>
    <n v="0"/>
    <n v="0"/>
    <n v="0"/>
    <n v="2"/>
    <n v="0"/>
    <n v="0"/>
    <n v="0"/>
    <n v="0"/>
    <n v="0"/>
    <n v="0"/>
    <n v="0"/>
    <n v="0"/>
    <n v="0"/>
    <n v="0"/>
    <n v="0"/>
    <n v="0"/>
    <n v="0"/>
    <n v="0"/>
    <x v="3"/>
    <x v="0"/>
    <x v="0"/>
    <n v="19"/>
    <m/>
    <m/>
    <m/>
    <m/>
    <m/>
    <n v="0.4"/>
    <n v="0.4"/>
    <n v="0.4"/>
    <n v="0.4"/>
    <n v="0.4"/>
    <m/>
    <m/>
    <m/>
    <m/>
    <m/>
    <m/>
    <m/>
    <m/>
    <m/>
    <m/>
    <n v="0.4"/>
    <n v="2"/>
  </r>
  <r>
    <n v="6904"/>
    <x v="4"/>
    <m/>
    <s v="Chelsea Cars and KwikFit, Armoury Way"/>
    <m/>
    <n v="525354"/>
    <n v="174734"/>
    <x v="6"/>
    <m/>
    <m/>
    <n v="0"/>
    <n v="1"/>
    <n v="1"/>
    <n v="11"/>
    <n v="11"/>
    <x v="0"/>
    <s v="Redevelopment"/>
    <s v="NONE"/>
    <m/>
    <m/>
    <x v="0"/>
    <s v="Nil"/>
    <m/>
    <s v="BF"/>
    <s v="NB"/>
    <x v="0"/>
    <x v="0"/>
    <n v="0"/>
    <m/>
    <x v="0"/>
    <m/>
    <x v="0"/>
    <s v="IU"/>
    <s v="WT1"/>
    <m/>
    <n v="0"/>
    <n v="0"/>
    <n v="0"/>
    <n v="0"/>
    <n v="0"/>
    <n v="0"/>
    <n v="0"/>
    <n v="0"/>
    <n v="0"/>
    <n v="0"/>
    <n v="1"/>
    <n v="0"/>
    <n v="0"/>
    <n v="0"/>
    <n v="0"/>
    <n v="0"/>
    <n v="0"/>
    <n v="1"/>
    <n v="0"/>
    <n v="0"/>
    <n v="0"/>
    <n v="0"/>
    <n v="0"/>
    <n v="0"/>
    <n v="0"/>
    <n v="0"/>
    <n v="0"/>
    <n v="0"/>
    <n v="0"/>
    <n v="0"/>
    <n v="0"/>
    <n v="0"/>
    <x v="3"/>
    <x v="0"/>
    <x v="0"/>
    <n v="19"/>
    <m/>
    <m/>
    <m/>
    <m/>
    <m/>
    <n v="0.2"/>
    <n v="0.2"/>
    <n v="0.2"/>
    <n v="0.2"/>
    <n v="0.2"/>
    <m/>
    <m/>
    <m/>
    <m/>
    <m/>
    <m/>
    <m/>
    <m/>
    <m/>
    <m/>
    <n v="0.2"/>
    <n v="1"/>
  </r>
  <r>
    <n v="7573"/>
    <x v="4"/>
    <m/>
    <s v="Clapham Junction Station Approach, SW12"/>
    <m/>
    <n v="527299.08160000003"/>
    <n v="175481.82680000001"/>
    <x v="21"/>
    <m/>
    <m/>
    <n v="0"/>
    <n v="136"/>
    <n v="136"/>
    <n v="202"/>
    <n v="202"/>
    <x v="0"/>
    <s v="Redevelopment"/>
    <s v="NONE"/>
    <m/>
    <m/>
    <x v="0"/>
    <s v="Nil"/>
    <m/>
    <s v="BF"/>
    <s v="NB"/>
    <x v="0"/>
    <x v="0"/>
    <n v="0"/>
    <m/>
    <x v="0"/>
    <m/>
    <x v="2"/>
    <s v="M"/>
    <s v="CJ2"/>
    <m/>
    <n v="0"/>
    <n v="0"/>
    <n v="0"/>
    <n v="0"/>
    <n v="0"/>
    <n v="0"/>
    <n v="0"/>
    <n v="0"/>
    <n v="0"/>
    <n v="0"/>
    <n v="136"/>
    <n v="0"/>
    <n v="0"/>
    <n v="0"/>
    <n v="0"/>
    <n v="0"/>
    <n v="0"/>
    <n v="136"/>
    <n v="0"/>
    <n v="0"/>
    <n v="0"/>
    <n v="0"/>
    <n v="0"/>
    <n v="0"/>
    <n v="0"/>
    <n v="0"/>
    <n v="0"/>
    <n v="0"/>
    <n v="0"/>
    <n v="0"/>
    <n v="0"/>
    <n v="0"/>
    <x v="5"/>
    <x v="0"/>
    <x v="5"/>
    <n v="19"/>
    <m/>
    <m/>
    <m/>
    <m/>
    <m/>
    <n v="13.6"/>
    <n v="13.6"/>
    <n v="13.6"/>
    <n v="13.6"/>
    <n v="13.6"/>
    <n v="13.6"/>
    <n v="13.6"/>
    <n v="13.6"/>
    <n v="13.6"/>
    <n v="13.6"/>
    <m/>
    <m/>
    <m/>
    <m/>
    <m/>
    <n v="13.6"/>
    <n v="81.599999999999994"/>
  </r>
  <r>
    <n v="7573"/>
    <x v="4"/>
    <m/>
    <s v="Clapham Junction Station Approach, SW12"/>
    <m/>
    <n v="527299.08160000003"/>
    <n v="175481.82680000001"/>
    <x v="21"/>
    <m/>
    <m/>
    <n v="0"/>
    <n v="40"/>
    <n v="40"/>
    <n v="202"/>
    <n v="202"/>
    <x v="0"/>
    <s v="Redevelopment"/>
    <s v="NONE"/>
    <m/>
    <m/>
    <x v="0"/>
    <s v="Nil"/>
    <m/>
    <s v="BF"/>
    <s v="NB"/>
    <x v="0"/>
    <x v="0"/>
    <n v="0"/>
    <m/>
    <x v="0"/>
    <m/>
    <x v="1"/>
    <s v="AA"/>
    <s v="CJ2"/>
    <m/>
    <n v="0"/>
    <n v="0"/>
    <n v="0"/>
    <n v="0"/>
    <n v="0"/>
    <n v="0"/>
    <n v="0"/>
    <n v="0"/>
    <n v="0"/>
    <n v="0"/>
    <n v="40"/>
    <n v="0"/>
    <n v="0"/>
    <n v="0"/>
    <n v="0"/>
    <n v="0"/>
    <n v="0"/>
    <n v="40"/>
    <n v="0"/>
    <n v="0"/>
    <n v="0"/>
    <n v="0"/>
    <n v="0"/>
    <n v="0"/>
    <n v="0"/>
    <n v="0"/>
    <n v="0"/>
    <n v="0"/>
    <n v="0"/>
    <n v="0"/>
    <n v="0"/>
    <n v="0"/>
    <x v="5"/>
    <x v="0"/>
    <x v="5"/>
    <n v="19"/>
    <m/>
    <m/>
    <m/>
    <m/>
    <m/>
    <n v="4"/>
    <n v="4"/>
    <n v="4"/>
    <n v="4"/>
    <n v="4"/>
    <n v="4"/>
    <n v="4"/>
    <n v="4"/>
    <n v="4"/>
    <n v="4"/>
    <m/>
    <m/>
    <m/>
    <m/>
    <m/>
    <n v="4"/>
    <n v="24"/>
  </r>
  <r>
    <n v="7573"/>
    <x v="4"/>
    <m/>
    <s v="Clapham Junction Station Approach, SW12"/>
    <m/>
    <n v="527299.08160000003"/>
    <n v="175481.82680000001"/>
    <x v="21"/>
    <m/>
    <m/>
    <n v="0"/>
    <n v="26"/>
    <n v="26"/>
    <n v="202"/>
    <n v="202"/>
    <x v="0"/>
    <s v="Redevelopment"/>
    <s v="NONE"/>
    <m/>
    <m/>
    <x v="0"/>
    <s v="Nil"/>
    <m/>
    <s v="BF"/>
    <s v="NB"/>
    <x v="0"/>
    <x v="0"/>
    <n v="0"/>
    <m/>
    <x v="0"/>
    <m/>
    <x v="0"/>
    <s v="IU"/>
    <s v="CJ2"/>
    <m/>
    <n v="0"/>
    <n v="0"/>
    <n v="0"/>
    <n v="0"/>
    <n v="0"/>
    <n v="0"/>
    <n v="0"/>
    <n v="0"/>
    <n v="0"/>
    <n v="0"/>
    <n v="26"/>
    <n v="0"/>
    <n v="0"/>
    <n v="0"/>
    <n v="0"/>
    <n v="0"/>
    <n v="0"/>
    <n v="26"/>
    <n v="0"/>
    <n v="0"/>
    <n v="0"/>
    <n v="0"/>
    <n v="0"/>
    <n v="0"/>
    <n v="0"/>
    <n v="0"/>
    <n v="0"/>
    <n v="0"/>
    <n v="0"/>
    <n v="0"/>
    <n v="0"/>
    <n v="0"/>
    <x v="5"/>
    <x v="0"/>
    <x v="5"/>
    <n v="19"/>
    <m/>
    <m/>
    <m/>
    <m/>
    <m/>
    <n v="2.6"/>
    <n v="2.6"/>
    <n v="2.6"/>
    <n v="2.6"/>
    <n v="2.6"/>
    <n v="2.6"/>
    <n v="2.6"/>
    <n v="2.6"/>
    <n v="2.6"/>
    <n v="2.6"/>
    <m/>
    <m/>
    <m/>
    <m/>
    <m/>
    <n v="2.6"/>
    <n v="15.6"/>
  </r>
  <r>
    <n v="58"/>
    <x v="4"/>
    <m/>
    <s v="Cloisters Business Centre, Battersea Park Road"/>
    <m/>
    <n v="528810"/>
    <n v="177019"/>
    <x v="15"/>
    <m/>
    <m/>
    <n v="0"/>
    <n v="2"/>
    <n v="2"/>
    <n v="2"/>
    <n v="2"/>
    <x v="1"/>
    <s v="Redevelopment"/>
    <s v="NONE"/>
    <m/>
    <m/>
    <x v="0"/>
    <s v="Nil"/>
    <m/>
    <s v="BF"/>
    <s v="NB"/>
    <x v="2"/>
    <x v="1"/>
    <n v="0"/>
    <m/>
    <x v="0"/>
    <m/>
    <x v="2"/>
    <s v="M"/>
    <m/>
    <m/>
    <n v="0"/>
    <n v="0"/>
    <n v="0"/>
    <n v="0"/>
    <n v="0"/>
    <n v="0"/>
    <n v="0"/>
    <n v="0"/>
    <n v="0"/>
    <n v="0"/>
    <n v="2"/>
    <n v="0"/>
    <n v="0"/>
    <n v="0"/>
    <n v="0"/>
    <n v="0"/>
    <n v="0"/>
    <n v="2"/>
    <n v="0"/>
    <n v="0"/>
    <n v="0"/>
    <n v="0"/>
    <n v="0"/>
    <n v="0"/>
    <n v="0"/>
    <n v="0"/>
    <n v="0"/>
    <n v="0"/>
    <n v="0"/>
    <n v="0"/>
    <n v="0"/>
    <n v="0"/>
    <x v="0"/>
    <x v="1"/>
    <x v="7"/>
    <n v="20"/>
    <m/>
    <m/>
    <m/>
    <m/>
    <m/>
    <m/>
    <n v="2"/>
    <m/>
    <m/>
    <m/>
    <m/>
    <m/>
    <m/>
    <m/>
    <m/>
    <m/>
    <m/>
    <m/>
    <m/>
    <m/>
    <n v="0"/>
    <n v="2"/>
  </r>
  <r>
    <n v="8056"/>
    <x v="4"/>
    <m/>
    <s v="Battersea Ring Main"/>
    <m/>
    <n v="529149"/>
    <n v="177464"/>
    <x v="15"/>
    <m/>
    <m/>
    <n v="0"/>
    <n v="85"/>
    <n v="85"/>
    <n v="100"/>
    <n v="100"/>
    <x v="0"/>
    <s v="Redevelopment"/>
    <s v="NONE"/>
    <m/>
    <m/>
    <x v="0"/>
    <s v="Nil"/>
    <m/>
    <s v="BF"/>
    <s v="MIX"/>
    <x v="0"/>
    <x v="0"/>
    <n v="0"/>
    <m/>
    <x v="0"/>
    <m/>
    <x v="2"/>
    <s v="M"/>
    <s v="NE14"/>
    <m/>
    <n v="0"/>
    <n v="0"/>
    <n v="0"/>
    <n v="0"/>
    <n v="0"/>
    <n v="0"/>
    <n v="0"/>
    <n v="0"/>
    <n v="0"/>
    <n v="0"/>
    <n v="85"/>
    <n v="0"/>
    <n v="0"/>
    <n v="0"/>
    <n v="0"/>
    <n v="0"/>
    <n v="0"/>
    <n v="85"/>
    <n v="0"/>
    <n v="0"/>
    <n v="0"/>
    <n v="0"/>
    <n v="0"/>
    <n v="0"/>
    <n v="0"/>
    <n v="0"/>
    <n v="0"/>
    <n v="0"/>
    <n v="0"/>
    <n v="0"/>
    <n v="0"/>
    <n v="0"/>
    <x v="0"/>
    <x v="1"/>
    <x v="7"/>
    <n v="20"/>
    <m/>
    <m/>
    <m/>
    <m/>
    <m/>
    <m/>
    <n v="28.333333333333332"/>
    <n v="28.333333333333332"/>
    <n v="28.333333333333332"/>
    <m/>
    <m/>
    <m/>
    <m/>
    <m/>
    <m/>
    <m/>
    <m/>
    <m/>
    <m/>
    <m/>
    <n v="0"/>
    <n v="85"/>
  </r>
  <r>
    <n v="8056"/>
    <x v="4"/>
    <m/>
    <s v="Battersea Ring Main"/>
    <m/>
    <n v="529149"/>
    <n v="177464"/>
    <x v="15"/>
    <m/>
    <m/>
    <n v="0"/>
    <n v="9"/>
    <n v="9"/>
    <n v="100"/>
    <n v="100"/>
    <x v="0"/>
    <s v="Redevelopment"/>
    <s v="NONE"/>
    <m/>
    <m/>
    <x v="0"/>
    <s v="Nil"/>
    <m/>
    <s v="BF"/>
    <s v="MIX"/>
    <x v="0"/>
    <x v="0"/>
    <n v="0"/>
    <m/>
    <x v="0"/>
    <m/>
    <x v="1"/>
    <s v="AA"/>
    <s v="NE14"/>
    <m/>
    <n v="0"/>
    <n v="0"/>
    <n v="0"/>
    <n v="0"/>
    <n v="0"/>
    <n v="0"/>
    <n v="0"/>
    <n v="0"/>
    <n v="0"/>
    <n v="0"/>
    <n v="9"/>
    <n v="0"/>
    <n v="0"/>
    <n v="0"/>
    <n v="0"/>
    <n v="0"/>
    <n v="0"/>
    <n v="9"/>
    <n v="0"/>
    <n v="0"/>
    <n v="0"/>
    <n v="0"/>
    <n v="0"/>
    <n v="0"/>
    <n v="0"/>
    <n v="0"/>
    <n v="0"/>
    <n v="0"/>
    <n v="0"/>
    <n v="0"/>
    <n v="0"/>
    <n v="0"/>
    <x v="0"/>
    <x v="1"/>
    <x v="7"/>
    <n v="20"/>
    <m/>
    <m/>
    <m/>
    <m/>
    <m/>
    <m/>
    <n v="3"/>
    <n v="3"/>
    <n v="3"/>
    <m/>
    <m/>
    <m/>
    <m/>
    <m/>
    <m/>
    <m/>
    <m/>
    <m/>
    <m/>
    <m/>
    <n v="0"/>
    <n v="9"/>
  </r>
  <r>
    <n v="8056"/>
    <x v="4"/>
    <m/>
    <s v="Battersea Ring Main"/>
    <m/>
    <n v="529149"/>
    <n v="177464"/>
    <x v="15"/>
    <m/>
    <m/>
    <n v="0"/>
    <n v="6"/>
    <n v="6"/>
    <n v="100"/>
    <n v="100"/>
    <x v="0"/>
    <s v="Redevelopment"/>
    <s v="NONE"/>
    <m/>
    <m/>
    <x v="0"/>
    <s v="Nil"/>
    <m/>
    <s v="BF"/>
    <s v="MIX"/>
    <x v="0"/>
    <x v="0"/>
    <n v="0"/>
    <m/>
    <x v="0"/>
    <m/>
    <x v="0"/>
    <s v="IU"/>
    <s v="NE14"/>
    <m/>
    <n v="0"/>
    <n v="0"/>
    <n v="0"/>
    <n v="0"/>
    <n v="0"/>
    <n v="0"/>
    <n v="0"/>
    <n v="0"/>
    <n v="0"/>
    <n v="0"/>
    <n v="6"/>
    <n v="0"/>
    <n v="0"/>
    <n v="0"/>
    <n v="0"/>
    <n v="0"/>
    <n v="0"/>
    <n v="6"/>
    <n v="0"/>
    <n v="0"/>
    <n v="0"/>
    <n v="0"/>
    <n v="0"/>
    <n v="0"/>
    <n v="0"/>
    <n v="0"/>
    <n v="0"/>
    <n v="0"/>
    <n v="0"/>
    <n v="0"/>
    <n v="0"/>
    <n v="0"/>
    <x v="0"/>
    <x v="1"/>
    <x v="7"/>
    <n v="20"/>
    <m/>
    <m/>
    <m/>
    <m/>
    <m/>
    <m/>
    <n v="2"/>
    <n v="2"/>
    <n v="2"/>
    <m/>
    <m/>
    <m/>
    <m/>
    <m/>
    <m/>
    <m/>
    <m/>
    <m/>
    <m/>
    <m/>
    <n v="0"/>
    <n v="6"/>
  </r>
  <r>
    <n v="4509"/>
    <x v="4"/>
    <m/>
    <s v="Cringle Dock, Nine Elms, SW8"/>
    <m/>
    <n v="529144.33070000005"/>
    <n v="177568.643099999"/>
    <x v="15"/>
    <m/>
    <m/>
    <n v="0"/>
    <n v="18"/>
    <n v="18"/>
    <n v="21"/>
    <n v="21"/>
    <x v="0"/>
    <s v="Redevelopment"/>
    <s v="NONE"/>
    <m/>
    <m/>
    <x v="0"/>
    <s v="Nil"/>
    <m/>
    <s v="BF"/>
    <s v="NB"/>
    <x v="0"/>
    <x v="0"/>
    <n v="0"/>
    <m/>
    <x v="0"/>
    <m/>
    <x v="2"/>
    <s v="M"/>
    <s v="NE11"/>
    <m/>
    <n v="0"/>
    <n v="0"/>
    <n v="0"/>
    <n v="0"/>
    <n v="0"/>
    <n v="0"/>
    <n v="0"/>
    <n v="0"/>
    <n v="0"/>
    <n v="0"/>
    <n v="18"/>
    <n v="0"/>
    <n v="0"/>
    <n v="0"/>
    <n v="0"/>
    <n v="0"/>
    <n v="0"/>
    <n v="18"/>
    <n v="0"/>
    <n v="0"/>
    <n v="0"/>
    <n v="0"/>
    <n v="0"/>
    <n v="0"/>
    <n v="0"/>
    <n v="0"/>
    <n v="0"/>
    <n v="0"/>
    <n v="0"/>
    <n v="0"/>
    <n v="0"/>
    <n v="0"/>
    <x v="0"/>
    <x v="1"/>
    <x v="7"/>
    <n v="20"/>
    <m/>
    <m/>
    <m/>
    <m/>
    <n v="3.6"/>
    <n v="3.6"/>
    <n v="3.6"/>
    <n v="3.6"/>
    <n v="3.6"/>
    <m/>
    <m/>
    <m/>
    <m/>
    <m/>
    <m/>
    <m/>
    <m/>
    <m/>
    <m/>
    <m/>
    <n v="7.2"/>
    <n v="18"/>
  </r>
  <r>
    <n v="4509"/>
    <x v="4"/>
    <m/>
    <s v="Cringle Dock, Nine Elms, SW8"/>
    <m/>
    <n v="529144.33070000005"/>
    <n v="177568.643099999"/>
    <x v="15"/>
    <m/>
    <m/>
    <n v="0"/>
    <n v="2"/>
    <n v="2"/>
    <n v="21"/>
    <n v="21"/>
    <x v="0"/>
    <s v="Redevelopment"/>
    <s v="NONE"/>
    <m/>
    <m/>
    <x v="0"/>
    <s v="Nil"/>
    <m/>
    <s v="BF"/>
    <s v="NB"/>
    <x v="0"/>
    <x v="0"/>
    <n v="0"/>
    <m/>
    <x v="0"/>
    <m/>
    <x v="1"/>
    <s v="AA"/>
    <s v="NE11"/>
    <m/>
    <n v="0"/>
    <n v="0"/>
    <n v="0"/>
    <n v="0"/>
    <n v="0"/>
    <n v="0"/>
    <n v="0"/>
    <n v="0"/>
    <n v="0"/>
    <n v="0"/>
    <n v="2"/>
    <n v="0"/>
    <n v="0"/>
    <n v="0"/>
    <n v="0"/>
    <n v="0"/>
    <n v="0"/>
    <n v="2"/>
    <n v="0"/>
    <n v="0"/>
    <n v="0"/>
    <n v="0"/>
    <n v="0"/>
    <n v="0"/>
    <n v="0"/>
    <n v="0"/>
    <n v="0"/>
    <n v="0"/>
    <n v="0"/>
    <n v="0"/>
    <n v="0"/>
    <n v="0"/>
    <x v="0"/>
    <x v="1"/>
    <x v="7"/>
    <n v="20"/>
    <m/>
    <m/>
    <m/>
    <m/>
    <n v="0.4"/>
    <n v="0.4"/>
    <n v="0.4"/>
    <n v="0.4"/>
    <n v="0.4"/>
    <m/>
    <m/>
    <m/>
    <m/>
    <m/>
    <m/>
    <m/>
    <m/>
    <m/>
    <m/>
    <m/>
    <n v="0.8"/>
    <n v="2"/>
  </r>
  <r>
    <n v="4509"/>
    <x v="4"/>
    <m/>
    <s v="Cringle Dock, Nine Elms, SW8"/>
    <m/>
    <n v="529144.33070000005"/>
    <n v="177568.643099999"/>
    <x v="15"/>
    <m/>
    <m/>
    <n v="0"/>
    <n v="1"/>
    <n v="1"/>
    <n v="21"/>
    <n v="21"/>
    <x v="0"/>
    <s v="Redevelopment"/>
    <s v="NONE"/>
    <m/>
    <m/>
    <x v="0"/>
    <s v="Nil"/>
    <m/>
    <s v="BF"/>
    <s v="NB"/>
    <x v="0"/>
    <x v="0"/>
    <n v="0"/>
    <m/>
    <x v="0"/>
    <m/>
    <x v="0"/>
    <s v="IU"/>
    <s v="NE11"/>
    <m/>
    <n v="0"/>
    <n v="0"/>
    <n v="0"/>
    <n v="0"/>
    <n v="0"/>
    <n v="0"/>
    <n v="0"/>
    <n v="0"/>
    <n v="0"/>
    <n v="0"/>
    <n v="1"/>
    <n v="0"/>
    <n v="0"/>
    <n v="0"/>
    <n v="0"/>
    <n v="0"/>
    <n v="0"/>
    <n v="1"/>
    <n v="0"/>
    <n v="0"/>
    <n v="0"/>
    <n v="0"/>
    <n v="0"/>
    <n v="0"/>
    <n v="0"/>
    <n v="0"/>
    <n v="0"/>
    <n v="0"/>
    <n v="0"/>
    <n v="0"/>
    <n v="0"/>
    <n v="0"/>
    <x v="0"/>
    <x v="1"/>
    <x v="7"/>
    <n v="20"/>
    <m/>
    <m/>
    <m/>
    <m/>
    <n v="0.2"/>
    <n v="0.2"/>
    <n v="0.2"/>
    <n v="0.2"/>
    <n v="0.2"/>
    <m/>
    <m/>
    <m/>
    <m/>
    <m/>
    <m/>
    <m/>
    <m/>
    <m/>
    <m/>
    <m/>
    <n v="0.4"/>
    <n v="1"/>
  </r>
  <r>
    <n v="6876"/>
    <x v="4"/>
    <m/>
    <s v="Dovercourt site, York Road, SW11"/>
    <m/>
    <n v="526665"/>
    <n v="176051"/>
    <x v="5"/>
    <m/>
    <m/>
    <n v="0"/>
    <n v="188"/>
    <n v="188"/>
    <n v="280"/>
    <n v="280"/>
    <x v="0"/>
    <s v="Redevelopment"/>
    <s v="NONE"/>
    <m/>
    <m/>
    <x v="0"/>
    <s v="Nil"/>
    <m/>
    <s v="BF"/>
    <s v="NB"/>
    <x v="0"/>
    <x v="0"/>
    <n v="0"/>
    <m/>
    <x v="0"/>
    <m/>
    <x v="2"/>
    <s v="M"/>
    <s v="RIV2"/>
    <m/>
    <n v="0"/>
    <n v="0"/>
    <n v="0"/>
    <n v="0"/>
    <n v="0"/>
    <n v="0"/>
    <n v="0"/>
    <n v="0"/>
    <n v="0"/>
    <n v="0"/>
    <n v="188"/>
    <n v="0"/>
    <n v="0"/>
    <n v="0"/>
    <n v="0"/>
    <n v="0"/>
    <n v="0"/>
    <n v="188"/>
    <n v="0"/>
    <n v="0"/>
    <n v="0"/>
    <n v="0"/>
    <n v="0"/>
    <n v="0"/>
    <n v="0"/>
    <n v="0"/>
    <n v="0"/>
    <n v="0"/>
    <n v="0"/>
    <n v="0"/>
    <n v="0"/>
    <n v="0"/>
    <x v="0"/>
    <x v="0"/>
    <x v="5"/>
    <n v="19"/>
    <m/>
    <m/>
    <m/>
    <m/>
    <m/>
    <n v="11.75"/>
    <n v="11.75"/>
    <n v="11.75"/>
    <n v="11.75"/>
    <n v="11.75"/>
    <n v="11.75"/>
    <n v="11.75"/>
    <n v="11.75"/>
    <n v="11.75"/>
    <n v="11.75"/>
    <n v="11.75"/>
    <n v="11.75"/>
    <n v="11.75"/>
    <n v="11.75"/>
    <n v="11.75"/>
    <n v="11.75"/>
    <n v="70.5"/>
  </r>
  <r>
    <n v="6876"/>
    <x v="4"/>
    <m/>
    <s v="Dovercourt site, York Road, SW11"/>
    <m/>
    <n v="526665"/>
    <n v="176051"/>
    <x v="5"/>
    <m/>
    <m/>
    <n v="0"/>
    <n v="56"/>
    <n v="56"/>
    <n v="280"/>
    <n v="280"/>
    <x v="0"/>
    <s v="Redevelopment"/>
    <s v="NONE"/>
    <m/>
    <m/>
    <x v="0"/>
    <s v="Nil"/>
    <m/>
    <s v="BF"/>
    <s v="NB"/>
    <x v="0"/>
    <x v="0"/>
    <n v="0"/>
    <m/>
    <x v="0"/>
    <m/>
    <x v="1"/>
    <s v="AA"/>
    <s v="RIV2"/>
    <m/>
    <n v="0"/>
    <n v="0"/>
    <n v="0"/>
    <n v="0"/>
    <n v="0"/>
    <n v="0"/>
    <n v="0"/>
    <n v="0"/>
    <n v="0"/>
    <n v="0"/>
    <n v="56"/>
    <n v="0"/>
    <n v="0"/>
    <n v="0"/>
    <n v="0"/>
    <n v="0"/>
    <n v="0"/>
    <n v="56"/>
    <n v="0"/>
    <n v="0"/>
    <n v="0"/>
    <n v="0"/>
    <n v="0"/>
    <n v="0"/>
    <n v="0"/>
    <n v="0"/>
    <n v="0"/>
    <n v="0"/>
    <n v="0"/>
    <n v="0"/>
    <n v="0"/>
    <n v="0"/>
    <x v="0"/>
    <x v="0"/>
    <x v="5"/>
    <n v="19"/>
    <m/>
    <m/>
    <m/>
    <m/>
    <m/>
    <n v="3.5"/>
    <n v="3.5"/>
    <n v="3.5"/>
    <n v="3.5"/>
    <n v="3.5"/>
    <n v="3.5"/>
    <n v="3.5"/>
    <n v="3.5"/>
    <n v="3.5"/>
    <n v="3.5"/>
    <n v="3.5"/>
    <n v="3.5"/>
    <n v="3.5"/>
    <n v="3.5"/>
    <n v="3.5"/>
    <n v="3.5"/>
    <n v="21"/>
  </r>
  <r>
    <n v="6876"/>
    <x v="4"/>
    <m/>
    <s v="Dovercourt site, York Road, SW11"/>
    <m/>
    <n v="526665"/>
    <n v="176051"/>
    <x v="5"/>
    <m/>
    <m/>
    <n v="0"/>
    <n v="36"/>
    <n v="36"/>
    <n v="280"/>
    <n v="280"/>
    <x v="0"/>
    <s v="Redevelopment"/>
    <s v="NONE"/>
    <m/>
    <m/>
    <x v="0"/>
    <s v="Nil"/>
    <m/>
    <s v="BF"/>
    <s v="NB"/>
    <x v="0"/>
    <x v="0"/>
    <n v="0"/>
    <m/>
    <x v="0"/>
    <m/>
    <x v="0"/>
    <s v="IU"/>
    <s v="RIV2"/>
    <m/>
    <n v="0"/>
    <n v="0"/>
    <n v="0"/>
    <n v="0"/>
    <n v="0"/>
    <n v="0"/>
    <n v="0"/>
    <n v="0"/>
    <n v="0"/>
    <n v="0"/>
    <n v="36"/>
    <n v="0"/>
    <n v="0"/>
    <n v="0"/>
    <n v="0"/>
    <n v="0"/>
    <n v="0"/>
    <n v="36"/>
    <n v="0"/>
    <n v="0"/>
    <n v="0"/>
    <n v="0"/>
    <n v="0"/>
    <n v="0"/>
    <n v="0"/>
    <n v="0"/>
    <n v="0"/>
    <n v="0"/>
    <n v="0"/>
    <n v="0"/>
    <n v="0"/>
    <n v="0"/>
    <x v="0"/>
    <x v="0"/>
    <x v="5"/>
    <n v="19"/>
    <m/>
    <m/>
    <m/>
    <m/>
    <m/>
    <n v="2.25"/>
    <n v="2.25"/>
    <n v="2.25"/>
    <n v="2.25"/>
    <n v="2.25"/>
    <n v="2.25"/>
    <n v="2.25"/>
    <n v="2.25"/>
    <n v="2.25"/>
    <n v="2.25"/>
    <n v="2.25"/>
    <n v="2.25"/>
    <n v="2.25"/>
    <n v="2.25"/>
    <n v="2.25"/>
    <n v="2.25"/>
    <n v="13.5"/>
  </r>
  <r>
    <n v="6895"/>
    <x v="4"/>
    <m/>
    <s v="Feathers Wharf, The Causeway"/>
    <m/>
    <n v="525545"/>
    <n v="175231"/>
    <x v="5"/>
    <m/>
    <m/>
    <n v="0"/>
    <n v="95"/>
    <n v="95"/>
    <n v="141"/>
    <n v="141"/>
    <x v="0"/>
    <s v="Redevelopment"/>
    <s v="NONE"/>
    <m/>
    <m/>
    <x v="0"/>
    <s v="Nil"/>
    <m/>
    <s v="BF"/>
    <s v="NB"/>
    <x v="0"/>
    <x v="0"/>
    <n v="0"/>
    <m/>
    <x v="0"/>
    <m/>
    <x v="2"/>
    <s v="M"/>
    <s v="WT9"/>
    <m/>
    <n v="0"/>
    <n v="0"/>
    <n v="0"/>
    <n v="0"/>
    <n v="0"/>
    <n v="0"/>
    <n v="0"/>
    <n v="0"/>
    <n v="0"/>
    <n v="0"/>
    <n v="95"/>
    <n v="0"/>
    <n v="0"/>
    <n v="0"/>
    <n v="0"/>
    <n v="0"/>
    <n v="0"/>
    <n v="95"/>
    <n v="0"/>
    <n v="0"/>
    <n v="0"/>
    <n v="0"/>
    <n v="0"/>
    <n v="0"/>
    <n v="0"/>
    <n v="0"/>
    <n v="0"/>
    <n v="0"/>
    <n v="0"/>
    <n v="0"/>
    <n v="0"/>
    <n v="0"/>
    <x v="0"/>
    <x v="0"/>
    <x v="0"/>
    <n v="19"/>
    <m/>
    <m/>
    <m/>
    <m/>
    <m/>
    <m/>
    <m/>
    <m/>
    <m/>
    <n v="7.916666666666667"/>
    <n v="7.916666666666667"/>
    <n v="7.916666666666667"/>
    <n v="7.916666666666667"/>
    <n v="7.916666666666667"/>
    <n v="7.916666666666667"/>
    <n v="7.916666666666667"/>
    <n v="7.916666666666667"/>
    <n v="7.916666666666667"/>
    <n v="7.916666666666667"/>
    <n v="7.916666666666667"/>
    <n v="0"/>
    <n v="15.833333333333334"/>
  </r>
  <r>
    <n v="6895"/>
    <x v="4"/>
    <m/>
    <s v="Feathers Wharf, The Causeway"/>
    <m/>
    <n v="525545"/>
    <n v="175231"/>
    <x v="5"/>
    <m/>
    <m/>
    <n v="0"/>
    <n v="28"/>
    <n v="28"/>
    <n v="141"/>
    <n v="141"/>
    <x v="0"/>
    <s v="Redevelopment"/>
    <s v="NONE"/>
    <m/>
    <m/>
    <x v="0"/>
    <s v="Nil"/>
    <m/>
    <s v="BF"/>
    <s v="NB"/>
    <x v="0"/>
    <x v="0"/>
    <n v="0"/>
    <m/>
    <x v="0"/>
    <m/>
    <x v="1"/>
    <s v="AA"/>
    <s v="WT9"/>
    <m/>
    <n v="0"/>
    <n v="0"/>
    <n v="0"/>
    <n v="0"/>
    <n v="0"/>
    <n v="0"/>
    <n v="0"/>
    <n v="0"/>
    <n v="0"/>
    <n v="0"/>
    <n v="28"/>
    <n v="0"/>
    <n v="0"/>
    <n v="0"/>
    <n v="0"/>
    <n v="0"/>
    <n v="0"/>
    <n v="28"/>
    <n v="0"/>
    <n v="0"/>
    <n v="0"/>
    <n v="0"/>
    <n v="0"/>
    <n v="0"/>
    <n v="0"/>
    <n v="0"/>
    <n v="0"/>
    <n v="0"/>
    <n v="0"/>
    <n v="0"/>
    <n v="0"/>
    <n v="0"/>
    <x v="0"/>
    <x v="0"/>
    <x v="0"/>
    <n v="19"/>
    <m/>
    <m/>
    <m/>
    <m/>
    <m/>
    <m/>
    <m/>
    <m/>
    <m/>
    <n v="2.3333333333333335"/>
    <n v="2.3333333333333335"/>
    <n v="2.3333333333333335"/>
    <n v="2.3333333333333335"/>
    <n v="2.3333333333333335"/>
    <n v="2.3333333333333335"/>
    <n v="2.3333333333333335"/>
    <n v="2.3333333333333335"/>
    <n v="2.3333333333333335"/>
    <n v="2.3333333333333335"/>
    <n v="2.3333333333333335"/>
    <n v="0"/>
    <n v="4.666666666666667"/>
  </r>
  <r>
    <n v="6895"/>
    <x v="4"/>
    <m/>
    <s v="Feathers Wharf, The Causeway"/>
    <m/>
    <n v="525545"/>
    <n v="175231"/>
    <x v="5"/>
    <m/>
    <m/>
    <n v="0"/>
    <n v="18"/>
    <n v="18"/>
    <n v="141"/>
    <n v="141"/>
    <x v="0"/>
    <s v="Redevelopment"/>
    <s v="NONE"/>
    <m/>
    <m/>
    <x v="0"/>
    <s v="Nil"/>
    <m/>
    <s v="BF"/>
    <s v="NB"/>
    <x v="0"/>
    <x v="0"/>
    <n v="0"/>
    <m/>
    <x v="0"/>
    <m/>
    <x v="0"/>
    <s v="IU"/>
    <s v="WT9"/>
    <m/>
    <n v="0"/>
    <n v="0"/>
    <n v="0"/>
    <n v="0"/>
    <n v="0"/>
    <n v="0"/>
    <n v="0"/>
    <n v="0"/>
    <n v="0"/>
    <n v="0"/>
    <n v="18"/>
    <n v="0"/>
    <n v="0"/>
    <n v="0"/>
    <n v="0"/>
    <n v="0"/>
    <n v="0"/>
    <n v="18"/>
    <n v="0"/>
    <n v="0"/>
    <n v="0"/>
    <n v="0"/>
    <n v="0"/>
    <n v="0"/>
    <n v="0"/>
    <n v="0"/>
    <n v="0"/>
    <n v="0"/>
    <n v="0"/>
    <n v="0"/>
    <n v="0"/>
    <n v="0"/>
    <x v="0"/>
    <x v="0"/>
    <x v="0"/>
    <n v="19"/>
    <m/>
    <m/>
    <m/>
    <m/>
    <m/>
    <m/>
    <m/>
    <m/>
    <m/>
    <n v="1.5"/>
    <n v="1.5"/>
    <n v="1.5"/>
    <n v="1.5"/>
    <n v="1.5"/>
    <n v="1.5"/>
    <n v="1.5"/>
    <n v="1.5"/>
    <n v="1.5"/>
    <n v="1.5"/>
    <n v="1.5"/>
    <n v="0"/>
    <n v="3"/>
  </r>
  <r>
    <n v="6905"/>
    <x v="4"/>
    <m/>
    <s v="Frogmore Depot, Dormay Street"/>
    <m/>
    <n v="525428"/>
    <n v="174978"/>
    <x v="6"/>
    <m/>
    <m/>
    <n v="0"/>
    <n v="115"/>
    <n v="115"/>
    <n v="172"/>
    <n v="172"/>
    <x v="0"/>
    <s v="Redevelopment"/>
    <s v="NONE"/>
    <m/>
    <m/>
    <x v="0"/>
    <s v="Nil"/>
    <m/>
    <s v="BF"/>
    <s v="NB"/>
    <x v="0"/>
    <x v="0"/>
    <n v="0"/>
    <m/>
    <x v="0"/>
    <m/>
    <x v="2"/>
    <s v="M"/>
    <s v="WT6"/>
    <m/>
    <n v="0"/>
    <n v="0"/>
    <n v="0"/>
    <n v="0"/>
    <n v="0"/>
    <n v="0"/>
    <n v="0"/>
    <n v="0"/>
    <n v="0"/>
    <n v="0"/>
    <n v="115"/>
    <n v="0"/>
    <n v="0"/>
    <n v="0"/>
    <n v="0"/>
    <n v="0"/>
    <n v="0"/>
    <n v="115"/>
    <n v="0"/>
    <n v="0"/>
    <n v="0"/>
    <n v="0"/>
    <n v="0"/>
    <n v="0"/>
    <n v="0"/>
    <n v="0"/>
    <n v="0"/>
    <n v="0"/>
    <n v="0"/>
    <n v="0"/>
    <n v="0"/>
    <n v="0"/>
    <x v="0"/>
    <x v="0"/>
    <x v="0"/>
    <n v="19"/>
    <m/>
    <m/>
    <m/>
    <m/>
    <m/>
    <n v="11.5"/>
    <n v="11.5"/>
    <n v="11.5"/>
    <n v="11.5"/>
    <n v="11.5"/>
    <n v="11.5"/>
    <n v="11.5"/>
    <n v="11.5"/>
    <n v="11.5"/>
    <n v="11.5"/>
    <m/>
    <m/>
    <m/>
    <m/>
    <m/>
    <n v="11.5"/>
    <n v="69"/>
  </r>
  <r>
    <n v="6905"/>
    <x v="4"/>
    <m/>
    <s v="Frogmore Depot, Dormay Street"/>
    <m/>
    <n v="525428"/>
    <n v="174978"/>
    <x v="6"/>
    <m/>
    <m/>
    <n v="0"/>
    <n v="34"/>
    <n v="34"/>
    <n v="172"/>
    <n v="172"/>
    <x v="0"/>
    <s v="Redevelopment"/>
    <s v="NONE"/>
    <m/>
    <m/>
    <x v="0"/>
    <s v="Nil"/>
    <m/>
    <s v="BF"/>
    <s v="NB"/>
    <x v="0"/>
    <x v="0"/>
    <n v="0"/>
    <m/>
    <x v="0"/>
    <m/>
    <x v="1"/>
    <s v="AA"/>
    <s v="WT6"/>
    <m/>
    <n v="0"/>
    <n v="0"/>
    <n v="0"/>
    <n v="0"/>
    <n v="0"/>
    <n v="0"/>
    <n v="0"/>
    <n v="0"/>
    <n v="0"/>
    <n v="0"/>
    <n v="34"/>
    <n v="0"/>
    <n v="0"/>
    <n v="0"/>
    <n v="0"/>
    <n v="0"/>
    <n v="0"/>
    <n v="34"/>
    <n v="0"/>
    <n v="0"/>
    <n v="0"/>
    <n v="0"/>
    <n v="0"/>
    <n v="0"/>
    <n v="0"/>
    <n v="0"/>
    <n v="0"/>
    <n v="0"/>
    <n v="0"/>
    <n v="0"/>
    <n v="0"/>
    <n v="0"/>
    <x v="0"/>
    <x v="0"/>
    <x v="0"/>
    <n v="19"/>
    <m/>
    <m/>
    <m/>
    <m/>
    <m/>
    <n v="3.4"/>
    <n v="3.4"/>
    <n v="3.4"/>
    <n v="3.4"/>
    <n v="3.4"/>
    <n v="3.4"/>
    <n v="3.4"/>
    <n v="3.4"/>
    <n v="3.4"/>
    <n v="3.4"/>
    <m/>
    <m/>
    <m/>
    <m/>
    <m/>
    <n v="3.4"/>
    <n v="20.399999999999999"/>
  </r>
  <r>
    <n v="6905"/>
    <x v="4"/>
    <m/>
    <s v="Frogmore Depot, Dormay Street"/>
    <m/>
    <n v="525428"/>
    <n v="174978"/>
    <x v="6"/>
    <m/>
    <m/>
    <n v="0"/>
    <n v="22"/>
    <n v="22"/>
    <n v="172"/>
    <n v="172"/>
    <x v="0"/>
    <s v="Redevelopment"/>
    <s v="NONE"/>
    <m/>
    <m/>
    <x v="0"/>
    <s v="Nil"/>
    <m/>
    <s v="BF"/>
    <s v="NB"/>
    <x v="0"/>
    <x v="0"/>
    <n v="0"/>
    <m/>
    <x v="0"/>
    <m/>
    <x v="0"/>
    <s v="IU"/>
    <s v="WT6"/>
    <m/>
    <n v="0"/>
    <n v="0"/>
    <n v="0"/>
    <n v="0"/>
    <n v="0"/>
    <n v="0"/>
    <n v="0"/>
    <n v="0"/>
    <n v="0"/>
    <n v="0"/>
    <n v="22"/>
    <n v="0"/>
    <n v="0"/>
    <n v="0"/>
    <n v="0"/>
    <n v="0"/>
    <n v="0"/>
    <n v="22"/>
    <n v="0"/>
    <n v="0"/>
    <n v="0"/>
    <n v="0"/>
    <n v="0"/>
    <n v="0"/>
    <n v="0"/>
    <n v="0"/>
    <n v="0"/>
    <n v="0"/>
    <n v="0"/>
    <n v="0"/>
    <n v="0"/>
    <n v="0"/>
    <x v="0"/>
    <x v="0"/>
    <x v="0"/>
    <n v="19"/>
    <m/>
    <m/>
    <m/>
    <m/>
    <m/>
    <n v="2.2000000000000002"/>
    <n v="2.2000000000000002"/>
    <n v="2.2000000000000002"/>
    <n v="2.2000000000000002"/>
    <n v="2.2000000000000002"/>
    <n v="2.2000000000000002"/>
    <n v="2.2000000000000002"/>
    <n v="2.2000000000000002"/>
    <n v="2.2000000000000002"/>
    <n v="2.2000000000000002"/>
    <m/>
    <m/>
    <m/>
    <m/>
    <m/>
    <n v="2.2000000000000002"/>
    <n v="13.2"/>
  </r>
  <r>
    <n v="6874"/>
    <x v="4"/>
    <m/>
    <s v="Gartons Industrial Estate, Gartons Way"/>
    <m/>
    <n v="526442"/>
    <n v="175680"/>
    <x v="5"/>
    <m/>
    <m/>
    <n v="0"/>
    <n v="52"/>
    <n v="52"/>
    <n v="77"/>
    <n v="77"/>
    <x v="0"/>
    <s v="Redevelopment"/>
    <s v="NONE"/>
    <m/>
    <m/>
    <x v="0"/>
    <s v="Nil"/>
    <m/>
    <s v="BF"/>
    <s v="NB"/>
    <x v="0"/>
    <x v="0"/>
    <n v="0"/>
    <m/>
    <x v="0"/>
    <m/>
    <x v="2"/>
    <s v="M"/>
    <s v="RIV4"/>
    <m/>
    <n v="0"/>
    <n v="0"/>
    <n v="0"/>
    <n v="0"/>
    <n v="0"/>
    <n v="0"/>
    <n v="0"/>
    <n v="0"/>
    <n v="0"/>
    <n v="0"/>
    <n v="52"/>
    <n v="0"/>
    <n v="0"/>
    <n v="0"/>
    <n v="0"/>
    <n v="0"/>
    <n v="0"/>
    <n v="52"/>
    <n v="0"/>
    <n v="0"/>
    <n v="0"/>
    <n v="0"/>
    <n v="0"/>
    <n v="0"/>
    <n v="0"/>
    <n v="0"/>
    <n v="0"/>
    <n v="0"/>
    <n v="0"/>
    <n v="0"/>
    <n v="0"/>
    <n v="0"/>
    <x v="0"/>
    <x v="0"/>
    <x v="8"/>
    <n v="19"/>
    <m/>
    <m/>
    <m/>
    <m/>
    <m/>
    <n v="3.25"/>
    <n v="3.25"/>
    <n v="3.25"/>
    <n v="3.25"/>
    <n v="3.25"/>
    <n v="3.25"/>
    <n v="3.25"/>
    <n v="3.25"/>
    <n v="3.25"/>
    <n v="3.25"/>
    <n v="3.25"/>
    <n v="3.25"/>
    <n v="3.25"/>
    <n v="3.25"/>
    <n v="3.25"/>
    <n v="3.25"/>
    <n v="19.5"/>
  </r>
  <r>
    <n v="6874"/>
    <x v="4"/>
    <m/>
    <s v="Gartons Industrial Estate, Gartons Way"/>
    <m/>
    <n v="526442"/>
    <n v="175680"/>
    <x v="5"/>
    <m/>
    <m/>
    <n v="0"/>
    <n v="15"/>
    <n v="15"/>
    <n v="77"/>
    <n v="77"/>
    <x v="0"/>
    <s v="Redevelopment"/>
    <s v="NONE"/>
    <m/>
    <m/>
    <x v="0"/>
    <s v="Nil"/>
    <m/>
    <s v="BF"/>
    <s v="NB"/>
    <x v="0"/>
    <x v="0"/>
    <n v="0"/>
    <m/>
    <x v="0"/>
    <m/>
    <x v="1"/>
    <s v="AA"/>
    <s v="RIV4"/>
    <m/>
    <n v="0"/>
    <n v="0"/>
    <n v="0"/>
    <n v="0"/>
    <n v="0"/>
    <n v="0"/>
    <n v="0"/>
    <n v="0"/>
    <n v="0"/>
    <n v="0"/>
    <n v="15"/>
    <n v="0"/>
    <n v="0"/>
    <n v="0"/>
    <n v="0"/>
    <n v="0"/>
    <n v="0"/>
    <n v="15"/>
    <n v="0"/>
    <n v="0"/>
    <n v="0"/>
    <n v="0"/>
    <n v="0"/>
    <n v="0"/>
    <n v="0"/>
    <n v="0"/>
    <n v="0"/>
    <n v="0"/>
    <n v="0"/>
    <n v="0"/>
    <n v="0"/>
    <n v="0"/>
    <x v="0"/>
    <x v="0"/>
    <x v="8"/>
    <n v="19"/>
    <m/>
    <m/>
    <m/>
    <m/>
    <m/>
    <n v="0.9375"/>
    <n v="0.9375"/>
    <n v="0.9375"/>
    <n v="0.9375"/>
    <n v="0.9375"/>
    <n v="0.9375"/>
    <n v="0.9375"/>
    <n v="0.9375"/>
    <n v="0.9375"/>
    <n v="0.9375"/>
    <n v="0.9375"/>
    <n v="0.9375"/>
    <n v="0.9375"/>
    <n v="0.9375"/>
    <n v="0.9375"/>
    <n v="0.9375"/>
    <n v="5.625"/>
  </r>
  <r>
    <n v="6874"/>
    <x v="4"/>
    <m/>
    <s v="Gartons Industrial Estate, Gartons Way"/>
    <m/>
    <n v="526442"/>
    <n v="175680"/>
    <x v="5"/>
    <m/>
    <m/>
    <n v="0"/>
    <n v="10"/>
    <n v="10"/>
    <n v="77"/>
    <n v="77"/>
    <x v="0"/>
    <s v="Redevelopment"/>
    <s v="NONE"/>
    <m/>
    <m/>
    <x v="0"/>
    <s v="Nil"/>
    <m/>
    <s v="BF"/>
    <s v="NB"/>
    <x v="0"/>
    <x v="0"/>
    <n v="0"/>
    <m/>
    <x v="0"/>
    <m/>
    <x v="0"/>
    <s v="IU"/>
    <s v="RIV4"/>
    <m/>
    <n v="0"/>
    <n v="0"/>
    <n v="0"/>
    <n v="0"/>
    <n v="0"/>
    <n v="0"/>
    <n v="0"/>
    <n v="0"/>
    <n v="0"/>
    <n v="0"/>
    <n v="10"/>
    <n v="0"/>
    <n v="0"/>
    <n v="0"/>
    <n v="0"/>
    <n v="0"/>
    <n v="0"/>
    <n v="10"/>
    <n v="0"/>
    <n v="0"/>
    <n v="0"/>
    <n v="0"/>
    <n v="0"/>
    <n v="0"/>
    <n v="0"/>
    <n v="0"/>
    <n v="0"/>
    <n v="0"/>
    <n v="0"/>
    <n v="0"/>
    <n v="0"/>
    <n v="0"/>
    <x v="0"/>
    <x v="0"/>
    <x v="8"/>
    <n v="19"/>
    <m/>
    <m/>
    <m/>
    <m/>
    <m/>
    <n v="0.625"/>
    <n v="0.625"/>
    <n v="0.625"/>
    <n v="0.625"/>
    <n v="0.625"/>
    <n v="0.625"/>
    <n v="0.625"/>
    <n v="0.625"/>
    <n v="0.625"/>
    <n v="0.625"/>
    <n v="0.625"/>
    <n v="0.625"/>
    <n v="0.625"/>
    <n v="0.625"/>
    <n v="0.625"/>
    <n v="0.625"/>
    <n v="3.75"/>
  </r>
  <r>
    <n v="6892"/>
    <x v="4"/>
    <m/>
    <s v="Hunts Trucks and adjoining gasholder, Armoury Way"/>
    <m/>
    <n v="525690"/>
    <n v="174971"/>
    <x v="6"/>
    <m/>
    <m/>
    <n v="0"/>
    <n v="310"/>
    <n v="310"/>
    <n v="462"/>
    <n v="462"/>
    <x v="0"/>
    <s v="Redevelopment"/>
    <s v="NONE"/>
    <m/>
    <m/>
    <x v="0"/>
    <s v="Nil"/>
    <m/>
    <s v="BF"/>
    <s v="NB"/>
    <x v="0"/>
    <x v="0"/>
    <n v="0"/>
    <m/>
    <x v="0"/>
    <m/>
    <x v="2"/>
    <s v="M"/>
    <s v="WT4"/>
    <m/>
    <n v="0"/>
    <n v="0"/>
    <n v="0"/>
    <n v="0"/>
    <n v="0"/>
    <n v="0"/>
    <n v="0"/>
    <n v="0"/>
    <n v="0"/>
    <n v="0"/>
    <n v="310"/>
    <n v="0"/>
    <n v="0"/>
    <n v="0"/>
    <n v="0"/>
    <n v="0"/>
    <n v="0"/>
    <n v="310"/>
    <n v="0"/>
    <n v="0"/>
    <n v="0"/>
    <n v="0"/>
    <n v="0"/>
    <n v="0"/>
    <n v="0"/>
    <n v="0"/>
    <n v="0"/>
    <n v="0"/>
    <n v="0"/>
    <n v="0"/>
    <n v="0"/>
    <n v="0"/>
    <x v="0"/>
    <x v="0"/>
    <x v="0"/>
    <n v="19"/>
    <m/>
    <m/>
    <m/>
    <n v="31"/>
    <n v="31"/>
    <n v="31"/>
    <n v="31"/>
    <n v="31"/>
    <n v="31"/>
    <n v="31"/>
    <n v="31"/>
    <n v="31"/>
    <n v="31"/>
    <m/>
    <m/>
    <m/>
    <m/>
    <m/>
    <m/>
    <m/>
    <n v="93"/>
    <n v="248"/>
  </r>
  <r>
    <n v="6892"/>
    <x v="4"/>
    <m/>
    <s v="Hunts Trucks and adjoining gasholder, Armoury Way"/>
    <m/>
    <n v="525690"/>
    <n v="174971"/>
    <x v="6"/>
    <m/>
    <m/>
    <n v="0"/>
    <n v="92"/>
    <n v="92"/>
    <n v="462"/>
    <n v="462"/>
    <x v="0"/>
    <s v="Redevelopment"/>
    <s v="NONE"/>
    <m/>
    <m/>
    <x v="0"/>
    <s v="Nil"/>
    <m/>
    <s v="BF"/>
    <s v="NB"/>
    <x v="0"/>
    <x v="0"/>
    <n v="0"/>
    <m/>
    <x v="0"/>
    <m/>
    <x v="1"/>
    <s v="AA"/>
    <s v="WT4"/>
    <m/>
    <n v="0"/>
    <n v="0"/>
    <n v="0"/>
    <n v="0"/>
    <n v="0"/>
    <n v="0"/>
    <n v="0"/>
    <n v="0"/>
    <n v="0"/>
    <n v="0"/>
    <n v="92"/>
    <n v="0"/>
    <n v="0"/>
    <n v="0"/>
    <n v="0"/>
    <n v="0"/>
    <n v="0"/>
    <n v="92"/>
    <n v="0"/>
    <n v="0"/>
    <n v="0"/>
    <n v="0"/>
    <n v="0"/>
    <n v="0"/>
    <n v="0"/>
    <n v="0"/>
    <n v="0"/>
    <n v="0"/>
    <n v="0"/>
    <n v="0"/>
    <n v="0"/>
    <n v="0"/>
    <x v="0"/>
    <x v="0"/>
    <x v="0"/>
    <n v="19"/>
    <m/>
    <m/>
    <m/>
    <n v="9.1999999999999993"/>
    <n v="9.1999999999999993"/>
    <n v="9.1999999999999993"/>
    <n v="9.1999999999999993"/>
    <n v="9.1999999999999993"/>
    <n v="9.1999999999999993"/>
    <n v="9.1999999999999993"/>
    <n v="9.1999999999999993"/>
    <n v="9.1999999999999993"/>
    <n v="9.1999999999999993"/>
    <m/>
    <m/>
    <m/>
    <m/>
    <m/>
    <m/>
    <m/>
    <n v="27.599999999999998"/>
    <n v="73.600000000000009"/>
  </r>
  <r>
    <n v="6892"/>
    <x v="4"/>
    <m/>
    <s v="Hunts Trucks and adjoining gasholder, Armoury Way"/>
    <m/>
    <n v="525690"/>
    <n v="174971"/>
    <x v="6"/>
    <m/>
    <m/>
    <n v="0"/>
    <n v="60"/>
    <n v="60"/>
    <n v="462"/>
    <n v="462"/>
    <x v="0"/>
    <s v="Redevelopment"/>
    <s v="NONE"/>
    <m/>
    <m/>
    <x v="0"/>
    <s v="Nil"/>
    <m/>
    <s v="BF"/>
    <s v="NB"/>
    <x v="0"/>
    <x v="0"/>
    <n v="0"/>
    <m/>
    <x v="0"/>
    <m/>
    <x v="0"/>
    <s v="IU"/>
    <s v="WT4"/>
    <m/>
    <n v="0"/>
    <n v="0"/>
    <n v="0"/>
    <n v="0"/>
    <n v="0"/>
    <n v="0"/>
    <n v="0"/>
    <n v="0"/>
    <n v="0"/>
    <n v="0"/>
    <n v="60"/>
    <n v="0"/>
    <n v="0"/>
    <n v="0"/>
    <n v="0"/>
    <n v="0"/>
    <n v="0"/>
    <n v="60"/>
    <n v="0"/>
    <n v="0"/>
    <n v="0"/>
    <n v="0"/>
    <n v="0"/>
    <n v="0"/>
    <n v="0"/>
    <n v="0"/>
    <n v="0"/>
    <n v="0"/>
    <n v="0"/>
    <n v="0"/>
    <n v="0"/>
    <n v="0"/>
    <x v="0"/>
    <x v="0"/>
    <x v="0"/>
    <n v="19"/>
    <m/>
    <m/>
    <m/>
    <n v="6"/>
    <n v="6"/>
    <n v="6"/>
    <n v="6"/>
    <n v="6"/>
    <n v="6"/>
    <n v="6"/>
    <n v="6"/>
    <n v="6"/>
    <n v="6"/>
    <m/>
    <m/>
    <m/>
    <m/>
    <m/>
    <m/>
    <m/>
    <n v="18"/>
    <n v="48"/>
  </r>
  <r>
    <n v="6901"/>
    <x v="4"/>
    <m/>
    <s v="Jubilee House and cinema, 230-232 Putney Bridge Road"/>
    <m/>
    <n v="524170"/>
    <n v="175517"/>
    <x v="0"/>
    <m/>
    <m/>
    <n v="0"/>
    <n v="5"/>
    <n v="5"/>
    <n v="5"/>
    <n v="5"/>
    <x v="1"/>
    <s v="Redevelopment"/>
    <s v="NONE"/>
    <m/>
    <m/>
    <x v="0"/>
    <s v="Nil"/>
    <m/>
    <s v="BF"/>
    <s v="NB"/>
    <x v="2"/>
    <x v="1"/>
    <n v="0"/>
    <m/>
    <x v="0"/>
    <m/>
    <x v="2"/>
    <s v="M"/>
    <s v="PUT2"/>
    <m/>
    <n v="0"/>
    <n v="0"/>
    <n v="0"/>
    <n v="0"/>
    <n v="0"/>
    <n v="0"/>
    <n v="0"/>
    <n v="0"/>
    <n v="0"/>
    <n v="0"/>
    <n v="5"/>
    <n v="0"/>
    <n v="0"/>
    <n v="0"/>
    <n v="0"/>
    <n v="0"/>
    <n v="0"/>
    <n v="5"/>
    <n v="0"/>
    <n v="0"/>
    <n v="0"/>
    <n v="0"/>
    <n v="0"/>
    <n v="0"/>
    <n v="0"/>
    <n v="0"/>
    <n v="0"/>
    <n v="0"/>
    <n v="0"/>
    <n v="0"/>
    <n v="0"/>
    <n v="0"/>
    <x v="4"/>
    <x v="0"/>
    <x v="4"/>
    <n v="19"/>
    <m/>
    <m/>
    <m/>
    <m/>
    <m/>
    <m/>
    <m/>
    <m/>
    <m/>
    <n v="0.41666666666666669"/>
    <n v="0.41666666666666669"/>
    <n v="0.41666666666666669"/>
    <n v="0.41666666666666669"/>
    <n v="0.41666666666666669"/>
    <n v="0.41666666666666669"/>
    <n v="0.41666666666666669"/>
    <n v="0.41666666666666669"/>
    <n v="0.41666666666666669"/>
    <n v="0.41666666666666669"/>
    <n v="0.41666666666666669"/>
    <n v="0"/>
    <n v="0.83333333333333337"/>
  </r>
  <r>
    <n v="6893"/>
    <x v="4"/>
    <m/>
    <s v="Keltbray Site Wentworth House and adjacent land at, Dormay Street"/>
    <m/>
    <n v="525561"/>
    <n v="174936"/>
    <x v="6"/>
    <m/>
    <m/>
    <n v="0"/>
    <n v="21"/>
    <n v="21"/>
    <n v="31"/>
    <n v="31"/>
    <x v="0"/>
    <s v="Redevelopment"/>
    <s v="NONE"/>
    <m/>
    <m/>
    <x v="0"/>
    <s v="Nil"/>
    <m/>
    <s v="BF"/>
    <s v="NB"/>
    <x v="0"/>
    <x v="0"/>
    <n v="0"/>
    <m/>
    <x v="0"/>
    <m/>
    <x v="2"/>
    <s v="M"/>
    <s v="WT5"/>
    <m/>
    <n v="0"/>
    <n v="0"/>
    <n v="0"/>
    <n v="0"/>
    <n v="0"/>
    <n v="0"/>
    <n v="0"/>
    <n v="0"/>
    <n v="0"/>
    <n v="0"/>
    <n v="21"/>
    <n v="0"/>
    <n v="0"/>
    <n v="0"/>
    <n v="0"/>
    <n v="0"/>
    <n v="0"/>
    <n v="21"/>
    <n v="0"/>
    <n v="0"/>
    <n v="0"/>
    <n v="0"/>
    <n v="0"/>
    <n v="0"/>
    <n v="0"/>
    <n v="0"/>
    <n v="0"/>
    <n v="0"/>
    <n v="0"/>
    <n v="0"/>
    <n v="0"/>
    <n v="0"/>
    <x v="0"/>
    <x v="0"/>
    <x v="0"/>
    <n v="19"/>
    <m/>
    <m/>
    <m/>
    <m/>
    <m/>
    <n v="1.3125"/>
    <n v="1.3125"/>
    <n v="1.3125"/>
    <n v="1.3125"/>
    <n v="1.3125"/>
    <n v="1.3125"/>
    <n v="1.3125"/>
    <n v="1.3125"/>
    <n v="1.3125"/>
    <n v="1.3125"/>
    <n v="1.3125"/>
    <n v="1.3125"/>
    <n v="1.3125"/>
    <n v="1.3125"/>
    <n v="1.3125"/>
    <n v="1.3125"/>
    <n v="7.875"/>
  </r>
  <r>
    <n v="6893"/>
    <x v="4"/>
    <m/>
    <s v="Keltbray Site Wentworth House and adjacent land at, Dormay Street"/>
    <m/>
    <n v="525561"/>
    <n v="174936"/>
    <x v="6"/>
    <m/>
    <m/>
    <n v="0"/>
    <n v="6"/>
    <n v="6"/>
    <n v="31"/>
    <n v="31"/>
    <x v="0"/>
    <s v="Redevelopment"/>
    <s v="NONE"/>
    <m/>
    <m/>
    <x v="0"/>
    <s v="Nil"/>
    <m/>
    <s v="BF"/>
    <s v="NB"/>
    <x v="0"/>
    <x v="0"/>
    <n v="0"/>
    <m/>
    <x v="0"/>
    <m/>
    <x v="1"/>
    <s v="AA"/>
    <s v="WT5"/>
    <m/>
    <n v="0"/>
    <n v="0"/>
    <n v="0"/>
    <n v="0"/>
    <n v="0"/>
    <n v="0"/>
    <n v="0"/>
    <n v="0"/>
    <n v="0"/>
    <n v="0"/>
    <n v="6"/>
    <n v="0"/>
    <n v="0"/>
    <n v="0"/>
    <n v="0"/>
    <n v="0"/>
    <n v="0"/>
    <n v="6"/>
    <n v="0"/>
    <n v="0"/>
    <n v="0"/>
    <n v="0"/>
    <n v="0"/>
    <n v="0"/>
    <n v="0"/>
    <n v="0"/>
    <n v="0"/>
    <n v="0"/>
    <n v="0"/>
    <n v="0"/>
    <n v="0"/>
    <n v="0"/>
    <x v="0"/>
    <x v="0"/>
    <x v="0"/>
    <n v="19"/>
    <m/>
    <m/>
    <m/>
    <m/>
    <m/>
    <n v="0.375"/>
    <n v="0.375"/>
    <n v="0.375"/>
    <n v="0.375"/>
    <n v="0.375"/>
    <n v="0.375"/>
    <n v="0.375"/>
    <n v="0.375"/>
    <n v="0.375"/>
    <n v="0.375"/>
    <n v="0.375"/>
    <n v="0.375"/>
    <n v="0.375"/>
    <n v="0.375"/>
    <n v="0.375"/>
    <n v="0.375"/>
    <n v="2.25"/>
  </r>
  <r>
    <n v="6893"/>
    <x v="4"/>
    <m/>
    <s v="Keltbray Site Wentworth House and adjacent land at, Dormay Street"/>
    <m/>
    <n v="525561"/>
    <n v="174936"/>
    <x v="6"/>
    <m/>
    <m/>
    <n v="0"/>
    <n v="4"/>
    <n v="4"/>
    <n v="31"/>
    <n v="31"/>
    <x v="0"/>
    <s v="Redevelopment"/>
    <s v="NONE"/>
    <m/>
    <m/>
    <x v="0"/>
    <s v="Nil"/>
    <m/>
    <s v="BF"/>
    <s v="NB"/>
    <x v="0"/>
    <x v="0"/>
    <n v="0"/>
    <m/>
    <x v="0"/>
    <m/>
    <x v="0"/>
    <s v="IU"/>
    <s v="WT5"/>
    <m/>
    <n v="0"/>
    <n v="0"/>
    <n v="0"/>
    <n v="0"/>
    <n v="0"/>
    <n v="0"/>
    <n v="0"/>
    <n v="0"/>
    <n v="0"/>
    <n v="0"/>
    <n v="4"/>
    <n v="0"/>
    <n v="0"/>
    <n v="0"/>
    <n v="0"/>
    <n v="0"/>
    <n v="0"/>
    <n v="4"/>
    <n v="0"/>
    <n v="0"/>
    <n v="0"/>
    <n v="0"/>
    <n v="0"/>
    <n v="0"/>
    <n v="0"/>
    <n v="0"/>
    <n v="0"/>
    <n v="0"/>
    <n v="0"/>
    <n v="0"/>
    <n v="0"/>
    <n v="0"/>
    <x v="0"/>
    <x v="0"/>
    <x v="0"/>
    <n v="19"/>
    <m/>
    <m/>
    <m/>
    <m/>
    <m/>
    <n v="0.25"/>
    <n v="0.25"/>
    <n v="0.25"/>
    <n v="0.25"/>
    <n v="0.25"/>
    <n v="0.25"/>
    <n v="0.25"/>
    <n v="0.25"/>
    <n v="0.25"/>
    <n v="0.25"/>
    <n v="0.25"/>
    <n v="0.25"/>
    <n v="0.25"/>
    <n v="0.25"/>
    <n v="0.25"/>
    <n v="0.25"/>
    <n v="1.5"/>
  </r>
  <r>
    <n v="7542"/>
    <x v="4"/>
    <m/>
    <s v="Land adjacent to 102 Roehampton Vale, SW15 3RX"/>
    <m/>
    <n v="521741"/>
    <n v="172550"/>
    <x v="16"/>
    <m/>
    <m/>
    <n v="0"/>
    <n v="2"/>
    <n v="2"/>
    <n v="2"/>
    <n v="2"/>
    <x v="1"/>
    <s v="Redevelopment"/>
    <s v="NONE"/>
    <m/>
    <m/>
    <x v="0"/>
    <s v="Nil"/>
    <m/>
    <s v="BF"/>
    <s v="NB"/>
    <x v="2"/>
    <x v="1"/>
    <n v="0"/>
    <m/>
    <x v="0"/>
    <m/>
    <x v="2"/>
    <s v="M"/>
    <m/>
    <m/>
    <n v="0"/>
    <n v="0"/>
    <n v="0"/>
    <n v="0"/>
    <n v="0"/>
    <n v="0"/>
    <n v="0"/>
    <n v="0"/>
    <n v="0"/>
    <n v="0"/>
    <n v="2"/>
    <n v="0"/>
    <n v="0"/>
    <n v="0"/>
    <n v="0"/>
    <n v="0"/>
    <n v="0"/>
    <n v="2"/>
    <n v="0"/>
    <n v="0"/>
    <n v="0"/>
    <n v="0"/>
    <n v="0"/>
    <n v="0"/>
    <n v="0"/>
    <n v="0"/>
    <n v="0"/>
    <n v="0"/>
    <n v="0"/>
    <n v="0"/>
    <n v="0"/>
    <n v="0"/>
    <x v="0"/>
    <x v="0"/>
    <x v="1"/>
    <n v="19"/>
    <m/>
    <m/>
    <m/>
    <m/>
    <m/>
    <n v="2"/>
    <m/>
    <m/>
    <m/>
    <m/>
    <m/>
    <m/>
    <m/>
    <m/>
    <m/>
    <m/>
    <m/>
    <m/>
    <m/>
    <m/>
    <n v="2"/>
    <n v="2"/>
  </r>
  <r>
    <n v="4484"/>
    <x v="4"/>
    <m/>
    <s v="Land at Clapham Junction station, SW11"/>
    <m/>
    <n v="526998.49629999895"/>
    <n v="175370.1955"/>
    <x v="21"/>
    <m/>
    <m/>
    <n v="0"/>
    <n v="56"/>
    <n v="56"/>
    <n v="83"/>
    <n v="83"/>
    <x v="0"/>
    <s v="Redevelopment"/>
    <s v="NONE"/>
    <m/>
    <m/>
    <x v="0"/>
    <s v="Nil"/>
    <m/>
    <s v="BF"/>
    <s v="NB"/>
    <x v="0"/>
    <x v="0"/>
    <n v="0"/>
    <m/>
    <x v="0"/>
    <m/>
    <x v="2"/>
    <s v="M"/>
    <s v="CJ4"/>
    <m/>
    <n v="0"/>
    <n v="0"/>
    <n v="0"/>
    <n v="0"/>
    <n v="0"/>
    <n v="0"/>
    <n v="0"/>
    <n v="0"/>
    <n v="0"/>
    <n v="0"/>
    <n v="56"/>
    <n v="0"/>
    <n v="0"/>
    <n v="0"/>
    <n v="0"/>
    <n v="0"/>
    <n v="0"/>
    <n v="56"/>
    <n v="0"/>
    <n v="0"/>
    <n v="0"/>
    <n v="0"/>
    <n v="0"/>
    <n v="0"/>
    <n v="0"/>
    <n v="0"/>
    <n v="0"/>
    <n v="0"/>
    <n v="0"/>
    <n v="0"/>
    <n v="0"/>
    <n v="0"/>
    <x v="0"/>
    <x v="0"/>
    <x v="5"/>
    <n v="19"/>
    <m/>
    <m/>
    <m/>
    <m/>
    <m/>
    <m/>
    <m/>
    <m/>
    <m/>
    <m/>
    <m/>
    <m/>
    <m/>
    <m/>
    <n v="8"/>
    <n v="8"/>
    <n v="8"/>
    <n v="8"/>
    <n v="8"/>
    <n v="8"/>
    <n v="0"/>
    <n v="0"/>
  </r>
  <r>
    <n v="4484"/>
    <x v="4"/>
    <m/>
    <s v="Land at Clapham Junction station, SW11"/>
    <m/>
    <n v="526998.49629999895"/>
    <n v="175370.1955"/>
    <x v="21"/>
    <m/>
    <m/>
    <n v="0"/>
    <n v="17"/>
    <n v="17"/>
    <n v="83"/>
    <n v="83"/>
    <x v="0"/>
    <s v="Redevelopment"/>
    <s v="NONE"/>
    <m/>
    <m/>
    <x v="0"/>
    <s v="Nil"/>
    <m/>
    <s v="BF"/>
    <s v="NB"/>
    <x v="0"/>
    <x v="0"/>
    <n v="0"/>
    <m/>
    <x v="0"/>
    <m/>
    <x v="1"/>
    <s v="AA"/>
    <s v="CJ4"/>
    <m/>
    <n v="0"/>
    <n v="0"/>
    <n v="0"/>
    <n v="0"/>
    <n v="0"/>
    <n v="0"/>
    <n v="0"/>
    <n v="0"/>
    <n v="0"/>
    <n v="0"/>
    <n v="17"/>
    <n v="0"/>
    <n v="0"/>
    <n v="0"/>
    <n v="0"/>
    <n v="0"/>
    <n v="0"/>
    <n v="17"/>
    <n v="0"/>
    <n v="0"/>
    <n v="0"/>
    <n v="0"/>
    <n v="0"/>
    <n v="0"/>
    <n v="0"/>
    <n v="0"/>
    <n v="0"/>
    <n v="0"/>
    <n v="0"/>
    <n v="0"/>
    <n v="0"/>
    <n v="0"/>
    <x v="0"/>
    <x v="0"/>
    <x v="5"/>
    <n v="19"/>
    <m/>
    <m/>
    <m/>
    <m/>
    <m/>
    <m/>
    <m/>
    <m/>
    <m/>
    <m/>
    <m/>
    <m/>
    <m/>
    <m/>
    <n v="2.4285714285714284"/>
    <n v="2.4285714285714284"/>
    <n v="2.4285714285714284"/>
    <n v="2.4285714285714284"/>
    <n v="2.4285714285714284"/>
    <n v="2.4285714285714284"/>
    <n v="0"/>
    <n v="0"/>
  </r>
  <r>
    <n v="4484"/>
    <x v="4"/>
    <m/>
    <s v="Land at Clapham Junction station, SW11"/>
    <m/>
    <n v="526998.49629999895"/>
    <n v="175370.1955"/>
    <x v="21"/>
    <m/>
    <m/>
    <n v="0"/>
    <n v="10"/>
    <n v="10"/>
    <n v="83"/>
    <n v="83"/>
    <x v="0"/>
    <s v="Redevelopment"/>
    <s v="NONE"/>
    <m/>
    <m/>
    <x v="0"/>
    <s v="Nil"/>
    <m/>
    <s v="BF"/>
    <s v="NB"/>
    <x v="0"/>
    <x v="0"/>
    <n v="0"/>
    <m/>
    <x v="0"/>
    <m/>
    <x v="0"/>
    <s v="IU"/>
    <s v="CJ4"/>
    <m/>
    <n v="0"/>
    <n v="0"/>
    <n v="0"/>
    <n v="0"/>
    <n v="0"/>
    <n v="0"/>
    <n v="0"/>
    <n v="0"/>
    <n v="0"/>
    <n v="0"/>
    <n v="10"/>
    <n v="0"/>
    <n v="0"/>
    <n v="0"/>
    <n v="0"/>
    <n v="0"/>
    <n v="0"/>
    <n v="10"/>
    <n v="0"/>
    <n v="0"/>
    <n v="0"/>
    <n v="0"/>
    <n v="0"/>
    <n v="0"/>
    <n v="0"/>
    <n v="0"/>
    <n v="0"/>
    <n v="0"/>
    <n v="0"/>
    <n v="0"/>
    <n v="0"/>
    <n v="0"/>
    <x v="0"/>
    <x v="0"/>
    <x v="5"/>
    <n v="19"/>
    <m/>
    <m/>
    <m/>
    <m/>
    <m/>
    <m/>
    <m/>
    <m/>
    <m/>
    <m/>
    <m/>
    <m/>
    <m/>
    <m/>
    <n v="1.4285714285714286"/>
    <n v="1.4285714285714286"/>
    <n v="1.4285714285714286"/>
    <n v="1.4285714285714286"/>
    <n v="1.4285714285714286"/>
    <n v="1.4285714285714286"/>
    <n v="0"/>
    <n v="0"/>
  </r>
  <r>
    <n v="6896"/>
    <x v="4"/>
    <m/>
    <s v="Land at the Causeway, The Causeway"/>
    <m/>
    <n v="525597"/>
    <n v="175113"/>
    <x v="5"/>
    <m/>
    <m/>
    <n v="0"/>
    <n v="24"/>
    <n v="24"/>
    <n v="36"/>
    <n v="36"/>
    <x v="0"/>
    <s v="Redevelopment"/>
    <s v="NONE"/>
    <m/>
    <m/>
    <x v="0"/>
    <s v="Nil"/>
    <m/>
    <s v="BF"/>
    <s v="NB"/>
    <x v="0"/>
    <x v="0"/>
    <n v="0"/>
    <m/>
    <x v="0"/>
    <m/>
    <x v="2"/>
    <s v="M"/>
    <s v="WT10"/>
    <m/>
    <n v="0"/>
    <n v="0"/>
    <n v="0"/>
    <n v="0"/>
    <n v="0"/>
    <n v="0"/>
    <n v="0"/>
    <n v="0"/>
    <n v="0"/>
    <n v="0"/>
    <n v="24"/>
    <n v="0"/>
    <n v="0"/>
    <n v="0"/>
    <n v="0"/>
    <n v="0"/>
    <n v="0"/>
    <n v="24"/>
    <n v="0"/>
    <n v="0"/>
    <n v="0"/>
    <n v="0"/>
    <n v="0"/>
    <n v="0"/>
    <n v="0"/>
    <n v="0"/>
    <n v="0"/>
    <n v="0"/>
    <n v="0"/>
    <n v="0"/>
    <n v="0"/>
    <n v="0"/>
    <x v="0"/>
    <x v="0"/>
    <x v="0"/>
    <n v="19"/>
    <m/>
    <m/>
    <m/>
    <m/>
    <m/>
    <m/>
    <m/>
    <m/>
    <m/>
    <m/>
    <m/>
    <m/>
    <m/>
    <m/>
    <n v="3.4285714285714284"/>
    <n v="3.4285714285714284"/>
    <n v="3.4285714285714284"/>
    <n v="3.4285714285714284"/>
    <n v="3.4285714285714284"/>
    <n v="3.4285714285714284"/>
    <n v="0"/>
    <n v="0"/>
  </r>
  <r>
    <n v="6896"/>
    <x v="4"/>
    <m/>
    <s v="Land at the Causeway, The Causeway"/>
    <m/>
    <n v="525597"/>
    <n v="175113"/>
    <x v="5"/>
    <m/>
    <m/>
    <n v="0"/>
    <n v="7"/>
    <n v="7"/>
    <n v="36"/>
    <n v="36"/>
    <x v="0"/>
    <s v="Redevelopment"/>
    <s v="NONE"/>
    <m/>
    <m/>
    <x v="0"/>
    <s v="Nil"/>
    <m/>
    <s v="BF"/>
    <s v="NB"/>
    <x v="0"/>
    <x v="0"/>
    <n v="0"/>
    <m/>
    <x v="0"/>
    <m/>
    <x v="1"/>
    <s v="AA"/>
    <s v="WT10"/>
    <m/>
    <n v="0"/>
    <n v="0"/>
    <n v="0"/>
    <n v="0"/>
    <n v="0"/>
    <n v="0"/>
    <n v="0"/>
    <n v="0"/>
    <n v="0"/>
    <n v="0"/>
    <n v="7"/>
    <n v="0"/>
    <n v="0"/>
    <n v="0"/>
    <n v="0"/>
    <n v="0"/>
    <n v="0"/>
    <n v="7"/>
    <n v="0"/>
    <n v="0"/>
    <n v="0"/>
    <n v="0"/>
    <n v="0"/>
    <n v="0"/>
    <n v="0"/>
    <n v="0"/>
    <n v="0"/>
    <n v="0"/>
    <n v="0"/>
    <n v="0"/>
    <n v="0"/>
    <n v="0"/>
    <x v="0"/>
    <x v="0"/>
    <x v="0"/>
    <n v="19"/>
    <m/>
    <m/>
    <m/>
    <m/>
    <m/>
    <m/>
    <m/>
    <m/>
    <m/>
    <m/>
    <m/>
    <m/>
    <m/>
    <m/>
    <n v="1"/>
    <n v="1"/>
    <n v="1"/>
    <n v="1"/>
    <n v="1"/>
    <n v="1"/>
    <n v="0"/>
    <n v="0"/>
  </r>
  <r>
    <n v="6896"/>
    <x v="4"/>
    <m/>
    <s v="Land at the Causeway, The Causeway"/>
    <m/>
    <n v="525597"/>
    <n v="175113"/>
    <x v="5"/>
    <m/>
    <m/>
    <n v="0"/>
    <n v="5"/>
    <n v="5"/>
    <n v="36"/>
    <n v="36"/>
    <x v="0"/>
    <s v="Redevelopment"/>
    <s v="NONE"/>
    <m/>
    <m/>
    <x v="0"/>
    <s v="Nil"/>
    <m/>
    <s v="BF"/>
    <s v="NB"/>
    <x v="0"/>
    <x v="0"/>
    <n v="0"/>
    <m/>
    <x v="0"/>
    <m/>
    <x v="0"/>
    <s v="IU"/>
    <s v="WT10"/>
    <m/>
    <n v="0"/>
    <n v="0"/>
    <n v="0"/>
    <n v="0"/>
    <n v="0"/>
    <n v="0"/>
    <n v="0"/>
    <n v="0"/>
    <n v="0"/>
    <n v="0"/>
    <n v="5"/>
    <n v="0"/>
    <n v="0"/>
    <n v="0"/>
    <n v="0"/>
    <n v="0"/>
    <n v="0"/>
    <n v="5"/>
    <n v="0"/>
    <n v="0"/>
    <n v="0"/>
    <n v="0"/>
    <n v="0"/>
    <n v="0"/>
    <n v="0"/>
    <n v="0"/>
    <n v="0"/>
    <n v="0"/>
    <n v="0"/>
    <n v="0"/>
    <n v="0"/>
    <n v="0"/>
    <x v="0"/>
    <x v="0"/>
    <x v="0"/>
    <n v="19"/>
    <m/>
    <m/>
    <m/>
    <m/>
    <m/>
    <m/>
    <m/>
    <m/>
    <m/>
    <m/>
    <m/>
    <m/>
    <m/>
    <m/>
    <n v="0.7142857142857143"/>
    <n v="0.7142857142857143"/>
    <n v="0.7142857142857143"/>
    <n v="0.7142857142857143"/>
    <n v="0.7142857142857143"/>
    <n v="0.7142857142857143"/>
    <n v="0"/>
    <n v="0"/>
  </r>
  <r>
    <n v="7540"/>
    <x v="4"/>
    <m/>
    <s v="Land South of Fawe Park Road, London, SW15 2EG"/>
    <m/>
    <n v="524772"/>
    <n v="175005"/>
    <x v="0"/>
    <m/>
    <m/>
    <n v="0"/>
    <n v="9"/>
    <n v="9"/>
    <n v="9"/>
    <n v="9"/>
    <x v="1"/>
    <s v="Redevelopment"/>
    <s v="NONE"/>
    <m/>
    <m/>
    <x v="0"/>
    <s v="Nil"/>
    <m/>
    <s v="BF"/>
    <s v="NB"/>
    <x v="2"/>
    <x v="1"/>
    <n v="0"/>
    <m/>
    <x v="0"/>
    <m/>
    <x v="2"/>
    <s v="M"/>
    <m/>
    <m/>
    <n v="0"/>
    <n v="0"/>
    <n v="0"/>
    <n v="0"/>
    <n v="0"/>
    <n v="0"/>
    <n v="0"/>
    <n v="0"/>
    <n v="0"/>
    <n v="0"/>
    <n v="9"/>
    <n v="0"/>
    <n v="0"/>
    <n v="0"/>
    <n v="0"/>
    <n v="0"/>
    <n v="0"/>
    <n v="9"/>
    <n v="0"/>
    <n v="0"/>
    <n v="0"/>
    <n v="0"/>
    <n v="0"/>
    <n v="0"/>
    <n v="0"/>
    <n v="0"/>
    <n v="0"/>
    <n v="0"/>
    <n v="0"/>
    <n v="0"/>
    <n v="0"/>
    <n v="0"/>
    <x v="0"/>
    <x v="0"/>
    <x v="1"/>
    <n v="19"/>
    <m/>
    <m/>
    <m/>
    <m/>
    <m/>
    <n v="9"/>
    <m/>
    <m/>
    <m/>
    <m/>
    <m/>
    <m/>
    <m/>
    <m/>
    <m/>
    <m/>
    <m/>
    <m/>
    <m/>
    <m/>
    <n v="9"/>
    <n v="9"/>
  </r>
  <r>
    <n v="6864"/>
    <x v="4"/>
    <m/>
    <s v="Market Area, Tooting High Street"/>
    <m/>
    <n v="527562"/>
    <n v="171554"/>
    <x v="3"/>
    <m/>
    <m/>
    <n v="0"/>
    <n v="36"/>
    <n v="36"/>
    <n v="54"/>
    <n v="54"/>
    <x v="0"/>
    <s v="Redevelopment"/>
    <s v="NONE"/>
    <m/>
    <m/>
    <x v="0"/>
    <s v="Nil"/>
    <m/>
    <s v="BF"/>
    <s v="NB"/>
    <x v="0"/>
    <x v="0"/>
    <n v="0"/>
    <m/>
    <x v="0"/>
    <m/>
    <x v="2"/>
    <s v="M"/>
    <s v="TO1"/>
    <m/>
    <n v="0"/>
    <n v="0"/>
    <n v="0"/>
    <n v="0"/>
    <n v="0"/>
    <n v="0"/>
    <n v="0"/>
    <n v="0"/>
    <n v="0"/>
    <n v="0"/>
    <n v="36"/>
    <n v="0"/>
    <n v="0"/>
    <n v="0"/>
    <n v="0"/>
    <n v="0"/>
    <n v="0"/>
    <n v="36"/>
    <n v="0"/>
    <n v="0"/>
    <n v="0"/>
    <n v="0"/>
    <n v="0"/>
    <n v="0"/>
    <n v="0"/>
    <n v="0"/>
    <n v="0"/>
    <n v="0"/>
    <n v="0"/>
    <n v="0"/>
    <n v="0"/>
    <n v="0"/>
    <x v="2"/>
    <x v="0"/>
    <x v="3"/>
    <n v="19"/>
    <m/>
    <m/>
    <m/>
    <m/>
    <m/>
    <m/>
    <m/>
    <m/>
    <m/>
    <n v="3"/>
    <n v="3"/>
    <n v="3"/>
    <n v="3"/>
    <n v="3"/>
    <n v="3"/>
    <n v="3"/>
    <n v="3"/>
    <n v="3"/>
    <n v="3"/>
    <n v="3"/>
    <n v="0"/>
    <n v="6"/>
  </r>
  <r>
    <n v="6864"/>
    <x v="4"/>
    <m/>
    <s v="Market Area, Tooting High Street"/>
    <m/>
    <n v="527562"/>
    <n v="171554"/>
    <x v="3"/>
    <m/>
    <m/>
    <n v="0"/>
    <n v="11"/>
    <n v="11"/>
    <n v="54"/>
    <n v="54"/>
    <x v="0"/>
    <s v="Redevelopment"/>
    <s v="NONE"/>
    <m/>
    <m/>
    <x v="0"/>
    <s v="Nil"/>
    <m/>
    <s v="BF"/>
    <s v="NB"/>
    <x v="0"/>
    <x v="0"/>
    <n v="0"/>
    <m/>
    <x v="0"/>
    <m/>
    <x v="1"/>
    <s v="AA"/>
    <s v="TO1"/>
    <m/>
    <n v="0"/>
    <n v="0"/>
    <n v="0"/>
    <n v="0"/>
    <n v="0"/>
    <n v="0"/>
    <n v="0"/>
    <n v="0"/>
    <n v="0"/>
    <n v="0"/>
    <n v="11"/>
    <n v="0"/>
    <n v="0"/>
    <n v="0"/>
    <n v="0"/>
    <n v="0"/>
    <n v="0"/>
    <n v="11"/>
    <n v="0"/>
    <n v="0"/>
    <n v="0"/>
    <n v="0"/>
    <n v="0"/>
    <n v="0"/>
    <n v="0"/>
    <n v="0"/>
    <n v="0"/>
    <n v="0"/>
    <n v="0"/>
    <n v="0"/>
    <n v="0"/>
    <n v="0"/>
    <x v="2"/>
    <x v="0"/>
    <x v="3"/>
    <n v="19"/>
    <m/>
    <m/>
    <m/>
    <m/>
    <m/>
    <m/>
    <m/>
    <m/>
    <m/>
    <n v="0.91666666666666663"/>
    <n v="0.91666666666666663"/>
    <n v="0.91666666666666663"/>
    <n v="0.91666666666666663"/>
    <n v="0.91666666666666663"/>
    <n v="0.91666666666666663"/>
    <n v="0.91666666666666663"/>
    <n v="0.91666666666666663"/>
    <n v="0.91666666666666663"/>
    <n v="0.91666666666666663"/>
    <n v="0.91666666666666663"/>
    <n v="0"/>
    <n v="1.8333333333333333"/>
  </r>
  <r>
    <n v="6864"/>
    <x v="4"/>
    <m/>
    <s v="Market Area, Tooting High Street"/>
    <m/>
    <n v="527562"/>
    <n v="171554"/>
    <x v="3"/>
    <m/>
    <m/>
    <n v="0"/>
    <n v="7"/>
    <n v="7"/>
    <n v="54"/>
    <n v="54"/>
    <x v="0"/>
    <s v="Redevelopment"/>
    <s v="NONE"/>
    <m/>
    <m/>
    <x v="0"/>
    <s v="Nil"/>
    <m/>
    <s v="BF"/>
    <s v="NB"/>
    <x v="0"/>
    <x v="0"/>
    <n v="0"/>
    <m/>
    <x v="0"/>
    <m/>
    <x v="0"/>
    <s v="IU"/>
    <s v="TO1"/>
    <m/>
    <n v="0"/>
    <n v="0"/>
    <n v="0"/>
    <n v="0"/>
    <n v="0"/>
    <n v="0"/>
    <n v="0"/>
    <n v="0"/>
    <n v="0"/>
    <n v="0"/>
    <n v="7"/>
    <n v="0"/>
    <n v="0"/>
    <n v="0"/>
    <n v="0"/>
    <n v="0"/>
    <n v="0"/>
    <n v="7"/>
    <n v="0"/>
    <n v="0"/>
    <n v="0"/>
    <n v="0"/>
    <n v="0"/>
    <n v="0"/>
    <n v="0"/>
    <n v="0"/>
    <n v="0"/>
    <n v="0"/>
    <n v="0"/>
    <n v="0"/>
    <n v="0"/>
    <n v="0"/>
    <x v="2"/>
    <x v="0"/>
    <x v="3"/>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3523"/>
    <x v="4"/>
    <m/>
    <s v="McDonald's, Swandon Way (1 Marl Road)"/>
    <m/>
    <n v="526043"/>
    <n v="175254"/>
    <x v="5"/>
    <m/>
    <m/>
    <n v="0"/>
    <n v="7"/>
    <n v="7"/>
    <n v="10"/>
    <n v="10"/>
    <x v="0"/>
    <s v="Redevelopment"/>
    <s v="NONE"/>
    <m/>
    <m/>
    <x v="0"/>
    <s v="Nil"/>
    <m/>
    <s v="BF"/>
    <s v="NB"/>
    <x v="0"/>
    <x v="0"/>
    <n v="0"/>
    <m/>
    <x v="0"/>
    <m/>
    <x v="2"/>
    <s v="M"/>
    <s v="WT14"/>
    <m/>
    <n v="0"/>
    <n v="0"/>
    <n v="0"/>
    <n v="0"/>
    <n v="0"/>
    <n v="0"/>
    <n v="0"/>
    <n v="0"/>
    <n v="0"/>
    <n v="0"/>
    <n v="7"/>
    <n v="0"/>
    <n v="0"/>
    <n v="0"/>
    <n v="0"/>
    <n v="0"/>
    <n v="0"/>
    <n v="7"/>
    <n v="0"/>
    <n v="0"/>
    <n v="0"/>
    <n v="0"/>
    <n v="0"/>
    <n v="0"/>
    <n v="0"/>
    <n v="0"/>
    <n v="0"/>
    <n v="0"/>
    <n v="0"/>
    <n v="0"/>
    <n v="0"/>
    <n v="0"/>
    <x v="0"/>
    <x v="0"/>
    <x v="0"/>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3523"/>
    <x v="4"/>
    <m/>
    <s v="McDonald's, Swandon Way (1 Marl Road)"/>
    <m/>
    <n v="526043"/>
    <n v="175254"/>
    <x v="5"/>
    <m/>
    <m/>
    <n v="0"/>
    <n v="2"/>
    <n v="2"/>
    <n v="10"/>
    <n v="10"/>
    <x v="0"/>
    <s v="Redevelopment"/>
    <s v="NONE"/>
    <m/>
    <m/>
    <x v="0"/>
    <s v="Nil"/>
    <m/>
    <s v="BF"/>
    <s v="NB"/>
    <x v="0"/>
    <x v="0"/>
    <n v="0"/>
    <m/>
    <x v="0"/>
    <m/>
    <x v="1"/>
    <s v="AA"/>
    <s v="WT14"/>
    <m/>
    <n v="0"/>
    <n v="0"/>
    <n v="0"/>
    <n v="0"/>
    <n v="0"/>
    <n v="0"/>
    <n v="0"/>
    <n v="0"/>
    <n v="0"/>
    <n v="0"/>
    <n v="2"/>
    <n v="0"/>
    <n v="0"/>
    <n v="0"/>
    <n v="0"/>
    <n v="0"/>
    <n v="0"/>
    <n v="2"/>
    <n v="0"/>
    <n v="0"/>
    <n v="0"/>
    <n v="0"/>
    <n v="0"/>
    <n v="0"/>
    <n v="0"/>
    <n v="0"/>
    <n v="0"/>
    <n v="0"/>
    <n v="0"/>
    <n v="0"/>
    <n v="0"/>
    <n v="0"/>
    <x v="0"/>
    <x v="0"/>
    <x v="0"/>
    <n v="19"/>
    <m/>
    <m/>
    <m/>
    <m/>
    <m/>
    <m/>
    <m/>
    <m/>
    <m/>
    <n v="0.16666666666666666"/>
    <n v="0.16666666666666666"/>
    <n v="0.16666666666666666"/>
    <n v="0.16666666666666666"/>
    <n v="0.16666666666666666"/>
    <n v="0.16666666666666666"/>
    <n v="0.16666666666666666"/>
    <n v="0.16666666666666666"/>
    <n v="0.16666666666666666"/>
    <n v="0.16666666666666666"/>
    <n v="0.16666666666666666"/>
    <n v="0"/>
    <n v="0.33333333333333331"/>
  </r>
  <r>
    <n v="3523"/>
    <x v="4"/>
    <m/>
    <s v="McDonald's, Swandon Way (1 Marl Road)"/>
    <m/>
    <n v="526043"/>
    <n v="175254"/>
    <x v="5"/>
    <m/>
    <m/>
    <n v="0"/>
    <n v="1"/>
    <n v="1"/>
    <n v="10"/>
    <n v="10"/>
    <x v="0"/>
    <s v="Redevelopment"/>
    <s v="NONE"/>
    <m/>
    <m/>
    <x v="0"/>
    <s v="Nil"/>
    <m/>
    <s v="BF"/>
    <s v="NB"/>
    <x v="0"/>
    <x v="0"/>
    <n v="0"/>
    <m/>
    <x v="0"/>
    <m/>
    <x v="0"/>
    <s v="IU"/>
    <s v="WT14"/>
    <m/>
    <n v="0"/>
    <n v="0"/>
    <n v="0"/>
    <n v="0"/>
    <n v="0"/>
    <n v="0"/>
    <n v="0"/>
    <n v="0"/>
    <n v="0"/>
    <n v="0"/>
    <n v="1"/>
    <n v="0"/>
    <n v="0"/>
    <n v="0"/>
    <n v="0"/>
    <n v="0"/>
    <n v="0"/>
    <n v="1"/>
    <n v="0"/>
    <n v="0"/>
    <n v="0"/>
    <n v="0"/>
    <n v="0"/>
    <n v="0"/>
    <n v="0"/>
    <n v="0"/>
    <n v="0"/>
    <n v="0"/>
    <n v="0"/>
    <n v="0"/>
    <n v="0"/>
    <n v="0"/>
    <x v="0"/>
    <x v="0"/>
    <x v="0"/>
    <n v="19"/>
    <m/>
    <m/>
    <m/>
    <m/>
    <m/>
    <m/>
    <m/>
    <m/>
    <m/>
    <n v="8.3333333333333329E-2"/>
    <n v="8.3333333333333329E-2"/>
    <n v="8.3333333333333329E-2"/>
    <n v="8.3333333333333329E-2"/>
    <n v="8.3333333333333329E-2"/>
    <n v="8.3333333333333329E-2"/>
    <n v="8.3333333333333329E-2"/>
    <n v="8.3333333333333329E-2"/>
    <n v="8.3333333333333329E-2"/>
    <n v="8.3333333333333329E-2"/>
    <n v="8.3333333333333329E-2"/>
    <n v="0"/>
    <n v="0.16666666666666666"/>
  </r>
  <r>
    <n v="3955"/>
    <x v="4"/>
    <m/>
    <s v="Mercedes Benz and Bemco, Bridgend Road"/>
    <m/>
    <n v="526045"/>
    <n v="175348"/>
    <x v="5"/>
    <m/>
    <m/>
    <n v="0"/>
    <n v="128"/>
    <n v="128"/>
    <n v="191"/>
    <n v="191"/>
    <x v="0"/>
    <s v="Redevelopment"/>
    <s v="NONE"/>
    <m/>
    <m/>
    <x v="0"/>
    <s v="Nil"/>
    <m/>
    <s v="BF"/>
    <s v="NB"/>
    <x v="0"/>
    <x v="0"/>
    <n v="0"/>
    <m/>
    <x v="0"/>
    <m/>
    <x v="2"/>
    <s v="M"/>
    <s v="WT15"/>
    <m/>
    <n v="0"/>
    <n v="0"/>
    <n v="0"/>
    <n v="0"/>
    <n v="0"/>
    <n v="0"/>
    <n v="0"/>
    <n v="0"/>
    <n v="0"/>
    <n v="0"/>
    <n v="128"/>
    <n v="0"/>
    <n v="0"/>
    <n v="0"/>
    <n v="0"/>
    <n v="0"/>
    <n v="0"/>
    <n v="128"/>
    <n v="0"/>
    <n v="0"/>
    <n v="0"/>
    <n v="0"/>
    <n v="0"/>
    <n v="0"/>
    <n v="0"/>
    <n v="0"/>
    <n v="0"/>
    <n v="0"/>
    <n v="0"/>
    <n v="0"/>
    <n v="0"/>
    <n v="0"/>
    <x v="0"/>
    <x v="0"/>
    <x v="0"/>
    <n v="19"/>
    <m/>
    <m/>
    <m/>
    <m/>
    <m/>
    <n v="8"/>
    <n v="8"/>
    <n v="8"/>
    <n v="8"/>
    <n v="8"/>
    <n v="8"/>
    <n v="8"/>
    <n v="8"/>
    <n v="8"/>
    <n v="8"/>
    <n v="8"/>
    <n v="8"/>
    <n v="8"/>
    <n v="8"/>
    <n v="8"/>
    <n v="8"/>
    <n v="48"/>
  </r>
  <r>
    <n v="3955"/>
    <x v="4"/>
    <m/>
    <s v="Mercedes Benz and Bemco, Bridgend Road"/>
    <m/>
    <n v="526045"/>
    <n v="175348"/>
    <x v="5"/>
    <m/>
    <m/>
    <n v="0"/>
    <n v="38"/>
    <n v="38"/>
    <n v="191"/>
    <n v="191"/>
    <x v="0"/>
    <s v="Redevelopment"/>
    <s v="NONE"/>
    <m/>
    <m/>
    <x v="0"/>
    <s v="Nil"/>
    <m/>
    <s v="BF"/>
    <s v="NB"/>
    <x v="0"/>
    <x v="0"/>
    <n v="0"/>
    <m/>
    <x v="0"/>
    <m/>
    <x v="1"/>
    <s v="AA"/>
    <s v="WT15"/>
    <m/>
    <n v="0"/>
    <n v="0"/>
    <n v="0"/>
    <n v="0"/>
    <n v="0"/>
    <n v="0"/>
    <n v="0"/>
    <n v="0"/>
    <n v="0"/>
    <n v="0"/>
    <n v="38"/>
    <n v="0"/>
    <n v="0"/>
    <n v="0"/>
    <n v="0"/>
    <n v="0"/>
    <n v="0"/>
    <n v="38"/>
    <n v="0"/>
    <n v="0"/>
    <n v="0"/>
    <n v="0"/>
    <n v="0"/>
    <n v="0"/>
    <n v="0"/>
    <n v="0"/>
    <n v="0"/>
    <n v="0"/>
    <n v="0"/>
    <n v="0"/>
    <n v="0"/>
    <n v="0"/>
    <x v="0"/>
    <x v="0"/>
    <x v="0"/>
    <n v="19"/>
    <m/>
    <m/>
    <m/>
    <m/>
    <m/>
    <n v="2.375"/>
    <n v="2.375"/>
    <n v="2.375"/>
    <n v="2.375"/>
    <n v="2.375"/>
    <n v="2.375"/>
    <n v="2.375"/>
    <n v="2.375"/>
    <n v="2.375"/>
    <n v="2.375"/>
    <n v="2.375"/>
    <n v="2.375"/>
    <n v="2.375"/>
    <n v="2.375"/>
    <n v="2.375"/>
    <n v="2.375"/>
    <n v="14.25"/>
  </r>
  <r>
    <n v="3955"/>
    <x v="4"/>
    <m/>
    <s v="Mercedes Benz and Bemco, Bridgend Road"/>
    <m/>
    <n v="526045"/>
    <n v="175348"/>
    <x v="5"/>
    <m/>
    <m/>
    <n v="0"/>
    <n v="25"/>
    <n v="25"/>
    <n v="191"/>
    <n v="191"/>
    <x v="0"/>
    <s v="Redevelopment"/>
    <s v="NONE"/>
    <m/>
    <m/>
    <x v="0"/>
    <s v="Nil"/>
    <m/>
    <s v="BF"/>
    <s v="NB"/>
    <x v="0"/>
    <x v="0"/>
    <n v="0"/>
    <m/>
    <x v="0"/>
    <m/>
    <x v="0"/>
    <s v="IU"/>
    <s v="WT15"/>
    <m/>
    <n v="0"/>
    <n v="0"/>
    <n v="0"/>
    <n v="0"/>
    <n v="0"/>
    <n v="0"/>
    <n v="0"/>
    <n v="0"/>
    <n v="0"/>
    <n v="0"/>
    <n v="25"/>
    <n v="0"/>
    <n v="0"/>
    <n v="0"/>
    <n v="0"/>
    <n v="0"/>
    <n v="0"/>
    <n v="25"/>
    <n v="0"/>
    <n v="0"/>
    <n v="0"/>
    <n v="0"/>
    <n v="0"/>
    <n v="0"/>
    <n v="0"/>
    <n v="0"/>
    <n v="0"/>
    <n v="0"/>
    <n v="0"/>
    <n v="0"/>
    <n v="0"/>
    <n v="0"/>
    <x v="0"/>
    <x v="0"/>
    <x v="0"/>
    <n v="19"/>
    <m/>
    <m/>
    <m/>
    <m/>
    <m/>
    <n v="1.5625"/>
    <n v="1.5625"/>
    <n v="1.5625"/>
    <n v="1.5625"/>
    <n v="1.5625"/>
    <n v="1.5625"/>
    <n v="1.5625"/>
    <n v="1.5625"/>
    <n v="1.5625"/>
    <n v="1.5625"/>
    <n v="1.5625"/>
    <n v="1.5625"/>
    <n v="1.5625"/>
    <n v="1.5625"/>
    <n v="1.5625"/>
    <n v="1.5625"/>
    <n v="9.375"/>
  </r>
  <r>
    <n v="6890"/>
    <x v="4"/>
    <m/>
    <s v="Metropolitan Police Warehouse Garage, Ponton Road"/>
    <m/>
    <n v="529517"/>
    <n v="177263"/>
    <x v="15"/>
    <m/>
    <m/>
    <n v="0"/>
    <n v="156"/>
    <n v="156"/>
    <n v="184"/>
    <n v="184"/>
    <x v="0"/>
    <s v="Redevelopment"/>
    <s v="NONE"/>
    <m/>
    <m/>
    <x v="0"/>
    <s v="Nil"/>
    <m/>
    <s v="BF"/>
    <s v="NB"/>
    <x v="0"/>
    <x v="0"/>
    <n v="0"/>
    <m/>
    <x v="0"/>
    <m/>
    <x v="2"/>
    <s v="M"/>
    <s v="NE4"/>
    <m/>
    <n v="0"/>
    <n v="0"/>
    <n v="0"/>
    <n v="0"/>
    <n v="0"/>
    <n v="0"/>
    <n v="0"/>
    <n v="0"/>
    <n v="0"/>
    <n v="0"/>
    <n v="156"/>
    <n v="0"/>
    <n v="0"/>
    <n v="0"/>
    <n v="0"/>
    <n v="0"/>
    <n v="0"/>
    <n v="156"/>
    <n v="0"/>
    <n v="0"/>
    <n v="0"/>
    <n v="0"/>
    <n v="0"/>
    <n v="0"/>
    <n v="0"/>
    <n v="0"/>
    <n v="0"/>
    <n v="0"/>
    <n v="0"/>
    <n v="0"/>
    <n v="0"/>
    <n v="0"/>
    <x v="0"/>
    <x v="1"/>
    <x v="7"/>
    <n v="20"/>
    <m/>
    <m/>
    <m/>
    <m/>
    <m/>
    <n v="156"/>
    <m/>
    <m/>
    <m/>
    <m/>
    <m/>
    <m/>
    <m/>
    <m/>
    <m/>
    <m/>
    <m/>
    <m/>
    <m/>
    <m/>
    <n v="156"/>
    <n v="156"/>
  </r>
  <r>
    <n v="6890"/>
    <x v="4"/>
    <m/>
    <s v="Metropolitan Police Warehouse Garage, Ponton Road"/>
    <m/>
    <n v="529517"/>
    <n v="177263"/>
    <x v="15"/>
    <m/>
    <m/>
    <n v="0"/>
    <n v="17"/>
    <n v="17"/>
    <n v="184"/>
    <n v="184"/>
    <x v="0"/>
    <s v="Redevelopment"/>
    <s v="NONE"/>
    <m/>
    <m/>
    <x v="0"/>
    <s v="Nil"/>
    <m/>
    <s v="BF"/>
    <s v="NB"/>
    <x v="0"/>
    <x v="0"/>
    <n v="0"/>
    <m/>
    <x v="0"/>
    <m/>
    <x v="1"/>
    <s v="AA"/>
    <s v="NE4"/>
    <m/>
    <n v="0"/>
    <n v="0"/>
    <n v="0"/>
    <n v="0"/>
    <n v="0"/>
    <n v="0"/>
    <n v="0"/>
    <n v="0"/>
    <n v="0"/>
    <n v="0"/>
    <n v="17"/>
    <n v="0"/>
    <n v="0"/>
    <n v="0"/>
    <n v="0"/>
    <n v="0"/>
    <n v="0"/>
    <n v="17"/>
    <n v="0"/>
    <n v="0"/>
    <n v="0"/>
    <n v="0"/>
    <n v="0"/>
    <n v="0"/>
    <n v="0"/>
    <n v="0"/>
    <n v="0"/>
    <n v="0"/>
    <n v="0"/>
    <n v="0"/>
    <n v="0"/>
    <n v="0"/>
    <x v="0"/>
    <x v="1"/>
    <x v="7"/>
    <n v="20"/>
    <m/>
    <m/>
    <m/>
    <m/>
    <m/>
    <n v="17"/>
    <m/>
    <m/>
    <m/>
    <m/>
    <m/>
    <m/>
    <m/>
    <m/>
    <m/>
    <m/>
    <m/>
    <m/>
    <m/>
    <m/>
    <n v="17"/>
    <n v="17"/>
  </r>
  <r>
    <n v="6890"/>
    <x v="4"/>
    <m/>
    <s v="Metropolitan Police Warehouse Garage, Ponton Road"/>
    <m/>
    <n v="529517"/>
    <n v="177263"/>
    <x v="15"/>
    <m/>
    <m/>
    <n v="0"/>
    <n v="11"/>
    <n v="11"/>
    <n v="184"/>
    <n v="184"/>
    <x v="0"/>
    <s v="Redevelopment"/>
    <s v="NONE"/>
    <m/>
    <m/>
    <x v="0"/>
    <s v="Nil"/>
    <m/>
    <s v="BF"/>
    <s v="NB"/>
    <x v="0"/>
    <x v="0"/>
    <n v="0"/>
    <m/>
    <x v="0"/>
    <m/>
    <x v="0"/>
    <s v="IU"/>
    <s v="NE4"/>
    <m/>
    <n v="0"/>
    <n v="0"/>
    <n v="0"/>
    <n v="0"/>
    <n v="0"/>
    <n v="0"/>
    <n v="0"/>
    <n v="0"/>
    <n v="0"/>
    <n v="0"/>
    <n v="11"/>
    <n v="0"/>
    <n v="0"/>
    <n v="0"/>
    <n v="0"/>
    <n v="0"/>
    <n v="0"/>
    <n v="11"/>
    <n v="0"/>
    <n v="0"/>
    <n v="0"/>
    <n v="0"/>
    <n v="0"/>
    <n v="0"/>
    <n v="0"/>
    <n v="0"/>
    <n v="0"/>
    <n v="0"/>
    <n v="0"/>
    <n v="0"/>
    <n v="0"/>
    <n v="0"/>
    <x v="0"/>
    <x v="1"/>
    <x v="7"/>
    <n v="20"/>
    <m/>
    <m/>
    <m/>
    <m/>
    <m/>
    <n v="11"/>
    <m/>
    <m/>
    <m/>
    <m/>
    <m/>
    <m/>
    <m/>
    <m/>
    <m/>
    <m/>
    <m/>
    <m/>
    <m/>
    <m/>
    <n v="11"/>
    <n v="11"/>
  </r>
  <r>
    <n v="7574"/>
    <x v="4"/>
    <m/>
    <s v="Middle Wharf, Nine Elms, SW8"/>
    <m/>
    <n v="529574.49120000005"/>
    <n v="177639.5822"/>
    <x v="15"/>
    <m/>
    <m/>
    <n v="0"/>
    <n v="1"/>
    <n v="1"/>
    <n v="1"/>
    <n v="1"/>
    <x v="1"/>
    <s v="Redevelopment"/>
    <s v="NONE"/>
    <m/>
    <m/>
    <x v="0"/>
    <s v="Nil"/>
    <m/>
    <s v="BF"/>
    <s v="NB"/>
    <x v="2"/>
    <x v="1"/>
    <n v="0"/>
    <m/>
    <x v="0"/>
    <m/>
    <x v="2"/>
    <s v="M"/>
    <s v="NE10"/>
    <m/>
    <n v="0"/>
    <n v="0"/>
    <n v="0"/>
    <n v="0"/>
    <n v="0"/>
    <n v="0"/>
    <n v="0"/>
    <n v="0"/>
    <n v="0"/>
    <n v="0"/>
    <n v="1"/>
    <n v="0"/>
    <n v="0"/>
    <n v="0"/>
    <n v="0"/>
    <n v="0"/>
    <n v="0"/>
    <n v="1"/>
    <n v="0"/>
    <n v="0"/>
    <n v="0"/>
    <n v="0"/>
    <n v="0"/>
    <n v="0"/>
    <n v="0"/>
    <n v="0"/>
    <n v="0"/>
    <n v="0"/>
    <n v="0"/>
    <n v="0"/>
    <n v="0"/>
    <n v="0"/>
    <x v="0"/>
    <x v="1"/>
    <x v="7"/>
    <n v="20"/>
    <m/>
    <m/>
    <m/>
    <m/>
    <m/>
    <m/>
    <m/>
    <m/>
    <m/>
    <m/>
    <m/>
    <m/>
    <m/>
    <m/>
    <n v="0.14285714285714285"/>
    <n v="0.14285714285714285"/>
    <n v="0.14285714285714285"/>
    <n v="0.14285714285714285"/>
    <n v="0.14285714285714285"/>
    <n v="0.14285714285714285"/>
    <n v="0"/>
    <n v="0"/>
  </r>
  <r>
    <n v="7581"/>
    <x v="4"/>
    <m/>
    <s v="Mount Clare, Minstead Gardens, Roehampton, SW15"/>
    <m/>
    <n v="521612.7733"/>
    <n v="173961.022399999"/>
    <x v="16"/>
    <m/>
    <m/>
    <n v="0"/>
    <n v="87"/>
    <n v="87"/>
    <n v="130"/>
    <n v="130"/>
    <x v="0"/>
    <s v="Redevelopment"/>
    <s v="NONE"/>
    <m/>
    <m/>
    <x v="0"/>
    <s v="Nil"/>
    <m/>
    <s v="BF"/>
    <s v="NB"/>
    <x v="0"/>
    <x v="0"/>
    <n v="0"/>
    <m/>
    <x v="0"/>
    <m/>
    <x v="2"/>
    <s v="M"/>
    <s v="RO2"/>
    <m/>
    <n v="0"/>
    <n v="0"/>
    <n v="0"/>
    <n v="0"/>
    <n v="0"/>
    <n v="0"/>
    <n v="0"/>
    <n v="0"/>
    <n v="0"/>
    <n v="0"/>
    <n v="87"/>
    <n v="0"/>
    <n v="0"/>
    <n v="0"/>
    <n v="0"/>
    <n v="0"/>
    <n v="0"/>
    <n v="87"/>
    <n v="0"/>
    <n v="0"/>
    <n v="0"/>
    <n v="0"/>
    <n v="0"/>
    <n v="0"/>
    <n v="0"/>
    <n v="0"/>
    <n v="0"/>
    <n v="0"/>
    <n v="0"/>
    <n v="0"/>
    <n v="0"/>
    <n v="0"/>
    <x v="0"/>
    <x v="0"/>
    <x v="9"/>
    <n v="19"/>
    <m/>
    <m/>
    <m/>
    <m/>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10.235294117647058"/>
    <n v="35.823529411764703"/>
  </r>
  <r>
    <n v="7581"/>
    <x v="4"/>
    <m/>
    <s v="Mount Clare, Minstead Gardens, Roehampton, SW15"/>
    <m/>
    <n v="521612.7733"/>
    <n v="173961.022399999"/>
    <x v="16"/>
    <m/>
    <m/>
    <n v="0"/>
    <n v="26"/>
    <n v="26"/>
    <n v="130"/>
    <n v="130"/>
    <x v="0"/>
    <s v="Redevelopment"/>
    <s v="NONE"/>
    <m/>
    <m/>
    <x v="0"/>
    <s v="Nil"/>
    <m/>
    <s v="BF"/>
    <s v="NB"/>
    <x v="0"/>
    <x v="0"/>
    <n v="0"/>
    <m/>
    <x v="0"/>
    <m/>
    <x v="1"/>
    <s v="AA"/>
    <s v="RO2"/>
    <m/>
    <n v="0"/>
    <n v="0"/>
    <n v="0"/>
    <n v="0"/>
    <n v="0"/>
    <n v="0"/>
    <n v="0"/>
    <n v="0"/>
    <n v="0"/>
    <n v="0"/>
    <n v="26"/>
    <n v="0"/>
    <n v="0"/>
    <n v="0"/>
    <n v="0"/>
    <n v="0"/>
    <n v="0"/>
    <n v="26"/>
    <n v="0"/>
    <n v="0"/>
    <n v="0"/>
    <n v="0"/>
    <n v="0"/>
    <n v="0"/>
    <n v="0"/>
    <n v="0"/>
    <n v="0"/>
    <n v="0"/>
    <n v="0"/>
    <n v="0"/>
    <n v="0"/>
    <n v="0"/>
    <x v="0"/>
    <x v="0"/>
    <x v="9"/>
    <n v="19"/>
    <m/>
    <m/>
    <m/>
    <m/>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3.0588235294117645"/>
    <n v="10.705882352941176"/>
  </r>
  <r>
    <n v="7581"/>
    <x v="4"/>
    <m/>
    <s v="Mount Clare, Minstead Gardens, Roehampton, SW15"/>
    <m/>
    <n v="521612.7733"/>
    <n v="173961.022399999"/>
    <x v="16"/>
    <m/>
    <m/>
    <n v="0"/>
    <n v="17"/>
    <n v="17"/>
    <n v="130"/>
    <n v="130"/>
    <x v="0"/>
    <s v="Redevelopment"/>
    <s v="NONE"/>
    <m/>
    <m/>
    <x v="0"/>
    <s v="Nil"/>
    <m/>
    <s v="BF"/>
    <s v="NB"/>
    <x v="0"/>
    <x v="0"/>
    <n v="0"/>
    <m/>
    <x v="0"/>
    <m/>
    <x v="0"/>
    <s v="IU"/>
    <s v="RO2"/>
    <m/>
    <n v="0"/>
    <n v="0"/>
    <n v="0"/>
    <n v="0"/>
    <n v="0"/>
    <n v="0"/>
    <n v="0"/>
    <n v="0"/>
    <n v="0"/>
    <n v="0"/>
    <n v="17"/>
    <n v="0"/>
    <n v="0"/>
    <n v="0"/>
    <n v="0"/>
    <n v="0"/>
    <n v="0"/>
    <n v="17"/>
    <n v="0"/>
    <n v="0"/>
    <n v="0"/>
    <n v="0"/>
    <n v="0"/>
    <n v="0"/>
    <n v="0"/>
    <n v="0"/>
    <n v="0"/>
    <n v="0"/>
    <n v="0"/>
    <n v="0"/>
    <n v="0"/>
    <n v="0"/>
    <x v="0"/>
    <x v="0"/>
    <x v="9"/>
    <n v="19"/>
    <m/>
    <m/>
    <m/>
    <m/>
    <n v="1"/>
    <n v="1"/>
    <n v="1"/>
    <n v="1"/>
    <n v="1"/>
    <n v="1"/>
    <n v="1"/>
    <n v="1"/>
    <n v="1"/>
    <n v="1"/>
    <n v="1"/>
    <n v="1"/>
    <n v="1"/>
    <n v="1"/>
    <n v="1"/>
    <n v="1"/>
    <n v="2"/>
    <n v="7"/>
  </r>
  <r>
    <n v="6906"/>
    <x v="4"/>
    <m/>
    <s v="Panorama Antennas, Dormay Street"/>
    <m/>
    <n v="525504"/>
    <n v="174901"/>
    <x v="6"/>
    <m/>
    <m/>
    <n v="0"/>
    <n v="7"/>
    <n v="7"/>
    <n v="7"/>
    <n v="7"/>
    <x v="1"/>
    <s v="Redevelopment"/>
    <s v="NONE"/>
    <m/>
    <m/>
    <x v="0"/>
    <s v="Nil"/>
    <m/>
    <s v="BF"/>
    <s v="NB"/>
    <x v="2"/>
    <x v="1"/>
    <n v="0"/>
    <m/>
    <x v="0"/>
    <m/>
    <x v="2"/>
    <s v="M"/>
    <s v="WT7"/>
    <m/>
    <n v="0"/>
    <n v="0"/>
    <n v="0"/>
    <n v="0"/>
    <n v="0"/>
    <n v="0"/>
    <n v="0"/>
    <n v="0"/>
    <n v="0"/>
    <n v="0"/>
    <n v="7"/>
    <n v="0"/>
    <n v="0"/>
    <n v="0"/>
    <n v="0"/>
    <n v="0"/>
    <n v="0"/>
    <n v="7"/>
    <n v="0"/>
    <n v="0"/>
    <n v="0"/>
    <n v="0"/>
    <n v="0"/>
    <n v="0"/>
    <n v="0"/>
    <n v="0"/>
    <n v="0"/>
    <n v="0"/>
    <n v="0"/>
    <n v="0"/>
    <n v="0"/>
    <n v="0"/>
    <x v="0"/>
    <x v="0"/>
    <x v="0"/>
    <n v="19"/>
    <m/>
    <m/>
    <m/>
    <m/>
    <m/>
    <n v="0.7"/>
    <n v="0.7"/>
    <n v="0.7"/>
    <n v="0.7"/>
    <n v="0.7"/>
    <n v="0.7"/>
    <n v="0.7"/>
    <n v="0.7"/>
    <n v="0.7"/>
    <n v="0.7"/>
    <m/>
    <m/>
    <m/>
    <m/>
    <m/>
    <n v="0.7"/>
    <n v="4.2"/>
  </r>
  <r>
    <n v="7535"/>
    <x v="4"/>
    <m/>
    <s v="Patmore Estate, Stewart's Road, Thessaly Road, SW8 4LB"/>
    <m/>
    <n v="529321"/>
    <n v="176863"/>
    <x v="1"/>
    <m/>
    <m/>
    <n v="0"/>
    <n v="56"/>
    <n v="56"/>
    <n v="66"/>
    <n v="66"/>
    <x v="0"/>
    <s v="Redevelopment"/>
    <s v="NONE"/>
    <m/>
    <m/>
    <x v="0"/>
    <s v="Nil"/>
    <m/>
    <s v="BF"/>
    <s v="NB"/>
    <x v="0"/>
    <x v="0"/>
    <n v="0"/>
    <m/>
    <x v="0"/>
    <m/>
    <x v="2"/>
    <s v="M"/>
    <m/>
    <m/>
    <n v="0"/>
    <n v="0"/>
    <n v="0"/>
    <n v="0"/>
    <n v="0"/>
    <n v="0"/>
    <n v="0"/>
    <n v="0"/>
    <n v="0"/>
    <n v="0"/>
    <n v="56"/>
    <n v="0"/>
    <n v="0"/>
    <n v="0"/>
    <n v="0"/>
    <n v="0"/>
    <n v="0"/>
    <n v="56"/>
    <n v="0"/>
    <n v="0"/>
    <n v="0"/>
    <n v="0"/>
    <n v="0"/>
    <n v="0"/>
    <n v="0"/>
    <n v="0"/>
    <n v="0"/>
    <n v="0"/>
    <n v="0"/>
    <n v="0"/>
    <n v="0"/>
    <n v="0"/>
    <x v="0"/>
    <x v="1"/>
    <x v="7"/>
    <n v="20"/>
    <m/>
    <m/>
    <m/>
    <m/>
    <m/>
    <m/>
    <n v="56"/>
    <m/>
    <m/>
    <m/>
    <m/>
    <m/>
    <m/>
    <m/>
    <m/>
    <m/>
    <m/>
    <m/>
    <m/>
    <m/>
    <n v="0"/>
    <n v="56"/>
  </r>
  <r>
    <n v="7535"/>
    <x v="4"/>
    <m/>
    <s v="Patmore Estate, Stewart's Road, Thessaly Road, SW8 4LB"/>
    <m/>
    <n v="529321"/>
    <n v="176863"/>
    <x v="1"/>
    <m/>
    <m/>
    <n v="0"/>
    <n v="6"/>
    <n v="6"/>
    <n v="66"/>
    <n v="66"/>
    <x v="0"/>
    <s v="Redevelopment"/>
    <s v="NONE"/>
    <m/>
    <m/>
    <x v="0"/>
    <s v="Nil"/>
    <m/>
    <s v="BF"/>
    <s v="NB"/>
    <x v="0"/>
    <x v="0"/>
    <n v="0"/>
    <m/>
    <x v="0"/>
    <m/>
    <x v="1"/>
    <s v="AA"/>
    <m/>
    <m/>
    <n v="0"/>
    <n v="0"/>
    <n v="0"/>
    <n v="0"/>
    <n v="0"/>
    <n v="0"/>
    <n v="0"/>
    <n v="0"/>
    <n v="0"/>
    <n v="0"/>
    <n v="6"/>
    <n v="0"/>
    <n v="0"/>
    <n v="0"/>
    <n v="0"/>
    <n v="0"/>
    <n v="0"/>
    <n v="6"/>
    <n v="0"/>
    <n v="0"/>
    <n v="0"/>
    <n v="0"/>
    <n v="0"/>
    <n v="0"/>
    <n v="0"/>
    <n v="0"/>
    <n v="0"/>
    <n v="0"/>
    <n v="0"/>
    <n v="0"/>
    <n v="0"/>
    <n v="0"/>
    <x v="0"/>
    <x v="1"/>
    <x v="7"/>
    <n v="20"/>
    <m/>
    <m/>
    <m/>
    <m/>
    <m/>
    <m/>
    <n v="6"/>
    <m/>
    <m/>
    <m/>
    <m/>
    <m/>
    <m/>
    <m/>
    <m/>
    <m/>
    <m/>
    <m/>
    <m/>
    <m/>
    <n v="0"/>
    <n v="6"/>
  </r>
  <r>
    <n v="7535"/>
    <x v="4"/>
    <m/>
    <s v="Patmore Estate, Stewart's Road, Thessaly Road, SW8 4LB"/>
    <m/>
    <n v="529321"/>
    <n v="176863"/>
    <x v="1"/>
    <m/>
    <m/>
    <n v="0"/>
    <n v="4"/>
    <n v="4"/>
    <n v="66"/>
    <n v="66"/>
    <x v="0"/>
    <s v="Redevelopment"/>
    <s v="NONE"/>
    <m/>
    <m/>
    <x v="0"/>
    <s v="Nil"/>
    <m/>
    <s v="BF"/>
    <s v="NB"/>
    <x v="0"/>
    <x v="0"/>
    <n v="0"/>
    <m/>
    <x v="0"/>
    <m/>
    <x v="0"/>
    <s v="IU"/>
    <m/>
    <m/>
    <n v="0"/>
    <n v="0"/>
    <n v="0"/>
    <n v="0"/>
    <n v="0"/>
    <n v="0"/>
    <n v="0"/>
    <n v="0"/>
    <n v="0"/>
    <n v="0"/>
    <n v="4"/>
    <n v="0"/>
    <n v="0"/>
    <n v="0"/>
    <n v="0"/>
    <n v="0"/>
    <n v="0"/>
    <n v="4"/>
    <n v="0"/>
    <n v="0"/>
    <n v="0"/>
    <n v="0"/>
    <n v="0"/>
    <n v="0"/>
    <n v="0"/>
    <n v="0"/>
    <n v="0"/>
    <n v="0"/>
    <n v="0"/>
    <n v="0"/>
    <n v="0"/>
    <n v="0"/>
    <x v="0"/>
    <x v="1"/>
    <x v="7"/>
    <n v="20"/>
    <m/>
    <m/>
    <m/>
    <m/>
    <m/>
    <m/>
    <n v="4"/>
    <m/>
    <m/>
    <m/>
    <m/>
    <m/>
    <m/>
    <m/>
    <m/>
    <m/>
    <m/>
    <m/>
    <m/>
    <m/>
    <n v="0"/>
    <n v="4"/>
  </r>
  <r>
    <n v="4508"/>
    <x v="4"/>
    <m/>
    <s v="Pier Wharf, SW18"/>
    <m/>
    <n v="526001.90130000003"/>
    <n v="175434.07680000001"/>
    <x v="5"/>
    <m/>
    <m/>
    <n v="0"/>
    <n v="2"/>
    <n v="2"/>
    <n v="2"/>
    <n v="2"/>
    <x v="1"/>
    <s v="Redevelopment"/>
    <s v="NONE"/>
    <m/>
    <m/>
    <x v="0"/>
    <s v="Nil"/>
    <m/>
    <s v="BF"/>
    <s v="NB"/>
    <x v="2"/>
    <x v="1"/>
    <n v="0"/>
    <m/>
    <x v="0"/>
    <m/>
    <x v="2"/>
    <s v="M"/>
    <s v="WT22"/>
    <m/>
    <n v="0"/>
    <n v="0"/>
    <n v="0"/>
    <n v="0"/>
    <n v="0"/>
    <n v="0"/>
    <n v="0"/>
    <n v="0"/>
    <n v="0"/>
    <n v="0"/>
    <n v="2"/>
    <n v="0"/>
    <n v="0"/>
    <n v="0"/>
    <n v="0"/>
    <n v="0"/>
    <n v="0"/>
    <n v="2"/>
    <n v="0"/>
    <n v="0"/>
    <n v="0"/>
    <n v="0"/>
    <n v="0"/>
    <n v="0"/>
    <n v="0"/>
    <n v="0"/>
    <n v="0"/>
    <n v="0"/>
    <n v="0"/>
    <n v="0"/>
    <n v="0"/>
    <n v="0"/>
    <x v="0"/>
    <x v="0"/>
    <x v="0"/>
    <n v="19"/>
    <m/>
    <m/>
    <m/>
    <m/>
    <m/>
    <m/>
    <m/>
    <m/>
    <m/>
    <m/>
    <m/>
    <m/>
    <m/>
    <m/>
    <m/>
    <m/>
    <m/>
    <m/>
    <m/>
    <n v="2"/>
    <n v="0"/>
    <n v="0"/>
  </r>
  <r>
    <n v="6902"/>
    <x v="4"/>
    <m/>
    <s v="Putney Telephone Exchange, Montserrat Road"/>
    <m/>
    <n v="524118"/>
    <n v="175366"/>
    <x v="0"/>
    <m/>
    <m/>
    <n v="0"/>
    <n v="1"/>
    <n v="1"/>
    <n v="1"/>
    <n v="1"/>
    <x v="1"/>
    <s v="Redevelopment"/>
    <s v="NONE"/>
    <m/>
    <m/>
    <x v="0"/>
    <s v="Nil"/>
    <m/>
    <s v="BF"/>
    <s v="NB"/>
    <x v="2"/>
    <x v="1"/>
    <n v="0"/>
    <m/>
    <x v="0"/>
    <m/>
    <x v="2"/>
    <s v="M"/>
    <s v="PUT4"/>
    <m/>
    <n v="0"/>
    <n v="0"/>
    <n v="0"/>
    <n v="0"/>
    <n v="0"/>
    <n v="0"/>
    <n v="0"/>
    <n v="0"/>
    <n v="0"/>
    <n v="0"/>
    <n v="1"/>
    <n v="0"/>
    <n v="0"/>
    <n v="0"/>
    <n v="0"/>
    <n v="0"/>
    <n v="0"/>
    <n v="1"/>
    <n v="0"/>
    <n v="0"/>
    <n v="0"/>
    <n v="0"/>
    <n v="0"/>
    <n v="0"/>
    <n v="0"/>
    <n v="0"/>
    <n v="0"/>
    <n v="0"/>
    <n v="0"/>
    <n v="0"/>
    <n v="0"/>
    <n v="0"/>
    <x v="4"/>
    <x v="0"/>
    <x v="4"/>
    <n v="19"/>
    <m/>
    <m/>
    <m/>
    <m/>
    <m/>
    <n v="6.25E-2"/>
    <n v="6.25E-2"/>
    <n v="6.25E-2"/>
    <n v="6.25E-2"/>
    <n v="6.25E-2"/>
    <n v="6.25E-2"/>
    <n v="6.25E-2"/>
    <n v="6.25E-2"/>
    <n v="6.25E-2"/>
    <n v="6.25E-2"/>
    <n v="6.25E-2"/>
    <n v="6.25E-2"/>
    <n v="6.25E-2"/>
    <n v="6.25E-2"/>
    <n v="6.25E-2"/>
    <n v="6.25E-2"/>
    <n v="0.375"/>
  </r>
  <r>
    <n v="7582"/>
    <x v="4"/>
    <m/>
    <s v="Queen Mary's Hospital car park, SW15"/>
    <m/>
    <n v="522287.01610000001"/>
    <n v="174318.467299999"/>
    <x v="16"/>
    <m/>
    <m/>
    <n v="0"/>
    <n v="203"/>
    <n v="203"/>
    <n v="303"/>
    <n v="303"/>
    <x v="0"/>
    <s v="Redevelopment"/>
    <s v="NONE"/>
    <m/>
    <m/>
    <x v="0"/>
    <s v="Nil"/>
    <m/>
    <s v="BF"/>
    <s v="NB"/>
    <x v="0"/>
    <x v="0"/>
    <n v="0"/>
    <m/>
    <x v="0"/>
    <m/>
    <x v="2"/>
    <s v="M"/>
    <s v="RO3"/>
    <m/>
    <n v="0"/>
    <n v="0"/>
    <n v="0"/>
    <n v="0"/>
    <n v="0"/>
    <n v="0"/>
    <n v="0"/>
    <n v="0"/>
    <n v="0"/>
    <n v="0"/>
    <n v="203"/>
    <n v="0"/>
    <n v="0"/>
    <n v="0"/>
    <n v="0"/>
    <n v="0"/>
    <n v="0"/>
    <n v="203"/>
    <n v="0"/>
    <n v="0"/>
    <n v="0"/>
    <n v="0"/>
    <n v="0"/>
    <n v="0"/>
    <n v="0"/>
    <n v="0"/>
    <n v="0"/>
    <n v="0"/>
    <n v="0"/>
    <n v="0"/>
    <n v="0"/>
    <n v="0"/>
    <x v="0"/>
    <x v="0"/>
    <x v="9"/>
    <n v="19"/>
    <m/>
    <m/>
    <m/>
    <m/>
    <m/>
    <m/>
    <m/>
    <m/>
    <n v="16.916666666666668"/>
    <n v="16.916666666666668"/>
    <n v="16.916666666666668"/>
    <n v="16.916666666666668"/>
    <n v="16.916666666666668"/>
    <n v="16.916666666666668"/>
    <n v="16.916666666666668"/>
    <n v="16.916666666666668"/>
    <n v="16.916666666666668"/>
    <n v="16.916666666666668"/>
    <n v="16.916666666666668"/>
    <n v="16.916666666666668"/>
    <n v="0"/>
    <n v="50.75"/>
  </r>
  <r>
    <n v="7582"/>
    <x v="4"/>
    <m/>
    <s v="Queen Mary's Hospital car park, SW15"/>
    <m/>
    <n v="522287.01610000001"/>
    <n v="174318.467299999"/>
    <x v="16"/>
    <m/>
    <m/>
    <n v="0"/>
    <n v="61"/>
    <n v="61"/>
    <n v="303"/>
    <n v="303"/>
    <x v="0"/>
    <s v="Redevelopment"/>
    <s v="NONE"/>
    <m/>
    <m/>
    <x v="0"/>
    <s v="Nil"/>
    <m/>
    <s v="BF"/>
    <s v="NB"/>
    <x v="0"/>
    <x v="0"/>
    <n v="0"/>
    <m/>
    <x v="0"/>
    <m/>
    <x v="1"/>
    <s v="AA"/>
    <s v="RO3"/>
    <m/>
    <n v="0"/>
    <n v="0"/>
    <n v="0"/>
    <n v="0"/>
    <n v="0"/>
    <n v="0"/>
    <n v="0"/>
    <n v="0"/>
    <n v="0"/>
    <n v="0"/>
    <n v="61"/>
    <n v="0"/>
    <n v="0"/>
    <n v="0"/>
    <n v="0"/>
    <n v="0"/>
    <n v="0"/>
    <n v="61"/>
    <n v="0"/>
    <n v="0"/>
    <n v="0"/>
    <n v="0"/>
    <n v="0"/>
    <n v="0"/>
    <n v="0"/>
    <n v="0"/>
    <n v="0"/>
    <n v="0"/>
    <n v="0"/>
    <n v="0"/>
    <n v="0"/>
    <n v="0"/>
    <x v="0"/>
    <x v="0"/>
    <x v="9"/>
    <n v="19"/>
    <m/>
    <m/>
    <m/>
    <m/>
    <m/>
    <m/>
    <m/>
    <m/>
    <n v="5.083333333333333"/>
    <n v="5.083333333333333"/>
    <n v="5.083333333333333"/>
    <n v="5.083333333333333"/>
    <n v="5.083333333333333"/>
    <n v="5.083333333333333"/>
    <n v="5.083333333333333"/>
    <n v="5.083333333333333"/>
    <n v="5.083333333333333"/>
    <n v="5.083333333333333"/>
    <n v="5.083333333333333"/>
    <n v="5.083333333333333"/>
    <n v="0"/>
    <n v="15.25"/>
  </r>
  <r>
    <n v="7582"/>
    <x v="4"/>
    <m/>
    <s v="Queen Mary's Hospital car park, SW15"/>
    <m/>
    <n v="522287.01610000001"/>
    <n v="174318.467299999"/>
    <x v="16"/>
    <m/>
    <m/>
    <n v="0"/>
    <n v="39"/>
    <n v="39"/>
    <n v="303"/>
    <n v="303"/>
    <x v="0"/>
    <s v="Redevelopment"/>
    <s v="NONE"/>
    <m/>
    <m/>
    <x v="0"/>
    <s v="Nil"/>
    <m/>
    <s v="BF"/>
    <s v="NB"/>
    <x v="0"/>
    <x v="0"/>
    <n v="0"/>
    <m/>
    <x v="0"/>
    <m/>
    <x v="0"/>
    <s v="IU"/>
    <s v="RO3"/>
    <m/>
    <n v="0"/>
    <n v="0"/>
    <n v="0"/>
    <n v="0"/>
    <n v="0"/>
    <n v="0"/>
    <n v="0"/>
    <n v="0"/>
    <n v="0"/>
    <n v="0"/>
    <n v="39"/>
    <n v="0"/>
    <n v="0"/>
    <n v="0"/>
    <n v="0"/>
    <n v="0"/>
    <n v="0"/>
    <n v="39"/>
    <n v="0"/>
    <n v="0"/>
    <n v="0"/>
    <n v="0"/>
    <n v="0"/>
    <n v="0"/>
    <n v="0"/>
    <n v="0"/>
    <n v="0"/>
    <n v="0"/>
    <n v="0"/>
    <n v="0"/>
    <n v="0"/>
    <n v="0"/>
    <x v="0"/>
    <x v="0"/>
    <x v="9"/>
    <n v="19"/>
    <m/>
    <m/>
    <m/>
    <m/>
    <m/>
    <m/>
    <m/>
    <m/>
    <n v="3.25"/>
    <n v="3.25"/>
    <n v="3.25"/>
    <n v="3.25"/>
    <n v="3.25"/>
    <n v="3.25"/>
    <n v="3.25"/>
    <n v="3.25"/>
    <n v="3.25"/>
    <n v="3.25"/>
    <n v="3.25"/>
    <n v="3.25"/>
    <n v="0"/>
    <n v="9.75"/>
  </r>
  <r>
    <n v="7547"/>
    <x v="4"/>
    <m/>
    <s v="Railway arches , Grant Road, SW11 2NU"/>
    <m/>
    <n v="527126"/>
    <n v="175600"/>
    <x v="21"/>
    <m/>
    <m/>
    <n v="0"/>
    <n v="9"/>
    <n v="9"/>
    <n v="14"/>
    <n v="14"/>
    <x v="0"/>
    <s v="Redevelopment"/>
    <s v="NONE"/>
    <m/>
    <m/>
    <x v="0"/>
    <s v="Nil"/>
    <m/>
    <s v="BF"/>
    <s v="NB"/>
    <x v="0"/>
    <x v="0"/>
    <n v="0"/>
    <m/>
    <x v="0"/>
    <m/>
    <x v="2"/>
    <s v="M"/>
    <m/>
    <m/>
    <n v="0"/>
    <n v="0"/>
    <n v="0"/>
    <n v="0"/>
    <n v="0"/>
    <n v="0"/>
    <n v="0"/>
    <n v="0"/>
    <n v="0"/>
    <n v="0"/>
    <n v="9"/>
    <n v="0"/>
    <n v="0"/>
    <n v="0"/>
    <n v="0"/>
    <n v="0"/>
    <n v="0"/>
    <n v="9"/>
    <n v="0"/>
    <n v="0"/>
    <n v="0"/>
    <n v="0"/>
    <n v="0"/>
    <n v="0"/>
    <n v="0"/>
    <n v="0"/>
    <n v="0"/>
    <n v="0"/>
    <n v="0"/>
    <n v="0"/>
    <n v="0"/>
    <n v="0"/>
    <x v="5"/>
    <x v="0"/>
    <x v="5"/>
    <n v="19"/>
    <m/>
    <m/>
    <m/>
    <m/>
    <m/>
    <n v="9"/>
    <m/>
    <m/>
    <m/>
    <m/>
    <m/>
    <m/>
    <m/>
    <m/>
    <m/>
    <m/>
    <m/>
    <m/>
    <m/>
    <m/>
    <n v="9"/>
    <n v="9"/>
  </r>
  <r>
    <n v="7547"/>
    <x v="4"/>
    <m/>
    <s v="Railway arches , Grant Road, SW11 2NU"/>
    <m/>
    <n v="527126"/>
    <n v="175600"/>
    <x v="21"/>
    <m/>
    <m/>
    <n v="0"/>
    <n v="3"/>
    <n v="3"/>
    <n v="14"/>
    <n v="14"/>
    <x v="0"/>
    <s v="Redevelopment"/>
    <s v="NONE"/>
    <m/>
    <m/>
    <x v="0"/>
    <s v="Nil"/>
    <m/>
    <s v="BF"/>
    <s v="NB"/>
    <x v="0"/>
    <x v="0"/>
    <n v="0"/>
    <m/>
    <x v="0"/>
    <m/>
    <x v="1"/>
    <s v="AA"/>
    <m/>
    <m/>
    <n v="0"/>
    <n v="0"/>
    <n v="0"/>
    <n v="0"/>
    <n v="0"/>
    <n v="0"/>
    <n v="0"/>
    <n v="0"/>
    <n v="0"/>
    <n v="0"/>
    <n v="3"/>
    <n v="0"/>
    <n v="0"/>
    <n v="0"/>
    <n v="0"/>
    <n v="0"/>
    <n v="0"/>
    <n v="3"/>
    <n v="0"/>
    <n v="0"/>
    <n v="0"/>
    <n v="0"/>
    <n v="0"/>
    <n v="0"/>
    <n v="0"/>
    <n v="0"/>
    <n v="0"/>
    <n v="0"/>
    <n v="0"/>
    <n v="0"/>
    <n v="0"/>
    <n v="0"/>
    <x v="5"/>
    <x v="0"/>
    <x v="5"/>
    <n v="19"/>
    <m/>
    <m/>
    <m/>
    <m/>
    <m/>
    <n v="3"/>
    <m/>
    <m/>
    <m/>
    <m/>
    <m/>
    <m/>
    <m/>
    <m/>
    <m/>
    <m/>
    <m/>
    <m/>
    <m/>
    <m/>
    <n v="3"/>
    <n v="3"/>
  </r>
  <r>
    <n v="7547"/>
    <x v="4"/>
    <m/>
    <s v="Railway arches , Grant Road, SW11 2NU"/>
    <m/>
    <n v="527126"/>
    <n v="175600"/>
    <x v="21"/>
    <m/>
    <m/>
    <n v="0"/>
    <n v="2"/>
    <n v="2"/>
    <n v="14"/>
    <n v="14"/>
    <x v="0"/>
    <s v="Redevelopment"/>
    <s v="NONE"/>
    <m/>
    <m/>
    <x v="0"/>
    <s v="Nil"/>
    <m/>
    <s v="BF"/>
    <s v="NB"/>
    <x v="0"/>
    <x v="0"/>
    <n v="0"/>
    <m/>
    <x v="0"/>
    <m/>
    <x v="0"/>
    <s v="IU"/>
    <m/>
    <m/>
    <n v="0"/>
    <n v="0"/>
    <n v="0"/>
    <n v="0"/>
    <n v="0"/>
    <n v="0"/>
    <n v="0"/>
    <n v="0"/>
    <n v="0"/>
    <n v="0"/>
    <n v="2"/>
    <n v="0"/>
    <n v="0"/>
    <n v="0"/>
    <n v="0"/>
    <n v="0"/>
    <n v="0"/>
    <n v="2"/>
    <n v="0"/>
    <n v="0"/>
    <n v="0"/>
    <n v="0"/>
    <n v="0"/>
    <n v="0"/>
    <n v="0"/>
    <n v="0"/>
    <n v="0"/>
    <n v="0"/>
    <n v="0"/>
    <n v="0"/>
    <n v="0"/>
    <n v="0"/>
    <x v="5"/>
    <x v="0"/>
    <x v="5"/>
    <n v="19"/>
    <m/>
    <m/>
    <m/>
    <m/>
    <m/>
    <n v="2"/>
    <m/>
    <m/>
    <m/>
    <m/>
    <m/>
    <m/>
    <m/>
    <m/>
    <m/>
    <m/>
    <m/>
    <m/>
    <m/>
    <m/>
    <n v="2"/>
    <n v="2"/>
  </r>
  <r>
    <n v="7545"/>
    <x v="4"/>
    <m/>
    <s v="Railway arches adjacent to Battersea Dogs and Cats Home, 6 Battersea Park Road, SW8 4AA"/>
    <m/>
    <n v="528896"/>
    <n v="177124"/>
    <x v="15"/>
    <m/>
    <m/>
    <n v="0"/>
    <n v="9"/>
    <n v="9"/>
    <n v="9"/>
    <n v="9"/>
    <x v="1"/>
    <s v="Redevelopment"/>
    <s v="NONE"/>
    <m/>
    <m/>
    <x v="0"/>
    <s v="Nil"/>
    <m/>
    <s v="BF"/>
    <s v="NB"/>
    <x v="2"/>
    <x v="1"/>
    <n v="0"/>
    <m/>
    <x v="0"/>
    <m/>
    <x v="2"/>
    <s v="M"/>
    <m/>
    <m/>
    <n v="0"/>
    <n v="0"/>
    <n v="0"/>
    <n v="0"/>
    <n v="0"/>
    <n v="0"/>
    <n v="0"/>
    <n v="0"/>
    <n v="0"/>
    <n v="0"/>
    <n v="9"/>
    <n v="0"/>
    <n v="0"/>
    <n v="0"/>
    <n v="0"/>
    <n v="0"/>
    <n v="0"/>
    <n v="9"/>
    <n v="0"/>
    <n v="0"/>
    <n v="0"/>
    <n v="0"/>
    <n v="0"/>
    <n v="0"/>
    <n v="0"/>
    <n v="0"/>
    <n v="0"/>
    <n v="0"/>
    <n v="0"/>
    <n v="0"/>
    <n v="0"/>
    <n v="0"/>
    <x v="0"/>
    <x v="1"/>
    <x v="7"/>
    <n v="20"/>
    <m/>
    <m/>
    <m/>
    <m/>
    <m/>
    <m/>
    <n v="9"/>
    <m/>
    <m/>
    <m/>
    <m/>
    <m/>
    <m/>
    <m/>
    <m/>
    <m/>
    <m/>
    <m/>
    <m/>
    <m/>
    <n v="0"/>
    <n v="9"/>
  </r>
  <r>
    <n v="7544"/>
    <x v="4"/>
    <m/>
    <s v="Railway arches, 14 Winthorpe Road, SW15 2LW"/>
    <m/>
    <n v="524433"/>
    <n v="175204"/>
    <x v="0"/>
    <m/>
    <m/>
    <n v="0"/>
    <n v="5"/>
    <n v="5"/>
    <n v="5"/>
    <n v="5"/>
    <x v="1"/>
    <s v="Redevelopment"/>
    <s v="NONE"/>
    <m/>
    <m/>
    <x v="0"/>
    <s v="Nil"/>
    <m/>
    <s v="BF"/>
    <s v="NB"/>
    <x v="2"/>
    <x v="1"/>
    <n v="0"/>
    <m/>
    <x v="0"/>
    <m/>
    <x v="2"/>
    <s v="M"/>
    <m/>
    <m/>
    <n v="0"/>
    <n v="0"/>
    <n v="0"/>
    <n v="0"/>
    <n v="0"/>
    <n v="0"/>
    <n v="0"/>
    <n v="0"/>
    <n v="0"/>
    <n v="0"/>
    <n v="5"/>
    <n v="0"/>
    <n v="0"/>
    <n v="0"/>
    <n v="0"/>
    <n v="0"/>
    <n v="0"/>
    <n v="5"/>
    <n v="0"/>
    <n v="0"/>
    <n v="0"/>
    <n v="0"/>
    <n v="0"/>
    <n v="0"/>
    <n v="0"/>
    <n v="0"/>
    <n v="0"/>
    <n v="0"/>
    <n v="0"/>
    <n v="0"/>
    <n v="0"/>
    <n v="0"/>
    <x v="0"/>
    <x v="0"/>
    <x v="1"/>
    <n v="19"/>
    <m/>
    <m/>
    <m/>
    <m/>
    <m/>
    <n v="5"/>
    <m/>
    <m/>
    <m/>
    <m/>
    <m/>
    <m/>
    <m/>
    <m/>
    <m/>
    <m/>
    <m/>
    <m/>
    <m/>
    <m/>
    <n v="5"/>
    <n v="5"/>
  </r>
  <r>
    <n v="7538"/>
    <x v="4"/>
    <m/>
    <s v="Railway land, Falcon Lane, SW11 2LG"/>
    <m/>
    <n v="527505"/>
    <n v="175729"/>
    <x v="21"/>
    <m/>
    <m/>
    <n v="0"/>
    <n v="8"/>
    <n v="8"/>
    <n v="8"/>
    <n v="8"/>
    <x v="1"/>
    <s v="Redevelopment"/>
    <s v="NONE"/>
    <m/>
    <m/>
    <x v="0"/>
    <s v="Nil"/>
    <m/>
    <s v="BF"/>
    <s v="NB"/>
    <x v="2"/>
    <x v="1"/>
    <n v="0"/>
    <m/>
    <x v="0"/>
    <m/>
    <x v="2"/>
    <s v="M"/>
    <m/>
    <m/>
    <n v="0"/>
    <n v="0"/>
    <n v="0"/>
    <n v="0"/>
    <n v="0"/>
    <n v="0"/>
    <n v="0"/>
    <n v="0"/>
    <n v="0"/>
    <n v="0"/>
    <n v="8"/>
    <n v="0"/>
    <n v="0"/>
    <n v="0"/>
    <n v="0"/>
    <n v="0"/>
    <n v="0"/>
    <n v="8"/>
    <n v="0"/>
    <n v="0"/>
    <n v="0"/>
    <n v="0"/>
    <n v="0"/>
    <n v="0"/>
    <n v="0"/>
    <n v="0"/>
    <n v="0"/>
    <n v="0"/>
    <n v="0"/>
    <n v="0"/>
    <n v="0"/>
    <n v="0"/>
    <x v="0"/>
    <x v="0"/>
    <x v="5"/>
    <n v="19"/>
    <m/>
    <m/>
    <m/>
    <m/>
    <m/>
    <n v="8"/>
    <m/>
    <m/>
    <m/>
    <m/>
    <m/>
    <m/>
    <m/>
    <m/>
    <m/>
    <m/>
    <m/>
    <m/>
    <m/>
    <m/>
    <n v="8"/>
    <n v="8"/>
  </r>
  <r>
    <n v="6866"/>
    <x v="4"/>
    <m/>
    <s v="Sainsbury's Car Park, Bedford Hill"/>
    <m/>
    <n v="528627"/>
    <n v="173224"/>
    <x v="2"/>
    <m/>
    <m/>
    <n v="0"/>
    <n v="40"/>
    <n v="40"/>
    <n v="59"/>
    <n v="59"/>
    <x v="0"/>
    <s v="Redevelopment"/>
    <s v="NONE"/>
    <m/>
    <m/>
    <x v="0"/>
    <s v="Nil"/>
    <m/>
    <s v="BF"/>
    <s v="NB"/>
    <x v="0"/>
    <x v="0"/>
    <n v="0"/>
    <m/>
    <x v="0"/>
    <m/>
    <x v="2"/>
    <s v="M"/>
    <s v="BA1"/>
    <m/>
    <n v="0"/>
    <n v="0"/>
    <n v="0"/>
    <n v="0"/>
    <n v="0"/>
    <n v="0"/>
    <n v="0"/>
    <n v="0"/>
    <n v="0"/>
    <n v="0"/>
    <n v="40"/>
    <n v="0"/>
    <n v="0"/>
    <n v="0"/>
    <n v="0"/>
    <n v="0"/>
    <n v="0"/>
    <n v="40"/>
    <n v="0"/>
    <n v="0"/>
    <n v="0"/>
    <n v="0"/>
    <n v="0"/>
    <n v="0"/>
    <n v="0"/>
    <n v="0"/>
    <n v="0"/>
    <n v="0"/>
    <n v="0"/>
    <n v="0"/>
    <n v="0"/>
    <n v="0"/>
    <x v="1"/>
    <x v="0"/>
    <x v="2"/>
    <n v="19"/>
    <m/>
    <m/>
    <m/>
    <m/>
    <m/>
    <m/>
    <m/>
    <m/>
    <m/>
    <n v="3.3333333333333335"/>
    <n v="3.3333333333333335"/>
    <n v="3.3333333333333335"/>
    <n v="3.3333333333333335"/>
    <n v="3.3333333333333335"/>
    <n v="3.3333333333333335"/>
    <n v="3.3333333333333335"/>
    <n v="3.3333333333333335"/>
    <n v="3.3333333333333335"/>
    <n v="3.3333333333333335"/>
    <n v="3.3333333333333335"/>
    <n v="0"/>
    <n v="6.666666666666667"/>
  </r>
  <r>
    <n v="6866"/>
    <x v="4"/>
    <m/>
    <s v="Sainsbury's Car Park, Bedford Hill"/>
    <m/>
    <n v="528627"/>
    <n v="173224"/>
    <x v="2"/>
    <m/>
    <m/>
    <n v="0"/>
    <n v="12"/>
    <n v="12"/>
    <n v="59"/>
    <n v="59"/>
    <x v="0"/>
    <s v="Redevelopment"/>
    <s v="NONE"/>
    <m/>
    <m/>
    <x v="0"/>
    <s v="Nil"/>
    <m/>
    <s v="BF"/>
    <s v="NB"/>
    <x v="0"/>
    <x v="0"/>
    <n v="0"/>
    <m/>
    <x v="0"/>
    <m/>
    <x v="1"/>
    <s v="AA"/>
    <s v="BA1"/>
    <m/>
    <n v="0"/>
    <n v="0"/>
    <n v="0"/>
    <n v="0"/>
    <n v="0"/>
    <n v="0"/>
    <n v="0"/>
    <n v="0"/>
    <n v="0"/>
    <n v="0"/>
    <n v="12"/>
    <n v="0"/>
    <n v="0"/>
    <n v="0"/>
    <n v="0"/>
    <n v="0"/>
    <n v="0"/>
    <n v="12"/>
    <n v="0"/>
    <n v="0"/>
    <n v="0"/>
    <n v="0"/>
    <n v="0"/>
    <n v="0"/>
    <n v="0"/>
    <n v="0"/>
    <n v="0"/>
    <n v="0"/>
    <n v="0"/>
    <n v="0"/>
    <n v="0"/>
    <n v="0"/>
    <x v="1"/>
    <x v="0"/>
    <x v="2"/>
    <n v="19"/>
    <m/>
    <m/>
    <m/>
    <m/>
    <m/>
    <m/>
    <m/>
    <m/>
    <m/>
    <n v="1"/>
    <n v="1"/>
    <n v="1"/>
    <n v="1"/>
    <n v="1"/>
    <n v="1"/>
    <n v="1"/>
    <n v="1"/>
    <n v="1"/>
    <n v="1"/>
    <n v="1"/>
    <n v="0"/>
    <n v="2"/>
  </r>
  <r>
    <n v="6866"/>
    <x v="4"/>
    <m/>
    <s v="Sainsbury's Car Park, Bedford Hill"/>
    <m/>
    <n v="528627"/>
    <n v="173224"/>
    <x v="2"/>
    <m/>
    <m/>
    <n v="0"/>
    <n v="7"/>
    <n v="7"/>
    <n v="59"/>
    <n v="59"/>
    <x v="0"/>
    <s v="Redevelopment"/>
    <s v="NONE"/>
    <m/>
    <m/>
    <x v="0"/>
    <s v="Nil"/>
    <m/>
    <s v="BF"/>
    <s v="NB"/>
    <x v="0"/>
    <x v="0"/>
    <n v="0"/>
    <m/>
    <x v="0"/>
    <m/>
    <x v="0"/>
    <s v="IU"/>
    <s v="BA1"/>
    <m/>
    <n v="0"/>
    <n v="0"/>
    <n v="0"/>
    <n v="0"/>
    <n v="0"/>
    <n v="0"/>
    <n v="0"/>
    <n v="0"/>
    <n v="0"/>
    <n v="0"/>
    <n v="7"/>
    <n v="0"/>
    <n v="0"/>
    <n v="0"/>
    <n v="0"/>
    <n v="0"/>
    <n v="0"/>
    <n v="7"/>
    <n v="0"/>
    <n v="0"/>
    <n v="0"/>
    <n v="0"/>
    <n v="0"/>
    <n v="0"/>
    <n v="0"/>
    <n v="0"/>
    <n v="0"/>
    <n v="0"/>
    <n v="0"/>
    <n v="0"/>
    <n v="0"/>
    <n v="0"/>
    <x v="1"/>
    <x v="0"/>
    <x v="2"/>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3970"/>
    <x v="4"/>
    <m/>
    <s v="Sainsbury's, 2-6 Werter Road"/>
    <m/>
    <n v="524058"/>
    <n v="175199"/>
    <x v="0"/>
    <m/>
    <m/>
    <n v="0"/>
    <n v="3"/>
    <n v="3"/>
    <n v="3"/>
    <n v="3"/>
    <x v="1"/>
    <s v="Redevelopment"/>
    <s v="NONE"/>
    <m/>
    <m/>
    <x v="0"/>
    <s v="Nil"/>
    <m/>
    <s v="BF"/>
    <s v="NB"/>
    <x v="2"/>
    <x v="1"/>
    <n v="0"/>
    <m/>
    <x v="0"/>
    <m/>
    <x v="2"/>
    <s v="M"/>
    <s v="PUT5"/>
    <m/>
    <n v="0"/>
    <n v="0"/>
    <n v="0"/>
    <n v="0"/>
    <n v="0"/>
    <n v="0"/>
    <n v="0"/>
    <n v="0"/>
    <n v="0"/>
    <n v="0"/>
    <n v="3"/>
    <n v="0"/>
    <n v="0"/>
    <n v="0"/>
    <n v="0"/>
    <n v="0"/>
    <n v="0"/>
    <n v="3"/>
    <n v="0"/>
    <n v="0"/>
    <n v="0"/>
    <n v="0"/>
    <n v="0"/>
    <n v="0"/>
    <n v="0"/>
    <n v="0"/>
    <n v="0"/>
    <n v="0"/>
    <n v="0"/>
    <n v="0"/>
    <n v="0"/>
    <n v="0"/>
    <x v="4"/>
    <x v="0"/>
    <x v="4"/>
    <n v="19"/>
    <m/>
    <m/>
    <m/>
    <m/>
    <m/>
    <m/>
    <m/>
    <m/>
    <m/>
    <n v="0.25"/>
    <n v="0.25"/>
    <n v="0.25"/>
    <n v="0.25"/>
    <n v="0.25"/>
    <n v="0.25"/>
    <n v="0.25"/>
    <n v="0.25"/>
    <n v="0.25"/>
    <n v="0.25"/>
    <n v="0.25"/>
    <n v="0"/>
    <n v="0.5"/>
  </r>
  <r>
    <n v="3942"/>
    <x v="4"/>
    <m/>
    <s v="Securicor Site, 80 Kirtling Street"/>
    <m/>
    <n v="529292"/>
    <n v="177503"/>
    <x v="15"/>
    <m/>
    <m/>
    <n v="0"/>
    <n v="177"/>
    <n v="177"/>
    <n v="208"/>
    <n v="208"/>
    <x v="0"/>
    <s v="Redevelopment"/>
    <s v="NONE"/>
    <m/>
    <m/>
    <x v="0"/>
    <s v="Nil"/>
    <m/>
    <s v="BF"/>
    <s v="NB"/>
    <x v="0"/>
    <x v="0"/>
    <n v="0"/>
    <m/>
    <x v="0"/>
    <m/>
    <x v="2"/>
    <s v="M"/>
    <s v="NE3"/>
    <m/>
    <n v="0"/>
    <n v="0"/>
    <n v="0"/>
    <n v="0"/>
    <n v="0"/>
    <n v="0"/>
    <n v="0"/>
    <n v="0"/>
    <n v="0"/>
    <n v="0"/>
    <n v="177"/>
    <n v="0"/>
    <n v="0"/>
    <n v="0"/>
    <n v="0"/>
    <n v="0"/>
    <n v="0"/>
    <n v="177"/>
    <n v="0"/>
    <n v="0"/>
    <n v="0"/>
    <n v="0"/>
    <n v="0"/>
    <n v="0"/>
    <n v="0"/>
    <n v="0"/>
    <n v="0"/>
    <n v="0"/>
    <n v="0"/>
    <n v="0"/>
    <n v="0"/>
    <n v="0"/>
    <x v="0"/>
    <x v="1"/>
    <x v="7"/>
    <n v="20"/>
    <m/>
    <m/>
    <m/>
    <m/>
    <m/>
    <n v="177"/>
    <m/>
    <m/>
    <m/>
    <m/>
    <m/>
    <m/>
    <m/>
    <m/>
    <m/>
    <m/>
    <m/>
    <m/>
    <m/>
    <m/>
    <n v="177"/>
    <n v="177"/>
  </r>
  <r>
    <n v="3942"/>
    <x v="4"/>
    <m/>
    <s v="Securicor Site, 80 Kirtling Street"/>
    <m/>
    <n v="529292"/>
    <n v="177503"/>
    <x v="15"/>
    <m/>
    <m/>
    <n v="0"/>
    <n v="19"/>
    <n v="19"/>
    <n v="208"/>
    <n v="208"/>
    <x v="0"/>
    <s v="Redevelopment"/>
    <s v="NONE"/>
    <m/>
    <m/>
    <x v="0"/>
    <s v="Nil"/>
    <m/>
    <s v="BF"/>
    <s v="NB"/>
    <x v="0"/>
    <x v="0"/>
    <n v="0"/>
    <m/>
    <x v="0"/>
    <m/>
    <x v="1"/>
    <s v="AA"/>
    <s v="NE3"/>
    <m/>
    <n v="0"/>
    <n v="0"/>
    <n v="0"/>
    <n v="0"/>
    <n v="0"/>
    <n v="0"/>
    <n v="0"/>
    <n v="0"/>
    <n v="0"/>
    <n v="0"/>
    <n v="19"/>
    <n v="0"/>
    <n v="0"/>
    <n v="0"/>
    <n v="0"/>
    <n v="0"/>
    <n v="0"/>
    <n v="19"/>
    <n v="0"/>
    <n v="0"/>
    <n v="0"/>
    <n v="0"/>
    <n v="0"/>
    <n v="0"/>
    <n v="0"/>
    <n v="0"/>
    <n v="0"/>
    <n v="0"/>
    <n v="0"/>
    <n v="0"/>
    <n v="0"/>
    <n v="0"/>
    <x v="0"/>
    <x v="1"/>
    <x v="7"/>
    <n v="20"/>
    <m/>
    <m/>
    <m/>
    <m/>
    <m/>
    <n v="19"/>
    <m/>
    <m/>
    <m/>
    <m/>
    <m/>
    <m/>
    <m/>
    <m/>
    <m/>
    <m/>
    <m/>
    <m/>
    <m/>
    <m/>
    <n v="19"/>
    <n v="19"/>
  </r>
  <r>
    <n v="3942"/>
    <x v="4"/>
    <m/>
    <s v="Securicor Site, 80 Kirtling Street"/>
    <m/>
    <n v="529292"/>
    <n v="177503"/>
    <x v="15"/>
    <m/>
    <m/>
    <n v="0"/>
    <n v="12"/>
    <n v="12"/>
    <n v="208"/>
    <n v="208"/>
    <x v="0"/>
    <s v="Redevelopment"/>
    <s v="NONE"/>
    <m/>
    <m/>
    <x v="0"/>
    <s v="Nil"/>
    <m/>
    <s v="BF"/>
    <s v="NB"/>
    <x v="0"/>
    <x v="0"/>
    <n v="0"/>
    <m/>
    <x v="0"/>
    <m/>
    <x v="0"/>
    <s v="IU"/>
    <s v="NE3"/>
    <m/>
    <n v="0"/>
    <n v="0"/>
    <n v="0"/>
    <n v="0"/>
    <n v="0"/>
    <n v="0"/>
    <n v="0"/>
    <n v="0"/>
    <n v="0"/>
    <n v="0"/>
    <n v="12"/>
    <n v="0"/>
    <n v="0"/>
    <n v="0"/>
    <n v="0"/>
    <n v="0"/>
    <n v="0"/>
    <n v="12"/>
    <n v="0"/>
    <n v="0"/>
    <n v="0"/>
    <n v="0"/>
    <n v="0"/>
    <n v="0"/>
    <n v="0"/>
    <n v="0"/>
    <n v="0"/>
    <n v="0"/>
    <n v="0"/>
    <n v="0"/>
    <n v="0"/>
    <n v="0"/>
    <x v="0"/>
    <x v="1"/>
    <x v="7"/>
    <n v="20"/>
    <m/>
    <m/>
    <m/>
    <m/>
    <m/>
    <n v="12"/>
    <m/>
    <m/>
    <m/>
    <m/>
    <m/>
    <m/>
    <m/>
    <m/>
    <m/>
    <m/>
    <m/>
    <m/>
    <m/>
    <m/>
    <n v="12"/>
    <n v="12"/>
  </r>
  <r>
    <n v="7543"/>
    <x v="4"/>
    <m/>
    <s v="Southfields Library  and adjoining carpark to the west, 300 Wimbledon Park Road, SW19 6NL"/>
    <m/>
    <n v="524585"/>
    <n v="173139"/>
    <x v="19"/>
    <m/>
    <m/>
    <n v="0"/>
    <n v="6"/>
    <n v="6"/>
    <n v="6"/>
    <n v="6"/>
    <x v="1"/>
    <s v="Redevelopment"/>
    <s v="NONE"/>
    <m/>
    <m/>
    <x v="0"/>
    <s v="Nil"/>
    <m/>
    <s v="BF"/>
    <s v="NB"/>
    <x v="2"/>
    <x v="1"/>
    <n v="0"/>
    <m/>
    <x v="0"/>
    <m/>
    <x v="2"/>
    <s v="M"/>
    <m/>
    <m/>
    <n v="0"/>
    <n v="0"/>
    <n v="0"/>
    <n v="0"/>
    <n v="0"/>
    <n v="0"/>
    <n v="0"/>
    <n v="0"/>
    <n v="0"/>
    <n v="0"/>
    <n v="6"/>
    <n v="0"/>
    <n v="0"/>
    <n v="0"/>
    <n v="0"/>
    <n v="0"/>
    <n v="0"/>
    <n v="6"/>
    <n v="0"/>
    <n v="0"/>
    <n v="0"/>
    <n v="0"/>
    <n v="0"/>
    <n v="0"/>
    <n v="0"/>
    <n v="0"/>
    <n v="0"/>
    <n v="0"/>
    <n v="0"/>
    <n v="0"/>
    <n v="0"/>
    <n v="0"/>
    <x v="0"/>
    <x v="0"/>
    <x v="1"/>
    <n v="19"/>
    <m/>
    <m/>
    <m/>
    <m/>
    <m/>
    <n v="6"/>
    <m/>
    <m/>
    <m/>
    <m/>
    <m/>
    <m/>
    <m/>
    <m/>
    <m/>
    <m/>
    <m/>
    <m/>
    <m/>
    <m/>
    <n v="6"/>
    <n v="6"/>
  </r>
  <r>
    <n v="7586"/>
    <x v="4"/>
    <m/>
    <s v="Southside Shopping Centre, Wandsworth High Street, SW18"/>
    <m/>
    <n v="525580.16070000001"/>
    <n v="174464.45579999901"/>
    <x v="6"/>
    <m/>
    <m/>
    <n v="0"/>
    <n v="610"/>
    <n v="610"/>
    <n v="910"/>
    <n v="910"/>
    <x v="0"/>
    <s v="Redevelopment"/>
    <s v="NONE"/>
    <m/>
    <m/>
    <x v="0"/>
    <s v="Nil"/>
    <m/>
    <s v="BF"/>
    <s v="NB"/>
    <x v="0"/>
    <x v="0"/>
    <n v="0"/>
    <m/>
    <x v="0"/>
    <m/>
    <x v="2"/>
    <s v="M"/>
    <s v="WT20"/>
    <m/>
    <n v="0"/>
    <n v="0"/>
    <n v="0"/>
    <n v="0"/>
    <n v="0"/>
    <n v="0"/>
    <n v="0"/>
    <n v="0"/>
    <n v="0"/>
    <n v="0"/>
    <n v="610"/>
    <n v="0"/>
    <n v="0"/>
    <n v="0"/>
    <n v="0"/>
    <n v="0"/>
    <n v="0"/>
    <n v="610"/>
    <n v="0"/>
    <n v="0"/>
    <n v="0"/>
    <n v="0"/>
    <n v="0"/>
    <n v="0"/>
    <n v="0"/>
    <n v="0"/>
    <n v="0"/>
    <n v="0"/>
    <n v="0"/>
    <n v="0"/>
    <n v="0"/>
    <n v="0"/>
    <x v="3"/>
    <x v="0"/>
    <x v="0"/>
    <n v="19"/>
    <m/>
    <m/>
    <m/>
    <m/>
    <n v="61"/>
    <n v="61"/>
    <n v="61"/>
    <n v="61"/>
    <n v="61"/>
    <n v="61"/>
    <n v="61"/>
    <n v="61"/>
    <n v="61"/>
    <n v="61"/>
    <m/>
    <m/>
    <m/>
    <m/>
    <m/>
    <m/>
    <n v="122"/>
    <n v="427"/>
  </r>
  <r>
    <n v="7586"/>
    <x v="4"/>
    <m/>
    <s v="Southside Shopping Centre, Wandsworth High Street, SW18"/>
    <m/>
    <n v="525580.16070000001"/>
    <n v="174464.45579999901"/>
    <x v="6"/>
    <m/>
    <m/>
    <n v="0"/>
    <n v="182"/>
    <n v="182"/>
    <n v="910"/>
    <n v="910"/>
    <x v="0"/>
    <s v="Redevelopment"/>
    <s v="NONE"/>
    <m/>
    <m/>
    <x v="0"/>
    <s v="Nil"/>
    <m/>
    <s v="BF"/>
    <s v="NB"/>
    <x v="0"/>
    <x v="0"/>
    <n v="0"/>
    <m/>
    <x v="0"/>
    <m/>
    <x v="1"/>
    <s v="AA"/>
    <s v="WT20"/>
    <m/>
    <n v="0"/>
    <n v="0"/>
    <n v="0"/>
    <n v="0"/>
    <n v="0"/>
    <n v="0"/>
    <n v="0"/>
    <n v="0"/>
    <n v="0"/>
    <n v="0"/>
    <n v="182"/>
    <n v="0"/>
    <n v="0"/>
    <n v="0"/>
    <n v="0"/>
    <n v="0"/>
    <n v="0"/>
    <n v="182"/>
    <n v="0"/>
    <n v="0"/>
    <n v="0"/>
    <n v="0"/>
    <n v="0"/>
    <n v="0"/>
    <n v="0"/>
    <n v="0"/>
    <n v="0"/>
    <n v="0"/>
    <n v="0"/>
    <n v="0"/>
    <n v="0"/>
    <n v="0"/>
    <x v="3"/>
    <x v="0"/>
    <x v="0"/>
    <n v="19"/>
    <m/>
    <m/>
    <m/>
    <m/>
    <n v="18.2"/>
    <n v="18.2"/>
    <n v="18.2"/>
    <n v="18.2"/>
    <n v="18.2"/>
    <n v="18.2"/>
    <n v="18.2"/>
    <n v="18.2"/>
    <n v="18.2"/>
    <n v="18.2"/>
    <m/>
    <m/>
    <m/>
    <m/>
    <m/>
    <m/>
    <n v="36.4"/>
    <n v="127.4"/>
  </r>
  <r>
    <n v="7586"/>
    <x v="4"/>
    <m/>
    <s v="Southside Shopping Centre, Wandsworth High Street, SW18"/>
    <m/>
    <n v="525580.16070000001"/>
    <n v="174464.45579999901"/>
    <x v="6"/>
    <m/>
    <m/>
    <n v="0"/>
    <n v="118"/>
    <n v="118"/>
    <n v="910"/>
    <n v="910"/>
    <x v="0"/>
    <s v="Redevelopment"/>
    <s v="NONE"/>
    <m/>
    <m/>
    <x v="0"/>
    <s v="Nil"/>
    <m/>
    <s v="BF"/>
    <s v="NB"/>
    <x v="0"/>
    <x v="0"/>
    <n v="0"/>
    <m/>
    <x v="0"/>
    <m/>
    <x v="0"/>
    <s v="IU"/>
    <s v="WT20"/>
    <m/>
    <n v="0"/>
    <n v="0"/>
    <n v="0"/>
    <n v="0"/>
    <n v="0"/>
    <n v="0"/>
    <n v="0"/>
    <n v="0"/>
    <n v="0"/>
    <n v="0"/>
    <n v="118"/>
    <n v="0"/>
    <n v="0"/>
    <n v="0"/>
    <n v="0"/>
    <n v="0"/>
    <n v="0"/>
    <n v="118"/>
    <n v="0"/>
    <n v="0"/>
    <n v="0"/>
    <n v="0"/>
    <n v="0"/>
    <n v="0"/>
    <n v="0"/>
    <n v="0"/>
    <n v="0"/>
    <n v="0"/>
    <n v="0"/>
    <n v="0"/>
    <n v="0"/>
    <n v="0"/>
    <x v="3"/>
    <x v="0"/>
    <x v="0"/>
    <n v="19"/>
    <m/>
    <m/>
    <m/>
    <m/>
    <n v="11.8"/>
    <n v="11.8"/>
    <n v="11.8"/>
    <n v="11.8"/>
    <n v="11.8"/>
    <n v="11.8"/>
    <n v="11.8"/>
    <n v="11.8"/>
    <n v="11.8"/>
    <n v="11.8"/>
    <m/>
    <m/>
    <m/>
    <m/>
    <m/>
    <m/>
    <n v="23.6"/>
    <n v="82.6"/>
  </r>
  <r>
    <n v="7579"/>
    <x v="4"/>
    <m/>
    <s v="St George's Hospital, Blackshaw SW17"/>
    <m/>
    <n v="526984"/>
    <n v="171324"/>
    <x v="3"/>
    <m/>
    <m/>
    <n v="0"/>
    <n v="63"/>
    <n v="63"/>
    <n v="94"/>
    <n v="94"/>
    <x v="0"/>
    <s v="Redevelopment"/>
    <s v="NONE"/>
    <m/>
    <m/>
    <x v="0"/>
    <s v="Nil"/>
    <m/>
    <s v="BF"/>
    <s v="NB"/>
    <x v="0"/>
    <x v="0"/>
    <n v="0"/>
    <m/>
    <x v="0"/>
    <m/>
    <x v="2"/>
    <s v="M"/>
    <s v="TO2"/>
    <m/>
    <n v="0"/>
    <n v="0"/>
    <n v="0"/>
    <n v="0"/>
    <n v="0"/>
    <n v="0"/>
    <n v="0"/>
    <n v="0"/>
    <n v="0"/>
    <n v="0"/>
    <n v="63"/>
    <n v="0"/>
    <n v="0"/>
    <n v="0"/>
    <n v="0"/>
    <n v="0"/>
    <n v="0"/>
    <n v="63"/>
    <n v="0"/>
    <n v="0"/>
    <n v="0"/>
    <n v="0"/>
    <n v="0"/>
    <n v="0"/>
    <n v="0"/>
    <n v="0"/>
    <n v="0"/>
    <n v="0"/>
    <n v="0"/>
    <n v="0"/>
    <n v="0"/>
    <n v="0"/>
    <x v="0"/>
    <x v="0"/>
    <x v="3"/>
    <n v="19"/>
    <m/>
    <m/>
    <m/>
    <m/>
    <m/>
    <n v="3.9375"/>
    <n v="3.9375"/>
    <n v="3.9375"/>
    <n v="3.9375"/>
    <n v="3.9375"/>
    <n v="3.9375"/>
    <n v="3.9375"/>
    <n v="3.9375"/>
    <n v="3.9375"/>
    <n v="3.9375"/>
    <n v="3.9375"/>
    <n v="3.9375"/>
    <n v="3.9375"/>
    <n v="3.9375"/>
    <n v="3.9375"/>
    <n v="3.9375"/>
    <n v="23.625"/>
  </r>
  <r>
    <n v="7579"/>
    <x v="4"/>
    <m/>
    <s v="St George's Hospital, Blackshaw SW17"/>
    <m/>
    <n v="526984"/>
    <n v="171324"/>
    <x v="3"/>
    <m/>
    <m/>
    <n v="0"/>
    <n v="19"/>
    <n v="19"/>
    <n v="94"/>
    <n v="94"/>
    <x v="0"/>
    <s v="Redevelopment"/>
    <s v="NONE"/>
    <m/>
    <m/>
    <x v="0"/>
    <s v="Nil"/>
    <m/>
    <s v="BF"/>
    <s v="NB"/>
    <x v="0"/>
    <x v="0"/>
    <n v="0"/>
    <m/>
    <x v="0"/>
    <m/>
    <x v="1"/>
    <s v="AA"/>
    <s v="TO2"/>
    <m/>
    <n v="0"/>
    <n v="0"/>
    <n v="0"/>
    <n v="0"/>
    <n v="0"/>
    <n v="0"/>
    <n v="0"/>
    <n v="0"/>
    <n v="0"/>
    <n v="0"/>
    <n v="19"/>
    <n v="0"/>
    <n v="0"/>
    <n v="0"/>
    <n v="0"/>
    <n v="0"/>
    <n v="0"/>
    <n v="19"/>
    <n v="0"/>
    <n v="0"/>
    <n v="0"/>
    <n v="0"/>
    <n v="0"/>
    <n v="0"/>
    <n v="0"/>
    <n v="0"/>
    <n v="0"/>
    <n v="0"/>
    <n v="0"/>
    <n v="0"/>
    <n v="0"/>
    <n v="0"/>
    <x v="0"/>
    <x v="0"/>
    <x v="3"/>
    <n v="19"/>
    <m/>
    <m/>
    <m/>
    <m/>
    <m/>
    <n v="1.1875"/>
    <n v="1.1875"/>
    <n v="1.1875"/>
    <n v="1.1875"/>
    <n v="1.1875"/>
    <n v="1.1875"/>
    <n v="1.1875"/>
    <n v="1.1875"/>
    <n v="1.1875"/>
    <n v="1.1875"/>
    <n v="1.1875"/>
    <n v="1.1875"/>
    <n v="1.1875"/>
    <n v="1.1875"/>
    <n v="1.1875"/>
    <n v="1.1875"/>
    <n v="7.125"/>
  </r>
  <r>
    <n v="7579"/>
    <x v="4"/>
    <m/>
    <s v="St George's Hospital, Blackshaw SW17"/>
    <m/>
    <n v="526984"/>
    <n v="171324"/>
    <x v="3"/>
    <m/>
    <m/>
    <n v="0"/>
    <n v="12"/>
    <n v="12"/>
    <n v="94"/>
    <n v="94"/>
    <x v="0"/>
    <s v="Redevelopment"/>
    <s v="NONE"/>
    <m/>
    <m/>
    <x v="0"/>
    <s v="Nil"/>
    <m/>
    <s v="BF"/>
    <s v="NB"/>
    <x v="0"/>
    <x v="0"/>
    <n v="0"/>
    <m/>
    <x v="0"/>
    <m/>
    <x v="0"/>
    <s v="IU"/>
    <s v="TO2"/>
    <m/>
    <n v="0"/>
    <n v="0"/>
    <n v="0"/>
    <n v="0"/>
    <n v="0"/>
    <n v="0"/>
    <n v="0"/>
    <n v="0"/>
    <n v="0"/>
    <n v="0"/>
    <n v="12"/>
    <n v="0"/>
    <n v="0"/>
    <n v="0"/>
    <n v="0"/>
    <n v="0"/>
    <n v="0"/>
    <n v="12"/>
    <n v="0"/>
    <n v="0"/>
    <n v="0"/>
    <n v="0"/>
    <n v="0"/>
    <n v="0"/>
    <n v="0"/>
    <n v="0"/>
    <n v="0"/>
    <n v="0"/>
    <n v="0"/>
    <n v="0"/>
    <n v="0"/>
    <n v="0"/>
    <x v="0"/>
    <x v="0"/>
    <x v="3"/>
    <n v="19"/>
    <m/>
    <m/>
    <m/>
    <m/>
    <m/>
    <n v="0.75"/>
    <n v="0.75"/>
    <n v="0.75"/>
    <n v="0.75"/>
    <n v="0.75"/>
    <n v="0.75"/>
    <n v="0.75"/>
    <n v="0.75"/>
    <n v="0.75"/>
    <n v="0.75"/>
    <n v="0.75"/>
    <n v="0.75"/>
    <n v="0.75"/>
    <n v="0.75"/>
    <n v="0.75"/>
    <n v="0.75"/>
    <n v="4.5"/>
  </r>
  <r>
    <n v="6872"/>
    <x v="4"/>
    <m/>
    <s v="Travelodge Hotel, 200 York Road"/>
    <m/>
    <n v="526497"/>
    <n v="175661"/>
    <x v="5"/>
    <m/>
    <m/>
    <n v="0"/>
    <n v="9"/>
    <n v="9"/>
    <n v="9"/>
    <n v="9"/>
    <x v="1"/>
    <s v="Redevelopment"/>
    <s v="NONE"/>
    <m/>
    <m/>
    <x v="0"/>
    <s v="Nil"/>
    <m/>
    <s v="BF"/>
    <s v="NB"/>
    <x v="2"/>
    <x v="1"/>
    <n v="0"/>
    <m/>
    <x v="0"/>
    <m/>
    <x v="2"/>
    <s v="M"/>
    <s v="RIV10"/>
    <m/>
    <n v="0"/>
    <n v="0"/>
    <n v="0"/>
    <n v="0"/>
    <n v="0"/>
    <n v="0"/>
    <n v="0"/>
    <n v="0"/>
    <n v="0"/>
    <n v="0"/>
    <n v="9"/>
    <n v="0"/>
    <n v="0"/>
    <n v="0"/>
    <n v="0"/>
    <n v="0"/>
    <n v="0"/>
    <n v="9"/>
    <n v="0"/>
    <n v="0"/>
    <n v="0"/>
    <n v="0"/>
    <n v="0"/>
    <n v="0"/>
    <n v="0"/>
    <n v="0"/>
    <n v="0"/>
    <n v="0"/>
    <n v="0"/>
    <n v="0"/>
    <n v="0"/>
    <n v="0"/>
    <x v="0"/>
    <x v="0"/>
    <x v="8"/>
    <n v="19"/>
    <m/>
    <m/>
    <m/>
    <m/>
    <m/>
    <m/>
    <m/>
    <m/>
    <m/>
    <n v="0.75"/>
    <n v="0.75"/>
    <n v="0.75"/>
    <n v="0.75"/>
    <n v="0.75"/>
    <n v="0.75"/>
    <n v="0.75"/>
    <n v="0.75"/>
    <n v="0.75"/>
    <n v="0.75"/>
    <n v="0.75"/>
    <n v="0"/>
    <n v="1.5"/>
  </r>
  <r>
    <n v="6870"/>
    <x v="4"/>
    <m/>
    <s v="Travis Perkins, 37 Lombard Road"/>
    <m/>
    <n v="526722"/>
    <n v="176263"/>
    <x v="5"/>
    <m/>
    <m/>
    <n v="0"/>
    <n v="139"/>
    <n v="139"/>
    <n v="207"/>
    <n v="207"/>
    <x v="0"/>
    <s v="Redevelopment"/>
    <s v="NONE"/>
    <m/>
    <m/>
    <x v="0"/>
    <s v="Nil"/>
    <m/>
    <s v="BF"/>
    <s v="NB"/>
    <x v="0"/>
    <x v="0"/>
    <n v="0"/>
    <m/>
    <x v="0"/>
    <m/>
    <x v="2"/>
    <s v="M"/>
    <s v="RIV7"/>
    <m/>
    <n v="0"/>
    <n v="0"/>
    <n v="0"/>
    <n v="0"/>
    <n v="0"/>
    <n v="0"/>
    <n v="0"/>
    <n v="0"/>
    <n v="0"/>
    <n v="0"/>
    <n v="139"/>
    <n v="0"/>
    <n v="0"/>
    <n v="0"/>
    <n v="0"/>
    <n v="0"/>
    <n v="0"/>
    <n v="139"/>
    <n v="0"/>
    <n v="0"/>
    <n v="0"/>
    <n v="0"/>
    <n v="0"/>
    <n v="0"/>
    <n v="0"/>
    <n v="0"/>
    <n v="0"/>
    <n v="0"/>
    <n v="0"/>
    <n v="0"/>
    <n v="0"/>
    <n v="0"/>
    <x v="0"/>
    <x v="0"/>
    <x v="8"/>
    <n v="19"/>
    <m/>
    <m/>
    <m/>
    <m/>
    <m/>
    <n v="8.6875"/>
    <n v="8.6875"/>
    <n v="8.6875"/>
    <n v="8.6875"/>
    <n v="8.6875"/>
    <n v="8.6875"/>
    <n v="8.6875"/>
    <n v="8.6875"/>
    <n v="8.6875"/>
    <n v="8.6875"/>
    <n v="8.6875"/>
    <n v="8.6875"/>
    <n v="8.6875"/>
    <n v="8.6875"/>
    <n v="8.6875"/>
    <n v="8.6875"/>
    <n v="52.125"/>
  </r>
  <r>
    <n v="6870"/>
    <x v="4"/>
    <m/>
    <s v="Travis Perkins, 37 Lombard Road"/>
    <m/>
    <n v="526722"/>
    <n v="176263"/>
    <x v="5"/>
    <m/>
    <m/>
    <n v="0"/>
    <n v="41"/>
    <n v="41"/>
    <n v="207"/>
    <n v="207"/>
    <x v="0"/>
    <s v="Redevelopment"/>
    <s v="NONE"/>
    <m/>
    <m/>
    <x v="0"/>
    <s v="Nil"/>
    <m/>
    <s v="BF"/>
    <s v="NB"/>
    <x v="0"/>
    <x v="0"/>
    <n v="0"/>
    <m/>
    <x v="0"/>
    <m/>
    <x v="1"/>
    <s v="AA"/>
    <s v="RIV7"/>
    <m/>
    <n v="0"/>
    <n v="0"/>
    <n v="0"/>
    <n v="0"/>
    <n v="0"/>
    <n v="0"/>
    <n v="0"/>
    <n v="0"/>
    <n v="0"/>
    <n v="0"/>
    <n v="41"/>
    <n v="0"/>
    <n v="0"/>
    <n v="0"/>
    <n v="0"/>
    <n v="0"/>
    <n v="0"/>
    <n v="41"/>
    <n v="0"/>
    <n v="0"/>
    <n v="0"/>
    <n v="0"/>
    <n v="0"/>
    <n v="0"/>
    <n v="0"/>
    <n v="0"/>
    <n v="0"/>
    <n v="0"/>
    <n v="0"/>
    <n v="0"/>
    <n v="0"/>
    <n v="0"/>
    <x v="0"/>
    <x v="0"/>
    <x v="8"/>
    <n v="19"/>
    <m/>
    <m/>
    <m/>
    <m/>
    <m/>
    <n v="2.5625"/>
    <n v="2.5625"/>
    <n v="2.5625"/>
    <n v="2.5625"/>
    <n v="2.5625"/>
    <n v="2.5625"/>
    <n v="2.5625"/>
    <n v="2.5625"/>
    <n v="2.5625"/>
    <n v="2.5625"/>
    <n v="2.5625"/>
    <n v="2.5625"/>
    <n v="2.5625"/>
    <n v="2.5625"/>
    <n v="2.5625"/>
    <n v="2.5625"/>
    <n v="15.375"/>
  </r>
  <r>
    <n v="6870"/>
    <x v="4"/>
    <m/>
    <s v="Travis Perkins, 37 Lombard Road"/>
    <m/>
    <n v="526722"/>
    <n v="176263"/>
    <x v="5"/>
    <m/>
    <m/>
    <n v="0"/>
    <n v="27"/>
    <n v="27"/>
    <n v="207"/>
    <n v="207"/>
    <x v="0"/>
    <s v="Redevelopment"/>
    <s v="NONE"/>
    <m/>
    <m/>
    <x v="0"/>
    <s v="Nil"/>
    <m/>
    <s v="BF"/>
    <s v="NB"/>
    <x v="0"/>
    <x v="0"/>
    <n v="0"/>
    <m/>
    <x v="0"/>
    <m/>
    <x v="0"/>
    <s v="IU"/>
    <s v="RIV7"/>
    <m/>
    <n v="0"/>
    <n v="0"/>
    <n v="0"/>
    <n v="0"/>
    <n v="0"/>
    <n v="0"/>
    <n v="0"/>
    <n v="0"/>
    <n v="0"/>
    <n v="0"/>
    <n v="27"/>
    <n v="0"/>
    <n v="0"/>
    <n v="0"/>
    <n v="0"/>
    <n v="0"/>
    <n v="0"/>
    <n v="27"/>
    <n v="0"/>
    <n v="0"/>
    <n v="0"/>
    <n v="0"/>
    <n v="0"/>
    <n v="0"/>
    <n v="0"/>
    <n v="0"/>
    <n v="0"/>
    <n v="0"/>
    <n v="0"/>
    <n v="0"/>
    <n v="0"/>
    <n v="0"/>
    <x v="0"/>
    <x v="0"/>
    <x v="8"/>
    <n v="19"/>
    <m/>
    <m/>
    <m/>
    <m/>
    <m/>
    <n v="1.6875"/>
    <n v="1.6875"/>
    <n v="1.6875"/>
    <n v="1.6875"/>
    <n v="1.6875"/>
    <n v="1.6875"/>
    <n v="1.6875"/>
    <n v="1.6875"/>
    <n v="1.6875"/>
    <n v="1.6875"/>
    <n v="1.6875"/>
    <n v="1.6875"/>
    <n v="1.6875"/>
    <n v="1.6875"/>
    <n v="1.6875"/>
    <n v="1.6875"/>
    <n v="10.125"/>
  </r>
  <r>
    <n v="3956"/>
    <x v="4"/>
    <m/>
    <s v="Wandsworth Bridge Roundabout"/>
    <m/>
    <n v="526150"/>
    <n v="175269"/>
    <x v="5"/>
    <m/>
    <m/>
    <n v="0"/>
    <n v="14"/>
    <n v="14"/>
    <n v="21"/>
    <n v="21"/>
    <x v="0"/>
    <s v="Redevelopment"/>
    <s v="NONE"/>
    <m/>
    <m/>
    <x v="0"/>
    <s v="Nil"/>
    <m/>
    <s v="BF"/>
    <s v="NB"/>
    <x v="0"/>
    <x v="0"/>
    <n v="0"/>
    <m/>
    <x v="0"/>
    <m/>
    <x v="2"/>
    <s v="M"/>
    <s v="WT16"/>
    <m/>
    <n v="0"/>
    <n v="0"/>
    <n v="0"/>
    <n v="0"/>
    <n v="0"/>
    <n v="0"/>
    <n v="0"/>
    <n v="0"/>
    <n v="0"/>
    <n v="0"/>
    <n v="14"/>
    <n v="0"/>
    <n v="0"/>
    <n v="0"/>
    <n v="0"/>
    <n v="0"/>
    <n v="0"/>
    <n v="14"/>
    <n v="0"/>
    <n v="0"/>
    <n v="0"/>
    <n v="0"/>
    <n v="0"/>
    <n v="0"/>
    <n v="0"/>
    <n v="0"/>
    <n v="0"/>
    <n v="0"/>
    <n v="0"/>
    <n v="0"/>
    <n v="0"/>
    <n v="0"/>
    <x v="0"/>
    <x v="0"/>
    <x v="0"/>
    <n v="19"/>
    <m/>
    <m/>
    <m/>
    <m/>
    <m/>
    <m/>
    <m/>
    <m/>
    <m/>
    <n v="1.1666666666666667"/>
    <n v="1.1666666666666667"/>
    <n v="1.1666666666666667"/>
    <n v="1.1666666666666667"/>
    <n v="1.1666666666666667"/>
    <n v="1.1666666666666667"/>
    <n v="1.1666666666666667"/>
    <n v="1.1666666666666667"/>
    <n v="1.1666666666666667"/>
    <n v="1.1666666666666667"/>
    <n v="1.1666666666666667"/>
    <n v="0"/>
    <n v="2.3333333333333335"/>
  </r>
  <r>
    <n v="3956"/>
    <x v="4"/>
    <m/>
    <s v="Wandsworth Bridge Roundabout"/>
    <m/>
    <n v="526150"/>
    <n v="175269"/>
    <x v="5"/>
    <m/>
    <m/>
    <n v="0"/>
    <n v="4"/>
    <n v="4"/>
    <n v="21"/>
    <n v="21"/>
    <x v="0"/>
    <s v="Redevelopment"/>
    <s v="NONE"/>
    <m/>
    <m/>
    <x v="0"/>
    <s v="Nil"/>
    <m/>
    <s v="BF"/>
    <s v="NB"/>
    <x v="0"/>
    <x v="0"/>
    <n v="0"/>
    <m/>
    <x v="0"/>
    <m/>
    <x v="1"/>
    <s v="AA"/>
    <s v="WT16"/>
    <m/>
    <n v="0"/>
    <n v="0"/>
    <n v="0"/>
    <n v="0"/>
    <n v="0"/>
    <n v="0"/>
    <n v="0"/>
    <n v="0"/>
    <n v="0"/>
    <n v="0"/>
    <n v="4"/>
    <n v="0"/>
    <n v="0"/>
    <n v="0"/>
    <n v="0"/>
    <n v="0"/>
    <n v="0"/>
    <n v="4"/>
    <n v="0"/>
    <n v="0"/>
    <n v="0"/>
    <n v="0"/>
    <n v="0"/>
    <n v="0"/>
    <n v="0"/>
    <n v="0"/>
    <n v="0"/>
    <n v="0"/>
    <n v="0"/>
    <n v="0"/>
    <n v="0"/>
    <n v="0"/>
    <x v="0"/>
    <x v="0"/>
    <x v="0"/>
    <n v="19"/>
    <m/>
    <m/>
    <m/>
    <m/>
    <m/>
    <m/>
    <m/>
    <m/>
    <m/>
    <n v="0.33333333333333331"/>
    <n v="0.33333333333333331"/>
    <n v="0.33333333333333331"/>
    <n v="0.33333333333333331"/>
    <n v="0.33333333333333331"/>
    <n v="0.33333333333333331"/>
    <n v="0.33333333333333331"/>
    <n v="0.33333333333333331"/>
    <n v="0.33333333333333331"/>
    <n v="0.33333333333333331"/>
    <n v="0.33333333333333331"/>
    <n v="0"/>
    <n v="0.66666666666666663"/>
  </r>
  <r>
    <n v="3956"/>
    <x v="4"/>
    <m/>
    <s v="Wandsworth Bridge Roundabout"/>
    <m/>
    <n v="526150"/>
    <n v="175269"/>
    <x v="5"/>
    <m/>
    <m/>
    <n v="0"/>
    <n v="3"/>
    <n v="3"/>
    <n v="21"/>
    <n v="21"/>
    <x v="0"/>
    <s v="Redevelopment"/>
    <s v="NONE"/>
    <m/>
    <m/>
    <x v="0"/>
    <s v="Nil"/>
    <m/>
    <s v="BF"/>
    <s v="NB"/>
    <x v="0"/>
    <x v="0"/>
    <n v="0"/>
    <m/>
    <x v="0"/>
    <m/>
    <x v="0"/>
    <s v="IU"/>
    <s v="WT16"/>
    <m/>
    <n v="0"/>
    <n v="0"/>
    <n v="0"/>
    <n v="0"/>
    <n v="0"/>
    <n v="0"/>
    <n v="0"/>
    <n v="0"/>
    <n v="0"/>
    <n v="0"/>
    <n v="3"/>
    <n v="0"/>
    <n v="0"/>
    <n v="0"/>
    <n v="0"/>
    <n v="0"/>
    <n v="0"/>
    <n v="3"/>
    <n v="0"/>
    <n v="0"/>
    <n v="0"/>
    <n v="0"/>
    <n v="0"/>
    <n v="0"/>
    <n v="0"/>
    <n v="0"/>
    <n v="0"/>
    <n v="0"/>
    <n v="0"/>
    <n v="0"/>
    <n v="0"/>
    <n v="0"/>
    <x v="0"/>
    <x v="0"/>
    <x v="0"/>
    <n v="19"/>
    <m/>
    <m/>
    <m/>
    <m/>
    <m/>
    <m/>
    <m/>
    <m/>
    <m/>
    <n v="0.25"/>
    <n v="0.25"/>
    <n v="0.25"/>
    <n v="0.25"/>
    <n v="0.25"/>
    <n v="0.25"/>
    <n v="0.25"/>
    <n v="0.25"/>
    <n v="0.25"/>
    <n v="0.25"/>
    <n v="0.25"/>
    <n v="0"/>
    <n v="0.5"/>
  </r>
  <r>
    <n v="4283"/>
    <x v="4"/>
    <m/>
    <s v="Wandsworth Bus Garage, Jews Row"/>
    <m/>
    <n v="525979"/>
    <n v="175334"/>
    <x v="5"/>
    <m/>
    <m/>
    <n v="0"/>
    <n v="3"/>
    <n v="3"/>
    <n v="3"/>
    <n v="3"/>
    <x v="1"/>
    <s v="Redevelopment"/>
    <s v="NONE"/>
    <m/>
    <m/>
    <x v="0"/>
    <s v="Nil"/>
    <m/>
    <s v="BF"/>
    <s v="MIX"/>
    <x v="2"/>
    <x v="1"/>
    <n v="0"/>
    <m/>
    <x v="0"/>
    <m/>
    <x v="2"/>
    <s v="M"/>
    <s v="WT17"/>
    <m/>
    <n v="0"/>
    <n v="0"/>
    <n v="0"/>
    <n v="0"/>
    <n v="0"/>
    <n v="0"/>
    <n v="0"/>
    <n v="0"/>
    <n v="0"/>
    <n v="0"/>
    <n v="3"/>
    <n v="0"/>
    <n v="0"/>
    <n v="0"/>
    <n v="0"/>
    <n v="0"/>
    <n v="0"/>
    <n v="3"/>
    <n v="0"/>
    <n v="0"/>
    <n v="0"/>
    <n v="0"/>
    <n v="0"/>
    <n v="0"/>
    <n v="0"/>
    <n v="0"/>
    <n v="0"/>
    <n v="0"/>
    <n v="0"/>
    <n v="0"/>
    <n v="0"/>
    <n v="0"/>
    <x v="0"/>
    <x v="0"/>
    <x v="0"/>
    <n v="19"/>
    <m/>
    <m/>
    <m/>
    <m/>
    <m/>
    <m/>
    <m/>
    <m/>
    <m/>
    <n v="0.25"/>
    <n v="0.25"/>
    <n v="0.25"/>
    <n v="0.25"/>
    <n v="0.25"/>
    <n v="0.25"/>
    <n v="0.25"/>
    <n v="0.25"/>
    <n v="0.25"/>
    <n v="0.25"/>
    <n v="0.25"/>
    <n v="0"/>
    <n v="0.5"/>
  </r>
  <r>
    <n v="7584"/>
    <x v="4"/>
    <m/>
    <s v="Wandsworth Town Hall, Wandsworth High Street, SW18"/>
    <m/>
    <n v="525773.66240000003"/>
    <n v="174729.85870000001"/>
    <x v="6"/>
    <m/>
    <m/>
    <n v="0"/>
    <n v="16"/>
    <n v="16"/>
    <n v="24"/>
    <n v="24"/>
    <x v="0"/>
    <s v="Redevelopment"/>
    <s v="NONE"/>
    <m/>
    <m/>
    <x v="0"/>
    <s v="Nil"/>
    <m/>
    <s v="BF"/>
    <s v="NB"/>
    <x v="0"/>
    <x v="0"/>
    <n v="0"/>
    <m/>
    <x v="0"/>
    <m/>
    <x v="2"/>
    <s v="M"/>
    <s v="WT19"/>
    <m/>
    <n v="0"/>
    <n v="0"/>
    <n v="0"/>
    <n v="0"/>
    <n v="0"/>
    <n v="0"/>
    <n v="0"/>
    <n v="0"/>
    <n v="0"/>
    <n v="0"/>
    <n v="16"/>
    <n v="0"/>
    <n v="0"/>
    <n v="0"/>
    <n v="0"/>
    <n v="0"/>
    <n v="0"/>
    <n v="16"/>
    <n v="0"/>
    <n v="0"/>
    <n v="0"/>
    <n v="0"/>
    <n v="0"/>
    <n v="0"/>
    <n v="0"/>
    <n v="0"/>
    <n v="0"/>
    <n v="0"/>
    <n v="0"/>
    <n v="0"/>
    <n v="0"/>
    <n v="0"/>
    <x v="3"/>
    <x v="0"/>
    <x v="0"/>
    <n v="19"/>
    <m/>
    <m/>
    <m/>
    <m/>
    <n v="1.6"/>
    <n v="1.6"/>
    <n v="1.6"/>
    <n v="1.6"/>
    <n v="1.6"/>
    <n v="1.6"/>
    <n v="1.6"/>
    <n v="1.6"/>
    <n v="1.6"/>
    <n v="1.6"/>
    <m/>
    <m/>
    <m/>
    <m/>
    <m/>
    <m/>
    <n v="3.2"/>
    <n v="11.2"/>
  </r>
  <r>
    <n v="7584"/>
    <x v="4"/>
    <m/>
    <s v="Wandsworth Town Hall, Wandsworth High Street, SW18"/>
    <m/>
    <n v="525773.66240000003"/>
    <n v="174729.85870000001"/>
    <x v="6"/>
    <m/>
    <m/>
    <n v="0"/>
    <n v="5"/>
    <n v="5"/>
    <n v="24"/>
    <n v="24"/>
    <x v="0"/>
    <s v="Redevelopment"/>
    <s v="NONE"/>
    <m/>
    <m/>
    <x v="0"/>
    <s v="Nil"/>
    <m/>
    <s v="BF"/>
    <s v="NB"/>
    <x v="0"/>
    <x v="0"/>
    <n v="0"/>
    <m/>
    <x v="0"/>
    <m/>
    <x v="1"/>
    <s v="AA"/>
    <s v="WT19"/>
    <m/>
    <n v="0"/>
    <n v="0"/>
    <n v="0"/>
    <n v="0"/>
    <n v="0"/>
    <n v="0"/>
    <n v="0"/>
    <n v="0"/>
    <n v="0"/>
    <n v="0"/>
    <n v="5"/>
    <n v="0"/>
    <n v="0"/>
    <n v="0"/>
    <n v="0"/>
    <n v="0"/>
    <n v="0"/>
    <n v="5"/>
    <n v="0"/>
    <n v="0"/>
    <n v="0"/>
    <n v="0"/>
    <n v="0"/>
    <n v="0"/>
    <n v="0"/>
    <n v="0"/>
    <n v="0"/>
    <n v="0"/>
    <n v="0"/>
    <n v="0"/>
    <n v="0"/>
    <n v="0"/>
    <x v="3"/>
    <x v="0"/>
    <x v="0"/>
    <n v="19"/>
    <m/>
    <m/>
    <m/>
    <m/>
    <n v="0.5"/>
    <n v="0.5"/>
    <n v="0.5"/>
    <n v="0.5"/>
    <n v="0.5"/>
    <n v="0.5"/>
    <n v="0.5"/>
    <n v="0.5"/>
    <n v="0.5"/>
    <n v="0.5"/>
    <m/>
    <m/>
    <m/>
    <m/>
    <m/>
    <m/>
    <n v="1"/>
    <n v="3.5"/>
  </r>
  <r>
    <n v="7584"/>
    <x v="4"/>
    <m/>
    <s v="Wandsworth Town Hall, Wandsworth High Street, SW18"/>
    <m/>
    <n v="525773.66240000003"/>
    <n v="174729.85870000001"/>
    <x v="6"/>
    <m/>
    <m/>
    <n v="0"/>
    <n v="3"/>
    <n v="3"/>
    <n v="24"/>
    <n v="24"/>
    <x v="0"/>
    <s v="Redevelopment"/>
    <s v="NONE"/>
    <m/>
    <m/>
    <x v="0"/>
    <s v="Nil"/>
    <m/>
    <s v="BF"/>
    <s v="NB"/>
    <x v="0"/>
    <x v="0"/>
    <n v="0"/>
    <m/>
    <x v="0"/>
    <m/>
    <x v="0"/>
    <s v="IU"/>
    <s v="WT19"/>
    <m/>
    <n v="0"/>
    <n v="0"/>
    <n v="0"/>
    <n v="0"/>
    <n v="0"/>
    <n v="0"/>
    <n v="0"/>
    <n v="0"/>
    <n v="0"/>
    <n v="0"/>
    <n v="3"/>
    <n v="0"/>
    <n v="0"/>
    <n v="0"/>
    <n v="0"/>
    <n v="0"/>
    <n v="0"/>
    <n v="3"/>
    <n v="0"/>
    <n v="0"/>
    <n v="0"/>
    <n v="0"/>
    <n v="0"/>
    <n v="0"/>
    <n v="0"/>
    <n v="0"/>
    <n v="0"/>
    <n v="0"/>
    <n v="0"/>
    <n v="0"/>
    <n v="0"/>
    <n v="0"/>
    <x v="3"/>
    <x v="0"/>
    <x v="0"/>
    <n v="19"/>
    <m/>
    <m/>
    <m/>
    <m/>
    <n v="0.3"/>
    <n v="0.3"/>
    <n v="0.3"/>
    <n v="0.3"/>
    <n v="0.3"/>
    <n v="0.3"/>
    <n v="0.3"/>
    <n v="0.3"/>
    <n v="0.3"/>
    <n v="0.3"/>
    <m/>
    <m/>
    <m/>
    <m/>
    <m/>
    <m/>
    <n v="0.6"/>
    <n v="2.1"/>
  </r>
  <r>
    <n v="7539"/>
    <x v="4"/>
    <m/>
    <s v="Wimbledon Park Estate, Wimbledon Park Road, SW19 6PF"/>
    <m/>
    <n v="524520"/>
    <n v="173088"/>
    <x v="19"/>
    <m/>
    <m/>
    <n v="0"/>
    <n v="23"/>
    <n v="23"/>
    <n v="35"/>
    <n v="35"/>
    <x v="0"/>
    <s v="Redevelopment"/>
    <s v="NONE"/>
    <m/>
    <m/>
    <x v="0"/>
    <s v="Nil"/>
    <m/>
    <s v="BF"/>
    <s v="NB"/>
    <x v="0"/>
    <x v="0"/>
    <n v="0"/>
    <m/>
    <x v="0"/>
    <m/>
    <x v="2"/>
    <s v="M"/>
    <m/>
    <m/>
    <n v="0"/>
    <n v="0"/>
    <n v="0"/>
    <n v="0"/>
    <n v="0"/>
    <n v="0"/>
    <n v="0"/>
    <n v="0"/>
    <n v="0"/>
    <n v="0"/>
    <n v="23"/>
    <n v="0"/>
    <n v="0"/>
    <n v="0"/>
    <n v="0"/>
    <n v="0"/>
    <n v="0"/>
    <n v="23"/>
    <n v="0"/>
    <n v="0"/>
    <n v="0"/>
    <n v="0"/>
    <n v="0"/>
    <n v="0"/>
    <n v="0"/>
    <n v="0"/>
    <n v="0"/>
    <n v="0"/>
    <n v="0"/>
    <n v="0"/>
    <n v="0"/>
    <n v="0"/>
    <x v="0"/>
    <x v="0"/>
    <x v="1"/>
    <n v="19"/>
    <m/>
    <m/>
    <m/>
    <m/>
    <m/>
    <n v="23"/>
    <m/>
    <m/>
    <m/>
    <m/>
    <m/>
    <m/>
    <m/>
    <m/>
    <m/>
    <m/>
    <m/>
    <m/>
    <m/>
    <m/>
    <n v="23"/>
    <n v="23"/>
  </r>
  <r>
    <n v="7539"/>
    <x v="4"/>
    <m/>
    <s v="Wimbledon Park Estate, Wimbledon Park Road, SW19 6PF"/>
    <m/>
    <n v="524520"/>
    <n v="173088"/>
    <x v="19"/>
    <m/>
    <m/>
    <n v="0"/>
    <n v="7"/>
    <n v="7"/>
    <n v="35"/>
    <n v="35"/>
    <x v="0"/>
    <s v="Redevelopment"/>
    <s v="NONE"/>
    <m/>
    <m/>
    <x v="0"/>
    <s v="Nil"/>
    <m/>
    <s v="BF"/>
    <s v="NB"/>
    <x v="0"/>
    <x v="0"/>
    <n v="0"/>
    <m/>
    <x v="0"/>
    <m/>
    <x v="1"/>
    <s v="AA"/>
    <m/>
    <m/>
    <n v="0"/>
    <n v="0"/>
    <n v="0"/>
    <n v="0"/>
    <n v="0"/>
    <n v="0"/>
    <n v="0"/>
    <n v="0"/>
    <n v="0"/>
    <n v="0"/>
    <n v="7"/>
    <n v="0"/>
    <n v="0"/>
    <n v="0"/>
    <n v="0"/>
    <n v="0"/>
    <n v="0"/>
    <n v="7"/>
    <n v="0"/>
    <n v="0"/>
    <n v="0"/>
    <n v="0"/>
    <n v="0"/>
    <n v="0"/>
    <n v="0"/>
    <n v="0"/>
    <n v="0"/>
    <n v="0"/>
    <n v="0"/>
    <n v="0"/>
    <n v="0"/>
    <n v="0"/>
    <x v="0"/>
    <x v="0"/>
    <x v="1"/>
    <n v="19"/>
    <m/>
    <m/>
    <m/>
    <m/>
    <m/>
    <n v="7"/>
    <m/>
    <m/>
    <m/>
    <m/>
    <m/>
    <m/>
    <m/>
    <m/>
    <m/>
    <m/>
    <m/>
    <m/>
    <m/>
    <m/>
    <n v="7"/>
    <n v="7"/>
  </r>
  <r>
    <n v="7539"/>
    <x v="4"/>
    <m/>
    <s v="Wimbledon Park Estate, Wimbledon Park Road, SW19 6PF"/>
    <m/>
    <n v="524520"/>
    <n v="173088"/>
    <x v="19"/>
    <m/>
    <m/>
    <n v="0"/>
    <n v="5"/>
    <n v="5"/>
    <n v="35"/>
    <n v="35"/>
    <x v="0"/>
    <s v="Redevelopment"/>
    <s v="NONE"/>
    <m/>
    <m/>
    <x v="0"/>
    <s v="Nil"/>
    <m/>
    <s v="BF"/>
    <s v="NB"/>
    <x v="0"/>
    <x v="0"/>
    <n v="0"/>
    <m/>
    <x v="0"/>
    <m/>
    <x v="0"/>
    <s v="IU"/>
    <m/>
    <m/>
    <n v="0"/>
    <n v="0"/>
    <n v="0"/>
    <n v="0"/>
    <n v="0"/>
    <n v="0"/>
    <n v="0"/>
    <n v="0"/>
    <n v="0"/>
    <n v="0"/>
    <n v="5"/>
    <n v="0"/>
    <n v="0"/>
    <n v="0"/>
    <n v="0"/>
    <n v="0"/>
    <n v="0"/>
    <n v="5"/>
    <n v="0"/>
    <n v="0"/>
    <n v="0"/>
    <n v="0"/>
    <n v="0"/>
    <n v="0"/>
    <n v="0"/>
    <n v="0"/>
    <n v="0"/>
    <n v="0"/>
    <n v="0"/>
    <n v="0"/>
    <n v="0"/>
    <n v="0"/>
    <x v="0"/>
    <x v="0"/>
    <x v="1"/>
    <n v="19"/>
    <m/>
    <m/>
    <m/>
    <m/>
    <m/>
    <n v="5"/>
    <m/>
    <m/>
    <m/>
    <m/>
    <m/>
    <m/>
    <m/>
    <m/>
    <m/>
    <m/>
    <m/>
    <m/>
    <m/>
    <m/>
    <n v="5"/>
    <n v="5"/>
  </r>
  <r>
    <m/>
    <x v="5"/>
    <m/>
    <m/>
    <m/>
    <m/>
    <m/>
    <x v="22"/>
    <m/>
    <m/>
    <n v="0"/>
    <n v="208"/>
    <n v="208"/>
    <n v="0"/>
    <n v="0"/>
    <x v="0"/>
    <s v="Redevelopment"/>
    <s v="NONE"/>
    <m/>
    <m/>
    <x v="0"/>
    <s v="Nil"/>
    <m/>
    <s v="BF"/>
    <s v="NB"/>
    <x v="0"/>
    <x v="0"/>
    <n v="0"/>
    <m/>
    <x v="0"/>
    <m/>
    <x v="2"/>
    <s v="M"/>
    <m/>
    <m/>
    <n v="0"/>
    <n v="0"/>
    <n v="0"/>
    <n v="0"/>
    <n v="0"/>
    <n v="0"/>
    <n v="0"/>
    <n v="0"/>
    <n v="0"/>
    <n v="0"/>
    <n v="208"/>
    <n v="0"/>
    <n v="0"/>
    <n v="0"/>
    <n v="0"/>
    <n v="0"/>
    <n v="0"/>
    <n v="208"/>
    <n v="0"/>
    <n v="0"/>
    <n v="0"/>
    <n v="0"/>
    <n v="0"/>
    <n v="0"/>
    <n v="0"/>
    <n v="0"/>
    <n v="0"/>
    <n v="0"/>
    <n v="0"/>
    <n v="0"/>
    <n v="0"/>
    <n v="0"/>
    <x v="0"/>
    <x v="0"/>
    <x v="11"/>
    <n v="21"/>
    <m/>
    <m/>
    <m/>
    <m/>
    <m/>
    <n v="14.857142857142858"/>
    <n v="14.857142857142858"/>
    <n v="14.857142857142858"/>
    <n v="14.857142857142858"/>
    <n v="14.857142857142858"/>
    <n v="14.857142857142858"/>
    <n v="14.857142857142858"/>
    <n v="14.857142857142858"/>
    <n v="14.857142857142858"/>
    <n v="14.857142857142858"/>
    <n v="14.857142857142858"/>
    <n v="14.857142857142858"/>
    <n v="14.857142857142858"/>
    <n v="14.857142857142858"/>
    <m/>
    <n v="14.857142857142858"/>
    <n v="89.142857142857153"/>
  </r>
  <r>
    <m/>
    <x v="5"/>
    <m/>
    <m/>
    <m/>
    <m/>
    <m/>
    <x v="22"/>
    <m/>
    <m/>
    <n v="0"/>
    <n v="62"/>
    <n v="62"/>
    <n v="0"/>
    <n v="0"/>
    <x v="0"/>
    <s v="Redevelopment"/>
    <s v="NONE"/>
    <m/>
    <m/>
    <x v="0"/>
    <s v="Nil"/>
    <m/>
    <s v="BF"/>
    <s v="NB"/>
    <x v="0"/>
    <x v="0"/>
    <n v="0"/>
    <m/>
    <x v="0"/>
    <m/>
    <x v="1"/>
    <s v="AA"/>
    <m/>
    <m/>
    <n v="0"/>
    <n v="0"/>
    <n v="0"/>
    <n v="0"/>
    <n v="0"/>
    <n v="0"/>
    <n v="0"/>
    <n v="0"/>
    <n v="0"/>
    <n v="0"/>
    <n v="62"/>
    <n v="0"/>
    <n v="0"/>
    <n v="0"/>
    <n v="0"/>
    <n v="0"/>
    <n v="0"/>
    <n v="62"/>
    <n v="0"/>
    <n v="0"/>
    <n v="0"/>
    <n v="0"/>
    <n v="0"/>
    <n v="0"/>
    <n v="0"/>
    <n v="0"/>
    <n v="0"/>
    <n v="0"/>
    <n v="0"/>
    <n v="0"/>
    <n v="0"/>
    <n v="0"/>
    <x v="0"/>
    <x v="0"/>
    <x v="11"/>
    <n v="21"/>
    <m/>
    <m/>
    <m/>
    <m/>
    <m/>
    <n v="4.4285714285714288"/>
    <n v="4.4285714285714288"/>
    <n v="4.4285714285714288"/>
    <n v="4.4285714285714288"/>
    <n v="4.4285714285714288"/>
    <n v="4.4285714285714288"/>
    <n v="4.4285714285714288"/>
    <n v="4.4285714285714288"/>
    <n v="4.4285714285714288"/>
    <n v="4.4285714285714288"/>
    <n v="4.4285714285714288"/>
    <n v="4.4285714285714288"/>
    <n v="4.4285714285714288"/>
    <n v="4.4285714285714288"/>
    <m/>
    <n v="4.4285714285714288"/>
    <n v="26.571428571428577"/>
  </r>
  <r>
    <m/>
    <x v="5"/>
    <m/>
    <m/>
    <m/>
    <m/>
    <m/>
    <x v="22"/>
    <m/>
    <m/>
    <n v="0"/>
    <n v="41"/>
    <n v="41"/>
    <n v="0"/>
    <n v="0"/>
    <x v="0"/>
    <s v="Redevelopment"/>
    <s v="NONE"/>
    <m/>
    <m/>
    <x v="0"/>
    <s v="Nil"/>
    <m/>
    <s v="BF"/>
    <s v="NB"/>
    <x v="0"/>
    <x v="0"/>
    <n v="0"/>
    <m/>
    <x v="0"/>
    <m/>
    <x v="0"/>
    <s v="IU"/>
    <m/>
    <m/>
    <n v="0"/>
    <n v="0"/>
    <n v="0"/>
    <n v="0"/>
    <n v="0"/>
    <n v="0"/>
    <n v="0"/>
    <n v="0"/>
    <n v="0"/>
    <n v="0"/>
    <n v="41"/>
    <n v="0"/>
    <n v="0"/>
    <n v="0"/>
    <n v="0"/>
    <n v="0"/>
    <n v="0"/>
    <n v="41"/>
    <n v="0"/>
    <n v="0"/>
    <n v="0"/>
    <n v="0"/>
    <n v="0"/>
    <n v="0"/>
    <n v="0"/>
    <n v="0"/>
    <n v="0"/>
    <n v="0"/>
    <n v="0"/>
    <n v="0"/>
    <n v="0"/>
    <n v="0"/>
    <x v="0"/>
    <x v="0"/>
    <x v="11"/>
    <n v="21"/>
    <m/>
    <m/>
    <m/>
    <m/>
    <m/>
    <n v="2.9285714285714284"/>
    <n v="2.9285714285714284"/>
    <n v="2.9285714285714284"/>
    <n v="2.9285714285714284"/>
    <n v="2.9285714285714284"/>
    <n v="2.9285714285714284"/>
    <n v="2.9285714285714284"/>
    <n v="2.9285714285714284"/>
    <n v="2.9285714285714284"/>
    <n v="2.9285714285714284"/>
    <n v="2.9285714285714284"/>
    <n v="2.9285714285714284"/>
    <n v="2.9285714285714284"/>
    <n v="2.9285714285714284"/>
    <m/>
    <n v="2.9285714285714284"/>
    <n v="17.571428571428569"/>
  </r>
  <r>
    <m/>
    <x v="6"/>
    <m/>
    <m/>
    <m/>
    <m/>
    <m/>
    <x v="22"/>
    <m/>
    <m/>
    <n v="0"/>
    <n v="4788"/>
    <n v="4788"/>
    <n v="0"/>
    <n v="0"/>
    <x v="1"/>
    <s v="Redevelopment"/>
    <s v="NONE"/>
    <m/>
    <m/>
    <x v="0"/>
    <s v="Nil"/>
    <m/>
    <s v="BF"/>
    <s v="CON"/>
    <x v="2"/>
    <x v="5"/>
    <n v="0"/>
    <m/>
    <x v="0"/>
    <m/>
    <x v="3"/>
    <s v="UK"/>
    <m/>
    <m/>
    <n v="0"/>
    <n v="0"/>
    <n v="0"/>
    <n v="0"/>
    <n v="0"/>
    <n v="0"/>
    <n v="0"/>
    <n v="0"/>
    <n v="0"/>
    <n v="0"/>
    <n v="5222"/>
    <n v="0"/>
    <n v="0"/>
    <n v="0"/>
    <n v="0"/>
    <n v="0"/>
    <n v="0"/>
    <n v="5222"/>
    <n v="0"/>
    <n v="0"/>
    <n v="0"/>
    <n v="0"/>
    <n v="0"/>
    <n v="0"/>
    <n v="0"/>
    <n v="0"/>
    <n v="0"/>
    <n v="0"/>
    <n v="0"/>
    <n v="0"/>
    <n v="0"/>
    <n v="0"/>
    <x v="0"/>
    <x v="0"/>
    <x v="11"/>
    <n v="22"/>
    <m/>
    <n v="177"/>
    <n v="177"/>
    <n v="177"/>
    <n v="177"/>
    <n v="177"/>
    <n v="177"/>
    <n v="414"/>
    <n v="414"/>
    <n v="414"/>
    <n v="414"/>
    <n v="414"/>
    <n v="414"/>
    <n v="414"/>
    <n v="414"/>
    <n v="414"/>
    <m/>
    <m/>
    <m/>
    <m/>
    <n v="885"/>
    <n v="271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3">
  <r>
    <n v="4513"/>
    <x v="0"/>
    <s v="2018/3709"/>
    <s v="9, 11 and 19 Osiers Road"/>
    <s v=""/>
    <n v="525336"/>
    <n v="175122"/>
    <s v="Thamesfield"/>
    <d v="2020-01-06T00:00:00"/>
    <d v="2022-08-31T00:00:00"/>
    <n v="0"/>
    <n v="84"/>
    <n v="84"/>
    <n v="168"/>
    <n v="168"/>
    <s v="Y"/>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m/>
    <s v="Nil"/>
    <m/>
    <s v="BF"/>
    <s v="NB"/>
    <x v="0"/>
    <x v="0"/>
    <n v="0.10100000000000001"/>
    <d v="2020-01-06T00:00:00"/>
    <x v="0"/>
    <d v="2022-08-31T00:00:00"/>
    <s v="Intermediate"/>
    <s v="ISL"/>
    <s v="3.3.3"/>
    <m/>
    <n v="0"/>
    <n v="84"/>
    <n v="0"/>
    <n v="9"/>
    <n v="0"/>
    <n v="18"/>
    <n v="60"/>
    <n v="6"/>
    <n v="0"/>
    <n v="0"/>
    <n v="0"/>
    <n v="0"/>
    <n v="18"/>
    <n v="60"/>
    <n v="6"/>
    <n v="0"/>
    <n v="0"/>
    <n v="0"/>
    <n v="0"/>
    <n v="0"/>
    <n v="0"/>
    <n v="0"/>
    <n v="0"/>
    <n v="0"/>
    <n v="0"/>
    <n v="0"/>
    <n v="0"/>
    <n v="0"/>
    <n v="0"/>
    <n v="0"/>
    <n v="0"/>
    <n v="0"/>
    <m/>
    <m/>
    <s v="Wandsworth Town, including the Wandle Delta Masterplan Area"/>
    <n v="1"/>
    <n v="84"/>
    <m/>
    <m/>
    <m/>
    <m/>
    <m/>
    <m/>
    <m/>
    <m/>
    <m/>
    <m/>
    <m/>
    <m/>
    <m/>
    <m/>
    <m/>
    <m/>
    <m/>
    <m/>
    <m/>
    <n v="0"/>
    <n v="0"/>
  </r>
  <r>
    <n v="4513"/>
    <x v="0"/>
    <s v="2018/3709"/>
    <s v="9, 11 and 19 Osiers Road"/>
    <s v=""/>
    <n v="525336"/>
    <n v="175122"/>
    <s v="Thamesfield"/>
    <d v="2020-01-06T00:00:00"/>
    <d v="2022-08-31T00:00:00"/>
    <n v="0"/>
    <n v="84"/>
    <n v="84"/>
    <n v="168"/>
    <n v="168"/>
    <s v="Y"/>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m/>
    <s v="Nil"/>
    <m/>
    <s v="BF"/>
    <s v="NB"/>
    <x v="0"/>
    <x v="0"/>
    <n v="8.2000000000000003E-2"/>
    <d v="2020-01-06T00:00:00"/>
    <x v="0"/>
    <d v="2022-08-31T00:00:00"/>
    <s v="Social/Affordable Rent"/>
    <s v="AL"/>
    <s v="3.3.3"/>
    <m/>
    <n v="0"/>
    <n v="68"/>
    <n v="0"/>
    <n v="8"/>
    <n v="0"/>
    <n v="18"/>
    <n v="60"/>
    <n v="6"/>
    <n v="0"/>
    <n v="0"/>
    <n v="0"/>
    <n v="0"/>
    <n v="18"/>
    <n v="60"/>
    <n v="6"/>
    <n v="0"/>
    <n v="0"/>
    <n v="0"/>
    <n v="0"/>
    <n v="0"/>
    <n v="0"/>
    <n v="0"/>
    <n v="0"/>
    <n v="0"/>
    <n v="0"/>
    <n v="0"/>
    <n v="0"/>
    <n v="0"/>
    <n v="0"/>
    <n v="0"/>
    <n v="0"/>
    <n v="0"/>
    <m/>
    <m/>
    <s v="Wandsworth Town, including the Wandle Delta Masterplan Area"/>
    <n v="1"/>
    <n v="84"/>
    <m/>
    <m/>
    <m/>
    <m/>
    <m/>
    <m/>
    <m/>
    <m/>
    <m/>
    <m/>
    <m/>
    <m/>
    <m/>
    <m/>
    <m/>
    <m/>
    <m/>
    <m/>
    <m/>
    <n v="0"/>
    <n v="0"/>
  </r>
  <r>
    <n v="6479"/>
    <x v="0"/>
    <s v="2016/5738"/>
    <s v="Garages north of 99-152, 99-152 Gideon Road"/>
    <s v=""/>
    <n v="528125"/>
    <n v="175809"/>
    <s v="Shaftesbury &amp; Queenstown"/>
    <d v="2019-08-28T00:00:00"/>
    <d v="2022-08-31T00:00:00"/>
    <n v="0"/>
    <n v="18"/>
    <n v="18"/>
    <n v="18"/>
    <n v="18"/>
    <s v="Y"/>
    <s v="Demolition of existing garages and redevelopment to provide  18 units (15 flats and 3 houses) within 3 and 4 storey blocks with associated vehicle and cycle parking, bin storage and landscaping."/>
    <s v="PF"/>
    <d v="2016-09-30T00:00:00"/>
    <d v="2017-01-26T00:00:00"/>
    <m/>
    <s v="Nil"/>
    <m/>
    <s v="BF"/>
    <s v="NB"/>
    <x v="0"/>
    <x v="0"/>
    <n v="0.4"/>
    <d v="2019-08-28T00:00:00"/>
    <x v="0"/>
    <d v="2022-08-31T00:00:00"/>
    <s v="Social/Affordable Rent"/>
    <s v="AS"/>
    <s v=""/>
    <m/>
    <n v="16"/>
    <m/>
    <n v="2"/>
    <m/>
    <n v="0"/>
    <n v="4"/>
    <n v="11"/>
    <n v="0"/>
    <n v="1"/>
    <n v="2"/>
    <n v="0"/>
    <n v="0"/>
    <n v="4"/>
    <n v="11"/>
    <n v="0"/>
    <n v="0"/>
    <n v="0"/>
    <n v="0"/>
    <n v="0"/>
    <n v="0"/>
    <n v="0"/>
    <n v="0"/>
    <n v="1"/>
    <n v="2"/>
    <n v="0"/>
    <n v="0"/>
    <n v="0"/>
    <n v="0"/>
    <n v="0"/>
    <n v="0"/>
    <n v="0"/>
    <n v="0"/>
    <m/>
    <m/>
    <s v="Rest of Borough"/>
    <n v="1"/>
    <n v="18"/>
    <m/>
    <m/>
    <m/>
    <m/>
    <m/>
    <m/>
    <m/>
    <m/>
    <m/>
    <m/>
    <m/>
    <m/>
    <m/>
    <m/>
    <m/>
    <m/>
    <m/>
    <m/>
    <m/>
    <n v="0"/>
    <n v="0"/>
  </r>
  <r>
    <n v="4183"/>
    <x v="0"/>
    <s v="2021/1280"/>
    <s v="96-100 Balham High Road"/>
    <s v=""/>
    <n v="528639"/>
    <n v="173520"/>
    <s v="Balham"/>
    <d v="2022-01-27T00:00:00"/>
    <d v="2023-01-09T00:00:00"/>
    <n v="9"/>
    <n v="12"/>
    <n v="3"/>
    <n v="12"/>
    <n v="3"/>
    <s v="Y"/>
    <s v="Alterations in connection with change of use of of rear basement and ground floor levels from retail (Class E) to residential (Class C3) to create 2 x 2-bedroom flats and erection of part single/part two/part three storey rear extensions at first floor levels to extend existing dwellings, formation of rear roof terraces with 1.7m glazed safety surrounds, with associated cycle and refuse storage and outdoor amenity space."/>
    <s v="PF"/>
    <d v="2021-03-17T00:00:00"/>
    <d v="2021-08-19T00:00:00"/>
    <m/>
    <s v="Nil"/>
    <m/>
    <s v="BF"/>
    <s v="MIX"/>
    <x v="1"/>
    <x v="0"/>
    <n v="1.578833E-2"/>
    <d v="2022-01-27T00:00:00"/>
    <x v="0"/>
    <d v="2023-01-09T00:00:00"/>
    <s v="Open Market"/>
    <s v="MR"/>
    <s v=""/>
    <m/>
    <n v="0"/>
    <n v="2"/>
    <n v="0"/>
    <m/>
    <n v="0"/>
    <n v="-1"/>
    <n v="4"/>
    <n v="0"/>
    <n v="0"/>
    <n v="0"/>
    <n v="0"/>
    <n v="0"/>
    <n v="-1"/>
    <n v="4"/>
    <n v="0"/>
    <n v="0"/>
    <n v="0"/>
    <n v="0"/>
    <n v="0"/>
    <n v="0"/>
    <n v="0"/>
    <n v="0"/>
    <n v="0"/>
    <n v="0"/>
    <n v="0"/>
    <n v="0"/>
    <n v="0"/>
    <n v="0"/>
    <n v="0"/>
    <n v="0"/>
    <n v="0"/>
    <n v="0"/>
    <s v="Balham"/>
    <m/>
    <s v="Balham"/>
    <n v="11"/>
    <n v="3"/>
    <m/>
    <m/>
    <m/>
    <m/>
    <m/>
    <m/>
    <m/>
    <m/>
    <m/>
    <m/>
    <m/>
    <m/>
    <m/>
    <m/>
    <m/>
    <m/>
    <m/>
    <m/>
    <m/>
    <n v="0"/>
    <n v="0"/>
  </r>
  <r>
    <n v="2305"/>
    <x v="0"/>
    <s v="2019/4841"/>
    <s v="Balham Club, 7-9 Ramsden Road"/>
    <s v=""/>
    <n v="528440"/>
    <n v="173367"/>
    <s v="Balham"/>
    <d v="2020-02-24T00:00:00"/>
    <d v="2022-07-04T00:00:00"/>
    <n v="0"/>
    <n v="10"/>
    <n v="10"/>
    <n v="26"/>
    <n v="26"/>
    <s v="Y"/>
    <s v="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
    <s v="S73"/>
    <d v="2020-03-03T00:00:00"/>
    <d v="2020-09-03T00:00:00"/>
    <m/>
    <s v="Nil"/>
    <m/>
    <s v="BF"/>
    <s v="NB"/>
    <x v="0"/>
    <x v="0"/>
    <n v="7.0000000000000007E-2"/>
    <d v="2020-02-24T00:00:00"/>
    <x v="0"/>
    <d v="2022-07-04T00:00:00"/>
    <s v="Intermediate"/>
    <s v="ISO"/>
    <s v=""/>
    <m/>
    <n v="0"/>
    <n v="0"/>
    <n v="0"/>
    <n v="0"/>
    <n v="0"/>
    <n v="6"/>
    <n v="4"/>
    <n v="0"/>
    <n v="0"/>
    <n v="0"/>
    <n v="0"/>
    <n v="0"/>
    <n v="6"/>
    <n v="4"/>
    <n v="0"/>
    <n v="0"/>
    <n v="0"/>
    <n v="0"/>
    <n v="0"/>
    <n v="0"/>
    <n v="0"/>
    <n v="0"/>
    <n v="0"/>
    <n v="0"/>
    <n v="0"/>
    <n v="0"/>
    <n v="0"/>
    <n v="0"/>
    <n v="0"/>
    <n v="0"/>
    <n v="0"/>
    <n v="0"/>
    <s v="Balham"/>
    <m/>
    <s v="Balham"/>
    <n v="1"/>
    <n v="10"/>
    <m/>
    <m/>
    <m/>
    <m/>
    <m/>
    <m/>
    <m/>
    <m/>
    <m/>
    <m/>
    <m/>
    <m/>
    <m/>
    <m/>
    <m/>
    <m/>
    <m/>
    <m/>
    <m/>
    <n v="0"/>
    <n v="0"/>
  </r>
  <r>
    <n v="5114"/>
    <x v="0"/>
    <s v="2016/2096"/>
    <s v="134-142 Mitcham Road (Pearl Chemist)"/>
    <s v=""/>
    <n v="527786"/>
    <n v="171065"/>
    <s v="Tooting Broadway"/>
    <d v="2019-02-25T00:00:00"/>
    <d v="2023-02-02T00:00:00"/>
    <n v="0"/>
    <n v="9"/>
    <n v="9"/>
    <n v="9"/>
    <n v="9"/>
    <m/>
    <s v="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
    <s v="PF"/>
    <d v="2016-04-14T00:00:00"/>
    <d v="2016-08-17T00:00:00"/>
    <m/>
    <s v="Nil"/>
    <m/>
    <s v="BF"/>
    <s v="NB"/>
    <x v="2"/>
    <x v="1"/>
    <n v="4.2999999999999997E-2"/>
    <d v="2019-02-25T00:00:00"/>
    <x v="0"/>
    <d v="2023-02-02T00:00:00"/>
    <s v="Open Market"/>
    <s v="M"/>
    <s v=""/>
    <m/>
    <n v="9"/>
    <m/>
    <n v="0"/>
    <m/>
    <n v="0"/>
    <n v="2"/>
    <n v="5"/>
    <n v="2"/>
    <n v="0"/>
    <n v="0"/>
    <n v="0"/>
    <n v="0"/>
    <n v="2"/>
    <n v="5"/>
    <n v="2"/>
    <n v="0"/>
    <n v="0"/>
    <n v="0"/>
    <n v="0"/>
    <n v="0"/>
    <n v="0"/>
    <n v="0"/>
    <n v="0"/>
    <n v="0"/>
    <n v="0"/>
    <n v="0"/>
    <n v="0"/>
    <n v="0"/>
    <n v="0"/>
    <n v="0"/>
    <n v="0"/>
    <n v="0"/>
    <s v="Tooting"/>
    <m/>
    <s v="Tooting"/>
    <n v="1"/>
    <n v="9"/>
    <m/>
    <m/>
    <m/>
    <m/>
    <m/>
    <m/>
    <m/>
    <m/>
    <m/>
    <m/>
    <m/>
    <m/>
    <m/>
    <m/>
    <m/>
    <m/>
    <m/>
    <m/>
    <m/>
    <n v="0"/>
    <n v="0"/>
  </r>
  <r>
    <n v="6515"/>
    <x v="0"/>
    <s v="2016/6604"/>
    <s v="Norman Court, 160 Lower Richmond Road"/>
    <s v=""/>
    <n v="523349"/>
    <n v="175914"/>
    <s v="Thamesfield"/>
    <d v="2020-10-01T00:00:00"/>
    <d v="2022-04-13T00:00:00"/>
    <n v="0"/>
    <n v="9"/>
    <n v="9"/>
    <n v="9"/>
    <n v="9"/>
    <m/>
    <s v="Erection of roof extension at third floor level to provide 7 x 1-bedroom and 2 x studio flats with external balcony access; associated cycle and refuse storage; and landscaping including new front boundary treatment."/>
    <s v="PFLA"/>
    <d v="2016-11-15T00:00:00"/>
    <d v="2018-05-11T00:00:00"/>
    <m/>
    <s v="Nil"/>
    <m/>
    <s v="BF"/>
    <s v="EXT"/>
    <x v="2"/>
    <x v="2"/>
    <n v="3.6999999999999998E-2"/>
    <d v="2020-10-01T00:00:00"/>
    <x v="0"/>
    <d v="2022-04-13T00:00:00"/>
    <s v="Intermediate"/>
    <s v="IR"/>
    <s v=""/>
    <m/>
    <n v="0"/>
    <m/>
    <n v="0"/>
    <m/>
    <n v="2"/>
    <n v="7"/>
    <n v="0"/>
    <n v="0"/>
    <n v="0"/>
    <n v="0"/>
    <n v="0"/>
    <n v="2"/>
    <n v="7"/>
    <n v="0"/>
    <n v="0"/>
    <n v="0"/>
    <n v="0"/>
    <n v="0"/>
    <n v="0"/>
    <n v="0"/>
    <n v="0"/>
    <n v="0"/>
    <n v="0"/>
    <n v="0"/>
    <n v="0"/>
    <n v="0"/>
    <n v="0"/>
    <n v="0"/>
    <n v="0"/>
    <n v="0"/>
    <n v="0"/>
    <n v="0"/>
    <m/>
    <m/>
    <s v="Rest of Borough"/>
    <n v="11"/>
    <n v="9"/>
    <m/>
    <m/>
    <m/>
    <m/>
    <m/>
    <m/>
    <m/>
    <m/>
    <m/>
    <m/>
    <m/>
    <m/>
    <m/>
    <m/>
    <m/>
    <m/>
    <m/>
    <m/>
    <m/>
    <n v="0"/>
    <n v="0"/>
  </r>
  <r>
    <n v="7478"/>
    <x v="0"/>
    <s v="2020/4838"/>
    <s v="56 Glenburnie Road"/>
    <s v=""/>
    <n v="527583"/>
    <n v="172331"/>
    <s v="Trinity"/>
    <d v="2021-05-01T00:00:00"/>
    <d v="2022-11-24T00:00:00"/>
    <n v="1"/>
    <n v="9"/>
    <n v="8"/>
    <n v="9"/>
    <n v="8"/>
    <m/>
    <s v="Demolition of existing building and erection of two storey building (including roof and basement) to create 4 x 3-bedroom, 4 x 2-bedroom and 1 x 1-bedroom flats with associated refuse and cycle storage and outside amenity space."/>
    <s v="PF"/>
    <d v="2020-12-11T00:00:00"/>
    <d v="2021-03-24T00:00:00"/>
    <m/>
    <s v="Nil"/>
    <m/>
    <s v="BF"/>
    <s v="NB"/>
    <x v="2"/>
    <x v="1"/>
    <n v="0.05"/>
    <d v="2021-05-01T00:00:00"/>
    <x v="0"/>
    <d v="2022-11-24T00:00:00"/>
    <s v="Open Market"/>
    <s v="M"/>
    <s v=""/>
    <m/>
    <n v="0"/>
    <m/>
    <n v="0"/>
    <m/>
    <n v="0"/>
    <n v="1"/>
    <n v="4"/>
    <n v="4"/>
    <n v="0"/>
    <n v="-1"/>
    <n v="0"/>
    <n v="0"/>
    <n v="1"/>
    <n v="4"/>
    <n v="4"/>
    <n v="0"/>
    <n v="0"/>
    <n v="0"/>
    <n v="0"/>
    <n v="0"/>
    <n v="0"/>
    <n v="0"/>
    <n v="0"/>
    <n v="-1"/>
    <n v="0"/>
    <n v="0"/>
    <n v="0"/>
    <n v="0"/>
    <n v="0"/>
    <n v="0"/>
    <n v="0"/>
    <n v="0"/>
    <m/>
    <m/>
    <s v="Rest of Borough"/>
    <n v="1"/>
    <n v="8"/>
    <m/>
    <m/>
    <m/>
    <m/>
    <m/>
    <m/>
    <m/>
    <m/>
    <m/>
    <m/>
    <m/>
    <m/>
    <m/>
    <m/>
    <m/>
    <m/>
    <m/>
    <m/>
    <m/>
    <n v="0"/>
    <n v="0"/>
  </r>
  <r>
    <n v="5232"/>
    <x v="0"/>
    <s v="2019/4262"/>
    <s v="134/134a Battersea High Street"/>
    <s v=""/>
    <n v="527007"/>
    <n v="176205"/>
    <s v="St Mary's"/>
    <d v="2020-07-13T00:00:00"/>
    <d v="2022-10-06T00:00:00"/>
    <n v="1"/>
    <n v="8"/>
    <n v="7"/>
    <n v="9"/>
    <n v="8"/>
    <m/>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m/>
    <s v="Nil"/>
    <m/>
    <s v="BF"/>
    <s v="NB"/>
    <x v="2"/>
    <x v="1"/>
    <n v="3.2000000000000001E-2"/>
    <d v="2020-07-13T00:00:00"/>
    <x v="0"/>
    <d v="2022-10-06T00:00:00"/>
    <s v="Open Market"/>
    <s v="M"/>
    <s v=""/>
    <m/>
    <n v="0"/>
    <m/>
    <n v="0"/>
    <m/>
    <n v="1"/>
    <n v="2"/>
    <n v="4"/>
    <n v="0"/>
    <n v="0"/>
    <n v="0"/>
    <n v="0"/>
    <n v="1"/>
    <n v="2"/>
    <n v="4"/>
    <n v="1"/>
    <n v="0"/>
    <n v="0"/>
    <n v="0"/>
    <n v="0"/>
    <n v="0"/>
    <n v="0"/>
    <n v="-1"/>
    <n v="0"/>
    <n v="0"/>
    <n v="0"/>
    <n v="0"/>
    <n v="0"/>
    <n v="0"/>
    <n v="0"/>
    <n v="0"/>
    <n v="0"/>
    <n v="0"/>
    <m/>
    <m/>
    <s v="Rest of Borough"/>
    <n v="1"/>
    <n v="7"/>
    <m/>
    <m/>
    <m/>
    <m/>
    <m/>
    <m/>
    <m/>
    <m/>
    <m/>
    <m/>
    <m/>
    <m/>
    <m/>
    <m/>
    <m/>
    <m/>
    <m/>
    <m/>
    <m/>
    <n v="0"/>
    <n v="0"/>
  </r>
  <r>
    <n v="7594"/>
    <x v="0"/>
    <s v="2021/0907"/>
    <s v="The East Hill, 21 Alma Road"/>
    <s v=""/>
    <n v="526141"/>
    <n v="174861"/>
    <s v="Wandsworth Town"/>
    <d v="2021-09-01T00:00:00"/>
    <d v="2023-02-08T00:00:00"/>
    <n v="0"/>
    <n v="8"/>
    <n v="8"/>
    <n v="8"/>
    <n v="8"/>
    <m/>
    <s v="Retention of the public house on the basement and ground floor and the conversion of upper floors to provide 5 x studio, 2 x 1-bedroom , and 1 x 2-bedroom  flats"/>
    <s v="PF"/>
    <d v="2021-02-25T00:00:00"/>
    <d v="2021-05-06T00:00:00"/>
    <m/>
    <s v="Nil"/>
    <m/>
    <s v="BF"/>
    <s v="CON"/>
    <x v="2"/>
    <x v="3"/>
    <n v="8.0000000000000002E-3"/>
    <d v="2021-09-01T00:00:00"/>
    <x v="0"/>
    <d v="2023-02-08T00:00:00"/>
    <s v="Open Market"/>
    <s v="M"/>
    <s v=""/>
    <m/>
    <n v="0"/>
    <m/>
    <n v="0"/>
    <m/>
    <n v="5"/>
    <n v="2"/>
    <n v="1"/>
    <n v="0"/>
    <n v="0"/>
    <n v="0"/>
    <n v="0"/>
    <n v="5"/>
    <n v="2"/>
    <n v="1"/>
    <n v="0"/>
    <n v="0"/>
    <n v="0"/>
    <n v="0"/>
    <n v="0"/>
    <n v="0"/>
    <n v="0"/>
    <n v="0"/>
    <n v="0"/>
    <n v="0"/>
    <n v="0"/>
    <n v="0"/>
    <n v="0"/>
    <n v="0"/>
    <n v="0"/>
    <n v="0"/>
    <n v="0"/>
    <n v="0"/>
    <m/>
    <m/>
    <s v="Rest of Borough"/>
    <n v="11"/>
    <n v="8"/>
    <m/>
    <m/>
    <m/>
    <m/>
    <m/>
    <m/>
    <m/>
    <m/>
    <m/>
    <m/>
    <m/>
    <m/>
    <m/>
    <m/>
    <m/>
    <m/>
    <m/>
    <m/>
    <m/>
    <n v="0"/>
    <n v="0"/>
  </r>
  <r>
    <n v="7324"/>
    <x v="0"/>
    <s v="2021/4781"/>
    <s v="6-8 West Hill"/>
    <s v=""/>
    <n v="525232"/>
    <n v="174667"/>
    <s v="East Putney"/>
    <d v="2022-03-24T00:00:00"/>
    <d v="2022-10-25T00:00:00"/>
    <n v="2"/>
    <n v="8"/>
    <n v="6"/>
    <n v="8"/>
    <n v="6"/>
    <m/>
    <s v="Alterations including erection of single-storey rear/side extension to ground floor (both properties), erection of rear mansard roof extension to main rear roof and above two-storey back addition to both properties; formation of roof terraces with privacy screens to each upper floor; replacement front gable and ground floor front elevation to incorporate refuse and bike stores in connection with change of use of ground floor restaurant (Class E) to residential (Class C3) and together with accommodation above, provide of 3 x 2-bedroom, 3 x 1-bedroom and 2 x studio flats"/>
    <s v="PF"/>
    <d v="2021-10-18T00:00:00"/>
    <d v="2022-03-24T00:00:00"/>
    <m/>
    <s v="Nil"/>
    <m/>
    <s v="BF"/>
    <s v="MIX"/>
    <x v="2"/>
    <x v="2"/>
    <n v="1.2999999999999999E-2"/>
    <d v="2022-03-24T00:00:00"/>
    <x v="0"/>
    <d v="2022-10-25T00:00:00"/>
    <s v="Open Market"/>
    <s v="MR"/>
    <s v=""/>
    <m/>
    <n v="0"/>
    <m/>
    <n v="0"/>
    <m/>
    <n v="2"/>
    <n v="3"/>
    <n v="3"/>
    <n v="-2"/>
    <n v="0"/>
    <n v="0"/>
    <n v="0"/>
    <n v="2"/>
    <n v="3"/>
    <n v="3"/>
    <n v="-2"/>
    <n v="0"/>
    <n v="0"/>
    <n v="0"/>
    <n v="0"/>
    <n v="0"/>
    <n v="0"/>
    <n v="0"/>
    <n v="0"/>
    <n v="0"/>
    <n v="0"/>
    <n v="0"/>
    <n v="0"/>
    <n v="0"/>
    <n v="0"/>
    <n v="0"/>
    <n v="0"/>
    <n v="0"/>
    <m/>
    <m/>
    <s v="Wandsworth Town, including the Wandle Delta Masterplan Area"/>
    <n v="11"/>
    <n v="6"/>
    <m/>
    <m/>
    <m/>
    <m/>
    <m/>
    <m/>
    <m/>
    <m/>
    <m/>
    <m/>
    <m/>
    <m/>
    <m/>
    <m/>
    <m/>
    <m/>
    <m/>
    <m/>
    <m/>
    <n v="0"/>
    <n v="0"/>
  </r>
  <r>
    <n v="6481"/>
    <x v="0"/>
    <s v="2019/1895"/>
    <s v="189 Balham High Road"/>
    <s v=""/>
    <n v="528408"/>
    <n v="173055"/>
    <s v="South Balham"/>
    <d v="2021-02-08T00:00:00"/>
    <d v="2022-06-16T00:00:00"/>
    <n v="0"/>
    <n v="7"/>
    <n v="7"/>
    <n v="7"/>
    <n v="7"/>
    <m/>
    <s v="Demolition of existing garages and erection of 7 x 3-storey (plus basement) 3-bedroom houses with associated landscaping, car and cycle parking."/>
    <s v="PF"/>
    <d v="2019-05-16T00:00:00"/>
    <d v="2019-07-30T00:00:00"/>
    <m/>
    <s v="Nil"/>
    <m/>
    <s v="BF"/>
    <s v="NB"/>
    <x v="2"/>
    <x v="1"/>
    <n v="1.4E-2"/>
    <d v="2021-02-08T00:00:00"/>
    <x v="0"/>
    <d v="2022-06-16T00:00:00"/>
    <s v="Open Market"/>
    <s v="M"/>
    <s v=""/>
    <m/>
    <n v="0"/>
    <m/>
    <n v="0"/>
    <m/>
    <n v="0"/>
    <n v="0"/>
    <n v="0"/>
    <n v="7"/>
    <n v="0"/>
    <n v="0"/>
    <n v="0"/>
    <n v="0"/>
    <n v="0"/>
    <n v="0"/>
    <n v="0"/>
    <n v="0"/>
    <n v="0"/>
    <n v="0"/>
    <n v="0"/>
    <n v="0"/>
    <n v="0"/>
    <n v="7"/>
    <n v="0"/>
    <n v="0"/>
    <n v="0"/>
    <n v="0"/>
    <n v="0"/>
    <n v="0"/>
    <n v="0"/>
    <n v="0"/>
    <n v="0"/>
    <n v="0"/>
    <m/>
    <m/>
    <s v="Rest of Borough"/>
    <n v="1"/>
    <n v="7"/>
    <m/>
    <m/>
    <m/>
    <m/>
    <m/>
    <m/>
    <m/>
    <m/>
    <m/>
    <m/>
    <m/>
    <m/>
    <m/>
    <m/>
    <m/>
    <m/>
    <m/>
    <m/>
    <m/>
    <n v="0"/>
    <n v="0"/>
  </r>
  <r>
    <n v="7204"/>
    <x v="0"/>
    <s v="2019/2905"/>
    <s v="83 Huron Road"/>
    <s v=""/>
    <n v="528657"/>
    <n v="172323"/>
    <s v="South Balham"/>
    <d v="2020-03-31T00:00:00"/>
    <d v="2022-08-17T00:00:00"/>
    <n v="0"/>
    <n v="7"/>
    <n v="7"/>
    <n v="7"/>
    <n v="7"/>
    <m/>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m/>
    <s v="Nil"/>
    <m/>
    <s v="BF"/>
    <s v="MIX"/>
    <x v="2"/>
    <x v="3"/>
    <n v="4.5999999999999999E-2"/>
    <d v="2020-03-31T00:00:00"/>
    <x v="0"/>
    <d v="2022-08-17T00:00:00"/>
    <s v="Open Market"/>
    <s v="M"/>
    <s v=""/>
    <m/>
    <n v="0"/>
    <m/>
    <n v="0"/>
    <m/>
    <n v="0"/>
    <n v="1"/>
    <n v="4"/>
    <n v="2"/>
    <n v="0"/>
    <n v="0"/>
    <n v="0"/>
    <n v="0"/>
    <n v="1"/>
    <n v="4"/>
    <n v="2"/>
    <n v="0"/>
    <n v="0"/>
    <n v="0"/>
    <n v="0"/>
    <n v="0"/>
    <n v="0"/>
    <n v="0"/>
    <n v="0"/>
    <n v="0"/>
    <n v="0"/>
    <n v="0"/>
    <n v="0"/>
    <n v="0"/>
    <n v="0"/>
    <n v="0"/>
    <n v="0"/>
    <n v="0"/>
    <m/>
    <m/>
    <s v="Rest of Borough"/>
    <n v="11"/>
    <n v="7"/>
    <m/>
    <m/>
    <m/>
    <m/>
    <m/>
    <m/>
    <m/>
    <m/>
    <m/>
    <m/>
    <m/>
    <m/>
    <m/>
    <m/>
    <m/>
    <m/>
    <m/>
    <m/>
    <m/>
    <n v="0"/>
    <n v="0"/>
  </r>
  <r>
    <n v="5420"/>
    <x v="0"/>
    <s v="2020/2061"/>
    <s v="Broadway Studio, 28 Tooting High Street"/>
    <s v=""/>
    <n v="527461"/>
    <n v="171563"/>
    <s v="Tooting Broadway"/>
    <d v="2021-03-15T00:00:00"/>
    <d v="2022-05-05T00:00:00"/>
    <n v="0"/>
    <n v="6"/>
    <n v="6"/>
    <n v="6"/>
    <n v="6"/>
    <m/>
    <s v="Alterations to elevations and roofs along with provision of external spiral staircase to second floor, in connection with change of use of ground floor from flexible use (Class A1/A2/A3/B1/D1/D2) to residential (Class C3) to provide 1 x 1-bedroom, 4 x 2-bedroom and 1 x 3-bedroom flats with associated refuse and cycle storage and amenity space."/>
    <s v="PF"/>
    <d v="2020-07-14T00:00:00"/>
    <d v="2020-11-30T00:00:00"/>
    <m/>
    <s v="Nil"/>
    <m/>
    <s v="BF"/>
    <s v="COU"/>
    <x v="2"/>
    <x v="4"/>
    <n v="6.8000000000000005E-2"/>
    <d v="2021-03-15T00:00:00"/>
    <x v="0"/>
    <d v="2022-05-05T00:00:00"/>
    <s v="Open Market"/>
    <s v="M"/>
    <s v=""/>
    <m/>
    <n v="0"/>
    <m/>
    <n v="0"/>
    <m/>
    <n v="0"/>
    <n v="1"/>
    <n v="4"/>
    <n v="1"/>
    <n v="0"/>
    <n v="0"/>
    <n v="0"/>
    <n v="0"/>
    <n v="1"/>
    <n v="4"/>
    <n v="1"/>
    <n v="0"/>
    <n v="0"/>
    <n v="0"/>
    <n v="0"/>
    <n v="0"/>
    <n v="0"/>
    <n v="0"/>
    <n v="0"/>
    <n v="0"/>
    <n v="0"/>
    <n v="0"/>
    <n v="0"/>
    <n v="0"/>
    <n v="0"/>
    <n v="0"/>
    <n v="0"/>
    <n v="0"/>
    <s v="Tooting"/>
    <m/>
    <s v="Tooting"/>
    <n v="11"/>
    <n v="6"/>
    <m/>
    <m/>
    <m/>
    <m/>
    <m/>
    <m/>
    <m/>
    <m/>
    <m/>
    <m/>
    <m/>
    <m/>
    <m/>
    <m/>
    <m/>
    <m/>
    <m/>
    <m/>
    <m/>
    <n v="0"/>
    <n v="0"/>
  </r>
  <r>
    <n v="7365"/>
    <x v="0"/>
    <s v="2020/2528"/>
    <s v="118a Disraeli Road"/>
    <s v=""/>
    <n v="524420"/>
    <n v="175013"/>
    <s v="Thamesfield"/>
    <d v="2022-01-03T00:00:00"/>
    <d v="2023-03-31T00:00:00"/>
    <n v="0"/>
    <n v="6"/>
    <n v="6"/>
    <n v="6"/>
    <n v="6"/>
    <m/>
    <s v="Demolition of existing car garage and erection of a two and a half storey residential building comprising 6 residential flats (1 x 1-bedroom and 2 x 2-bedroom flats and 3 x 1-bedroom studios)."/>
    <s v="PF"/>
    <d v="2020-07-14T00:00:00"/>
    <d v="2020-12-21T00:00:00"/>
    <m/>
    <s v="Nil"/>
    <m/>
    <s v="BF"/>
    <s v="NB"/>
    <x v="2"/>
    <x v="1"/>
    <n v="2.1000000000000001E-2"/>
    <d v="2022-01-03T00:00:00"/>
    <x v="0"/>
    <d v="2023-03-31T00:00:00"/>
    <s v="Open Market"/>
    <s v="M"/>
    <s v=""/>
    <m/>
    <n v="0"/>
    <m/>
    <n v="0"/>
    <m/>
    <n v="3"/>
    <n v="1"/>
    <n v="2"/>
    <n v="0"/>
    <n v="0"/>
    <n v="0"/>
    <n v="0"/>
    <n v="3"/>
    <n v="1"/>
    <n v="2"/>
    <n v="0"/>
    <n v="0"/>
    <n v="0"/>
    <n v="0"/>
    <n v="0"/>
    <n v="0"/>
    <n v="0"/>
    <n v="0"/>
    <n v="0"/>
    <n v="0"/>
    <n v="0"/>
    <n v="0"/>
    <n v="0"/>
    <n v="0"/>
    <n v="0"/>
    <n v="0"/>
    <n v="0"/>
    <n v="0"/>
    <m/>
    <m/>
    <s v="Putney Town Centre"/>
    <n v="1"/>
    <n v="6"/>
    <m/>
    <m/>
    <m/>
    <m/>
    <m/>
    <m/>
    <m/>
    <m/>
    <m/>
    <m/>
    <m/>
    <m/>
    <m/>
    <m/>
    <m/>
    <m/>
    <m/>
    <m/>
    <m/>
    <n v="0"/>
    <n v="0"/>
  </r>
  <r>
    <n v="7440"/>
    <x v="0"/>
    <s v="2021/2046"/>
    <s v="29-31 Cathles Road"/>
    <s v=""/>
    <n v="528916"/>
    <n v="174074"/>
    <s v="Balham"/>
    <d v="2022-01-17T00:00:00"/>
    <d v="2023-03-26T00:00:00"/>
    <n v="2"/>
    <n v="6"/>
    <n v="4"/>
    <n v="6"/>
    <n v="4"/>
    <m/>
    <s v="Demolition of existing buildings and erection of two-storey building with roof accommodation consisting of 6 self-contained flats with associated private outside amenity space, refuse and cycle parking. Formation of roof terraces with 1.7m high obscured glazed privacy screens at roof level."/>
    <s v="PF"/>
    <d v="2021-04-29T00:00:00"/>
    <d v="2021-08-19T00:00:00"/>
    <m/>
    <s v="Nil"/>
    <m/>
    <s v="BF"/>
    <s v="MIX"/>
    <x v="2"/>
    <x v="5"/>
    <n v="9.0500000000000008E-3"/>
    <d v="2022-01-17T00:00:00"/>
    <x v="0"/>
    <d v="2023-03-26T00:00:00"/>
    <s v="Open Market"/>
    <s v="M"/>
    <s v=""/>
    <m/>
    <n v="0"/>
    <n v="6"/>
    <n v="0"/>
    <n v="6"/>
    <n v="0"/>
    <n v="2"/>
    <n v="2"/>
    <n v="0"/>
    <n v="0"/>
    <n v="0"/>
    <n v="0"/>
    <n v="0"/>
    <n v="2"/>
    <n v="2"/>
    <n v="2"/>
    <n v="0"/>
    <n v="0"/>
    <n v="0"/>
    <n v="0"/>
    <n v="0"/>
    <n v="0"/>
    <n v="-2"/>
    <n v="0"/>
    <n v="0"/>
    <n v="0"/>
    <n v="0"/>
    <n v="0"/>
    <n v="0"/>
    <n v="0"/>
    <n v="0"/>
    <n v="0"/>
    <n v="0"/>
    <m/>
    <m/>
    <s v="Rest of Borough"/>
    <n v="11"/>
    <n v="4"/>
    <m/>
    <m/>
    <m/>
    <m/>
    <m/>
    <m/>
    <m/>
    <m/>
    <m/>
    <m/>
    <m/>
    <m/>
    <m/>
    <m/>
    <m/>
    <m/>
    <m/>
    <m/>
    <m/>
    <n v="0"/>
    <n v="0"/>
  </r>
  <r>
    <n v="7210"/>
    <x v="0"/>
    <s v="2019/2977"/>
    <s v="180 Balham High Road"/>
    <s v=""/>
    <n v="528481"/>
    <n v="173303"/>
    <s v="Balham"/>
    <d v="2021-03-13T00:00:00"/>
    <d v="2022-10-24T00:00:00"/>
    <n v="0"/>
    <n v="5"/>
    <n v="5"/>
    <n v="5"/>
    <n v="5"/>
    <m/>
    <s v="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
    <s v="PF"/>
    <d v="2019-07-25T00:00:00"/>
    <d v="2019-12-02T00:00:00"/>
    <m/>
    <s v="Nil"/>
    <m/>
    <s v="BF"/>
    <s v="NB"/>
    <x v="2"/>
    <x v="1"/>
    <n v="1.0999999999999999E-2"/>
    <d v="2021-03-31T00:00:00"/>
    <x v="0"/>
    <d v="2022-10-24T00:00:00"/>
    <s v="Open Market"/>
    <s v="M"/>
    <s v=""/>
    <m/>
    <n v="0"/>
    <m/>
    <n v="0"/>
    <m/>
    <n v="0"/>
    <n v="4"/>
    <n v="1"/>
    <n v="0"/>
    <n v="0"/>
    <n v="0"/>
    <n v="0"/>
    <n v="0"/>
    <n v="4"/>
    <n v="1"/>
    <n v="0"/>
    <n v="0"/>
    <n v="0"/>
    <n v="0"/>
    <n v="0"/>
    <n v="0"/>
    <n v="0"/>
    <n v="0"/>
    <n v="0"/>
    <n v="0"/>
    <n v="0"/>
    <n v="0"/>
    <n v="0"/>
    <n v="0"/>
    <n v="0"/>
    <n v="0"/>
    <n v="0"/>
    <n v="0"/>
    <s v="Balham"/>
    <m/>
    <s v="Balham"/>
    <n v="1"/>
    <n v="5"/>
    <m/>
    <m/>
    <m/>
    <m/>
    <m/>
    <m/>
    <m/>
    <m/>
    <m/>
    <m/>
    <m/>
    <m/>
    <m/>
    <m/>
    <m/>
    <m/>
    <m/>
    <m/>
    <m/>
    <n v="0"/>
    <n v="0"/>
  </r>
  <r>
    <n v="6828"/>
    <x v="0"/>
    <s v="2020/1998"/>
    <s v="74a Vant Road"/>
    <s v=""/>
    <n v="527983"/>
    <n v="171216"/>
    <s v="Tooting Broadway"/>
    <d v="2019-06-18T00:00:00"/>
    <d v="2022-10-04T00:00:00"/>
    <n v="1"/>
    <n v="5"/>
    <n v="4"/>
    <n v="5"/>
    <n v="4"/>
    <m/>
    <s v="Demolition of existing building and erection of two-storey (plus part single/part two-storey back addition, habitable roof space and basement with front and rear lightwells) building to provide 1 x 3-bedroom, 2 x 2-bedroom and 2 x 1-bedroom flats with associated cycle/bin storage and replacement of front boundary."/>
    <s v="PF"/>
    <d v="2020-06-08T00:00:00"/>
    <d v="2020-12-22T00:00:00"/>
    <m/>
    <s v="Nil"/>
    <m/>
    <s v="BF"/>
    <s v="NB"/>
    <x v="2"/>
    <x v="1"/>
    <n v="3.3000000000000002E-2"/>
    <d v="2019-06-18T00:00:00"/>
    <x v="0"/>
    <d v="2022-10-04T00:00:00"/>
    <s v="Open Market"/>
    <s v="M"/>
    <s v=""/>
    <m/>
    <n v="0"/>
    <m/>
    <n v="0"/>
    <m/>
    <n v="0"/>
    <n v="2"/>
    <n v="2"/>
    <n v="1"/>
    <n v="0"/>
    <n v="-1"/>
    <n v="0"/>
    <n v="0"/>
    <n v="2"/>
    <n v="2"/>
    <n v="1"/>
    <n v="0"/>
    <n v="0"/>
    <n v="0"/>
    <n v="0"/>
    <n v="0"/>
    <n v="0"/>
    <n v="0"/>
    <n v="0"/>
    <n v="-1"/>
    <n v="0"/>
    <n v="0"/>
    <n v="0"/>
    <n v="0"/>
    <n v="0"/>
    <n v="0"/>
    <n v="0"/>
    <n v="0"/>
    <m/>
    <m/>
    <s v="Rest of Borough"/>
    <n v="1"/>
    <n v="4"/>
    <m/>
    <m/>
    <m/>
    <m/>
    <m/>
    <m/>
    <m/>
    <m/>
    <m/>
    <m/>
    <m/>
    <m/>
    <m/>
    <m/>
    <m/>
    <m/>
    <m/>
    <m/>
    <m/>
    <n v="0"/>
    <n v="0"/>
  </r>
  <r>
    <n v="3157"/>
    <x v="0"/>
    <s v="2021/3345"/>
    <s v="15 Smallwood Road"/>
    <s v=""/>
    <n v="526833"/>
    <n v="171839"/>
    <s v="Tooting Broadway"/>
    <d v="2022-03-01T00:00:00"/>
    <d v="2023-01-31T00:00:00"/>
    <n v="3"/>
    <n v="5"/>
    <n v="2"/>
    <n v="5"/>
    <n v="2"/>
    <m/>
    <s v="Demolition of existing property and outbuildings and erection of two-storey building plus roof and basement with front and rear lightwells to create 1 x 3-bedroom, 2 x 2-bedroom and 2 x 1-bedroom flats with associated outside amenity space, refuse and cycle storage."/>
    <s v="PF"/>
    <d v="2021-07-14T00:00:00"/>
    <d v="2021-10-19T00:00:00"/>
    <m/>
    <s v="Nil"/>
    <m/>
    <s v="BF"/>
    <s v="NB"/>
    <x v="2"/>
    <x v="1"/>
    <n v="8.9999999999999993E-3"/>
    <d v="2022-03-01T00:00:00"/>
    <x v="0"/>
    <d v="2023-01-31T00:00:00"/>
    <s v="Open Market"/>
    <s v="M"/>
    <s v=""/>
    <m/>
    <n v="0"/>
    <m/>
    <n v="0"/>
    <m/>
    <n v="0"/>
    <n v="2"/>
    <n v="1"/>
    <n v="-1"/>
    <n v="0"/>
    <n v="0"/>
    <n v="0"/>
    <n v="0"/>
    <n v="2"/>
    <n v="1"/>
    <n v="-1"/>
    <n v="0"/>
    <n v="0"/>
    <n v="0"/>
    <n v="0"/>
    <n v="0"/>
    <n v="0"/>
    <n v="0"/>
    <n v="0"/>
    <n v="0"/>
    <n v="0"/>
    <n v="0"/>
    <n v="0"/>
    <n v="0"/>
    <n v="0"/>
    <n v="0"/>
    <n v="0"/>
    <n v="0"/>
    <m/>
    <m/>
    <s v="Rest of Borough"/>
    <n v="1"/>
    <n v="2"/>
    <m/>
    <m/>
    <m/>
    <m/>
    <m/>
    <m/>
    <m/>
    <m/>
    <m/>
    <m/>
    <m/>
    <m/>
    <m/>
    <m/>
    <m/>
    <m/>
    <m/>
    <m/>
    <m/>
    <n v="0"/>
    <n v="0"/>
  </r>
  <r>
    <n v="6186"/>
    <x v="0"/>
    <s v="2019/5216"/>
    <s v="65 &amp; 65a, 65 Garratt Terrace"/>
    <s v=""/>
    <n v="527237"/>
    <n v="171543"/>
    <s v="Tooting Broadway"/>
    <d v="2021-06-11T00:00:00"/>
    <d v="2023-03-27T00:00:00"/>
    <n v="1"/>
    <n v="4"/>
    <n v="3"/>
    <n v="4"/>
    <n v="3"/>
    <m/>
    <s v="Alterations including erection of mansard roof extension to main rear roof including raising ridge by 300mm; erection of roof extension above three-storey back addition; alterations to roof of two-storey back addition; lowering of front windows and erection of single storey rear/side extension in connection with conversion of property to 1 x 3-bedroom, 1 x 2-bedroom and 2 x studio flats with associated bin and cycle storage."/>
    <s v="PF"/>
    <d v="2020-01-14T00:00:00"/>
    <d v="2020-09-25T00:00:00"/>
    <m/>
    <s v="Nil"/>
    <m/>
    <s v="BF"/>
    <s v="MIX"/>
    <x v="2"/>
    <x v="5"/>
    <n v="1.4E-2"/>
    <d v="2021-06-11T00:00:00"/>
    <x v="0"/>
    <d v="2023-03-27T00:00:00"/>
    <s v="Open Market"/>
    <s v="M"/>
    <s v=""/>
    <m/>
    <n v="0"/>
    <m/>
    <n v="0"/>
    <m/>
    <n v="2"/>
    <n v="0"/>
    <n v="1"/>
    <n v="1"/>
    <n v="0"/>
    <n v="-1"/>
    <n v="0"/>
    <n v="2"/>
    <n v="0"/>
    <n v="1"/>
    <n v="1"/>
    <n v="0"/>
    <n v="0"/>
    <n v="0"/>
    <n v="0"/>
    <n v="0"/>
    <n v="0"/>
    <n v="0"/>
    <n v="0"/>
    <n v="-1"/>
    <n v="0"/>
    <n v="0"/>
    <n v="0"/>
    <n v="0"/>
    <n v="0"/>
    <n v="0"/>
    <n v="0"/>
    <n v="0"/>
    <m/>
    <m/>
    <s v="Tooting"/>
    <n v="11"/>
    <n v="3"/>
    <m/>
    <m/>
    <m/>
    <m/>
    <m/>
    <m/>
    <m/>
    <m/>
    <m/>
    <m/>
    <m/>
    <m/>
    <m/>
    <m/>
    <m/>
    <m/>
    <m/>
    <m/>
    <m/>
    <n v="0"/>
    <n v="0"/>
  </r>
  <r>
    <n v="5996"/>
    <x v="0"/>
    <s v="2020/2613"/>
    <s v="6 Broadwater Road"/>
    <s v=""/>
    <n v="527571"/>
    <n v="171743"/>
    <s v="Tooting Bec"/>
    <d v="2020-09-21T00:00:00"/>
    <d v="2022-06-26T00:00:00"/>
    <n v="0"/>
    <n v="4"/>
    <n v="4"/>
    <n v="4"/>
    <n v="4"/>
    <m/>
    <s v="Demolition of existing buildings and erection of three-storey building with basement and terraces to provide 2 x two bedroom, 1 x one bedroom and 1 x studio flats, with associated landscaping, and cycle and refuse storage."/>
    <s v="PF"/>
    <d v="2020-07-20T00:00:00"/>
    <d v="2020-12-22T00:00:00"/>
    <m/>
    <s v="Nil"/>
    <m/>
    <s v="BF"/>
    <s v="NB"/>
    <x v="2"/>
    <x v="1"/>
    <n v="1.2E-2"/>
    <d v="2020-09-21T00:00:00"/>
    <x v="0"/>
    <d v="2022-06-26T00:00:00"/>
    <s v="Open Market"/>
    <s v="M"/>
    <s v=""/>
    <m/>
    <n v="0"/>
    <m/>
    <n v="0"/>
    <m/>
    <n v="1"/>
    <n v="1"/>
    <n v="2"/>
    <n v="0"/>
    <n v="0"/>
    <n v="0"/>
    <n v="0"/>
    <n v="1"/>
    <n v="1"/>
    <n v="2"/>
    <n v="0"/>
    <n v="0"/>
    <n v="0"/>
    <n v="0"/>
    <n v="0"/>
    <n v="0"/>
    <n v="0"/>
    <n v="0"/>
    <n v="0"/>
    <n v="0"/>
    <n v="0"/>
    <n v="0"/>
    <n v="0"/>
    <n v="0"/>
    <n v="0"/>
    <n v="0"/>
    <n v="0"/>
    <n v="0"/>
    <m/>
    <m/>
    <s v="Tooting"/>
    <n v="1"/>
    <n v="4"/>
    <m/>
    <m/>
    <m/>
    <m/>
    <m/>
    <m/>
    <m/>
    <m/>
    <m/>
    <m/>
    <m/>
    <m/>
    <m/>
    <m/>
    <m/>
    <m/>
    <m/>
    <m/>
    <m/>
    <n v="0"/>
    <n v="0"/>
  </r>
  <r>
    <n v="4592"/>
    <x v="0"/>
    <s v="2020/3271"/>
    <s v="Jessica House, Red Lion Square"/>
    <s v=""/>
    <n v="525349"/>
    <n v="174610"/>
    <s v="Wandsworth Town"/>
    <d v="2022-02-01T00:00:00"/>
    <d v="2022-06-20T00:00:00"/>
    <n v="0"/>
    <n v="4"/>
    <n v="4"/>
    <n v="4"/>
    <n v="4"/>
    <m/>
    <s v="Alterations in connection with change of use of first floor from office (Class A2) to residential (Class C3) to create 3 x 2 bedroom and 1 x studio flats."/>
    <s v="PFLA"/>
    <d v="2020-09-03T00:00:00"/>
    <d v="2021-03-12T00:00:00"/>
    <m/>
    <s v="Nil"/>
    <m/>
    <s v="BF"/>
    <s v="COU"/>
    <x v="2"/>
    <x v="6"/>
    <n v="7.0000000000000001E-3"/>
    <d v="2022-02-01T00:00:00"/>
    <x v="0"/>
    <d v="2022-06-20T00:00:00"/>
    <s v="Open Market"/>
    <s v="M"/>
    <s v=""/>
    <m/>
    <n v="0"/>
    <m/>
    <n v="0"/>
    <m/>
    <n v="1"/>
    <n v="0"/>
    <n v="3"/>
    <n v="0"/>
    <n v="0"/>
    <n v="0"/>
    <n v="0"/>
    <n v="1"/>
    <n v="0"/>
    <n v="3"/>
    <n v="0"/>
    <n v="0"/>
    <n v="0"/>
    <n v="0"/>
    <n v="0"/>
    <n v="0"/>
    <n v="0"/>
    <n v="0"/>
    <n v="0"/>
    <n v="0"/>
    <n v="0"/>
    <n v="0"/>
    <n v="0"/>
    <n v="0"/>
    <n v="0"/>
    <n v="0"/>
    <n v="0"/>
    <n v="0"/>
    <s v="Wandsworth"/>
    <m/>
    <s v="Wandsworth Town, including the Wandle Delta Masterplan Area"/>
    <n v="11"/>
    <n v="4"/>
    <m/>
    <m/>
    <m/>
    <m/>
    <m/>
    <m/>
    <m/>
    <m/>
    <m/>
    <m/>
    <m/>
    <m/>
    <m/>
    <m/>
    <m/>
    <m/>
    <m/>
    <m/>
    <m/>
    <n v="0"/>
    <n v="0"/>
  </r>
  <r>
    <n v="7646"/>
    <x v="0"/>
    <s v="2021/1671"/>
    <s v="238-244 Mitcham Road"/>
    <s v=""/>
    <n v="527974"/>
    <n v="170779"/>
    <s v="Tooting Broadway"/>
    <d v="2022-01-25T00:00:00"/>
    <d v="2023-01-19T00:00:00"/>
    <n v="2"/>
    <n v="4"/>
    <n v="2"/>
    <n v="4"/>
    <n v="2"/>
    <m/>
    <s v="Alterations including replacement front dormers, erection of three storey side/rear extension; erection of mansard roof extension to main rear roof and above two storey back addition in connection with conversion of existing upper floor flats into 4 x 2-bedroom with associated refuse and cycle store."/>
    <s v="PF"/>
    <d v="2021-04-08T00:00:00"/>
    <d v="2021-06-03T00:00:00"/>
    <m/>
    <s v="Nil"/>
    <m/>
    <s v="BF"/>
    <s v="MIX"/>
    <x v="2"/>
    <x v="2"/>
    <n v="1.4E-2"/>
    <d v="2022-01-25T00:00:00"/>
    <x v="0"/>
    <d v="2023-01-19T00:00:00"/>
    <s v="Open Market"/>
    <s v="M"/>
    <s v=""/>
    <m/>
    <n v="0"/>
    <m/>
    <n v="0"/>
    <m/>
    <n v="0"/>
    <n v="0"/>
    <n v="2"/>
    <n v="0"/>
    <n v="0"/>
    <n v="0"/>
    <n v="0"/>
    <n v="0"/>
    <n v="0"/>
    <n v="2"/>
    <n v="0"/>
    <n v="0"/>
    <n v="0"/>
    <n v="0"/>
    <n v="0"/>
    <n v="0"/>
    <n v="0"/>
    <n v="0"/>
    <n v="0"/>
    <n v="0"/>
    <n v="0"/>
    <n v="0"/>
    <n v="0"/>
    <n v="0"/>
    <n v="0"/>
    <n v="0"/>
    <n v="0"/>
    <n v="0"/>
    <m/>
    <m/>
    <s v="Rest of Borough"/>
    <n v="11"/>
    <n v="2"/>
    <m/>
    <m/>
    <m/>
    <m/>
    <m/>
    <m/>
    <m/>
    <m/>
    <m/>
    <m/>
    <m/>
    <m/>
    <m/>
    <m/>
    <m/>
    <m/>
    <m/>
    <m/>
    <m/>
    <n v="0"/>
    <n v="0"/>
  </r>
  <r>
    <n v="7647"/>
    <x v="0"/>
    <s v="2021/1673"/>
    <s v="246-252 Mitcham Road"/>
    <s v=""/>
    <n v="527970"/>
    <n v="170768"/>
    <s v="Tooting Broadway"/>
    <d v="2020-09-01T00:00:00"/>
    <d v="2022-09-05T00:00:00"/>
    <n v="2"/>
    <n v="4"/>
    <n v="2"/>
    <n v="4"/>
    <n v="2"/>
    <m/>
    <s v="Alterations including replacement front dormers, erection of three storey side/rear extension; erection of mansard roof extension to main rear roof and above two storey back addition in connection with conversion of existing upper floor flats into 4 x 2-bedroom with associated refuse and cycle store."/>
    <s v="PF"/>
    <d v="2021-04-08T00:00:00"/>
    <d v="2021-06-03T00:00:00"/>
    <m/>
    <s v="Nil"/>
    <m/>
    <s v="BF"/>
    <s v="MIX"/>
    <x v="2"/>
    <x v="2"/>
    <n v="1.4E-2"/>
    <d v="2020-09-01T00:00:00"/>
    <x v="0"/>
    <d v="2022-09-05T00:00:00"/>
    <s v="Open Market"/>
    <s v="M"/>
    <s v=""/>
    <m/>
    <n v="0"/>
    <m/>
    <n v="0"/>
    <m/>
    <n v="0"/>
    <n v="0"/>
    <n v="2"/>
    <n v="0"/>
    <n v="0"/>
    <n v="0"/>
    <n v="0"/>
    <n v="0"/>
    <n v="0"/>
    <n v="2"/>
    <n v="0"/>
    <n v="0"/>
    <n v="0"/>
    <n v="0"/>
    <n v="0"/>
    <n v="0"/>
    <n v="0"/>
    <n v="0"/>
    <n v="0"/>
    <n v="0"/>
    <n v="0"/>
    <n v="0"/>
    <n v="0"/>
    <n v="0"/>
    <n v="0"/>
    <n v="0"/>
    <n v="0"/>
    <n v="0"/>
    <m/>
    <m/>
    <s v="Rest of Borough"/>
    <n v="11"/>
    <n v="2"/>
    <m/>
    <m/>
    <m/>
    <m/>
    <m/>
    <m/>
    <m/>
    <m/>
    <m/>
    <m/>
    <m/>
    <m/>
    <m/>
    <m/>
    <m/>
    <m/>
    <m/>
    <m/>
    <m/>
    <n v="0"/>
    <n v="0"/>
  </r>
  <r>
    <n v="7611"/>
    <x v="0"/>
    <s v="2021/1703"/>
    <s v="77 Dorothy Road"/>
    <s v=""/>
    <n v="527614"/>
    <n v="175748"/>
    <s v="Shaftesbury &amp; Queenstown"/>
    <d v="2021-09-13T00:00:00"/>
    <d v="2022-05-26T00:00:00"/>
    <n v="1"/>
    <n v="4"/>
    <n v="3"/>
    <n v="4"/>
    <n v="3"/>
    <m/>
    <s v="Alterations including erection of hip-to-gable side roof extension and extension to main rear roof (with French doors and safety railings); Erection of part-single part two-storey rear extension with habitable roofspace; Change of use of ground floor from food and wine bar (Sui Generis) to residential (Class C3) in connection with provision of 2 x 2 bedroom flats and 2 x 3 bedroom flats"/>
    <s v="PF"/>
    <d v="2021-04-09T00:00:00"/>
    <d v="2021-07-07T00:00:00"/>
    <m/>
    <s v="Nil"/>
    <m/>
    <s v="BF"/>
    <s v="MIX"/>
    <x v="2"/>
    <x v="7"/>
    <n v="1.3599999999999999E-2"/>
    <d v="2021-09-13T00:00:00"/>
    <x v="0"/>
    <d v="2022-05-26T00:00:00"/>
    <s v="Open Market"/>
    <s v="M"/>
    <s v=""/>
    <m/>
    <n v="0"/>
    <m/>
    <n v="0"/>
    <m/>
    <n v="0"/>
    <n v="0"/>
    <n v="2"/>
    <n v="2"/>
    <n v="0"/>
    <n v="-1"/>
    <n v="0"/>
    <n v="0"/>
    <n v="0"/>
    <n v="2"/>
    <n v="2"/>
    <n v="0"/>
    <n v="-1"/>
    <n v="0"/>
    <n v="0"/>
    <n v="0"/>
    <n v="0"/>
    <n v="0"/>
    <n v="0"/>
    <n v="0"/>
    <n v="0"/>
    <n v="0"/>
    <n v="0"/>
    <n v="0"/>
    <n v="0"/>
    <n v="0"/>
    <n v="0"/>
    <n v="0"/>
    <m/>
    <m/>
    <s v="Clapham Junction Spatial Area Strategy"/>
    <n v="11"/>
    <n v="3"/>
    <m/>
    <m/>
    <m/>
    <m/>
    <m/>
    <m/>
    <m/>
    <m/>
    <m/>
    <m/>
    <m/>
    <m/>
    <m/>
    <m/>
    <m/>
    <m/>
    <m/>
    <m/>
    <m/>
    <n v="0"/>
    <n v="0"/>
  </r>
  <r>
    <n v="7663"/>
    <x v="0"/>
    <s v="2021/3204"/>
    <s v="55 Gilbey Road"/>
    <s v=""/>
    <n v="527229"/>
    <n v="171481"/>
    <s v="Tooting Broadway"/>
    <d v="2021-08-31T00:00:00"/>
    <d v="2022-05-24T00:00:00"/>
    <n v="1"/>
    <n v="4"/>
    <n v="3"/>
    <n v="4"/>
    <n v="3"/>
    <m/>
    <s v="Alterations including changing the first floor pitched roof to a flat roof and conversion of the property into 1 x 3-bedroom, 1 x 2-bedroom and 2 x 1-bedroom flats with associated refuse and cycle storage."/>
    <s v="PF"/>
    <d v="2021-07-06T00:00:00"/>
    <d v="2021-08-31T00:00:00"/>
    <m/>
    <s v="Nil"/>
    <m/>
    <s v="BF"/>
    <s v="CON"/>
    <x v="2"/>
    <x v="5"/>
    <n v="6.0749999999999997E-3"/>
    <d v="2021-08-31T00:00:00"/>
    <x v="0"/>
    <d v="2022-05-24T00:00:00"/>
    <s v="Open Market"/>
    <s v="M"/>
    <s v=""/>
    <m/>
    <n v="0"/>
    <m/>
    <n v="0"/>
    <m/>
    <n v="0"/>
    <n v="2"/>
    <n v="1"/>
    <n v="0"/>
    <n v="0"/>
    <n v="0"/>
    <n v="0"/>
    <n v="0"/>
    <n v="2"/>
    <n v="1"/>
    <n v="1"/>
    <n v="0"/>
    <n v="0"/>
    <n v="0"/>
    <n v="0"/>
    <n v="0"/>
    <n v="0"/>
    <n v="-1"/>
    <n v="0"/>
    <n v="0"/>
    <n v="0"/>
    <n v="0"/>
    <n v="0"/>
    <n v="0"/>
    <n v="0"/>
    <n v="0"/>
    <n v="0"/>
    <n v="0"/>
    <m/>
    <m/>
    <s v="Tooting"/>
    <n v="11"/>
    <n v="3"/>
    <m/>
    <m/>
    <m/>
    <m/>
    <m/>
    <m/>
    <m/>
    <m/>
    <m/>
    <m/>
    <m/>
    <m/>
    <m/>
    <m/>
    <m/>
    <m/>
    <m/>
    <m/>
    <m/>
    <n v="0"/>
    <n v="0"/>
  </r>
  <r>
    <n v="6695"/>
    <x v="0"/>
    <s v="2017/4506"/>
    <s v="St Andrews Court, 1 - 6 St Andrews Court"/>
    <s v=""/>
    <n v="526188"/>
    <n v="172838"/>
    <s v="Wandsworth Common"/>
    <d v="2020-08-26T00:00:00"/>
    <d v="2022-06-20T00:00:00"/>
    <n v="0"/>
    <n v="3"/>
    <n v="3"/>
    <n v="3"/>
    <n v="3"/>
    <m/>
    <s v="Erection of three storey building to provide 3 x 1-bedroom flats with balconies to all levels fronting Waynflete Street."/>
    <s v="PF"/>
    <d v="2017-09-06T00:00:00"/>
    <d v="2017-12-14T00:00:00"/>
    <m/>
    <s v="Nil"/>
    <m/>
    <s v="Gdn"/>
    <s v="NB"/>
    <x v="2"/>
    <x v="1"/>
    <n v="2.8000000000000001E-2"/>
    <d v="2020-08-26T00:00:00"/>
    <x v="0"/>
    <d v="2022-06-20T00:00:00"/>
    <s v="Open Market"/>
    <s v="M"/>
    <s v=""/>
    <m/>
    <n v="0"/>
    <m/>
    <n v="0"/>
    <m/>
    <n v="0"/>
    <n v="3"/>
    <n v="0"/>
    <n v="0"/>
    <n v="0"/>
    <n v="0"/>
    <n v="0"/>
    <n v="0"/>
    <n v="3"/>
    <n v="0"/>
    <n v="0"/>
    <n v="0"/>
    <n v="0"/>
    <n v="0"/>
    <n v="0"/>
    <n v="0"/>
    <n v="0"/>
    <n v="0"/>
    <n v="0"/>
    <n v="0"/>
    <n v="0"/>
    <n v="0"/>
    <n v="0"/>
    <n v="0"/>
    <n v="0"/>
    <n v="0"/>
    <n v="0"/>
    <n v="0"/>
    <m/>
    <m/>
    <s v="Rest of Borough"/>
    <n v="1"/>
    <n v="3"/>
    <m/>
    <m/>
    <m/>
    <m/>
    <m/>
    <m/>
    <m/>
    <m/>
    <m/>
    <m/>
    <m/>
    <m/>
    <m/>
    <m/>
    <m/>
    <m/>
    <m/>
    <m/>
    <m/>
    <n v="0"/>
    <n v="0"/>
  </r>
  <r>
    <n v="6930"/>
    <x v="0"/>
    <s v="2018/1582"/>
    <s v="2 Windmill Road"/>
    <s v=""/>
    <n v="526666"/>
    <n v="174232"/>
    <s v="Wandle"/>
    <d v="2019-09-25T00:00:00"/>
    <d v="2022-06-01T00:00:00"/>
    <n v="1"/>
    <n v="3"/>
    <n v="2"/>
    <n v="3"/>
    <n v="2"/>
    <m/>
    <s v="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
    <s v="PF"/>
    <d v="2018-04-06T00:00:00"/>
    <d v="2018-06-14T00:00:00"/>
    <m/>
    <s v="Nil"/>
    <m/>
    <s v="BF"/>
    <s v="MIX"/>
    <x v="2"/>
    <x v="5"/>
    <n v="2.9000000000000001E-2"/>
    <d v="2019-09-25T00:00:00"/>
    <x v="0"/>
    <d v="2022-06-01T00:00:00"/>
    <s v="Open Market"/>
    <s v="M"/>
    <s v=""/>
    <m/>
    <n v="0"/>
    <m/>
    <n v="0"/>
    <m/>
    <n v="0"/>
    <n v="1"/>
    <n v="1"/>
    <n v="1"/>
    <n v="-1"/>
    <n v="0"/>
    <n v="0"/>
    <n v="0"/>
    <n v="1"/>
    <n v="1"/>
    <n v="1"/>
    <n v="0"/>
    <n v="0"/>
    <n v="0"/>
    <n v="0"/>
    <n v="0"/>
    <n v="0"/>
    <n v="0"/>
    <n v="-1"/>
    <n v="0"/>
    <n v="0"/>
    <n v="0"/>
    <n v="0"/>
    <n v="0"/>
    <n v="0"/>
    <n v="0"/>
    <n v="0"/>
    <n v="0"/>
    <m/>
    <m/>
    <s v="Rest of Borough"/>
    <n v="11"/>
    <n v="2"/>
    <m/>
    <m/>
    <m/>
    <m/>
    <m/>
    <m/>
    <m/>
    <m/>
    <m/>
    <m/>
    <m/>
    <m/>
    <m/>
    <m/>
    <m/>
    <m/>
    <m/>
    <m/>
    <m/>
    <n v="0"/>
    <n v="0"/>
  </r>
  <r>
    <n v="7173"/>
    <x v="0"/>
    <s v="2019/1659"/>
    <s v="173 Lavender Hill"/>
    <s v=""/>
    <n v="527960"/>
    <n v="175575"/>
    <s v="Lavender"/>
    <d v="2021-04-01T00:00:00"/>
    <d v="2022-08-17T00:00:00"/>
    <n v="0"/>
    <n v="3"/>
    <n v="3"/>
    <n v="3"/>
    <n v="3"/>
    <m/>
    <s v="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
    <s v="PF"/>
    <d v="2019-04-12T00:00:00"/>
    <d v="2019-06-06T00:00:00"/>
    <m/>
    <s v="Nil"/>
    <m/>
    <s v="BF"/>
    <s v="MIX"/>
    <x v="2"/>
    <x v="2"/>
    <n v="8.0000000000000002E-3"/>
    <d v="2021-04-01T00:00:00"/>
    <x v="0"/>
    <d v="2022-08-17T00:00:00"/>
    <s v="Open Market"/>
    <s v="M"/>
    <s v=""/>
    <m/>
    <n v="0"/>
    <m/>
    <n v="0"/>
    <m/>
    <n v="0"/>
    <n v="1"/>
    <n v="2"/>
    <n v="0"/>
    <n v="0"/>
    <n v="0"/>
    <n v="0"/>
    <n v="0"/>
    <n v="1"/>
    <n v="2"/>
    <n v="0"/>
    <n v="0"/>
    <n v="0"/>
    <n v="0"/>
    <n v="0"/>
    <n v="0"/>
    <n v="0"/>
    <n v="0"/>
    <n v="0"/>
    <n v="0"/>
    <n v="0"/>
    <n v="0"/>
    <n v="0"/>
    <n v="0"/>
    <n v="0"/>
    <n v="0"/>
    <n v="0"/>
    <n v="0"/>
    <m/>
    <m/>
    <s v="Clapham Junction Spatial Area Strategy"/>
    <n v="11"/>
    <n v="3"/>
    <m/>
    <m/>
    <m/>
    <m/>
    <m/>
    <m/>
    <m/>
    <m/>
    <m/>
    <m/>
    <m/>
    <m/>
    <m/>
    <m/>
    <m/>
    <m/>
    <m/>
    <m/>
    <m/>
    <n v="0"/>
    <n v="0"/>
  </r>
  <r>
    <n v="6809"/>
    <x v="0"/>
    <s v="2019/4792"/>
    <s v="116 Mitcham Lane"/>
    <s v=""/>
    <n v="529284"/>
    <n v="171134"/>
    <s v="Furzedown"/>
    <d v="2021-04-01T00:00:00"/>
    <d v="2022-11-11T00:00:00"/>
    <n v="0"/>
    <n v="3"/>
    <n v="3"/>
    <n v="3"/>
    <n v="3"/>
    <m/>
    <s v="Determination as to whether prior approval is required for change of use from retail (Class A1) to 2 x 2 bedroom flats and 1 x 1-bedroom flat (Class C3) at ground and first floor levels with associated external alterations to rear."/>
    <s v="PANR"/>
    <d v="2019-11-13T00:00:00"/>
    <d v="2020-01-02T00:00:00"/>
    <m/>
    <s v="Nil"/>
    <m/>
    <s v="BF"/>
    <s v="COU"/>
    <x v="2"/>
    <x v="4"/>
    <n v="1.0999999999999999E-2"/>
    <d v="2021-04-01T00:00:00"/>
    <x v="0"/>
    <d v="2022-11-11T00:00:00"/>
    <s v="Open Market"/>
    <s v="M"/>
    <s v=""/>
    <m/>
    <n v="0"/>
    <m/>
    <n v="0"/>
    <m/>
    <n v="0"/>
    <n v="1"/>
    <n v="2"/>
    <n v="0"/>
    <n v="0"/>
    <n v="0"/>
    <n v="0"/>
    <n v="0"/>
    <n v="1"/>
    <n v="2"/>
    <n v="0"/>
    <n v="0"/>
    <n v="0"/>
    <n v="0"/>
    <n v="0"/>
    <n v="0"/>
    <n v="0"/>
    <n v="0"/>
    <n v="0"/>
    <n v="0"/>
    <n v="0"/>
    <n v="0"/>
    <n v="0"/>
    <n v="0"/>
    <n v="0"/>
    <n v="0"/>
    <n v="0"/>
    <n v="0"/>
    <m/>
    <m/>
    <s v="Rest of Borough"/>
    <n v="11"/>
    <n v="3"/>
    <m/>
    <m/>
    <m/>
    <m/>
    <m/>
    <m/>
    <m/>
    <m/>
    <m/>
    <m/>
    <m/>
    <m/>
    <m/>
    <m/>
    <m/>
    <m/>
    <m/>
    <m/>
    <m/>
    <n v="0"/>
    <n v="0"/>
  </r>
  <r>
    <n v="7408"/>
    <x v="0"/>
    <s v="2020/0350"/>
    <s v="195 Merton road"/>
    <s v=""/>
    <n v="525222"/>
    <n v="173872"/>
    <s v="East Putney"/>
    <d v="2021-01-06T00:00:00"/>
    <d v="2023-01-23T00:00:00"/>
    <n v="1"/>
    <n v="3"/>
    <n v="2"/>
    <n v="3"/>
    <n v="2"/>
    <m/>
    <s v="Alterations including erection of part single, part three-storey rear/side extension and mansard roof extension in connection with the conversion of the existing 1 x 2 bedroom flat into 3 x 1 bedroom flats (Amended Description)"/>
    <s v="PF"/>
    <d v="2020-01-31T00:00:00"/>
    <d v="2020-06-04T00:00:00"/>
    <m/>
    <s v="Nil"/>
    <m/>
    <s v="BF"/>
    <s v="MIX"/>
    <x v="2"/>
    <x v="7"/>
    <n v="8.9999999999999993E-3"/>
    <d v="2021-01-06T00:00:00"/>
    <x v="0"/>
    <d v="2023-01-23T00:00:00"/>
    <s v="Open Market"/>
    <s v="M"/>
    <s v=""/>
    <m/>
    <n v="0"/>
    <m/>
    <n v="0"/>
    <m/>
    <n v="0"/>
    <n v="3"/>
    <n v="-1"/>
    <n v="0"/>
    <n v="0"/>
    <n v="0"/>
    <n v="0"/>
    <n v="0"/>
    <n v="3"/>
    <n v="-1"/>
    <n v="0"/>
    <n v="0"/>
    <n v="0"/>
    <n v="0"/>
    <n v="0"/>
    <n v="0"/>
    <n v="0"/>
    <n v="0"/>
    <n v="0"/>
    <n v="0"/>
    <n v="0"/>
    <n v="0"/>
    <n v="0"/>
    <n v="0"/>
    <n v="0"/>
    <n v="0"/>
    <n v="0"/>
    <n v="0"/>
    <m/>
    <m/>
    <s v="The Wandle Valley"/>
    <n v="11"/>
    <n v="2"/>
    <m/>
    <m/>
    <m/>
    <m/>
    <m/>
    <m/>
    <m/>
    <m/>
    <m/>
    <m/>
    <m/>
    <m/>
    <m/>
    <m/>
    <m/>
    <m/>
    <m/>
    <m/>
    <m/>
    <n v="0"/>
    <n v="0"/>
  </r>
  <r>
    <n v="7645"/>
    <x v="0"/>
    <s v="2021/1499"/>
    <s v="164-166 Tooting High Street"/>
    <s v=""/>
    <n v="527230"/>
    <n v="171110"/>
    <s v="Tooting Broadway"/>
    <d v="2021-10-07T00:00:00"/>
    <d v="2022-09-11T00:00:00"/>
    <n v="2"/>
    <n v="3"/>
    <n v="1"/>
    <n v="3"/>
    <n v="1"/>
    <m/>
    <s v="Alterations including erection of mansard roof extension to main roof and a three-storey rear extension, in connection with the creation of 1 x 1-bedroom/studio flat on third floor level."/>
    <s v="PF"/>
    <d v="2021-06-16T00:00:00"/>
    <d v="2021-08-10T00:00:00"/>
    <m/>
    <s v="Nil"/>
    <m/>
    <s v="BF"/>
    <s v="EXT"/>
    <x v="2"/>
    <x v="2"/>
    <n v="4.0000000000000001E-3"/>
    <d v="2021-10-07T00:00:00"/>
    <x v="0"/>
    <d v="2022-09-11T00:00:00"/>
    <s v="Open Market"/>
    <s v="M"/>
    <s v=""/>
    <m/>
    <n v="0"/>
    <m/>
    <n v="0"/>
    <m/>
    <n v="1"/>
    <n v="0"/>
    <n v="0"/>
    <n v="0"/>
    <n v="0"/>
    <n v="0"/>
    <n v="0"/>
    <n v="1"/>
    <n v="0"/>
    <n v="0"/>
    <n v="0"/>
    <n v="0"/>
    <n v="0"/>
    <n v="0"/>
    <n v="0"/>
    <n v="0"/>
    <n v="0"/>
    <n v="0"/>
    <n v="0"/>
    <n v="0"/>
    <n v="0"/>
    <n v="0"/>
    <n v="0"/>
    <n v="0"/>
    <n v="0"/>
    <n v="0"/>
    <n v="0"/>
    <n v="0"/>
    <m/>
    <m/>
    <s v="Tooting"/>
    <n v="11"/>
    <n v="1"/>
    <m/>
    <m/>
    <m/>
    <m/>
    <m/>
    <m/>
    <m/>
    <m/>
    <m/>
    <m/>
    <m/>
    <m/>
    <m/>
    <m/>
    <m/>
    <m/>
    <m/>
    <m/>
    <m/>
    <n v="0"/>
    <n v="0"/>
  </r>
  <r>
    <n v="7649"/>
    <x v="0"/>
    <s v="2021/1857"/>
    <s v="355 Garratt Lane"/>
    <s v=""/>
    <n v="525941"/>
    <n v="173431"/>
    <s v="Wandle"/>
    <d v="2021-11-23T00:00:00"/>
    <d v="2022-06-06T00:00:00"/>
    <n v="2"/>
    <n v="3"/>
    <n v="1"/>
    <n v="3"/>
    <n v="1"/>
    <m/>
    <s v="Erection of a part-single and  part two-storey rear extension. Erection of a dormer extension to main rear roof with internal alterations in connection with the conversion of the existing ground floor shop and flats into a ground floor shop with basement and 3 self-contained residential units ( 1 x 3-bedroom and 2 x 1-bedroom)  with the additional habitable space."/>
    <s v="PF"/>
    <d v="2021-04-19T00:00:00"/>
    <d v="2021-06-14T00:00:00"/>
    <m/>
    <s v="Nil"/>
    <m/>
    <s v="BF"/>
    <s v="MIX"/>
    <x v="2"/>
    <x v="2"/>
    <n v="6.0000000000000001E-3"/>
    <d v="2021-11-23T00:00:00"/>
    <x v="0"/>
    <d v="2022-06-06T00:00:00"/>
    <s v="Open Market"/>
    <s v="M"/>
    <s v=""/>
    <m/>
    <n v="0"/>
    <m/>
    <n v="0"/>
    <m/>
    <n v="-1"/>
    <n v="2"/>
    <n v="1"/>
    <n v="0"/>
    <n v="-1"/>
    <n v="0"/>
    <n v="0"/>
    <n v="-1"/>
    <n v="2"/>
    <n v="1"/>
    <n v="0"/>
    <n v="-1"/>
    <n v="0"/>
    <n v="0"/>
    <n v="0"/>
    <n v="0"/>
    <n v="0"/>
    <n v="0"/>
    <n v="0"/>
    <n v="0"/>
    <n v="0"/>
    <n v="0"/>
    <n v="0"/>
    <n v="0"/>
    <n v="0"/>
    <n v="0"/>
    <n v="0"/>
    <n v="0"/>
    <m/>
    <m/>
    <s v="The Wandle Valley"/>
    <n v="11"/>
    <n v="1"/>
    <m/>
    <m/>
    <m/>
    <m/>
    <m/>
    <m/>
    <m/>
    <m/>
    <m/>
    <m/>
    <m/>
    <m/>
    <m/>
    <m/>
    <m/>
    <m/>
    <m/>
    <m/>
    <m/>
    <n v="0"/>
    <n v="0"/>
  </r>
  <r>
    <n v="7675"/>
    <x v="0"/>
    <s v="2021/2831"/>
    <s v="47 Moyser Road"/>
    <s v=""/>
    <n v="528999"/>
    <n v="171043"/>
    <s v="Furzedown"/>
    <d v="2021-07-02T00:00:00"/>
    <d v="2022-07-12T00:00:00"/>
    <n v="2"/>
    <n v="3"/>
    <n v="1"/>
    <n v="3"/>
    <n v="1"/>
    <m/>
    <s v="Erection of single-storey rear/side extension to existing ground floor flat. Erection of a mansard roof extension to main rear roof slope and extension above part of two-storey back addition; Formation of a roof terrace with 1.7m high screen surround above the two-storey back addition in connection with creation of 1 x 1 bedroom flat. Replacement of first floor windows with French doors and safety railings to rear of back addition. Provision of associated cycle and refuse storage to front garden."/>
    <s v="PF"/>
    <d v="2021-09-29T00:00:00"/>
    <d v="2021-11-24T00:00:00"/>
    <m/>
    <s v="Nil"/>
    <m/>
    <s v="BF"/>
    <s v="EXT"/>
    <x v="2"/>
    <x v="2"/>
    <n v="5.0000000000000001E-3"/>
    <d v="2021-07-02T00:00:00"/>
    <x v="0"/>
    <d v="2022-07-12T00:00:00"/>
    <s v="Open Market"/>
    <s v="M"/>
    <s v=""/>
    <m/>
    <n v="0"/>
    <m/>
    <n v="0"/>
    <m/>
    <n v="0"/>
    <n v="0"/>
    <n v="0"/>
    <n v="1"/>
    <n v="0"/>
    <n v="0"/>
    <n v="0"/>
    <n v="0"/>
    <n v="0"/>
    <n v="0"/>
    <n v="1"/>
    <n v="0"/>
    <n v="0"/>
    <n v="0"/>
    <n v="0"/>
    <n v="0"/>
    <n v="0"/>
    <n v="0"/>
    <n v="0"/>
    <n v="0"/>
    <n v="0"/>
    <n v="0"/>
    <n v="0"/>
    <n v="0"/>
    <n v="0"/>
    <n v="0"/>
    <n v="0"/>
    <n v="0"/>
    <m/>
    <m/>
    <s v="Rest of Borough"/>
    <n v="11"/>
    <n v="1"/>
    <m/>
    <m/>
    <m/>
    <m/>
    <m/>
    <m/>
    <m/>
    <m/>
    <m/>
    <m/>
    <m/>
    <m/>
    <m/>
    <m/>
    <m/>
    <m/>
    <m/>
    <m/>
    <m/>
    <n v="0"/>
    <n v="0"/>
  </r>
  <r>
    <n v="7668"/>
    <x v="0"/>
    <s v="2021/4131"/>
    <s v="26 Trinity Road"/>
    <s v=""/>
    <n v="527959"/>
    <n v="172410"/>
    <s v="Trinity"/>
    <d v="2022-03-31T00:00:00"/>
    <d v="2022-11-06T00:00:00"/>
    <n v="1"/>
    <n v="3"/>
    <n v="2"/>
    <n v="3"/>
    <n v="2"/>
    <m/>
    <s v="Alterations including erection of a mansard roof extension and extension over the back addition to create additional floor of accommodation, with roof terrace and 1.7m high screen surround above; Erection of single-storey side/rear extension; Replacement shopfront; Partial change of use of ground floor from shop (Class E) to residential (Class C3) in connection with conversion of the property into 3 x 1-bedroom flats."/>
    <s v="PF"/>
    <d v="2021-09-07T00:00:00"/>
    <d v="2021-12-23T00:00:00"/>
    <m/>
    <s v="Nil"/>
    <m/>
    <s v="BF"/>
    <s v="MIX"/>
    <x v="2"/>
    <x v="4"/>
    <n v="6.4599999999999996E-3"/>
    <d v="2022-03-31T00:00:00"/>
    <x v="0"/>
    <d v="2022-11-06T00:00:00"/>
    <s v="Open Market"/>
    <s v="M"/>
    <s v=""/>
    <m/>
    <n v="0"/>
    <m/>
    <n v="0"/>
    <m/>
    <n v="0"/>
    <n v="2"/>
    <n v="0"/>
    <n v="0"/>
    <n v="0"/>
    <n v="0"/>
    <n v="0"/>
    <n v="0"/>
    <n v="2"/>
    <n v="0"/>
    <n v="0"/>
    <n v="0"/>
    <n v="0"/>
    <n v="0"/>
    <n v="0"/>
    <n v="0"/>
    <n v="0"/>
    <n v="0"/>
    <n v="0"/>
    <n v="0"/>
    <n v="0"/>
    <n v="0"/>
    <n v="0"/>
    <n v="0"/>
    <n v="0"/>
    <n v="0"/>
    <n v="0"/>
    <n v="0"/>
    <m/>
    <m/>
    <s v="Rest of Borough"/>
    <n v="11"/>
    <n v="2"/>
    <m/>
    <m/>
    <m/>
    <m/>
    <m/>
    <m/>
    <m/>
    <m/>
    <m/>
    <m/>
    <m/>
    <m/>
    <m/>
    <m/>
    <m/>
    <m/>
    <m/>
    <m/>
    <m/>
    <n v="0"/>
    <n v="0"/>
  </r>
  <r>
    <n v="7651"/>
    <x v="0"/>
    <s v="2021/4856"/>
    <s v="134 Trinity Road"/>
    <s v=""/>
    <n v="527647"/>
    <n v="172914"/>
    <s v="Trinity"/>
    <d v="2022-03-31T00:00:00"/>
    <d v="2023-03-31T00:00:00"/>
    <n v="1"/>
    <n v="3"/>
    <n v="2"/>
    <n v="3"/>
    <n v="2"/>
    <m/>
    <s v="Alterations including erection of rear mansard roof extension and formation of roof terrace with 1.7m safety glass surround over threestorey back addition; erection of single storey rear and side extension; and erection of front boundary and provision of cycle and waste storage to front garden. Alterations and extensions in connection with conversion of property into 1 x 3-bedroom, 1 x 2-bedroom and 1 x 1- bedroom flats"/>
    <s v="PF"/>
    <d v="2021-10-22T00:00:00"/>
    <d v="2021-12-15T00:00:00"/>
    <m/>
    <s v="Nil"/>
    <m/>
    <s v="BF"/>
    <s v="CON"/>
    <x v="2"/>
    <x v="5"/>
    <n v="6.0000000000000001E-3"/>
    <d v="2022-03-31T00:00:00"/>
    <x v="0"/>
    <d v="2023-03-31T00:00:00"/>
    <s v="Open Market"/>
    <s v="M"/>
    <s v=""/>
    <m/>
    <n v="0"/>
    <m/>
    <n v="0"/>
    <m/>
    <n v="0"/>
    <n v="1"/>
    <n v="1"/>
    <n v="1"/>
    <n v="0"/>
    <n v="-1"/>
    <n v="0"/>
    <n v="0"/>
    <n v="1"/>
    <n v="1"/>
    <n v="1"/>
    <n v="0"/>
    <n v="0"/>
    <n v="0"/>
    <n v="0"/>
    <n v="0"/>
    <n v="0"/>
    <n v="0"/>
    <n v="0"/>
    <n v="-1"/>
    <n v="0"/>
    <n v="0"/>
    <n v="0"/>
    <n v="0"/>
    <n v="0"/>
    <n v="0"/>
    <n v="0"/>
    <n v="0"/>
    <m/>
    <m/>
    <s v="Rest of Borough"/>
    <n v="11"/>
    <n v="2"/>
    <m/>
    <m/>
    <m/>
    <m/>
    <m/>
    <m/>
    <m/>
    <m/>
    <m/>
    <m/>
    <m/>
    <m/>
    <m/>
    <m/>
    <m/>
    <m/>
    <m/>
    <m/>
    <m/>
    <n v="0"/>
    <n v="0"/>
  </r>
  <r>
    <n v="6392"/>
    <x v="0"/>
    <s v="2016/6355"/>
    <s v="122 Clapham Common West Side"/>
    <s v=""/>
    <n v="528007"/>
    <n v="175012"/>
    <s v="Northcote"/>
    <d v="2022-01-31T00:00:00"/>
    <d v="2022-10-18T00:00:00"/>
    <n v="2"/>
    <n v="2"/>
    <n v="0"/>
    <n v="2"/>
    <n v="0"/>
    <m/>
    <s v="Alterations including erection of single storey side/rear extension, replacement windows, and bin store to front area in connection with conversion of building into 2 x 3-bedroom flats."/>
    <s v="PF"/>
    <d v="2016-10-31T00:00:00"/>
    <d v="2016-12-22T00:00:00"/>
    <m/>
    <s v="Nil"/>
    <m/>
    <s v="BF"/>
    <s v="MIX"/>
    <x v="2"/>
    <x v="5"/>
    <n v="0.02"/>
    <d v="2022-01-31T00:00:00"/>
    <x v="0"/>
    <d v="2022-10-18T00:00:00"/>
    <s v="Open Market"/>
    <s v="M"/>
    <s v=""/>
    <m/>
    <n v="0"/>
    <m/>
    <n v="0"/>
    <m/>
    <n v="-1"/>
    <n v="0"/>
    <n v="0"/>
    <n v="2"/>
    <n v="-1"/>
    <n v="0"/>
    <n v="0"/>
    <n v="-1"/>
    <n v="0"/>
    <n v="0"/>
    <n v="2"/>
    <n v="0"/>
    <n v="0"/>
    <n v="0"/>
    <n v="0"/>
    <n v="0"/>
    <n v="0"/>
    <n v="0"/>
    <n v="-1"/>
    <n v="0"/>
    <n v="0"/>
    <n v="0"/>
    <n v="0"/>
    <n v="0"/>
    <n v="0"/>
    <n v="0"/>
    <n v="0"/>
    <n v="0"/>
    <m/>
    <m/>
    <s v="Rest of Borough"/>
    <n v="11"/>
    <n v="0"/>
    <m/>
    <m/>
    <m/>
    <m/>
    <m/>
    <m/>
    <m/>
    <m/>
    <m/>
    <m/>
    <m/>
    <m/>
    <m/>
    <m/>
    <m/>
    <m/>
    <m/>
    <m/>
    <m/>
    <n v="0"/>
    <n v="0"/>
  </r>
  <r>
    <n v="5682"/>
    <x v="0"/>
    <s v="2017/1395"/>
    <s v="7 Lavender Hill"/>
    <s v=""/>
    <n v="528537"/>
    <n v="175740"/>
    <s v="Lavender"/>
    <d v="2019-03-31T00:00:00"/>
    <d v="2023-03-31T00:00:00"/>
    <n v="1"/>
    <n v="2"/>
    <n v="1"/>
    <n v="3"/>
    <n v="2"/>
    <m/>
    <s v="Alterations including erection of roof extension to create additional floor of accommodation in connection with conversion of property into 3 x 1-bedroom flats."/>
    <s v="PF"/>
    <d v="2017-04-13T00:00:00"/>
    <d v="2017-09-19T00:00:00"/>
    <m/>
    <s v="Nil"/>
    <m/>
    <s v="BF"/>
    <s v="MIX"/>
    <x v="2"/>
    <x v="7"/>
    <n v="4.0000000000000001E-3"/>
    <d v="2019-03-31T00:00:00"/>
    <x v="0"/>
    <d v="2023-03-31T00:00:00"/>
    <s v="Open Market"/>
    <s v="M"/>
    <s v=""/>
    <m/>
    <n v="0"/>
    <m/>
    <n v="0"/>
    <m/>
    <n v="0"/>
    <n v="2"/>
    <n v="0"/>
    <n v="0"/>
    <n v="-1"/>
    <n v="0"/>
    <n v="0"/>
    <n v="0"/>
    <n v="2"/>
    <n v="0"/>
    <n v="0"/>
    <n v="-1"/>
    <n v="0"/>
    <n v="0"/>
    <n v="0"/>
    <n v="0"/>
    <n v="0"/>
    <n v="0"/>
    <n v="0"/>
    <n v="0"/>
    <n v="0"/>
    <n v="0"/>
    <n v="0"/>
    <n v="0"/>
    <n v="0"/>
    <n v="0"/>
    <n v="0"/>
    <n v="0"/>
    <m/>
    <m/>
    <s v="Rest of Borough"/>
    <n v="11"/>
    <n v="1"/>
    <m/>
    <m/>
    <m/>
    <m/>
    <m/>
    <m/>
    <m/>
    <m/>
    <m/>
    <m/>
    <m/>
    <m/>
    <m/>
    <m/>
    <m/>
    <m/>
    <m/>
    <m/>
    <m/>
    <n v="0"/>
    <n v="0"/>
  </r>
  <r>
    <n v="4438"/>
    <x v="0"/>
    <s v="2017/1456"/>
    <s v="120 Upper Richmond Road"/>
    <s v=""/>
    <n v="524309"/>
    <n v="174961"/>
    <s v="East Putney"/>
    <d v="2020-10-01T00:00:00"/>
    <d v="2023-03-22T00:00:00"/>
    <n v="1"/>
    <n v="2"/>
    <n v="1"/>
    <n v="3"/>
    <n v="2"/>
    <m/>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m/>
    <s v="Nil"/>
    <m/>
    <s v="BF"/>
    <s v="EXT"/>
    <x v="2"/>
    <x v="7"/>
    <n v="5.0000000000000001E-3"/>
    <d v="2020-10-01T00:00:00"/>
    <x v="0"/>
    <d v="2023-03-22T00:00:00"/>
    <s v="Open Market"/>
    <s v="M"/>
    <s v=""/>
    <m/>
    <n v="0"/>
    <m/>
    <n v="0"/>
    <m/>
    <n v="0"/>
    <n v="2"/>
    <n v="-1"/>
    <n v="0"/>
    <n v="0"/>
    <n v="0"/>
    <n v="0"/>
    <n v="0"/>
    <n v="2"/>
    <n v="-1"/>
    <n v="0"/>
    <n v="0"/>
    <n v="0"/>
    <n v="0"/>
    <n v="0"/>
    <n v="0"/>
    <n v="0"/>
    <n v="0"/>
    <n v="0"/>
    <n v="0"/>
    <n v="0"/>
    <n v="0"/>
    <n v="0"/>
    <n v="0"/>
    <n v="0"/>
    <n v="0"/>
    <n v="0"/>
    <n v="0"/>
    <s v="Putney"/>
    <m/>
    <s v="Putney Town Centre"/>
    <n v="11"/>
    <n v="1"/>
    <m/>
    <m/>
    <m/>
    <m/>
    <m/>
    <m/>
    <m/>
    <m/>
    <m/>
    <m/>
    <m/>
    <m/>
    <m/>
    <m/>
    <m/>
    <m/>
    <m/>
    <m/>
    <m/>
    <n v="0"/>
    <n v="0"/>
  </r>
  <r>
    <n v="7166"/>
    <x v="0"/>
    <s v="2019/1481"/>
    <s v="10-15 The Boulevard, Balham High Road"/>
    <s v=""/>
    <n v="528340"/>
    <n v="172918"/>
    <s v="South Balham"/>
    <d v="2022-03-31T00:00:00"/>
    <d v="2022-07-31T00:00:00"/>
    <n v="0"/>
    <n v="2"/>
    <n v="2"/>
    <n v="2"/>
    <n v="2"/>
    <m/>
    <s v="Alterations including erection of mansard roof extensions to rear roof slope in connection with formation of 1 x 2-bedroom and 1 x 1-bedroom flats."/>
    <s v="PF"/>
    <d v="2019-04-03T00:00:00"/>
    <d v="2019-05-29T00:00:00"/>
    <m/>
    <s v="Nil"/>
    <m/>
    <s v="BF"/>
    <s v="EXT"/>
    <x v="2"/>
    <x v="2"/>
    <n v="7.0000000000000001E-3"/>
    <d v="2022-03-31T00:00:00"/>
    <x v="0"/>
    <d v="2022-07-31T00:00:00"/>
    <s v="Open Market"/>
    <s v="M"/>
    <s v=""/>
    <m/>
    <n v="0"/>
    <m/>
    <n v="0"/>
    <m/>
    <n v="0"/>
    <n v="1"/>
    <n v="1"/>
    <n v="0"/>
    <n v="0"/>
    <n v="0"/>
    <n v="0"/>
    <n v="0"/>
    <n v="1"/>
    <n v="1"/>
    <n v="0"/>
    <n v="0"/>
    <n v="0"/>
    <n v="0"/>
    <n v="0"/>
    <n v="0"/>
    <n v="0"/>
    <n v="0"/>
    <n v="0"/>
    <n v="0"/>
    <n v="0"/>
    <n v="0"/>
    <n v="0"/>
    <n v="0"/>
    <n v="0"/>
    <n v="0"/>
    <n v="0"/>
    <n v="0"/>
    <m/>
    <m/>
    <s v="Rest of Borough"/>
    <n v="11"/>
    <n v="2"/>
    <m/>
    <m/>
    <m/>
    <m/>
    <m/>
    <m/>
    <m/>
    <m/>
    <m/>
    <m/>
    <m/>
    <m/>
    <m/>
    <m/>
    <m/>
    <m/>
    <m/>
    <m/>
    <m/>
    <n v="0"/>
    <n v="0"/>
  </r>
  <r>
    <n v="6860"/>
    <x v="0"/>
    <s v="2019/3393"/>
    <s v="116 Tooting High Street"/>
    <s v=""/>
    <n v="527312"/>
    <n v="171270"/>
    <s v="Tooting Broadway"/>
    <d v="2020-03-31T00:00:00"/>
    <d v="2022-04-03T00:00:00"/>
    <n v="1"/>
    <n v="2"/>
    <n v="1"/>
    <n v="2"/>
    <n v="1"/>
    <m/>
    <s v="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
    <s v="PF"/>
    <d v="2019-08-20T00:00:00"/>
    <d v="2019-09-27T00:00:00"/>
    <m/>
    <s v="Nil"/>
    <m/>
    <s v="BF"/>
    <s v="CON"/>
    <x v="2"/>
    <x v="7"/>
    <n v="8.9999999999999993E-3"/>
    <d v="2020-03-31T00:00:00"/>
    <x v="0"/>
    <d v="2022-04-03T00:00:00"/>
    <s v="Open Market"/>
    <s v="M"/>
    <s v=""/>
    <m/>
    <n v="0"/>
    <m/>
    <n v="0"/>
    <m/>
    <n v="0"/>
    <n v="1"/>
    <n v="1"/>
    <n v="-1"/>
    <n v="0"/>
    <n v="0"/>
    <n v="0"/>
    <n v="0"/>
    <n v="1"/>
    <n v="1"/>
    <n v="-1"/>
    <n v="0"/>
    <n v="0"/>
    <n v="0"/>
    <n v="0"/>
    <n v="0"/>
    <n v="0"/>
    <n v="0"/>
    <n v="0"/>
    <n v="0"/>
    <n v="0"/>
    <n v="0"/>
    <n v="0"/>
    <n v="0"/>
    <n v="0"/>
    <n v="0"/>
    <n v="0"/>
    <n v="0"/>
    <m/>
    <m/>
    <s v="Tooting"/>
    <n v="11"/>
    <n v="1"/>
    <m/>
    <m/>
    <m/>
    <m/>
    <m/>
    <m/>
    <m/>
    <m/>
    <m/>
    <m/>
    <m/>
    <m/>
    <m/>
    <m/>
    <m/>
    <m/>
    <m/>
    <m/>
    <m/>
    <n v="0"/>
    <n v="0"/>
  </r>
  <r>
    <n v="7086"/>
    <x v="0"/>
    <s v="2019/4923"/>
    <s v="18 Trinity Road"/>
    <s v=""/>
    <n v="527983"/>
    <n v="172402"/>
    <s v="Trinity"/>
    <d v="2021-10-25T00:00:00"/>
    <d v="2023-03-16T00:00:00"/>
    <n v="0"/>
    <n v="2"/>
    <n v="2"/>
    <n v="2"/>
    <n v="2"/>
    <m/>
    <s v="Erection of a part two, part three-storey extension to create two x 2-bedroom flats with associated refuse and cycle storage."/>
    <s v="PFLA"/>
    <d v="2019-12-05T00:00:00"/>
    <d v="2020-04-28T00:00:00"/>
    <m/>
    <s v="Nil"/>
    <m/>
    <s v="BF"/>
    <s v="NB"/>
    <x v="2"/>
    <x v="1"/>
    <n v="8.9999999999999993E-3"/>
    <d v="2021-10-25T00:00:00"/>
    <x v="0"/>
    <d v="2023-03-16T00:00:00"/>
    <s v="Open Market"/>
    <s v="M"/>
    <s v=""/>
    <m/>
    <n v="0"/>
    <m/>
    <n v="0"/>
    <m/>
    <n v="0"/>
    <n v="0"/>
    <n v="2"/>
    <n v="0"/>
    <n v="0"/>
    <n v="0"/>
    <n v="0"/>
    <n v="0"/>
    <n v="0"/>
    <n v="2"/>
    <n v="0"/>
    <n v="0"/>
    <n v="0"/>
    <n v="0"/>
    <n v="0"/>
    <n v="0"/>
    <n v="0"/>
    <n v="0"/>
    <n v="0"/>
    <n v="0"/>
    <n v="0"/>
    <n v="0"/>
    <n v="0"/>
    <n v="0"/>
    <n v="0"/>
    <n v="0"/>
    <n v="0"/>
    <n v="0"/>
    <m/>
    <m/>
    <s v="Rest of Borough"/>
    <n v="1"/>
    <n v="2"/>
    <m/>
    <m/>
    <m/>
    <m/>
    <m/>
    <m/>
    <m/>
    <m/>
    <m/>
    <m/>
    <m/>
    <m/>
    <m/>
    <m/>
    <m/>
    <m/>
    <m/>
    <m/>
    <m/>
    <n v="0"/>
    <n v="0"/>
  </r>
  <r>
    <n v="3943"/>
    <x v="0"/>
    <s v="2020/1167"/>
    <s v="Royal Mail Group Site, Ponton Road (Nine Elms Park)"/>
    <s v="Plot C1 - Block C"/>
    <n v="529575"/>
    <n v="177401"/>
    <s v="Nine Elms"/>
    <d v="2019-11-29T00:00:00"/>
    <d v="2022-09-16T00:00:00"/>
    <n v="0"/>
    <n v="40"/>
    <n v="40"/>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m/>
    <s v="Nil"/>
    <m/>
    <s v="BF"/>
    <s v="NB"/>
    <x v="0"/>
    <x v="0"/>
    <n v="4.2999999999999997E-2"/>
    <d v="2020-03-31T00:00:00"/>
    <x v="0"/>
    <d v="2022-09-09T00:00:00"/>
    <s v="Social/Affordable Rent"/>
    <s v="AA"/>
    <s v="2.1.18"/>
    <m/>
    <n v="0"/>
    <n v="36"/>
    <n v="0"/>
    <n v="4"/>
    <n v="0"/>
    <n v="10"/>
    <n v="17"/>
    <n v="12"/>
    <n v="1"/>
    <n v="0"/>
    <n v="0"/>
    <n v="0"/>
    <n v="10"/>
    <n v="17"/>
    <n v="12"/>
    <n v="1"/>
    <n v="0"/>
    <n v="0"/>
    <n v="0"/>
    <n v="0"/>
    <n v="0"/>
    <n v="0"/>
    <n v="0"/>
    <n v="0"/>
    <n v="0"/>
    <n v="0"/>
    <n v="0"/>
    <n v="0"/>
    <n v="0"/>
    <n v="0"/>
    <n v="0"/>
    <n v="0"/>
    <m/>
    <s v="Y"/>
    <s v="Nine Elms Vauxhall Opportunity Area"/>
    <n v="1"/>
    <n v="40"/>
    <m/>
    <m/>
    <m/>
    <m/>
    <m/>
    <m/>
    <m/>
    <m/>
    <m/>
    <m/>
    <m/>
    <m/>
    <m/>
    <m/>
    <m/>
    <m/>
    <m/>
    <m/>
    <m/>
    <n v="0"/>
    <n v="0"/>
  </r>
  <r>
    <n v="5215"/>
    <x v="0"/>
    <s v="2021/0607"/>
    <s v="21 Balham High Road"/>
    <s v=""/>
    <n v="528754"/>
    <n v="173676"/>
    <s v="Balham"/>
    <d v="2021-10-20T00:00:00"/>
    <d v="2022-04-01T00:00:00"/>
    <n v="0"/>
    <n v="2"/>
    <n v="2"/>
    <n v="2"/>
    <n v="2"/>
    <m/>
    <s v="Erection of three-storey rear extension with second floor terrace to provide 1 x 1-bedroom and 1 x 2-bedroom  flats"/>
    <s v="PF"/>
    <d v="2021-02-27T00:00:00"/>
    <d v="2021-05-19T00:00:00"/>
    <m/>
    <s v="Nil"/>
    <m/>
    <s v="BF"/>
    <s v="EXT"/>
    <x v="2"/>
    <x v="2"/>
    <n v="0.01"/>
    <d v="2021-11-20T00:00:00"/>
    <x v="0"/>
    <d v="2022-04-01T00:00:00"/>
    <s v="Open Market"/>
    <s v="M"/>
    <s v=""/>
    <m/>
    <n v="0"/>
    <m/>
    <n v="0"/>
    <m/>
    <n v="0"/>
    <n v="1"/>
    <n v="1"/>
    <n v="0"/>
    <n v="0"/>
    <n v="0"/>
    <n v="0"/>
    <n v="0"/>
    <n v="1"/>
    <n v="1"/>
    <n v="0"/>
    <n v="0"/>
    <n v="0"/>
    <n v="0"/>
    <n v="0"/>
    <n v="0"/>
    <n v="0"/>
    <n v="0"/>
    <n v="0"/>
    <n v="0"/>
    <n v="0"/>
    <n v="0"/>
    <n v="0"/>
    <n v="0"/>
    <n v="0"/>
    <n v="0"/>
    <n v="0"/>
    <n v="0"/>
    <s v="Balham"/>
    <m/>
    <s v="Balham"/>
    <n v="11"/>
    <n v="2"/>
    <m/>
    <m/>
    <m/>
    <m/>
    <m/>
    <m/>
    <m/>
    <m/>
    <m/>
    <m/>
    <m/>
    <m/>
    <m/>
    <m/>
    <m/>
    <m/>
    <m/>
    <m/>
    <m/>
    <n v="0"/>
    <n v="0"/>
  </r>
  <r>
    <n v="7450"/>
    <x v="0"/>
    <s v="2021/1437"/>
    <s v="19 Melrose Road"/>
    <s v=""/>
    <n v="524894"/>
    <n v="174072"/>
    <s v="East Putney"/>
    <d v="2022-03-09T00:00:00"/>
    <d v="2023-01-18T00:00:00"/>
    <n v="1"/>
    <n v="2"/>
    <n v="1"/>
    <n v="2"/>
    <n v="1"/>
    <m/>
    <s v="Erection of single storey ground floor extension to the rear of the property and minor alterations within front lightwell and side elevation associated with the conversion of the lower ground to 1 x 1 bed and 1 x 2 bed residential dwellings."/>
    <s v="PF"/>
    <d v="2021-03-26T00:00:00"/>
    <d v="2021-07-27T00:00:00"/>
    <m/>
    <s v="Nil"/>
    <m/>
    <s v="BF"/>
    <s v="MIX"/>
    <x v="2"/>
    <x v="2"/>
    <n v="5.5999999999999999E-3"/>
    <d v="2022-03-09T00:00:00"/>
    <x v="0"/>
    <d v="2023-01-18T00:00:00"/>
    <s v="Open Market"/>
    <s v="M"/>
    <s v=""/>
    <m/>
    <n v="0"/>
    <m/>
    <n v="0"/>
    <m/>
    <n v="0"/>
    <n v="1"/>
    <n v="0"/>
    <n v="0"/>
    <n v="0"/>
    <n v="0"/>
    <n v="0"/>
    <n v="0"/>
    <n v="1"/>
    <n v="0"/>
    <n v="0"/>
    <n v="0"/>
    <n v="0"/>
    <n v="0"/>
    <n v="0"/>
    <n v="0"/>
    <n v="0"/>
    <n v="0"/>
    <n v="0"/>
    <n v="0"/>
    <n v="0"/>
    <n v="0"/>
    <n v="0"/>
    <n v="0"/>
    <n v="0"/>
    <n v="0"/>
    <n v="0"/>
    <n v="0"/>
    <m/>
    <m/>
    <s v="Rest of Borough"/>
    <n v="11"/>
    <n v="1"/>
    <m/>
    <m/>
    <m/>
    <m/>
    <m/>
    <m/>
    <m/>
    <m/>
    <m/>
    <m/>
    <m/>
    <m/>
    <m/>
    <m/>
    <m/>
    <m/>
    <m/>
    <m/>
    <m/>
    <n v="0"/>
    <n v="0"/>
  </r>
  <r>
    <n v="7635"/>
    <x v="0"/>
    <s v="2021/2086"/>
    <s v="58-60 Ashlone Road"/>
    <s v=""/>
    <n v="523534"/>
    <n v="176043"/>
    <s v="Thamesfield"/>
    <d v="2021-12-01T00:00:00"/>
    <d v="2022-12-12T00:00:00"/>
    <n v="2"/>
    <n v="2"/>
    <n v="0"/>
    <n v="2"/>
    <n v="0"/>
    <m/>
    <s v="Alterations including erection of single storey rear extensions, installation of front dormer and french doors with safety railings within dormers to rear roof extension; infilling of side roof terrace and replacement fenestration throughout in connection with provision of 1 x 3-bedroom and 1 x 4-bedroom houses."/>
    <s v="PF"/>
    <d v="2021-05-19T00:00:00"/>
    <d v="2021-07-15T00:00:00"/>
    <m/>
    <s v="Nil"/>
    <m/>
    <s v="BF"/>
    <s v="MIX"/>
    <x v="2"/>
    <x v="8"/>
    <n v="8.0999999999999996E-3"/>
    <d v="2021-12-01T00:00:00"/>
    <x v="0"/>
    <d v="2022-12-12T00:00:00"/>
    <s v="Open Market"/>
    <s v="M"/>
    <s v=""/>
    <m/>
    <n v="0"/>
    <m/>
    <n v="0"/>
    <m/>
    <n v="0"/>
    <n v="0"/>
    <n v="-2"/>
    <n v="2"/>
    <n v="0"/>
    <n v="0"/>
    <n v="0"/>
    <n v="0"/>
    <n v="0"/>
    <n v="-2"/>
    <n v="0"/>
    <n v="0"/>
    <n v="0"/>
    <n v="0"/>
    <n v="0"/>
    <n v="0"/>
    <n v="0"/>
    <n v="2"/>
    <n v="0"/>
    <n v="0"/>
    <n v="0"/>
    <n v="0"/>
    <n v="0"/>
    <n v="0"/>
    <n v="0"/>
    <n v="0"/>
    <n v="0"/>
    <n v="0"/>
    <m/>
    <m/>
    <s v="Wandsworth riverside"/>
    <n v="11"/>
    <n v="0"/>
    <m/>
    <m/>
    <m/>
    <m/>
    <m/>
    <m/>
    <m/>
    <m/>
    <m/>
    <m/>
    <m/>
    <m/>
    <m/>
    <m/>
    <m/>
    <m/>
    <m/>
    <m/>
    <m/>
    <n v="0"/>
    <n v="0"/>
  </r>
  <r>
    <n v="1836"/>
    <x v="0"/>
    <s v="2021/3209"/>
    <s v="177 Wandsworth High Street (1-12 Dutch Yard House)"/>
    <s v=""/>
    <n v="525361"/>
    <n v="174644"/>
    <s v="Wandsworth Town"/>
    <d v="2021-12-13T00:00:00"/>
    <d v="2023-01-26T00:00:00"/>
    <n v="0"/>
    <n v="2"/>
    <n v="2"/>
    <n v="2"/>
    <n v="2"/>
    <m/>
    <s v="Alterations including change of use of part ground floor from café/yoga studio (Class A3/D2) to residential(Class C3) to provide 2 x 1 bedroom flats"/>
    <s v="PF"/>
    <d v="2021-07-13T00:00:00"/>
    <d v="2021-09-08T00:00:00"/>
    <m/>
    <s v="Nil"/>
    <m/>
    <s v="BF"/>
    <s v="CON"/>
    <x v="2"/>
    <x v="3"/>
    <n v="1.21E-2"/>
    <d v="2021-12-13T00:00:00"/>
    <x v="0"/>
    <d v="2023-01-26T00:00:00"/>
    <s v="Open Market"/>
    <s v="M"/>
    <s v=""/>
    <m/>
    <n v="0"/>
    <m/>
    <n v="0"/>
    <m/>
    <n v="1"/>
    <n v="1"/>
    <n v="0"/>
    <n v="0"/>
    <n v="0"/>
    <n v="0"/>
    <n v="0"/>
    <n v="1"/>
    <n v="1"/>
    <n v="0"/>
    <n v="0"/>
    <n v="0"/>
    <n v="0"/>
    <n v="0"/>
    <n v="0"/>
    <n v="0"/>
    <n v="0"/>
    <n v="0"/>
    <n v="0"/>
    <n v="0"/>
    <n v="0"/>
    <n v="0"/>
    <n v="0"/>
    <n v="0"/>
    <n v="0"/>
    <n v="0"/>
    <n v="0"/>
    <n v="0"/>
    <s v="Wandsworth"/>
    <m/>
    <s v="Wandsworth Town, including the Wandle Delta Masterplan Area"/>
    <n v="11"/>
    <n v="2"/>
    <m/>
    <m/>
    <m/>
    <m/>
    <m/>
    <m/>
    <m/>
    <m/>
    <m/>
    <m/>
    <m/>
    <m/>
    <m/>
    <m/>
    <m/>
    <m/>
    <m/>
    <m/>
    <m/>
    <n v="0"/>
    <n v="0"/>
  </r>
  <r>
    <n v="7681"/>
    <x v="0"/>
    <s v="2021/3404"/>
    <s v="49 Mantilla Road"/>
    <s v=""/>
    <n v="528394"/>
    <n v="171693"/>
    <s v="Tooting Bec"/>
    <d v="2022-02-03T00:00:00"/>
    <d v="2023-01-25T00:00:00"/>
    <n v="1"/>
    <n v="2"/>
    <n v="1"/>
    <n v="2"/>
    <n v="1"/>
    <m/>
    <s v="Alterations including erection of mansard roof extension to main rear roof with increase in ridge height of 300mm, extension above part of two-storey back addition and formation of roof terrace above two-storey back addition with 1.7m high screen surround in connection with creation of a 1-bedroom flat at 2nd floor level. bin storage within front garden."/>
    <s v="PF"/>
    <d v="2021-07-19T00:00:00"/>
    <d v="2021-11-30T00:00:00"/>
    <m/>
    <s v="Nil"/>
    <m/>
    <s v="BF"/>
    <s v="EXT"/>
    <x v="2"/>
    <x v="2"/>
    <n v="7.0000000000000001E-3"/>
    <d v="2022-02-03T00:00:00"/>
    <x v="0"/>
    <d v="2023-01-25T00:00:00"/>
    <s v="Open Market"/>
    <s v="M"/>
    <s v=""/>
    <m/>
    <n v="0"/>
    <m/>
    <n v="0"/>
    <m/>
    <n v="0"/>
    <n v="1"/>
    <n v="-1"/>
    <n v="1"/>
    <n v="0"/>
    <n v="0"/>
    <n v="0"/>
    <n v="0"/>
    <n v="1"/>
    <n v="-1"/>
    <n v="1"/>
    <n v="0"/>
    <n v="0"/>
    <n v="0"/>
    <n v="0"/>
    <n v="0"/>
    <n v="0"/>
    <n v="0"/>
    <n v="0"/>
    <n v="0"/>
    <n v="0"/>
    <n v="0"/>
    <n v="0"/>
    <n v="0"/>
    <n v="0"/>
    <n v="0"/>
    <n v="0"/>
    <n v="0"/>
    <m/>
    <m/>
    <s v="Rest of Borough"/>
    <n v="11"/>
    <n v="1"/>
    <m/>
    <m/>
    <m/>
    <m/>
    <m/>
    <m/>
    <m/>
    <m/>
    <m/>
    <m/>
    <m/>
    <m/>
    <m/>
    <m/>
    <m/>
    <m/>
    <m/>
    <m/>
    <m/>
    <n v="0"/>
    <n v="0"/>
  </r>
  <r>
    <n v="7687"/>
    <x v="0"/>
    <s v="2021/4724"/>
    <s v="First Floor Flat, 47 Lucien Road"/>
    <s v=""/>
    <n v="528315"/>
    <n v="171540"/>
    <s v="Tooting Bec"/>
    <d v="2022-03-23T00:00:00"/>
    <d v="2022-12-15T00:00:00"/>
    <n v="1"/>
    <n v="2"/>
    <n v="1"/>
    <n v="2"/>
    <n v="1"/>
    <m/>
    <s v="Erection of mansard roof extension to main rear roof slope and extension above part of the two-storey back addition to convert the property into a 1 x 2-bedroom and 1 x 1-bedroom unit. Formation of roof terrace above two-storey back addition with 1.7m screen surround."/>
    <s v="PF"/>
    <d v="2021-10-14T00:00:00"/>
    <d v="2022-01-19T00:00:00"/>
    <m/>
    <s v="Nil"/>
    <m/>
    <s v="BF"/>
    <s v="CON"/>
    <x v="2"/>
    <x v="2"/>
    <n v="7.0000000000000001E-3"/>
    <d v="2022-03-23T00:00:00"/>
    <x v="0"/>
    <d v="2022-12-15T00:00:00"/>
    <s v="Open Market"/>
    <s v="M"/>
    <s v=""/>
    <m/>
    <n v="0"/>
    <m/>
    <n v="0"/>
    <m/>
    <n v="0"/>
    <n v="1"/>
    <n v="1"/>
    <n v="-1"/>
    <n v="0"/>
    <n v="0"/>
    <n v="0"/>
    <n v="0"/>
    <n v="1"/>
    <n v="1"/>
    <n v="0"/>
    <n v="0"/>
    <n v="0"/>
    <n v="0"/>
    <n v="0"/>
    <n v="0"/>
    <n v="0"/>
    <n v="-1"/>
    <n v="0"/>
    <n v="0"/>
    <n v="0"/>
    <n v="0"/>
    <n v="0"/>
    <n v="0"/>
    <n v="0"/>
    <n v="0"/>
    <n v="0"/>
    <n v="0"/>
    <m/>
    <m/>
    <s v="Rest of Borough"/>
    <n v="11"/>
    <n v="1"/>
    <m/>
    <m/>
    <m/>
    <m/>
    <m/>
    <m/>
    <m/>
    <m/>
    <m/>
    <m/>
    <m/>
    <m/>
    <m/>
    <m/>
    <m/>
    <m/>
    <m/>
    <m/>
    <m/>
    <n v="0"/>
    <n v="0"/>
  </r>
  <r>
    <n v="6063"/>
    <x v="0"/>
    <s v="2015/5072"/>
    <s v="Land east of 11-13 (11A), 11-13 Stanmer Street"/>
    <s v=""/>
    <n v="527408"/>
    <n v="176440"/>
    <s v="St Mary's"/>
    <d v="2019-12-02T00:00:00"/>
    <d v="2023-01-20T00:00:00"/>
    <n v="0"/>
    <n v="1"/>
    <n v="1"/>
    <n v="1"/>
    <n v="1"/>
    <m/>
    <s v="Erection of two-storey 2-bedroom dwelling at basement and ground floor levels (accessed from passage between 11 and 13 Stanmer Street and entrance gate) with lightwell to Stanmer Street."/>
    <s v="PF"/>
    <d v="2015-09-10T00:00:00"/>
    <d v="2016-07-29T00:00:00"/>
    <m/>
    <s v="Nil"/>
    <m/>
    <s v="BF"/>
    <s v="NB"/>
    <x v="2"/>
    <x v="1"/>
    <n v="1.7999999999999999E-2"/>
    <d v="2019-12-02T00:00:00"/>
    <x v="0"/>
    <d v="2023-01-20T00:00:00"/>
    <s v="Open Market"/>
    <s v="M"/>
    <s v=""/>
    <m/>
    <n v="1"/>
    <m/>
    <n v="0"/>
    <m/>
    <n v="0"/>
    <n v="0"/>
    <n v="1"/>
    <n v="0"/>
    <n v="0"/>
    <n v="0"/>
    <n v="0"/>
    <n v="0"/>
    <n v="0"/>
    <n v="0"/>
    <n v="0"/>
    <n v="0"/>
    <n v="0"/>
    <n v="0"/>
    <n v="0"/>
    <n v="0"/>
    <n v="1"/>
    <n v="0"/>
    <n v="0"/>
    <n v="0"/>
    <n v="0"/>
    <n v="0"/>
    <n v="0"/>
    <n v="0"/>
    <n v="0"/>
    <n v="0"/>
    <n v="0"/>
    <n v="0"/>
    <m/>
    <m/>
    <s v="Rest of Borough"/>
    <n v="1"/>
    <n v="1"/>
    <m/>
    <m/>
    <m/>
    <m/>
    <m/>
    <m/>
    <m/>
    <m/>
    <m/>
    <m/>
    <m/>
    <m/>
    <m/>
    <m/>
    <m/>
    <m/>
    <m/>
    <m/>
    <m/>
    <n v="0"/>
    <n v="0"/>
  </r>
  <r>
    <n v="5682"/>
    <x v="0"/>
    <s v="2016/1252"/>
    <s v="7 Lavender Hill"/>
    <s v=""/>
    <n v="528537"/>
    <n v="175740"/>
    <s v="Lavender"/>
    <d v="2019-03-31T00:00:00"/>
    <d v="2023-03-31T00:00:00"/>
    <n v="0"/>
    <n v="1"/>
    <n v="1"/>
    <n v="1"/>
    <n v="1"/>
    <m/>
    <s v="Erection of single-storey rear extension at first floor level in connection with change of use of rear basement and ground floors from retail (Use Class A1) to 1 x 1-bedroom residential unit (Use Class C3) accessed from Abberley Mews."/>
    <s v="PF"/>
    <d v="2016-05-03T00:00:00"/>
    <d v="2016-06-28T00:00:00"/>
    <m/>
    <s v="Nil"/>
    <m/>
    <s v="BF"/>
    <s v="MIX"/>
    <x v="2"/>
    <x v="4"/>
    <n v="4.0000000000000001E-3"/>
    <d v="2019-03-31T00:00:00"/>
    <x v="0"/>
    <d v="2023-03-31T00:00:00"/>
    <s v="Open Market"/>
    <s v="M"/>
    <s v=""/>
    <m/>
    <n v="0"/>
    <m/>
    <n v="0"/>
    <m/>
    <n v="0"/>
    <n v="1"/>
    <n v="0"/>
    <n v="0"/>
    <n v="0"/>
    <n v="0"/>
    <n v="0"/>
    <n v="0"/>
    <n v="1"/>
    <n v="0"/>
    <n v="0"/>
    <n v="0"/>
    <n v="0"/>
    <n v="0"/>
    <n v="0"/>
    <n v="0"/>
    <n v="0"/>
    <n v="0"/>
    <n v="0"/>
    <n v="0"/>
    <n v="0"/>
    <n v="0"/>
    <n v="0"/>
    <n v="0"/>
    <n v="0"/>
    <n v="0"/>
    <n v="0"/>
    <n v="0"/>
    <m/>
    <m/>
    <s v="Rest of Borough"/>
    <n v="11"/>
    <n v="1"/>
    <m/>
    <m/>
    <m/>
    <m/>
    <m/>
    <m/>
    <m/>
    <m/>
    <m/>
    <m/>
    <m/>
    <m/>
    <m/>
    <m/>
    <m/>
    <m/>
    <m/>
    <m/>
    <m/>
    <n v="0"/>
    <n v="0"/>
  </r>
  <r>
    <n v="1924"/>
    <x v="0"/>
    <s v="2016/3919"/>
    <s v="42 Roehampton Gate"/>
    <s v=""/>
    <n v="521176"/>
    <n v="174253"/>
    <s v="Roehampton"/>
    <d v="2017-03-31T00:00:00"/>
    <d v="2022-10-26T00:00:00"/>
    <n v="1"/>
    <n v="1"/>
    <n v="0"/>
    <n v="1"/>
    <n v="0"/>
    <m/>
    <s v="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
    <s v="PF"/>
    <d v="2016-07-06T00:00:00"/>
    <d v="2016-08-31T00:00:00"/>
    <m/>
    <s v="Nil"/>
    <m/>
    <s v="BF"/>
    <s v="NB"/>
    <x v="2"/>
    <x v="1"/>
    <n v="0.123"/>
    <d v="2017-03-31T00:00:00"/>
    <x v="0"/>
    <d v="2022-10-26T00:00:00"/>
    <s v="Open Market"/>
    <s v="M"/>
    <s v=""/>
    <m/>
    <n v="0"/>
    <m/>
    <n v="0"/>
    <m/>
    <n v="0"/>
    <n v="0"/>
    <n v="0"/>
    <n v="0"/>
    <n v="-1"/>
    <n v="1"/>
    <n v="0"/>
    <n v="0"/>
    <n v="0"/>
    <n v="0"/>
    <n v="0"/>
    <n v="0"/>
    <n v="0"/>
    <n v="0"/>
    <n v="0"/>
    <n v="0"/>
    <n v="0"/>
    <n v="0"/>
    <n v="-1"/>
    <n v="1"/>
    <n v="0"/>
    <n v="0"/>
    <n v="0"/>
    <n v="0"/>
    <n v="0"/>
    <n v="0"/>
    <n v="0"/>
    <n v="0"/>
    <m/>
    <m/>
    <s v="Roehampton Regeneration Area"/>
    <n v="1"/>
    <n v="0"/>
    <m/>
    <m/>
    <m/>
    <m/>
    <m/>
    <m/>
    <m/>
    <m/>
    <m/>
    <m/>
    <m/>
    <m/>
    <m/>
    <m/>
    <m/>
    <m/>
    <m/>
    <m/>
    <m/>
    <n v="0"/>
    <n v="0"/>
  </r>
  <r>
    <n v="2978"/>
    <x v="0"/>
    <s v="2017/0927"/>
    <s v="Garden Flat, 127 Trinity Road"/>
    <s v=""/>
    <n v="527727"/>
    <n v="172703"/>
    <s v="Trinity"/>
    <d v="2019-03-31T00:00:00"/>
    <d v="2022-07-01T00:00:00"/>
    <n v="1"/>
    <n v="1"/>
    <n v="0"/>
    <n v="1"/>
    <n v="0"/>
    <m/>
    <s v="Demolition of existing bungalow and erection of a two-storey plus basement 3-bedroom house with associated refuse, recycling and cycle storage."/>
    <s v="PF"/>
    <d v="2017-02-24T00:00:00"/>
    <d v="2017-04-21T00:00:00"/>
    <m/>
    <s v="Nil"/>
    <m/>
    <s v="BF"/>
    <s v="NB"/>
    <x v="2"/>
    <x v="1"/>
    <n v="3.6999999999999998E-2"/>
    <d v="2019-03-31T00:00:00"/>
    <x v="0"/>
    <d v="2022-07-01T00:00:00"/>
    <s v="Open Market"/>
    <s v="M"/>
    <s v=""/>
    <m/>
    <n v="0"/>
    <m/>
    <n v="0"/>
    <m/>
    <n v="0"/>
    <n v="-1"/>
    <n v="0"/>
    <n v="1"/>
    <n v="0"/>
    <n v="0"/>
    <n v="0"/>
    <n v="0"/>
    <n v="0"/>
    <n v="0"/>
    <n v="0"/>
    <n v="0"/>
    <n v="0"/>
    <n v="0"/>
    <n v="0"/>
    <n v="-1"/>
    <n v="0"/>
    <n v="1"/>
    <n v="0"/>
    <n v="0"/>
    <n v="0"/>
    <n v="0"/>
    <n v="0"/>
    <n v="0"/>
    <n v="0"/>
    <n v="0"/>
    <n v="0"/>
    <n v="0"/>
    <m/>
    <m/>
    <s v="Rest of Borough"/>
    <n v="1"/>
    <n v="0"/>
    <m/>
    <m/>
    <m/>
    <m/>
    <m/>
    <m/>
    <m/>
    <m/>
    <m/>
    <m/>
    <m/>
    <m/>
    <m/>
    <m/>
    <m/>
    <m/>
    <m/>
    <m/>
    <m/>
    <n v="0"/>
    <n v="0"/>
  </r>
  <r>
    <n v="5682"/>
    <x v="0"/>
    <s v="2017/1395"/>
    <s v="7 Lavender Hill"/>
    <s v=""/>
    <n v="528537"/>
    <n v="175740"/>
    <s v="Lavender"/>
    <d v="2019-03-31T00:00:00"/>
    <d v="2023-03-31T00:00:00"/>
    <n v="0"/>
    <n v="1"/>
    <n v="1"/>
    <n v="3"/>
    <n v="2"/>
    <m/>
    <s v="Alterations including erection of roof extension to create additional floor of accommodation in connection with conversion of property into 3 x 1-bedroom flats."/>
    <s v="PF"/>
    <d v="2017-04-13T00:00:00"/>
    <d v="2017-09-19T00:00:00"/>
    <m/>
    <s v="Nil"/>
    <m/>
    <s v="BF"/>
    <s v="MIX"/>
    <x v="2"/>
    <x v="1"/>
    <n v="3.0000000000000001E-3"/>
    <d v="2019-03-31T00:00:00"/>
    <x v="0"/>
    <d v="2023-03-31T00:00:00"/>
    <s v="Open Market"/>
    <s v="M"/>
    <s v=""/>
    <m/>
    <n v="0"/>
    <m/>
    <n v="0"/>
    <m/>
    <n v="0"/>
    <n v="1"/>
    <n v="0"/>
    <n v="0"/>
    <n v="0"/>
    <n v="0"/>
    <n v="0"/>
    <n v="0"/>
    <n v="1"/>
    <n v="0"/>
    <n v="0"/>
    <n v="0"/>
    <n v="0"/>
    <n v="0"/>
    <n v="0"/>
    <n v="0"/>
    <n v="0"/>
    <n v="0"/>
    <n v="0"/>
    <n v="0"/>
    <n v="0"/>
    <n v="0"/>
    <n v="0"/>
    <n v="0"/>
    <n v="0"/>
    <n v="0"/>
    <n v="0"/>
    <n v="0"/>
    <m/>
    <m/>
    <s v="Rest of Borough"/>
    <n v="11"/>
    <n v="1"/>
    <m/>
    <m/>
    <m/>
    <m/>
    <m/>
    <m/>
    <m/>
    <m/>
    <m/>
    <m/>
    <m/>
    <m/>
    <m/>
    <m/>
    <m/>
    <m/>
    <m/>
    <m/>
    <m/>
    <n v="0"/>
    <n v="0"/>
  </r>
  <r>
    <n v="4438"/>
    <x v="0"/>
    <s v="2017/1456"/>
    <s v="120 Upper Richmond Road"/>
    <s v=""/>
    <n v="524309"/>
    <n v="174961"/>
    <s v="East Putney"/>
    <d v="2020-10-01T00:00:00"/>
    <d v="2023-03-22T00:00:00"/>
    <n v="0"/>
    <n v="1"/>
    <n v="1"/>
    <n v="3"/>
    <n v="2"/>
    <m/>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m/>
    <s v="Nil"/>
    <m/>
    <s v="BF"/>
    <s v="EXT"/>
    <x v="2"/>
    <x v="2"/>
    <n v="6.0000000000000001E-3"/>
    <d v="2020-10-01T00:00:00"/>
    <x v="0"/>
    <d v="2023-03-22T00:00:00"/>
    <s v="Open Market"/>
    <s v="M"/>
    <s v=""/>
    <m/>
    <n v="0"/>
    <m/>
    <n v="0"/>
    <m/>
    <n v="0"/>
    <n v="0"/>
    <n v="1"/>
    <n v="0"/>
    <n v="0"/>
    <n v="0"/>
    <n v="0"/>
    <n v="0"/>
    <n v="0"/>
    <n v="1"/>
    <n v="0"/>
    <n v="0"/>
    <n v="0"/>
    <n v="0"/>
    <n v="0"/>
    <n v="0"/>
    <n v="0"/>
    <n v="0"/>
    <n v="0"/>
    <n v="0"/>
    <n v="0"/>
    <n v="0"/>
    <n v="0"/>
    <n v="0"/>
    <n v="0"/>
    <n v="0"/>
    <n v="0"/>
    <n v="0"/>
    <s v="Putney"/>
    <m/>
    <s v="Putney Town Centre"/>
    <n v="11"/>
    <n v="1"/>
    <m/>
    <m/>
    <m/>
    <m/>
    <m/>
    <m/>
    <m/>
    <m/>
    <m/>
    <m/>
    <m/>
    <m/>
    <m/>
    <m/>
    <m/>
    <m/>
    <m/>
    <m/>
    <m/>
    <n v="0"/>
    <n v="0"/>
  </r>
  <r>
    <n v="615"/>
    <x v="0"/>
    <s v="2017/2547"/>
    <s v="Marius Mansions, Marius Road"/>
    <s v=""/>
    <n v="528241"/>
    <n v="172875"/>
    <s v="Trinity"/>
    <d v="2021-04-01T00:00:00"/>
    <d v="2023-03-31T00:00:00"/>
    <n v="0"/>
    <n v="1"/>
    <n v="1"/>
    <n v="1"/>
    <n v="1"/>
    <m/>
    <s v="Erection of three-storey side extension to create a 1 x 2 bedroom flat with roof level balcony."/>
    <s v="PF"/>
    <d v="2017-04-26T00:00:00"/>
    <d v="2017-09-25T00:00:00"/>
    <m/>
    <s v="Nil"/>
    <m/>
    <s v="BF"/>
    <s v="EXT"/>
    <x v="2"/>
    <x v="2"/>
    <n v="7.0000000000000001E-3"/>
    <d v="2021-04-01T00:00:00"/>
    <x v="0"/>
    <d v="2023-03-31T00:00:00"/>
    <s v="Open Market"/>
    <s v="M"/>
    <s v=""/>
    <m/>
    <n v="0"/>
    <m/>
    <n v="0"/>
    <m/>
    <n v="0"/>
    <n v="0"/>
    <n v="1"/>
    <n v="0"/>
    <n v="0"/>
    <n v="0"/>
    <n v="0"/>
    <n v="0"/>
    <n v="0"/>
    <n v="1"/>
    <n v="0"/>
    <n v="0"/>
    <n v="0"/>
    <n v="0"/>
    <n v="0"/>
    <n v="0"/>
    <n v="0"/>
    <n v="0"/>
    <n v="0"/>
    <n v="0"/>
    <n v="0"/>
    <n v="0"/>
    <n v="0"/>
    <n v="0"/>
    <n v="0"/>
    <n v="0"/>
    <n v="0"/>
    <n v="0"/>
    <m/>
    <m/>
    <s v="Rest of Borough"/>
    <n v="11"/>
    <n v="1"/>
    <m/>
    <m/>
    <m/>
    <m/>
    <m/>
    <m/>
    <m/>
    <m/>
    <m/>
    <m/>
    <m/>
    <m/>
    <m/>
    <m/>
    <m/>
    <m/>
    <m/>
    <m/>
    <m/>
    <n v="0"/>
    <n v="0"/>
  </r>
  <r>
    <n v="6703"/>
    <x v="0"/>
    <s v="2017/4170"/>
    <s v="155 Trevelyan Road"/>
    <s v=""/>
    <n v="527632"/>
    <n v="170817"/>
    <s v="Tooting Broadway"/>
    <d v="2017-11-27T00:00:00"/>
    <d v="2023-03-02T00:00:00"/>
    <n v="2"/>
    <n v="1"/>
    <n v="-1"/>
    <n v="1"/>
    <n v="-1"/>
    <m/>
    <s v="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
    <s v="PF"/>
    <d v="2017-08-04T00:00:00"/>
    <d v="2017-09-28T00:00:00"/>
    <m/>
    <s v="Nil"/>
    <m/>
    <s v="BF"/>
    <s v="CON"/>
    <x v="2"/>
    <x v="8"/>
    <n v="1.7000000000000001E-2"/>
    <d v="2017-11-27T00:00:00"/>
    <x v="0"/>
    <d v="2023-03-02T00:00:00"/>
    <s v="Open Market"/>
    <s v="M"/>
    <s v=""/>
    <m/>
    <n v="0"/>
    <m/>
    <n v="0"/>
    <m/>
    <n v="0"/>
    <n v="-2"/>
    <n v="0"/>
    <n v="0"/>
    <n v="0"/>
    <n v="1"/>
    <n v="0"/>
    <n v="0"/>
    <n v="-2"/>
    <n v="0"/>
    <n v="0"/>
    <n v="0"/>
    <n v="0"/>
    <n v="0"/>
    <n v="0"/>
    <n v="0"/>
    <n v="0"/>
    <n v="0"/>
    <n v="0"/>
    <n v="1"/>
    <n v="0"/>
    <n v="0"/>
    <n v="0"/>
    <n v="0"/>
    <n v="0"/>
    <n v="0"/>
    <n v="0"/>
    <n v="0"/>
    <m/>
    <m/>
    <s v="Rest of Borough"/>
    <n v="11"/>
    <n v="-1"/>
    <m/>
    <m/>
    <m/>
    <m/>
    <m/>
    <m/>
    <m/>
    <m/>
    <m/>
    <m/>
    <m/>
    <m/>
    <m/>
    <m/>
    <m/>
    <m/>
    <m/>
    <m/>
    <m/>
    <n v="0"/>
    <n v="0"/>
  </r>
  <r>
    <n v="6753"/>
    <x v="0"/>
    <s v="2017/6510"/>
    <s v="Land between 107-109, 107-109 Garratt Lane"/>
    <s v=""/>
    <n v="525803"/>
    <n v="174168"/>
    <s v="Wandsworth Town"/>
    <d v="2021-08-01T00:00:00"/>
    <d v="2022-04-01T00:00:00"/>
    <n v="0"/>
    <n v="1"/>
    <n v="1"/>
    <n v="1"/>
    <n v="1"/>
    <m/>
    <s v="Erection and excavation of a two-storey (plus basement) 3-bedroom detached house with associated cycle and refuse storage and lightwell courtyard to the rear."/>
    <s v="PF"/>
    <d v="2017-11-27T00:00:00"/>
    <d v="2018-01-22T00:00:00"/>
    <m/>
    <s v="Nil"/>
    <m/>
    <s v="BF"/>
    <s v="NB"/>
    <x v="2"/>
    <x v="1"/>
    <n v="8.9999999999999993E-3"/>
    <d v="2021-08-01T00:00:00"/>
    <x v="0"/>
    <d v="2022-04-01T00:00:00"/>
    <s v="Open Market"/>
    <s v="M"/>
    <s v=""/>
    <m/>
    <n v="0"/>
    <m/>
    <n v="0"/>
    <m/>
    <n v="0"/>
    <n v="0"/>
    <n v="0"/>
    <n v="1"/>
    <n v="0"/>
    <n v="0"/>
    <n v="0"/>
    <n v="0"/>
    <n v="0"/>
    <n v="0"/>
    <n v="0"/>
    <n v="0"/>
    <n v="0"/>
    <n v="0"/>
    <n v="0"/>
    <n v="0"/>
    <n v="0"/>
    <n v="1"/>
    <n v="0"/>
    <n v="0"/>
    <n v="0"/>
    <n v="0"/>
    <n v="0"/>
    <n v="0"/>
    <n v="0"/>
    <n v="0"/>
    <n v="0"/>
    <n v="0"/>
    <m/>
    <m/>
    <s v="Wandsworth Town, including the Wandle Delta Masterplan Area"/>
    <n v="1"/>
    <n v="1"/>
    <m/>
    <m/>
    <m/>
    <m/>
    <m/>
    <m/>
    <m/>
    <m/>
    <m/>
    <m/>
    <m/>
    <m/>
    <m/>
    <m/>
    <m/>
    <m/>
    <m/>
    <m/>
    <m/>
    <n v="0"/>
    <n v="0"/>
  </r>
  <r>
    <n v="2504"/>
    <x v="0"/>
    <s v="2017/6683"/>
    <s v="Garages rear of 60, Granville Road (Land adjoining playing field Viewfield Road)"/>
    <s v=""/>
    <n v="524835"/>
    <n v="173907"/>
    <s v="East Putney"/>
    <d v="2021-08-03T00:00:00"/>
    <d v="2023-03-31T00:00:00"/>
    <n v="0"/>
    <n v="1"/>
    <n v="1"/>
    <n v="1"/>
    <n v="1"/>
    <m/>
    <s v="Demoliton of existing double garages and erection of single-storey plus basement level one-bedroom house."/>
    <s v="PF"/>
    <d v="2019-07-24T00:00:00"/>
    <d v="2019-08-23T00:00:00"/>
    <m/>
    <s v="Nil"/>
    <m/>
    <s v="BF"/>
    <s v="NB"/>
    <x v="2"/>
    <x v="1"/>
    <n v="5.0000000000000001E-3"/>
    <d v="2021-08-03T00:00:00"/>
    <x v="0"/>
    <d v="2023-03-31T00:00:00"/>
    <s v="Open Market"/>
    <s v="M"/>
    <s v=""/>
    <m/>
    <n v="0"/>
    <m/>
    <n v="0"/>
    <m/>
    <n v="0"/>
    <n v="1"/>
    <n v="0"/>
    <n v="0"/>
    <n v="0"/>
    <n v="0"/>
    <n v="0"/>
    <n v="0"/>
    <n v="0"/>
    <n v="0"/>
    <n v="0"/>
    <n v="0"/>
    <n v="0"/>
    <n v="0"/>
    <n v="0"/>
    <n v="1"/>
    <n v="0"/>
    <n v="0"/>
    <n v="0"/>
    <n v="0"/>
    <n v="0"/>
    <n v="0"/>
    <n v="0"/>
    <n v="0"/>
    <n v="0"/>
    <n v="0"/>
    <n v="0"/>
    <n v="0"/>
    <m/>
    <m/>
    <s v="Rest of Borough"/>
    <n v="1"/>
    <n v="1"/>
    <m/>
    <m/>
    <m/>
    <m/>
    <m/>
    <m/>
    <m/>
    <m/>
    <m/>
    <m/>
    <m/>
    <m/>
    <m/>
    <m/>
    <m/>
    <m/>
    <m/>
    <m/>
    <m/>
    <n v="0"/>
    <n v="0"/>
  </r>
  <r>
    <n v="3943"/>
    <x v="0"/>
    <s v="2017/6764"/>
    <s v="Royal Mail Group Site, Ponton Road (Nine Elms Park)"/>
    <s v="Plot D1"/>
    <n v="529575"/>
    <n v="177401"/>
    <s v="Nine Elms"/>
    <d v="2019-09-03T00:00:00"/>
    <m/>
    <n v="0"/>
    <n v="30"/>
    <n v="30"/>
    <n v="894"/>
    <n v="894"/>
    <s v="Y"/>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m/>
    <s v="Nil"/>
    <m/>
    <s v="BF"/>
    <s v="NB"/>
    <x v="0"/>
    <x v="0"/>
    <n v="2.9000000000000001E-2"/>
    <d v="2019-09-03T00:00:00"/>
    <x v="0"/>
    <d v="2023-01-06T00:00:00"/>
    <s v="Intermediate"/>
    <s v="IRD"/>
    <s v="2.1.18"/>
    <m/>
    <n v="0"/>
    <n v="27"/>
    <n v="0"/>
    <n v="3"/>
    <n v="0"/>
    <n v="20"/>
    <n v="6"/>
    <n v="4"/>
    <n v="0"/>
    <n v="0"/>
    <n v="0"/>
    <n v="0"/>
    <n v="20"/>
    <n v="6"/>
    <n v="4"/>
    <n v="0"/>
    <n v="0"/>
    <n v="0"/>
    <n v="0"/>
    <n v="0"/>
    <n v="0"/>
    <n v="0"/>
    <n v="0"/>
    <n v="0"/>
    <n v="0"/>
    <n v="0"/>
    <n v="0"/>
    <n v="0"/>
    <n v="0"/>
    <n v="0"/>
    <n v="0"/>
    <n v="0"/>
    <m/>
    <s v="Y"/>
    <s v="Nine Elms Vauxhall Opportunity Area"/>
    <n v="1"/>
    <n v="30"/>
    <m/>
    <m/>
    <m/>
    <m/>
    <m/>
    <m/>
    <m/>
    <m/>
    <m/>
    <m/>
    <m/>
    <m/>
    <m/>
    <m/>
    <m/>
    <m/>
    <m/>
    <m/>
    <m/>
    <n v="0"/>
    <n v="0"/>
  </r>
  <r>
    <n v="6938"/>
    <x v="0"/>
    <s v="2018/1564"/>
    <s v="4 Worfield Street"/>
    <s v=""/>
    <n v="527400"/>
    <n v="177117"/>
    <s v="Battersea Park"/>
    <d v="2020-06-26T00:00:00"/>
    <d v="2022-08-01T00:00:00"/>
    <n v="2"/>
    <n v="1"/>
    <n v="-1"/>
    <n v="1"/>
    <n v="-1"/>
    <m/>
    <s v="Alterations including erection of a single storey side extension in connection with the change of use from the existing 2 x two-bedroom self-contained flats to a single dwellinghouse."/>
    <s v="PF"/>
    <d v="2018-04-06T00:00:00"/>
    <d v="2018-05-31T00:00:00"/>
    <m/>
    <s v="Nil"/>
    <m/>
    <s v="BF"/>
    <s v="CON"/>
    <x v="2"/>
    <x v="8"/>
    <n v="1.2E-2"/>
    <d v="2020-06-26T00:00:00"/>
    <x v="0"/>
    <d v="2022-08-01T00:00:00"/>
    <s v="Open Market"/>
    <s v="M"/>
    <s v=""/>
    <m/>
    <n v="0"/>
    <m/>
    <n v="0"/>
    <m/>
    <n v="0"/>
    <n v="0"/>
    <n v="-2"/>
    <n v="0"/>
    <n v="1"/>
    <n v="0"/>
    <n v="0"/>
    <n v="0"/>
    <n v="0"/>
    <n v="-2"/>
    <n v="0"/>
    <n v="0"/>
    <n v="0"/>
    <n v="0"/>
    <n v="0"/>
    <n v="0"/>
    <n v="0"/>
    <n v="0"/>
    <n v="1"/>
    <n v="0"/>
    <n v="0"/>
    <n v="0"/>
    <n v="0"/>
    <n v="0"/>
    <n v="0"/>
    <n v="0"/>
    <n v="0"/>
    <n v="0"/>
    <m/>
    <m/>
    <s v="Rest of Borough"/>
    <n v="11"/>
    <n v="-1"/>
    <m/>
    <m/>
    <m/>
    <m/>
    <m/>
    <m/>
    <m/>
    <m/>
    <m/>
    <m/>
    <m/>
    <m/>
    <m/>
    <m/>
    <m/>
    <m/>
    <m/>
    <m/>
    <m/>
    <n v="0"/>
    <n v="0"/>
  </r>
  <r>
    <n v="7013"/>
    <x v="0"/>
    <s v="2018/4073"/>
    <s v="162 Trevelyan Road"/>
    <s v=""/>
    <n v="527613"/>
    <n v="170775"/>
    <s v="Tooting Broadway"/>
    <d v="2020-09-01T00:00:00"/>
    <d v="2022-05-19T00:00:00"/>
    <n v="1"/>
    <n v="1"/>
    <n v="0"/>
    <n v="1"/>
    <n v="0"/>
    <m/>
    <s v="Demolition of the existing  property. Erection of a two-storey (plus basement and roof levels) 4-bedroom terraced house."/>
    <s v="PF"/>
    <d v="2018-08-22T00:00:00"/>
    <d v="2018-10-19T00:00:00"/>
    <m/>
    <s v="Nil"/>
    <m/>
    <s v="BF"/>
    <s v="NB"/>
    <x v="2"/>
    <x v="1"/>
    <n v="2.7E-2"/>
    <d v="2020-09-01T00:00:00"/>
    <x v="0"/>
    <d v="2022-05-19T00:00:00"/>
    <s v="Open Market"/>
    <s v="M"/>
    <s v=""/>
    <m/>
    <n v="0"/>
    <m/>
    <n v="0"/>
    <m/>
    <n v="0"/>
    <n v="0"/>
    <n v="0"/>
    <n v="0"/>
    <n v="-1"/>
    <n v="1"/>
    <n v="0"/>
    <n v="0"/>
    <n v="0"/>
    <n v="0"/>
    <n v="0"/>
    <n v="0"/>
    <n v="0"/>
    <n v="0"/>
    <n v="0"/>
    <n v="0"/>
    <n v="0"/>
    <n v="0"/>
    <n v="-1"/>
    <n v="1"/>
    <n v="0"/>
    <n v="0"/>
    <n v="0"/>
    <n v="0"/>
    <n v="0"/>
    <n v="0"/>
    <n v="0"/>
    <n v="0"/>
    <m/>
    <m/>
    <s v="Rest of Borough"/>
    <n v="1"/>
    <n v="0"/>
    <m/>
    <m/>
    <m/>
    <m/>
    <m/>
    <m/>
    <m/>
    <m/>
    <m/>
    <m/>
    <m/>
    <m/>
    <m/>
    <m/>
    <m/>
    <m/>
    <m/>
    <m/>
    <m/>
    <n v="0"/>
    <n v="0"/>
  </r>
  <r>
    <n v="6858"/>
    <x v="0"/>
    <s v="2019/2340"/>
    <s v="24 Romberg Road"/>
    <s v=""/>
    <n v="528202"/>
    <n v="172108"/>
    <s v="Tooting Bec"/>
    <d v="2021-01-25T00:00:00"/>
    <d v="2023-03-31T00:00:00"/>
    <n v="0"/>
    <n v="1"/>
    <n v="1"/>
    <n v="1"/>
    <n v="1"/>
    <m/>
    <s v="Demolition of single storey rear extension and garage, and erection of 1 x 1-bedroom two-storey dwellinghouse with associated refuse and cycle storage."/>
    <s v="PF"/>
    <d v="2019-08-21T00:00:00"/>
    <d v="2019-10-02T00:00:00"/>
    <m/>
    <s v="Nil"/>
    <m/>
    <s v="BF"/>
    <s v="NB"/>
    <x v="2"/>
    <x v="1"/>
    <n v="3.0000000000000001E-3"/>
    <d v="2021-01-25T00:00:00"/>
    <x v="0"/>
    <d v="2023-03-31T00:00:00"/>
    <s v="Open Market"/>
    <s v="M"/>
    <s v=""/>
    <m/>
    <n v="0"/>
    <m/>
    <n v="0"/>
    <m/>
    <n v="0"/>
    <n v="1"/>
    <n v="0"/>
    <n v="0"/>
    <n v="0"/>
    <n v="0"/>
    <n v="0"/>
    <n v="0"/>
    <n v="0"/>
    <n v="0"/>
    <n v="0"/>
    <n v="0"/>
    <n v="0"/>
    <n v="0"/>
    <n v="0"/>
    <n v="1"/>
    <n v="0"/>
    <n v="0"/>
    <n v="0"/>
    <n v="0"/>
    <n v="0"/>
    <n v="0"/>
    <n v="0"/>
    <n v="0"/>
    <n v="0"/>
    <n v="0"/>
    <n v="0"/>
    <n v="0"/>
    <m/>
    <m/>
    <s v="Rest of Borough"/>
    <n v="1"/>
    <n v="1"/>
    <m/>
    <m/>
    <m/>
    <m/>
    <m/>
    <m/>
    <m/>
    <m/>
    <m/>
    <m/>
    <m/>
    <m/>
    <m/>
    <m/>
    <m/>
    <m/>
    <m/>
    <m/>
    <m/>
    <n v="0"/>
    <n v="0"/>
  </r>
  <r>
    <n v="1147"/>
    <x v="0"/>
    <s v="2019/3361"/>
    <s v="Ground floor, 186 Trinity Road"/>
    <s v=""/>
    <n v="527527"/>
    <n v="173093"/>
    <s v="Trinity"/>
    <d v="2022-03-31T00:00:00"/>
    <d v="2023-01-23T00:00:00"/>
    <n v="0"/>
    <n v="1"/>
    <n v="1"/>
    <n v="1"/>
    <n v="1"/>
    <m/>
    <s v="Removal of existing shopfront, installation of 2 x windows at front elevation, replacement of windows at rear elevation and erection of 1m high metal railings to front boundary, in connection with change of use of shop (Class A1) to 1 x 1 bedroom flat (Class C3)."/>
    <s v="PF"/>
    <d v="2019-09-17T00:00:00"/>
    <d v="2019-11-15T00:00:00"/>
    <m/>
    <s v="Nil"/>
    <m/>
    <s v="BF"/>
    <s v="COU"/>
    <x v="2"/>
    <x v="4"/>
    <n v="5.0000000000000001E-3"/>
    <d v="2022-03-31T00:00:00"/>
    <x v="0"/>
    <d v="2023-01-23T00:00:00"/>
    <s v="Open Market"/>
    <s v="M"/>
    <s v=""/>
    <m/>
    <n v="0"/>
    <m/>
    <n v="0"/>
    <m/>
    <n v="0"/>
    <n v="1"/>
    <n v="0"/>
    <n v="0"/>
    <n v="0"/>
    <n v="0"/>
    <n v="0"/>
    <n v="0"/>
    <n v="1"/>
    <n v="0"/>
    <n v="0"/>
    <n v="0"/>
    <n v="0"/>
    <n v="0"/>
    <n v="0"/>
    <n v="0"/>
    <n v="0"/>
    <n v="0"/>
    <n v="0"/>
    <n v="0"/>
    <n v="0"/>
    <n v="0"/>
    <n v="0"/>
    <n v="0"/>
    <n v="0"/>
    <n v="0"/>
    <n v="0"/>
    <n v="0"/>
    <m/>
    <m/>
    <s v="Rest of Borough"/>
    <n v="11"/>
    <n v="1"/>
    <m/>
    <m/>
    <m/>
    <m/>
    <m/>
    <m/>
    <m/>
    <m/>
    <m/>
    <m/>
    <m/>
    <m/>
    <m/>
    <m/>
    <m/>
    <m/>
    <m/>
    <m/>
    <m/>
    <n v="0"/>
    <n v="0"/>
  </r>
  <r>
    <n v="6809"/>
    <x v="0"/>
    <s v="2019/3481"/>
    <s v="116 Mitcham Lane"/>
    <s v=""/>
    <n v="529284"/>
    <n v="171134"/>
    <s v="Furzedown"/>
    <d v="2021-04-01T00:00:00"/>
    <d v="2022-11-11T00:00:00"/>
    <n v="0"/>
    <n v="1"/>
    <n v="1"/>
    <n v="1"/>
    <n v="1"/>
    <m/>
    <s v="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
    <s v="PF"/>
    <d v="2019-08-20T00:00:00"/>
    <d v="2019-10-02T00:00:00"/>
    <m/>
    <s v="Nil"/>
    <m/>
    <s v="BF"/>
    <s v="EXT"/>
    <x v="2"/>
    <x v="2"/>
    <n v="3.0000000000000001E-3"/>
    <d v="2021-04-01T00:00:00"/>
    <x v="0"/>
    <d v="2022-11-11T00:00:00"/>
    <s v="Open Market"/>
    <s v="M"/>
    <s v=""/>
    <m/>
    <n v="0"/>
    <m/>
    <n v="0"/>
    <m/>
    <n v="0"/>
    <n v="1"/>
    <n v="0"/>
    <n v="0"/>
    <n v="0"/>
    <n v="0"/>
    <n v="0"/>
    <n v="0"/>
    <n v="1"/>
    <n v="0"/>
    <n v="0"/>
    <n v="0"/>
    <n v="0"/>
    <n v="0"/>
    <n v="0"/>
    <n v="0"/>
    <n v="0"/>
    <n v="0"/>
    <n v="0"/>
    <n v="0"/>
    <n v="0"/>
    <n v="0"/>
    <n v="0"/>
    <n v="0"/>
    <n v="0"/>
    <n v="0"/>
    <n v="0"/>
    <n v="0"/>
    <m/>
    <m/>
    <s v="Rest of Borough"/>
    <n v="11"/>
    <n v="1"/>
    <m/>
    <m/>
    <m/>
    <m/>
    <m/>
    <m/>
    <m/>
    <m/>
    <m/>
    <m/>
    <m/>
    <m/>
    <m/>
    <m/>
    <m/>
    <m/>
    <m/>
    <m/>
    <m/>
    <n v="0"/>
    <n v="0"/>
  </r>
  <r>
    <n v="5232"/>
    <x v="0"/>
    <s v="2019/4262"/>
    <s v="134/134a Battersea High Street"/>
    <s v=""/>
    <n v="527007"/>
    <n v="176205"/>
    <s v="St Mary's"/>
    <d v="2020-07-13T00:00:00"/>
    <d v="2022-10-06T00:00:00"/>
    <n v="0"/>
    <n v="1"/>
    <n v="1"/>
    <n v="9"/>
    <n v="8"/>
    <m/>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m/>
    <s v="Nil"/>
    <m/>
    <s v="BF"/>
    <s v="NB"/>
    <x v="2"/>
    <x v="1"/>
    <n v="4.0000000000000001E-3"/>
    <d v="2020-07-13T00:00:00"/>
    <x v="0"/>
    <d v="2022-10-06T00:00:00"/>
    <s v="Open Market"/>
    <s v="M"/>
    <s v=""/>
    <m/>
    <n v="0"/>
    <m/>
    <n v="0"/>
    <m/>
    <n v="0"/>
    <n v="0"/>
    <n v="1"/>
    <n v="0"/>
    <n v="0"/>
    <n v="0"/>
    <n v="0"/>
    <n v="0"/>
    <n v="0"/>
    <n v="0"/>
    <n v="0"/>
    <n v="0"/>
    <n v="0"/>
    <n v="0"/>
    <n v="0"/>
    <n v="0"/>
    <n v="1"/>
    <n v="0"/>
    <n v="0"/>
    <n v="0"/>
    <n v="0"/>
    <n v="0"/>
    <n v="0"/>
    <n v="0"/>
    <n v="0"/>
    <n v="0"/>
    <n v="0"/>
    <n v="0"/>
    <m/>
    <m/>
    <s v="Rest of Borough"/>
    <n v="1"/>
    <n v="1"/>
    <m/>
    <m/>
    <m/>
    <m/>
    <m/>
    <m/>
    <m/>
    <m/>
    <m/>
    <m/>
    <m/>
    <m/>
    <m/>
    <m/>
    <m/>
    <m/>
    <m/>
    <m/>
    <m/>
    <n v="0"/>
    <n v="0"/>
  </r>
  <r>
    <n v="2411"/>
    <x v="0"/>
    <s v="2021/0138"/>
    <s v="South Lambeth Goods Depot, Cringle St./Battersea Park Rd., Kirtling Street (Battersea Power Station)"/>
    <s v="Phase 3Aii (PP1 &amp; PP2, RS-4)"/>
    <n v="528934"/>
    <n v="177496"/>
    <s v="Nine Elms"/>
    <d v="2016-05-16T00:00:00"/>
    <m/>
    <n v="0"/>
    <n v="13"/>
    <n v="13"/>
    <n v="2027"/>
    <n v="2027"/>
    <s v="Y"/>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m/>
    <s v="Nil"/>
    <m/>
    <s v="BF"/>
    <s v="NB"/>
    <x v="0"/>
    <x v="0"/>
    <n v="1.2999999999999999E-2"/>
    <d v="2016-05-16T00:00:00"/>
    <x v="0"/>
    <d v="2022-04-01T00:00:00"/>
    <s v="Open Market"/>
    <s v="M"/>
    <s v="2.1.1"/>
    <m/>
    <n v="13"/>
    <m/>
    <n v="1"/>
    <m/>
    <n v="0"/>
    <n v="0"/>
    <n v="0"/>
    <n v="0"/>
    <n v="3"/>
    <n v="10"/>
    <n v="0"/>
    <n v="0"/>
    <n v="0"/>
    <n v="0"/>
    <n v="0"/>
    <n v="3"/>
    <n v="10"/>
    <n v="0"/>
    <n v="0"/>
    <n v="0"/>
    <n v="0"/>
    <n v="0"/>
    <n v="0"/>
    <n v="0"/>
    <n v="0"/>
    <n v="0"/>
    <n v="0"/>
    <n v="0"/>
    <n v="0"/>
    <n v="0"/>
    <n v="0"/>
    <n v="0"/>
    <m/>
    <s v="Y"/>
    <s v="Nine Elms Vauxhall Opportunity Area"/>
    <n v="1"/>
    <n v="13"/>
    <m/>
    <m/>
    <m/>
    <m/>
    <m/>
    <m/>
    <m/>
    <m/>
    <m/>
    <m/>
    <m/>
    <m/>
    <m/>
    <m/>
    <m/>
    <m/>
    <m/>
    <m/>
    <m/>
    <n v="0"/>
    <n v="0"/>
  </r>
  <r>
    <n v="3704"/>
    <x v="0"/>
    <s v="2019/4763"/>
    <s v="67 Blakenham Road"/>
    <s v=""/>
    <n v="527795"/>
    <n v="171699"/>
    <s v="Tooting Bec"/>
    <d v="2017-10-03T00:00:00"/>
    <d v="2023-01-06T00:00:00"/>
    <n v="0"/>
    <n v="1"/>
    <n v="1"/>
    <n v="1"/>
    <n v="1"/>
    <m/>
    <s v="Demolition of existing building and erection of a two-storey (plus basement) 2-bedroom dwelling (retrospective)."/>
    <s v="PF"/>
    <d v="2019-12-10T00:00:00"/>
    <d v="2020-02-11T00:00:00"/>
    <m/>
    <s v="Nil"/>
    <m/>
    <s v="BF"/>
    <s v="NB"/>
    <x v="2"/>
    <x v="1"/>
    <n v="4.0000000000000001E-3"/>
    <d v="2017-10-03T00:00:00"/>
    <x v="0"/>
    <d v="2023-01-06T00:00:00"/>
    <s v="Open Market"/>
    <s v="M"/>
    <s v=""/>
    <m/>
    <n v="0"/>
    <m/>
    <n v="0"/>
    <m/>
    <n v="0"/>
    <n v="0"/>
    <n v="1"/>
    <n v="0"/>
    <n v="0"/>
    <n v="0"/>
    <n v="0"/>
    <n v="0"/>
    <n v="0"/>
    <n v="0"/>
    <n v="0"/>
    <n v="0"/>
    <n v="0"/>
    <n v="0"/>
    <n v="0"/>
    <n v="0"/>
    <n v="1"/>
    <n v="0"/>
    <n v="0"/>
    <n v="0"/>
    <n v="0"/>
    <n v="0"/>
    <n v="0"/>
    <n v="0"/>
    <n v="0"/>
    <n v="0"/>
    <n v="0"/>
    <n v="0"/>
    <m/>
    <m/>
    <s v="Rest of Borough"/>
    <n v="1"/>
    <n v="1"/>
    <m/>
    <m/>
    <m/>
    <m/>
    <m/>
    <m/>
    <m/>
    <m/>
    <m/>
    <m/>
    <m/>
    <m/>
    <m/>
    <m/>
    <m/>
    <m/>
    <m/>
    <m/>
    <m/>
    <n v="0"/>
    <n v="0"/>
  </r>
  <r>
    <n v="6743"/>
    <x v="0"/>
    <s v="2019/4852"/>
    <s v="Garages South Of, 100 Lucien Road"/>
    <s v=""/>
    <n v="528375"/>
    <n v="171419"/>
    <s v="Tooting Bec"/>
    <d v="2020-04-01T00:00:00"/>
    <d v="2022-12-19T00:00:00"/>
    <n v="0"/>
    <n v="1"/>
    <n v="1"/>
    <n v="1"/>
    <n v="1"/>
    <m/>
    <s v="Demolition of existing garage and erection of two-storey 1-bedroom house with associated bin storage."/>
    <s v="PF"/>
    <d v="2019-12-09T00:00:00"/>
    <d v="2020-01-03T00:00:00"/>
    <m/>
    <s v="Nil"/>
    <m/>
    <s v="BF"/>
    <s v="NB"/>
    <x v="2"/>
    <x v="1"/>
    <n v="7.0000000000000001E-3"/>
    <d v="2020-04-01T00:00:00"/>
    <x v="0"/>
    <d v="2022-12-19T00:00:00"/>
    <s v="Open Market"/>
    <s v="M"/>
    <s v=""/>
    <m/>
    <n v="0"/>
    <m/>
    <n v="0"/>
    <m/>
    <n v="0"/>
    <n v="1"/>
    <n v="0"/>
    <n v="0"/>
    <n v="0"/>
    <n v="0"/>
    <n v="0"/>
    <n v="0"/>
    <n v="0"/>
    <n v="0"/>
    <n v="0"/>
    <n v="0"/>
    <n v="0"/>
    <n v="0"/>
    <n v="0"/>
    <n v="1"/>
    <n v="0"/>
    <n v="0"/>
    <n v="0"/>
    <n v="0"/>
    <n v="0"/>
    <n v="0"/>
    <n v="0"/>
    <n v="0"/>
    <n v="0"/>
    <n v="0"/>
    <n v="0"/>
    <n v="0"/>
    <m/>
    <m/>
    <s v="Rest of Borough"/>
    <n v="1"/>
    <n v="1"/>
    <m/>
    <m/>
    <m/>
    <m/>
    <m/>
    <m/>
    <m/>
    <m/>
    <m/>
    <m/>
    <m/>
    <m/>
    <m/>
    <m/>
    <m/>
    <m/>
    <m/>
    <m/>
    <m/>
    <n v="0"/>
    <n v="0"/>
  </r>
  <r>
    <n v="2776"/>
    <x v="0"/>
    <s v="2019/5025"/>
    <s v="30 Roehampton Gate"/>
    <s v=""/>
    <n v="521212"/>
    <n v="174400"/>
    <s v="Roehampton"/>
    <d v="2021-03-01T00:00:00"/>
    <d v="2023-03-03T00:00:00"/>
    <n v="1"/>
    <n v="1"/>
    <n v="0"/>
    <n v="1"/>
    <n v="0"/>
    <m/>
    <s v="Demolition of existing dwelling and erection of a three-storey plus basement 4-bedroom house."/>
    <s v="PF"/>
    <d v="2019-12-10T00:00:00"/>
    <d v="2020-01-17T00:00:00"/>
    <m/>
    <s v="Nil"/>
    <m/>
    <s v="BF"/>
    <s v="NB"/>
    <x v="2"/>
    <x v="1"/>
    <n v="6.6000000000000003E-2"/>
    <d v="2021-03-01T00:00:00"/>
    <x v="0"/>
    <d v="2023-03-03T00:00:00"/>
    <s v="Open Market"/>
    <s v="M"/>
    <s v=""/>
    <m/>
    <n v="0"/>
    <m/>
    <n v="0"/>
    <m/>
    <n v="0"/>
    <n v="0"/>
    <n v="0"/>
    <n v="0"/>
    <n v="1"/>
    <n v="-1"/>
    <n v="0"/>
    <n v="0"/>
    <n v="0"/>
    <n v="0"/>
    <n v="0"/>
    <n v="0"/>
    <n v="0"/>
    <n v="0"/>
    <n v="0"/>
    <n v="0"/>
    <n v="0"/>
    <n v="0"/>
    <n v="1"/>
    <n v="-1"/>
    <n v="0"/>
    <n v="0"/>
    <n v="0"/>
    <n v="0"/>
    <n v="0"/>
    <n v="0"/>
    <n v="0"/>
    <n v="0"/>
    <m/>
    <m/>
    <s v="Rest of Borough"/>
    <n v="1"/>
    <n v="0"/>
    <m/>
    <m/>
    <m/>
    <m/>
    <m/>
    <m/>
    <m/>
    <m/>
    <m/>
    <m/>
    <m/>
    <m/>
    <m/>
    <m/>
    <m/>
    <m/>
    <m/>
    <m/>
    <m/>
    <n v="0"/>
    <n v="0"/>
  </r>
  <r>
    <n v="7406"/>
    <x v="0"/>
    <s v="2019/5099"/>
    <s v="1 Langside Avenue"/>
    <s v=""/>
    <n v="522257"/>
    <n v="175281"/>
    <s v="Roehampton"/>
    <d v="2020-09-01T00:00:00"/>
    <d v="2022-05-03T00:00:00"/>
    <n v="3"/>
    <n v="1"/>
    <n v="-2"/>
    <n v="1"/>
    <n v="-2"/>
    <m/>
    <s v="Alterations including erection of a roof extension to main rear roof, two-storey rear extension, single storey rear/side extension,  formation of a roof terrace at rear first floor level, circular window, new front door, rooflights to front elevation and main roof slope, alterations to side elevation windows, new render in connection with use of the property as a single dwelling."/>
    <s v="PF"/>
    <d v="2020-02-27T00:00:00"/>
    <d v="2020-04-23T00:00:00"/>
    <m/>
    <s v="Nil"/>
    <m/>
    <s v="BF"/>
    <s v="CON"/>
    <x v="2"/>
    <x v="8"/>
    <n v="4.4999999999999998E-2"/>
    <d v="2020-09-01T00:00:00"/>
    <x v="0"/>
    <d v="2022-05-03T00:00:00"/>
    <s v="Open Market"/>
    <s v="M"/>
    <s v=""/>
    <m/>
    <n v="0"/>
    <m/>
    <n v="0"/>
    <m/>
    <n v="0"/>
    <n v="0"/>
    <n v="-3"/>
    <n v="0"/>
    <n v="0"/>
    <n v="1"/>
    <n v="0"/>
    <n v="0"/>
    <n v="0"/>
    <n v="-3"/>
    <n v="0"/>
    <n v="0"/>
    <n v="0"/>
    <n v="0"/>
    <n v="0"/>
    <n v="0"/>
    <n v="0"/>
    <n v="0"/>
    <n v="0"/>
    <n v="1"/>
    <n v="0"/>
    <n v="0"/>
    <n v="0"/>
    <n v="0"/>
    <n v="0"/>
    <n v="0"/>
    <n v="0"/>
    <n v="0"/>
    <m/>
    <m/>
    <s v="Rest of Borough"/>
    <n v="11"/>
    <n v="-2"/>
    <m/>
    <m/>
    <m/>
    <m/>
    <m/>
    <m/>
    <m/>
    <m/>
    <m/>
    <m/>
    <m/>
    <m/>
    <m/>
    <m/>
    <m/>
    <m/>
    <m/>
    <m/>
    <m/>
    <n v="0"/>
    <n v="0"/>
  </r>
  <r>
    <n v="7329"/>
    <x v="0"/>
    <s v="2020/0009"/>
    <s v="Lower ground floor and ground floor, 75a &amp; b Nightingale Lane"/>
    <s v=""/>
    <n v="528208"/>
    <n v="173978"/>
    <s v="Balham"/>
    <d v="2021-04-01T00:00:00"/>
    <d v="2022-05-20T00:00:00"/>
    <n v="2"/>
    <n v="1"/>
    <n v="-1"/>
    <n v="1"/>
    <n v="-1"/>
    <m/>
    <s v="Conversion of flats 75A and 75B into one x 3-bedroom flat."/>
    <s v="PF"/>
    <d v="2020-01-29T00:00:00"/>
    <d v="2020-03-20T00:00:00"/>
    <m/>
    <s v="Nil"/>
    <m/>
    <s v="BF"/>
    <s v="CON"/>
    <x v="2"/>
    <x v="9"/>
    <n v="1.9E-2"/>
    <d v="2021-04-01T00:00:00"/>
    <x v="0"/>
    <d v="2022-05-20T00:00:00"/>
    <s v="Open Market"/>
    <s v="M"/>
    <s v=""/>
    <m/>
    <n v="0"/>
    <m/>
    <n v="0"/>
    <m/>
    <n v="0"/>
    <n v="-1"/>
    <n v="-1"/>
    <n v="1"/>
    <n v="0"/>
    <n v="0"/>
    <n v="0"/>
    <n v="0"/>
    <n v="-1"/>
    <n v="-1"/>
    <n v="1"/>
    <n v="0"/>
    <n v="0"/>
    <n v="0"/>
    <n v="0"/>
    <n v="0"/>
    <n v="0"/>
    <n v="0"/>
    <n v="0"/>
    <n v="0"/>
    <n v="0"/>
    <n v="0"/>
    <n v="0"/>
    <n v="0"/>
    <n v="0"/>
    <n v="0"/>
    <n v="0"/>
    <n v="0"/>
    <m/>
    <m/>
    <s v="Rest of Borough"/>
    <n v="11"/>
    <n v="-1"/>
    <m/>
    <m/>
    <m/>
    <m/>
    <m/>
    <m/>
    <m/>
    <m/>
    <m/>
    <m/>
    <m/>
    <m/>
    <m/>
    <m/>
    <m/>
    <m/>
    <m/>
    <m/>
    <m/>
    <n v="0"/>
    <n v="0"/>
  </r>
  <r>
    <n v="330"/>
    <x v="0"/>
    <s v="2020/0389"/>
    <s v="165 Upper Richmond Road"/>
    <s v=""/>
    <n v="523924"/>
    <n v="175043"/>
    <s v="West Putney"/>
    <d v="2021-04-01T00:00:00"/>
    <d v="2023-01-10T00:00:00"/>
    <n v="0"/>
    <n v="1"/>
    <n v="1"/>
    <n v="2"/>
    <n v="1"/>
    <m/>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m/>
    <s v="Nil"/>
    <m/>
    <s v="BF"/>
    <s v="MIX"/>
    <x v="2"/>
    <x v="2"/>
    <n v="5.0000000000000001E-3"/>
    <d v="2021-04-01T00:00:00"/>
    <x v="0"/>
    <d v="2023-01-10T00:00:00"/>
    <s v="Open Market"/>
    <s v="M"/>
    <s v=""/>
    <m/>
    <n v="0"/>
    <m/>
    <n v="0"/>
    <m/>
    <n v="0"/>
    <n v="0"/>
    <n v="1"/>
    <n v="0"/>
    <n v="0"/>
    <n v="0"/>
    <n v="0"/>
    <n v="0"/>
    <n v="0"/>
    <n v="1"/>
    <n v="0"/>
    <n v="0"/>
    <n v="0"/>
    <n v="0"/>
    <n v="0"/>
    <n v="0"/>
    <n v="0"/>
    <n v="0"/>
    <n v="0"/>
    <n v="0"/>
    <n v="0"/>
    <n v="0"/>
    <n v="0"/>
    <n v="0"/>
    <n v="0"/>
    <n v="0"/>
    <n v="0"/>
    <n v="0"/>
    <s v="Putney"/>
    <m/>
    <s v="Putney Town Centre"/>
    <n v="11"/>
    <n v="1"/>
    <m/>
    <m/>
    <m/>
    <m/>
    <m/>
    <m/>
    <m/>
    <m/>
    <m/>
    <m/>
    <m/>
    <m/>
    <m/>
    <m/>
    <m/>
    <m/>
    <m/>
    <m/>
    <m/>
    <n v="0"/>
    <n v="0"/>
  </r>
  <r>
    <n v="330"/>
    <x v="0"/>
    <s v="2020/0389"/>
    <s v="165 Upper Richmond Road"/>
    <s v=""/>
    <n v="523924"/>
    <n v="175043"/>
    <s v="West Putney"/>
    <d v="2021-04-01T00:00:00"/>
    <d v="2023-01-10T00:00:00"/>
    <n v="1"/>
    <n v="1"/>
    <n v="0"/>
    <n v="2"/>
    <n v="1"/>
    <m/>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m/>
    <s v="Nil"/>
    <m/>
    <s v="BF"/>
    <s v="MIX"/>
    <x v="2"/>
    <x v="7"/>
    <n v="4.0000000000000001E-3"/>
    <d v="2021-04-01T00:00:00"/>
    <x v="0"/>
    <d v="2023-01-10T00:00:00"/>
    <s v="Open Market"/>
    <s v="M"/>
    <s v=""/>
    <m/>
    <n v="0"/>
    <m/>
    <n v="0"/>
    <m/>
    <n v="0"/>
    <n v="1"/>
    <n v="0"/>
    <n v="-1"/>
    <n v="0"/>
    <n v="0"/>
    <n v="0"/>
    <n v="0"/>
    <n v="1"/>
    <n v="0"/>
    <n v="-1"/>
    <n v="0"/>
    <n v="0"/>
    <n v="0"/>
    <n v="0"/>
    <n v="0"/>
    <n v="0"/>
    <n v="0"/>
    <n v="0"/>
    <n v="0"/>
    <n v="0"/>
    <n v="0"/>
    <n v="0"/>
    <n v="0"/>
    <n v="0"/>
    <n v="0"/>
    <n v="0"/>
    <n v="0"/>
    <s v="Putney"/>
    <m/>
    <s v="Putney Town Centre"/>
    <n v="11"/>
    <n v="0"/>
    <m/>
    <m/>
    <m/>
    <m/>
    <m/>
    <m/>
    <m/>
    <m/>
    <m/>
    <m/>
    <m/>
    <m/>
    <m/>
    <m/>
    <m/>
    <m/>
    <m/>
    <m/>
    <m/>
    <n v="0"/>
    <n v="0"/>
  </r>
  <r>
    <n v="7339"/>
    <x v="0"/>
    <s v="2020/0452"/>
    <s v="11 Grandison Road"/>
    <s v=""/>
    <n v="527876"/>
    <n v="174963"/>
    <s v="Northcote"/>
    <d v="2021-04-01T00:00:00"/>
    <d v="2022-11-18T00:00:00"/>
    <n v="2"/>
    <n v="1"/>
    <n v="-1"/>
    <n v="1"/>
    <n v="-1"/>
    <m/>
    <s v="Alterations to include the erection of single-storey rear/side extension in connection with conversion of 2 x existing self-contained flats into a single dwellinghouse."/>
    <s v="PF"/>
    <d v="2020-02-14T00:00:00"/>
    <d v="2020-11-30T00:00:00"/>
    <m/>
    <s v="Nil"/>
    <m/>
    <s v="BF"/>
    <s v="CON"/>
    <x v="2"/>
    <x v="8"/>
    <n v="1.4999999999999999E-2"/>
    <d v="2021-04-01T00:00:00"/>
    <x v="0"/>
    <d v="2022-11-18T00:00:00"/>
    <s v="Open Market"/>
    <s v="M"/>
    <s v=""/>
    <m/>
    <n v="0"/>
    <m/>
    <n v="0"/>
    <m/>
    <n v="0"/>
    <n v="-1"/>
    <n v="-1"/>
    <n v="0"/>
    <n v="1"/>
    <n v="0"/>
    <n v="0"/>
    <n v="0"/>
    <n v="-1"/>
    <n v="-1"/>
    <n v="0"/>
    <n v="0"/>
    <n v="0"/>
    <n v="0"/>
    <n v="0"/>
    <n v="0"/>
    <n v="0"/>
    <n v="0"/>
    <n v="1"/>
    <n v="0"/>
    <n v="0"/>
    <n v="0"/>
    <n v="0"/>
    <n v="0"/>
    <n v="0"/>
    <n v="0"/>
    <n v="0"/>
    <n v="0"/>
    <m/>
    <m/>
    <s v="Rest of Borough"/>
    <n v="11"/>
    <n v="-1"/>
    <m/>
    <m/>
    <m/>
    <m/>
    <m/>
    <m/>
    <m/>
    <m/>
    <m/>
    <m/>
    <m/>
    <m/>
    <m/>
    <m/>
    <m/>
    <m/>
    <m/>
    <m/>
    <m/>
    <n v="0"/>
    <n v="0"/>
  </r>
  <r>
    <n v="6106"/>
    <x v="0"/>
    <s v="2020/0722"/>
    <s v="13 Henderson Road"/>
    <s v=""/>
    <n v="527089"/>
    <n v="173917"/>
    <s v="Wandsworth Common"/>
    <d v="2020-09-08T00:00:00"/>
    <d v="2023-03-13T00:00:00"/>
    <n v="2"/>
    <n v="1"/>
    <n v="-1"/>
    <n v="1"/>
    <n v="-1"/>
    <m/>
    <s v="Alterations including erection of front dormer, front portico, part single part three storey rear/side extension;  excavation to create basement including formation of front and rear lightwells with grille over in connection with use as a single dwelling house; the removal of two trees to the rear (Amended Description)."/>
    <s v="PF"/>
    <d v="2020-03-04T00:00:00"/>
    <d v="2020-05-26T00:00:00"/>
    <m/>
    <s v="Nil"/>
    <m/>
    <s v="BF"/>
    <s v="CON"/>
    <x v="2"/>
    <x v="8"/>
    <n v="3.2000000000000001E-2"/>
    <d v="2020-09-08T00:00:00"/>
    <x v="0"/>
    <d v="2023-03-13T00:00:00"/>
    <s v="Open Market"/>
    <s v="M"/>
    <s v=""/>
    <m/>
    <n v="0"/>
    <m/>
    <n v="0"/>
    <m/>
    <n v="0"/>
    <n v="-1"/>
    <n v="-1"/>
    <n v="0"/>
    <n v="0"/>
    <n v="1"/>
    <n v="0"/>
    <n v="0"/>
    <n v="-1"/>
    <n v="-1"/>
    <n v="0"/>
    <n v="0"/>
    <n v="0"/>
    <n v="0"/>
    <n v="0"/>
    <n v="0"/>
    <n v="0"/>
    <n v="0"/>
    <n v="0"/>
    <n v="1"/>
    <n v="0"/>
    <n v="0"/>
    <n v="0"/>
    <n v="0"/>
    <n v="0"/>
    <n v="0"/>
    <n v="0"/>
    <n v="0"/>
    <m/>
    <m/>
    <s v="Rest of Borough"/>
    <n v="11"/>
    <n v="-1"/>
    <m/>
    <m/>
    <m/>
    <m/>
    <m/>
    <m/>
    <m/>
    <m/>
    <m/>
    <m/>
    <m/>
    <m/>
    <m/>
    <m/>
    <m/>
    <m/>
    <m/>
    <m/>
    <m/>
    <n v="0"/>
    <n v="0"/>
  </r>
  <r>
    <n v="7405"/>
    <x v="0"/>
    <s v="2020/0777"/>
    <s v="41 St James Drive"/>
    <s v=""/>
    <n v="527642"/>
    <n v="173034"/>
    <s v="Trinity"/>
    <d v="2020-11-25T00:00:00"/>
    <d v="2022-09-14T00:00:00"/>
    <n v="3"/>
    <n v="1"/>
    <n v="-2"/>
    <n v="1"/>
    <n v="-2"/>
    <m/>
    <s v="Change of use of property from 3 x self-contained flats (Class C3) into a single dwellinghouse (Class C3)."/>
    <s v="PF"/>
    <d v="2020-03-02T00:00:00"/>
    <d v="2020-04-24T00:00:00"/>
    <m/>
    <s v="Nil"/>
    <m/>
    <s v="BF"/>
    <s v="CON"/>
    <x v="2"/>
    <x v="8"/>
    <n v="7.2999999999999995E-2"/>
    <d v="2020-11-25T00:00:00"/>
    <x v="0"/>
    <d v="2022-09-14T00:00:00"/>
    <s v="Open Market"/>
    <s v="M"/>
    <s v=""/>
    <m/>
    <n v="0"/>
    <m/>
    <n v="0"/>
    <m/>
    <n v="0"/>
    <n v="-2"/>
    <n v="0"/>
    <n v="0"/>
    <n v="-1"/>
    <n v="1"/>
    <n v="0"/>
    <n v="0"/>
    <n v="-2"/>
    <n v="0"/>
    <n v="0"/>
    <n v="-1"/>
    <n v="0"/>
    <n v="0"/>
    <n v="0"/>
    <n v="0"/>
    <n v="0"/>
    <n v="0"/>
    <n v="0"/>
    <n v="1"/>
    <n v="0"/>
    <n v="0"/>
    <n v="0"/>
    <n v="0"/>
    <n v="0"/>
    <n v="0"/>
    <n v="0"/>
    <n v="0"/>
    <m/>
    <m/>
    <s v="Rest of Borough"/>
    <n v="11"/>
    <n v="-2"/>
    <m/>
    <m/>
    <m/>
    <m/>
    <m/>
    <m/>
    <m/>
    <m/>
    <m/>
    <m/>
    <m/>
    <m/>
    <m/>
    <m/>
    <m/>
    <m/>
    <m/>
    <m/>
    <m/>
    <n v="0"/>
    <n v="0"/>
  </r>
  <r>
    <n v="7389"/>
    <x v="0"/>
    <s v="2020/1354"/>
    <s v="18-21 Denton Street"/>
    <s v=""/>
    <n v="525894"/>
    <n v="174375"/>
    <s v="Wandsworth Town"/>
    <d v="2022-02-28T00:00:00"/>
    <d v="2022-09-23T00:00:00"/>
    <n v="0"/>
    <n v="1"/>
    <n v="1"/>
    <n v="1"/>
    <n v="1"/>
    <m/>
    <s v="Alterations including raising the ridge by 350mm, erection of mansard roof extension to main rear roof and roof extension above part of two storey back addition in connection with formation of 1 x 2-bedroom flat."/>
    <s v="PF"/>
    <d v="2020-04-15T00:00:00"/>
    <d v="2020-07-23T00:00:00"/>
    <m/>
    <s v="Nil"/>
    <m/>
    <s v="BF"/>
    <s v="EXT"/>
    <x v="2"/>
    <x v="2"/>
    <n v="3.0000000000000001E-3"/>
    <d v="2022-02-28T00:00:00"/>
    <x v="0"/>
    <d v="2022-09-23T00:00:00"/>
    <s v="Open Market"/>
    <s v="M"/>
    <s v=""/>
    <m/>
    <n v="0"/>
    <m/>
    <n v="0"/>
    <m/>
    <n v="0"/>
    <n v="0"/>
    <n v="1"/>
    <n v="0"/>
    <n v="0"/>
    <n v="0"/>
    <n v="0"/>
    <n v="0"/>
    <n v="0"/>
    <n v="1"/>
    <n v="0"/>
    <n v="0"/>
    <n v="0"/>
    <n v="0"/>
    <n v="0"/>
    <n v="0"/>
    <n v="0"/>
    <n v="0"/>
    <n v="0"/>
    <n v="0"/>
    <n v="0"/>
    <n v="0"/>
    <n v="0"/>
    <n v="0"/>
    <n v="0"/>
    <n v="0"/>
    <n v="0"/>
    <n v="0"/>
    <m/>
    <m/>
    <s v="Wandsworth Town, including the Wandle Delta Masterplan Area"/>
    <n v="11"/>
    <n v="1"/>
    <m/>
    <m/>
    <m/>
    <m/>
    <m/>
    <m/>
    <m/>
    <m/>
    <m/>
    <m/>
    <m/>
    <m/>
    <m/>
    <m/>
    <m/>
    <m/>
    <m/>
    <m/>
    <m/>
    <n v="0"/>
    <n v="0"/>
  </r>
  <r>
    <n v="6860"/>
    <x v="0"/>
    <s v="2020/1605"/>
    <s v="116 Tooting High Street"/>
    <s v=""/>
    <n v="527312"/>
    <n v="171270"/>
    <s v="Tooting Broadway"/>
    <d v="2020-09-01T00:00:00"/>
    <m/>
    <n v="0"/>
    <n v="1"/>
    <n v="1"/>
    <n v="1"/>
    <n v="1"/>
    <m/>
    <s v="Part change of use of ground floor take away (Class A5) to residential use (Class C3) and erection of single-storey rear extension, removal of ground floor rear door and installation of side windows to create 1 x studio flat."/>
    <s v="PF"/>
    <d v="2020-11-11T00:00:00"/>
    <d v="2021-01-06T00:00:00"/>
    <m/>
    <s v="Nil"/>
    <m/>
    <s v="BF"/>
    <s v="COU"/>
    <x v="2"/>
    <x v="3"/>
    <n v="2E-3"/>
    <d v="2020-09-01T00:00:00"/>
    <x v="0"/>
    <d v="2022-04-03T00:00:00"/>
    <s v="Open Market"/>
    <s v="M"/>
    <s v=""/>
    <m/>
    <n v="0"/>
    <m/>
    <n v="0"/>
    <m/>
    <n v="1"/>
    <n v="0"/>
    <n v="0"/>
    <n v="0"/>
    <n v="0"/>
    <n v="0"/>
    <n v="0"/>
    <n v="1"/>
    <n v="0"/>
    <n v="0"/>
    <n v="0"/>
    <n v="0"/>
    <n v="0"/>
    <n v="0"/>
    <n v="0"/>
    <n v="0"/>
    <n v="0"/>
    <n v="0"/>
    <n v="0"/>
    <n v="0"/>
    <n v="0"/>
    <n v="0"/>
    <n v="0"/>
    <n v="0"/>
    <n v="0"/>
    <n v="0"/>
    <n v="0"/>
    <n v="0"/>
    <m/>
    <m/>
    <s v="Tooting"/>
    <n v="11"/>
    <n v="1"/>
    <m/>
    <m/>
    <m/>
    <m/>
    <m/>
    <m/>
    <m/>
    <m/>
    <m/>
    <m/>
    <m/>
    <m/>
    <m/>
    <m/>
    <m/>
    <m/>
    <m/>
    <m/>
    <m/>
    <n v="0"/>
    <n v="0"/>
  </r>
  <r>
    <n v="6684"/>
    <x v="0"/>
    <s v="2020/2128"/>
    <s v="Land to the rear of, 168 Bedford Hill (113 Ritherdon Road)"/>
    <s v=""/>
    <n v="528833"/>
    <n v="172628"/>
    <s v="South Balham"/>
    <d v="2020-09-11T00:00:00"/>
    <d v="2022-04-01T00:00:00"/>
    <n v="0"/>
    <n v="1"/>
    <n v="1"/>
    <n v="1"/>
    <n v="1"/>
    <m/>
    <s v="Demolition of existing garage and erection of a one-storey (plus two-storey basement) 1-bedroom house."/>
    <s v="PF"/>
    <d v="2020-07-10T00:00:00"/>
    <d v="2020-09-11T00:00:00"/>
    <m/>
    <s v="Nil"/>
    <m/>
    <s v="BF"/>
    <s v="NB"/>
    <x v="2"/>
    <x v="1"/>
    <n v="5.0000000000000001E-3"/>
    <d v="2020-09-11T00:00:00"/>
    <x v="0"/>
    <d v="2022-04-01T00:00:00"/>
    <s v="Open Market"/>
    <s v="M"/>
    <s v=""/>
    <m/>
    <n v="0"/>
    <m/>
    <n v="0"/>
    <m/>
    <n v="0"/>
    <n v="1"/>
    <n v="0"/>
    <n v="0"/>
    <n v="0"/>
    <n v="0"/>
    <n v="0"/>
    <n v="0"/>
    <n v="0"/>
    <n v="0"/>
    <n v="0"/>
    <n v="0"/>
    <n v="0"/>
    <n v="0"/>
    <n v="0"/>
    <n v="1"/>
    <n v="0"/>
    <n v="0"/>
    <n v="0"/>
    <n v="0"/>
    <n v="0"/>
    <n v="0"/>
    <n v="0"/>
    <n v="0"/>
    <n v="0"/>
    <n v="0"/>
    <n v="0"/>
    <n v="0"/>
    <m/>
    <m/>
    <s v="Rest of Borough"/>
    <n v="1"/>
    <n v="1"/>
    <m/>
    <m/>
    <m/>
    <m/>
    <m/>
    <m/>
    <m/>
    <m/>
    <m/>
    <m/>
    <m/>
    <m/>
    <m/>
    <m/>
    <m/>
    <m/>
    <m/>
    <m/>
    <m/>
    <n v="0"/>
    <n v="0"/>
  </r>
  <r>
    <n v="7444"/>
    <x v="0"/>
    <s v="2020/2670"/>
    <s v="Rear of, 795 Garratt Lane"/>
    <s v=""/>
    <n v="526343"/>
    <n v="172064"/>
    <s v="Wandsworth Common"/>
    <d v="2022-02-02T00:00:00"/>
    <d v="2023-01-03T00:00:00"/>
    <n v="0"/>
    <n v="1"/>
    <n v="1"/>
    <n v="1"/>
    <n v="1"/>
    <m/>
    <s v="Redevelopment to provide a two-storey 2 bedroom dwelling (Class C3)."/>
    <s v="PF"/>
    <d v="2020-07-24T00:00:00"/>
    <d v="2020-11-18T00:00:00"/>
    <m/>
    <s v="Nil"/>
    <m/>
    <s v="BF"/>
    <s v="NB"/>
    <x v="2"/>
    <x v="1"/>
    <n v="2E-3"/>
    <d v="2022-02-02T00:00:00"/>
    <x v="0"/>
    <d v="2023-01-03T00:00:00"/>
    <s v="Open Market"/>
    <s v="M"/>
    <s v=""/>
    <m/>
    <n v="0"/>
    <m/>
    <n v="0"/>
    <m/>
    <n v="0"/>
    <n v="0"/>
    <n v="1"/>
    <n v="0"/>
    <n v="0"/>
    <n v="0"/>
    <n v="0"/>
    <n v="0"/>
    <n v="0"/>
    <n v="0"/>
    <n v="0"/>
    <n v="0"/>
    <n v="0"/>
    <n v="0"/>
    <n v="0"/>
    <n v="0"/>
    <n v="1"/>
    <n v="0"/>
    <n v="0"/>
    <n v="0"/>
    <n v="0"/>
    <n v="0"/>
    <n v="0"/>
    <n v="0"/>
    <n v="0"/>
    <n v="0"/>
    <n v="0"/>
    <n v="0"/>
    <m/>
    <m/>
    <s v="Rest of Borough"/>
    <n v="1"/>
    <n v="1"/>
    <m/>
    <m/>
    <m/>
    <m/>
    <m/>
    <m/>
    <m/>
    <m/>
    <m/>
    <m/>
    <m/>
    <m/>
    <m/>
    <m/>
    <m/>
    <m/>
    <m/>
    <m/>
    <m/>
    <n v="0"/>
    <n v="0"/>
  </r>
  <r>
    <n v="7446"/>
    <x v="0"/>
    <s v="2020/2743"/>
    <s v="44 Bickley Street"/>
    <s v=""/>
    <n v="527524"/>
    <n v="171254"/>
    <s v="Tooting Broadway"/>
    <d v="2021-03-08T00:00:00"/>
    <d v="2022-09-06T00:00:00"/>
    <n v="0"/>
    <n v="1"/>
    <n v="1"/>
    <n v="1"/>
    <n v="1"/>
    <m/>
    <s v="Alterations including erection of mansard roof extensions to main rear roof and above part of two storey back addition, formation of roof terrace with screen surround above two storey back addition in connection with the creation of 1 x 1-bedroom 1-person flat."/>
    <s v="PF"/>
    <d v="2020-07-28T00:00:00"/>
    <d v="2020-09-22T00:00:00"/>
    <m/>
    <s v="Nil"/>
    <m/>
    <s v="BF"/>
    <s v="EXT"/>
    <x v="2"/>
    <x v="2"/>
    <n v="6.0000000000000001E-3"/>
    <d v="2021-03-08T00:00:00"/>
    <x v="0"/>
    <d v="2022-09-06T00:00:00"/>
    <s v="Open Market"/>
    <s v="M"/>
    <s v=""/>
    <m/>
    <n v="0"/>
    <m/>
    <n v="0"/>
    <m/>
    <n v="0"/>
    <n v="1"/>
    <n v="0"/>
    <n v="0"/>
    <n v="0"/>
    <n v="0"/>
    <n v="0"/>
    <n v="0"/>
    <n v="1"/>
    <n v="0"/>
    <n v="0"/>
    <n v="0"/>
    <n v="0"/>
    <n v="0"/>
    <n v="0"/>
    <n v="0"/>
    <n v="0"/>
    <n v="0"/>
    <n v="0"/>
    <n v="0"/>
    <n v="0"/>
    <n v="0"/>
    <n v="0"/>
    <n v="0"/>
    <n v="0"/>
    <n v="0"/>
    <n v="0"/>
    <n v="0"/>
    <m/>
    <m/>
    <s v="Tooting"/>
    <n v="11"/>
    <n v="1"/>
    <m/>
    <m/>
    <m/>
    <m/>
    <m/>
    <m/>
    <m/>
    <m/>
    <m/>
    <m/>
    <m/>
    <m/>
    <m/>
    <m/>
    <m/>
    <m/>
    <m/>
    <m/>
    <m/>
    <n v="0"/>
    <n v="0"/>
  </r>
  <r>
    <n v="7425"/>
    <x v="0"/>
    <s v="2020/2753"/>
    <s v="22-25 Denton Street"/>
    <s v=""/>
    <n v="525886"/>
    <n v="174370"/>
    <s v="Wandsworth Town"/>
    <d v="2022-02-28T00:00:00"/>
    <d v="2022-09-23T00:00:00"/>
    <n v="0"/>
    <n v="1"/>
    <n v="1"/>
    <n v="1"/>
    <n v="1"/>
    <m/>
    <s v="Alterations including  erection of mansard roof extension to main rear roof including raising the ridge by 350mm and roof extension above part of two storey back addition in connection with formation of 1 x 2-bedroom flat."/>
    <s v="PF"/>
    <d v="2020-07-29T00:00:00"/>
    <d v="2020-09-23T00:00:00"/>
    <m/>
    <s v="Nil"/>
    <m/>
    <s v="BF"/>
    <s v="EXT"/>
    <x v="2"/>
    <x v="2"/>
    <n v="3.0000000000000001E-3"/>
    <d v="2022-02-28T00:00:00"/>
    <x v="0"/>
    <d v="2022-09-23T00:00:00"/>
    <s v="Open Market"/>
    <s v="M"/>
    <s v=""/>
    <m/>
    <n v="0"/>
    <m/>
    <n v="0"/>
    <m/>
    <n v="0"/>
    <n v="0"/>
    <n v="1"/>
    <n v="0"/>
    <n v="0"/>
    <n v="0"/>
    <n v="0"/>
    <n v="0"/>
    <n v="0"/>
    <n v="1"/>
    <n v="0"/>
    <n v="0"/>
    <n v="0"/>
    <n v="0"/>
    <n v="0"/>
    <n v="0"/>
    <n v="0"/>
    <n v="0"/>
    <n v="0"/>
    <n v="0"/>
    <n v="0"/>
    <n v="0"/>
    <n v="0"/>
    <n v="0"/>
    <n v="0"/>
    <n v="0"/>
    <n v="0"/>
    <n v="0"/>
    <m/>
    <m/>
    <s v="Wandsworth Town, including the Wandle Delta Masterplan Area"/>
    <n v="11"/>
    <n v="1"/>
    <m/>
    <m/>
    <m/>
    <m/>
    <m/>
    <m/>
    <m/>
    <m/>
    <m/>
    <m/>
    <m/>
    <m/>
    <m/>
    <m/>
    <m/>
    <m/>
    <m/>
    <m/>
    <m/>
    <n v="0"/>
    <n v="0"/>
  </r>
  <r>
    <n v="7430"/>
    <x v="0"/>
    <s v="2020/2801"/>
    <s v="55 and 55a, Oakmead Road"/>
    <s v=""/>
    <n v="528521"/>
    <n v="173085"/>
    <s v="South Balham"/>
    <d v="2022-02-02T00:00:00"/>
    <d v="2023-03-22T00:00:00"/>
    <n v="0"/>
    <n v="1"/>
    <n v="1"/>
    <n v="1"/>
    <n v="1"/>
    <m/>
    <s v="Erection of a mansard roof extension on the main rear roof slope and above  part of two-storey rear addition to form new 1-bedroom flat with the formation of a roof terrace with 1.7m obscured glazed screen.  Erection of ground floor rear/side extension to ground floor flat. Installation of new rear windows to first floor flat and external stair modification. Erection of new bin stores."/>
    <s v="PF"/>
    <d v="2020-07-31T00:00:00"/>
    <d v="2020-10-27T00:00:00"/>
    <m/>
    <s v="Nil"/>
    <m/>
    <s v="BF"/>
    <s v="EXT"/>
    <x v="2"/>
    <x v="2"/>
    <n v="4.0000000000000001E-3"/>
    <d v="2022-02-02T00:00:00"/>
    <x v="0"/>
    <d v="2023-03-22T00:00:00"/>
    <s v="Open Market"/>
    <s v="M"/>
    <s v=""/>
    <m/>
    <n v="0"/>
    <m/>
    <n v="0"/>
    <m/>
    <n v="0"/>
    <n v="1"/>
    <n v="0"/>
    <n v="0"/>
    <n v="0"/>
    <n v="0"/>
    <n v="0"/>
    <n v="0"/>
    <n v="1"/>
    <n v="0"/>
    <n v="0"/>
    <n v="0"/>
    <n v="0"/>
    <n v="0"/>
    <n v="0"/>
    <n v="0"/>
    <n v="0"/>
    <n v="0"/>
    <n v="0"/>
    <n v="0"/>
    <n v="0"/>
    <n v="0"/>
    <n v="0"/>
    <n v="0"/>
    <n v="0"/>
    <n v="0"/>
    <n v="0"/>
    <n v="0"/>
    <m/>
    <m/>
    <s v="Rest of Borough"/>
    <n v="11"/>
    <n v="1"/>
    <m/>
    <m/>
    <m/>
    <m/>
    <m/>
    <m/>
    <m/>
    <m/>
    <m/>
    <m/>
    <m/>
    <m/>
    <m/>
    <m/>
    <m/>
    <m/>
    <m/>
    <m/>
    <m/>
    <n v="0"/>
    <n v="0"/>
  </r>
  <r>
    <n v="7473"/>
    <x v="0"/>
    <s v="2020/3308"/>
    <s v="30 Ellerton Road"/>
    <s v=""/>
    <n v="526733"/>
    <n v="173319"/>
    <s v="Wandsworth Common"/>
    <d v="2020-11-23T00:00:00"/>
    <d v="2022-04-01T00:00:00"/>
    <n v="1"/>
    <n v="1"/>
    <n v="0"/>
    <n v="1"/>
    <n v="0"/>
    <m/>
    <s v="Excavation of basement, erection of two storey side and rear extension, single storey rear extension, two dormer roof extensions with rooflights to front and side roof slope. Erection of outbuilding and A/C condenser and acoustic enclosure. Changes to fenestration and new front boundary treatment"/>
    <s v="PF"/>
    <d v="2020-09-22T00:00:00"/>
    <d v="2020-11-18T00:00:00"/>
    <m/>
    <s v="Nil"/>
    <m/>
    <s v="BF"/>
    <s v="NB"/>
    <x v="2"/>
    <x v="1"/>
    <n v="4.2999999999999997E-2"/>
    <d v="2020-11-23T00:00:00"/>
    <x v="0"/>
    <d v="2022-04-01T00:00:00"/>
    <s v="Open Market"/>
    <s v="M"/>
    <s v=""/>
    <m/>
    <n v="0"/>
    <m/>
    <n v="0"/>
    <m/>
    <n v="0"/>
    <n v="0"/>
    <n v="0"/>
    <n v="-1"/>
    <n v="1"/>
    <n v="0"/>
    <n v="0"/>
    <n v="0"/>
    <n v="0"/>
    <n v="0"/>
    <n v="0"/>
    <n v="0"/>
    <n v="0"/>
    <n v="0"/>
    <n v="0"/>
    <n v="0"/>
    <n v="0"/>
    <n v="-1"/>
    <n v="1"/>
    <n v="0"/>
    <n v="0"/>
    <n v="0"/>
    <n v="0"/>
    <n v="0"/>
    <n v="0"/>
    <n v="0"/>
    <n v="0"/>
    <n v="0"/>
    <m/>
    <m/>
    <s v="Rest of Borough"/>
    <n v="1"/>
    <n v="0"/>
    <m/>
    <m/>
    <m/>
    <m/>
    <m/>
    <m/>
    <m/>
    <m/>
    <m/>
    <m/>
    <m/>
    <m/>
    <m/>
    <m/>
    <m/>
    <m/>
    <m/>
    <m/>
    <m/>
    <n v="0"/>
    <n v="0"/>
  </r>
  <r>
    <n v="7475"/>
    <x v="0"/>
    <s v="2020/3493"/>
    <s v="23 Tantallon Road"/>
    <s v=""/>
    <n v="528243"/>
    <n v="173440"/>
    <s v="Balham"/>
    <d v="2022-03-31T00:00:00"/>
    <d v="2022-09-19T00:00:00"/>
    <n v="2"/>
    <n v="1"/>
    <n v="-1"/>
    <n v="1"/>
    <n v="-1"/>
    <m/>
    <s v="Conversion of the property from two flats into a single dwellinghouse."/>
    <s v="PF"/>
    <d v="2020-09-18T00:00:00"/>
    <d v="2020-11-13T00:00:00"/>
    <m/>
    <s v="Nil"/>
    <m/>
    <s v="BF"/>
    <s v="CON"/>
    <x v="2"/>
    <x v="8"/>
    <n v="1.4E-2"/>
    <d v="2022-03-31T00:00:00"/>
    <x v="0"/>
    <d v="2022-09-19T00:00:00"/>
    <s v="Open Market"/>
    <s v="M"/>
    <s v=""/>
    <m/>
    <n v="0"/>
    <m/>
    <n v="0"/>
    <m/>
    <n v="0"/>
    <n v="-1"/>
    <n v="-1"/>
    <n v="0"/>
    <n v="1"/>
    <n v="0"/>
    <n v="0"/>
    <n v="0"/>
    <n v="-1"/>
    <n v="-1"/>
    <n v="0"/>
    <n v="0"/>
    <n v="0"/>
    <n v="0"/>
    <n v="0"/>
    <n v="0"/>
    <n v="0"/>
    <n v="0"/>
    <n v="1"/>
    <n v="0"/>
    <n v="0"/>
    <n v="0"/>
    <n v="0"/>
    <n v="0"/>
    <n v="0"/>
    <n v="0"/>
    <n v="0"/>
    <n v="0"/>
    <m/>
    <m/>
    <s v="Rest of Borough"/>
    <n v="11"/>
    <n v="-1"/>
    <m/>
    <m/>
    <m/>
    <m/>
    <m/>
    <m/>
    <m/>
    <m/>
    <m/>
    <m/>
    <m/>
    <m/>
    <m/>
    <m/>
    <m/>
    <m/>
    <m/>
    <m/>
    <m/>
    <n v="0"/>
    <n v="0"/>
  </r>
  <r>
    <n v="5857"/>
    <x v="0"/>
    <s v="2020/3651"/>
    <s v="26 Roedean Crescent"/>
    <s v=""/>
    <n v="521107"/>
    <n v="174480"/>
    <s v="Roehampton"/>
    <d v="2021-04-27T00:00:00"/>
    <d v="2022-10-08T00:00:00"/>
    <n v="1"/>
    <n v="1"/>
    <n v="0"/>
    <n v="1"/>
    <n v="0"/>
    <m/>
    <s v="Demolition of existing house and erection of a two-storey 5- bedroom house (with external roof terraces to the rear)."/>
    <s v="PF"/>
    <d v="2020-09-30T00:00:00"/>
    <d v="2020-11-24T00:00:00"/>
    <m/>
    <s v="Nil"/>
    <m/>
    <s v="BF"/>
    <s v="NB"/>
    <x v="2"/>
    <x v="1"/>
    <n v="0.125"/>
    <d v="2021-04-27T00:00:00"/>
    <x v="0"/>
    <d v="2022-10-08T00:00:00"/>
    <s v="Open Market"/>
    <s v="M"/>
    <s v=""/>
    <m/>
    <n v="0"/>
    <m/>
    <n v="0"/>
    <m/>
    <n v="0"/>
    <n v="0"/>
    <n v="0"/>
    <n v="0"/>
    <n v="-1"/>
    <n v="1"/>
    <n v="0"/>
    <n v="0"/>
    <n v="0"/>
    <n v="0"/>
    <n v="0"/>
    <n v="0"/>
    <n v="0"/>
    <n v="0"/>
    <n v="0"/>
    <n v="0"/>
    <n v="0"/>
    <n v="0"/>
    <n v="-1"/>
    <n v="1"/>
    <n v="0"/>
    <n v="0"/>
    <n v="0"/>
    <n v="0"/>
    <n v="0"/>
    <n v="0"/>
    <n v="0"/>
    <n v="0"/>
    <m/>
    <m/>
    <s v="Rest of Borough"/>
    <n v="1"/>
    <n v="0"/>
    <m/>
    <m/>
    <m/>
    <m/>
    <m/>
    <m/>
    <m/>
    <m/>
    <m/>
    <m/>
    <m/>
    <m/>
    <m/>
    <m/>
    <m/>
    <m/>
    <m/>
    <m/>
    <m/>
    <n v="0"/>
    <n v="0"/>
  </r>
  <r>
    <n v="7214"/>
    <x v="0"/>
    <s v="2020/3903"/>
    <s v="39 Balham Hill"/>
    <s v=""/>
    <n v="528816"/>
    <n v="174167"/>
    <s v="Balham"/>
    <d v="2021-07-12T00:00:00"/>
    <d v="2023-03-31T00:00:00"/>
    <n v="0"/>
    <n v="1"/>
    <n v="1"/>
    <n v="1"/>
    <n v="1"/>
    <m/>
    <s v="Alterations including erection of roof extension to form additional storey of accommodation with terrace and screen surround to create a studio flat. New side entrance door to street and internal staircase."/>
    <s v="PF"/>
    <d v="2021-03-19T00:00:00"/>
    <d v="2021-05-12T00:00:00"/>
    <m/>
    <s v="Nil"/>
    <m/>
    <s v="BF"/>
    <s v="EXT"/>
    <x v="2"/>
    <x v="2"/>
    <n v="2E-3"/>
    <d v="2021-07-12T00:00:00"/>
    <x v="0"/>
    <d v="2023-03-31T00:00:00"/>
    <s v="Open Market"/>
    <s v="M"/>
    <s v=""/>
    <m/>
    <n v="0"/>
    <m/>
    <n v="0"/>
    <m/>
    <n v="1"/>
    <n v="0"/>
    <n v="0"/>
    <n v="0"/>
    <n v="0"/>
    <n v="0"/>
    <n v="0"/>
    <n v="1"/>
    <n v="0"/>
    <n v="0"/>
    <n v="0"/>
    <n v="0"/>
    <n v="0"/>
    <n v="0"/>
    <n v="0"/>
    <n v="0"/>
    <n v="0"/>
    <n v="0"/>
    <n v="0"/>
    <n v="0"/>
    <n v="0"/>
    <n v="0"/>
    <n v="0"/>
    <n v="0"/>
    <n v="0"/>
    <n v="0"/>
    <n v="0"/>
    <n v="0"/>
    <m/>
    <m/>
    <s v="Rest of Borough"/>
    <n v="11"/>
    <n v="1"/>
    <m/>
    <m/>
    <m/>
    <m/>
    <m/>
    <m/>
    <m/>
    <m/>
    <m/>
    <m/>
    <m/>
    <m/>
    <m/>
    <m/>
    <m/>
    <m/>
    <m/>
    <m/>
    <m/>
    <n v="0"/>
    <n v="0"/>
  </r>
  <r>
    <n v="7481"/>
    <x v="0"/>
    <s v="2020/4007"/>
    <s v="11 Bellamy Street"/>
    <s v=""/>
    <n v="528564"/>
    <n v="173815"/>
    <s v="Balham"/>
    <d v="2021-04-01T00:00:00"/>
    <d v="2022-10-03T00:00:00"/>
    <n v="1"/>
    <n v="1"/>
    <n v="0"/>
    <n v="1"/>
    <n v="0"/>
    <m/>
    <s v="Demolition of existing dwelling (with retention of front facade) and construction of a replacement two-storey dwellinghouse with attic accommodation and basement level."/>
    <s v="PF"/>
    <d v="2020-10-23T00:00:00"/>
    <d v="2021-03-01T00:00:00"/>
    <m/>
    <s v="Nil"/>
    <m/>
    <s v="BF"/>
    <s v="NB"/>
    <x v="2"/>
    <x v="1"/>
    <n v="1.9E-2"/>
    <d v="2021-04-01T00:00:00"/>
    <x v="0"/>
    <d v="2022-10-03T00:00:00"/>
    <s v="Open Market"/>
    <s v="M"/>
    <s v=""/>
    <m/>
    <n v="0"/>
    <m/>
    <n v="0"/>
    <m/>
    <n v="0"/>
    <n v="0"/>
    <n v="0"/>
    <n v="-1"/>
    <n v="1"/>
    <n v="0"/>
    <n v="0"/>
    <n v="0"/>
    <n v="0"/>
    <n v="0"/>
    <n v="0"/>
    <n v="0"/>
    <n v="0"/>
    <n v="0"/>
    <n v="0"/>
    <n v="0"/>
    <n v="0"/>
    <n v="-1"/>
    <n v="1"/>
    <n v="0"/>
    <n v="0"/>
    <n v="0"/>
    <n v="0"/>
    <n v="0"/>
    <n v="0"/>
    <n v="0"/>
    <n v="0"/>
    <n v="0"/>
    <m/>
    <m/>
    <s v="Rest of Borough"/>
    <n v="1"/>
    <n v="0"/>
    <m/>
    <m/>
    <m/>
    <m/>
    <m/>
    <m/>
    <m/>
    <m/>
    <m/>
    <m/>
    <m/>
    <m/>
    <m/>
    <m/>
    <m/>
    <m/>
    <m/>
    <m/>
    <m/>
    <n v="0"/>
    <n v="0"/>
  </r>
  <r>
    <n v="7500"/>
    <x v="0"/>
    <s v="2020/4293"/>
    <s v="17a Trinity Road"/>
    <s v=""/>
    <n v="527951"/>
    <n v="172380"/>
    <s v="Tooting Bec"/>
    <d v="2021-03-30T00:00:00"/>
    <d v="2023-03-30T00:00:00"/>
    <n v="0"/>
    <n v="1"/>
    <n v="1"/>
    <n v="1"/>
    <n v="1"/>
    <m/>
    <s v="Alterations including erection of mansard roof extension to main rear roof (with french doors and safety railings), roof extension over two storey back addtion, and installation of french doors and railings to rear elevation of back addition,  in connection with conversion of existing flat into 1 x 3-bedroom and 1 x 1-bedroom flats."/>
    <s v="PF"/>
    <d v="2020-11-11T00:00:00"/>
    <d v="2021-01-08T00:00:00"/>
    <m/>
    <s v="Nil"/>
    <m/>
    <s v="BF"/>
    <s v="EXT"/>
    <x v="2"/>
    <x v="2"/>
    <n v="4.0000000000000001E-3"/>
    <d v="2021-03-30T00:00:00"/>
    <x v="0"/>
    <d v="2023-03-30T00:00:00"/>
    <s v="Open Market"/>
    <s v="M"/>
    <s v=""/>
    <m/>
    <n v="0"/>
    <m/>
    <n v="0"/>
    <m/>
    <n v="0"/>
    <n v="1"/>
    <n v="0"/>
    <n v="0"/>
    <n v="0"/>
    <n v="0"/>
    <n v="0"/>
    <n v="0"/>
    <n v="1"/>
    <n v="0"/>
    <n v="0"/>
    <n v="0"/>
    <n v="0"/>
    <n v="0"/>
    <n v="0"/>
    <n v="0"/>
    <n v="0"/>
    <n v="0"/>
    <n v="0"/>
    <n v="0"/>
    <n v="0"/>
    <n v="0"/>
    <n v="0"/>
    <n v="0"/>
    <n v="0"/>
    <n v="0"/>
    <n v="0"/>
    <n v="0"/>
    <m/>
    <m/>
    <s v="Rest of Borough"/>
    <n v="11"/>
    <n v="1"/>
    <m/>
    <m/>
    <m/>
    <m/>
    <m/>
    <m/>
    <m/>
    <m/>
    <m/>
    <m/>
    <m/>
    <m/>
    <m/>
    <m/>
    <m/>
    <m/>
    <m/>
    <m/>
    <m/>
    <n v="0"/>
    <n v="0"/>
  </r>
  <r>
    <n v="7486"/>
    <x v="0"/>
    <s v="2020/4366"/>
    <s v="92 Rossiter Road"/>
    <s v=""/>
    <n v="529024"/>
    <n v="173175"/>
    <s v="Balham"/>
    <d v="2022-03-31T00:00:00"/>
    <d v="2022-04-01T00:00:00"/>
    <n v="0"/>
    <n v="1"/>
    <n v="1"/>
    <n v="1"/>
    <n v="1"/>
    <m/>
    <s v="Alterations to lower ground floor and removal of external staircase to provide rear/side courtyard, in connection with the formation of a one bedroom flat at lower ground floor level."/>
    <s v="PF"/>
    <d v="2020-11-16T00:00:00"/>
    <d v="2021-01-06T00:00:00"/>
    <m/>
    <s v="Nil"/>
    <m/>
    <s v="BF"/>
    <s v="CON"/>
    <x v="2"/>
    <x v="10"/>
    <n v="7.0000000000000001E-3"/>
    <d v="2022-03-31T00:00:00"/>
    <x v="0"/>
    <d v="2022-04-01T00:00:00"/>
    <s v="Open Market"/>
    <s v="M"/>
    <s v=""/>
    <m/>
    <n v="0"/>
    <m/>
    <n v="0"/>
    <m/>
    <n v="0"/>
    <n v="1"/>
    <n v="0"/>
    <n v="0"/>
    <n v="0"/>
    <n v="0"/>
    <n v="0"/>
    <n v="0"/>
    <n v="1"/>
    <n v="0"/>
    <n v="0"/>
    <n v="0"/>
    <n v="0"/>
    <n v="0"/>
    <n v="0"/>
    <n v="0"/>
    <n v="0"/>
    <n v="0"/>
    <n v="0"/>
    <n v="0"/>
    <n v="0"/>
    <n v="0"/>
    <n v="0"/>
    <n v="0"/>
    <n v="0"/>
    <n v="0"/>
    <n v="0"/>
    <n v="0"/>
    <m/>
    <m/>
    <s v="Rest of Borough"/>
    <n v="11"/>
    <n v="1"/>
    <m/>
    <m/>
    <m/>
    <m/>
    <m/>
    <m/>
    <m/>
    <m/>
    <m/>
    <m/>
    <m/>
    <m/>
    <m/>
    <m/>
    <m/>
    <m/>
    <m/>
    <m/>
    <m/>
    <n v="0"/>
    <n v="0"/>
  </r>
  <r>
    <n v="6568"/>
    <x v="0"/>
    <s v="2020/4413"/>
    <s v="1 Abberley Mews"/>
    <s v=""/>
    <n v="528547"/>
    <n v="175730"/>
    <s v="Lavender"/>
    <d v="2022-02-07T00:00:00"/>
    <d v="2022-11-25T00:00:00"/>
    <n v="0"/>
    <n v="1"/>
    <n v="1"/>
    <n v="1"/>
    <n v="1"/>
    <m/>
    <s v="Alterations including erection of single-storey extension and installation of windows to south elevation in connection of conversion of garage to form a studio flat.  Alterations to the front wall to accommodate new refuse servicing. Formation of car turntable to front of property."/>
    <s v="PF"/>
    <d v="2020-11-18T00:00:00"/>
    <d v="2021-03-24T00:00:00"/>
    <m/>
    <s v="Nil"/>
    <m/>
    <s v="BF"/>
    <s v="CON"/>
    <x v="2"/>
    <x v="11"/>
    <n v="3.7000000000000002E-3"/>
    <d v="2022-02-07T00:00:00"/>
    <x v="0"/>
    <d v="2022-11-25T00:00:00"/>
    <s v="Open Market"/>
    <s v="M"/>
    <s v=""/>
    <m/>
    <n v="0"/>
    <m/>
    <n v="0"/>
    <m/>
    <n v="1"/>
    <n v="0"/>
    <n v="0"/>
    <n v="0"/>
    <n v="0"/>
    <n v="0"/>
    <n v="0"/>
    <n v="1"/>
    <n v="0"/>
    <n v="0"/>
    <n v="0"/>
    <n v="0"/>
    <n v="0"/>
    <n v="0"/>
    <n v="0"/>
    <n v="0"/>
    <n v="0"/>
    <n v="0"/>
    <n v="0"/>
    <n v="0"/>
    <n v="0"/>
    <n v="0"/>
    <n v="0"/>
    <n v="0"/>
    <n v="0"/>
    <n v="0"/>
    <n v="0"/>
    <n v="0"/>
    <m/>
    <m/>
    <s v="Rest of Borough"/>
    <n v="11"/>
    <n v="1"/>
    <m/>
    <m/>
    <m/>
    <m/>
    <m/>
    <m/>
    <m/>
    <m/>
    <m/>
    <m/>
    <m/>
    <m/>
    <m/>
    <m/>
    <m/>
    <m/>
    <m/>
    <m/>
    <m/>
    <n v="0"/>
    <n v="0"/>
  </r>
  <r>
    <n v="7492"/>
    <x v="0"/>
    <s v="2020/4547"/>
    <s v="Nightingale Mansions, 42-44 Nightingale Lane"/>
    <s v=""/>
    <n v="528284"/>
    <n v="174101"/>
    <s v="Balham"/>
    <d v="2022-03-23T00:00:00"/>
    <d v="2023-02-17T00:00:00"/>
    <n v="0"/>
    <n v="1"/>
    <n v="1"/>
    <n v="1"/>
    <n v="1"/>
    <m/>
    <s v="Revised Scheme: _x000a_Alterations including erection of  2 x rear dormers, 3 x side rooflights and a rear rooflight to roof in connection with creation of a 1 x 1-bed/studio flat."/>
    <s v="PF"/>
    <d v="2021-02-24T00:00:00"/>
    <d v="2021-05-28T00:00:00"/>
    <m/>
    <s v="Nil"/>
    <m/>
    <s v="BF"/>
    <s v="EXT"/>
    <x v="2"/>
    <x v="2"/>
    <n v="8.0000000000000002E-3"/>
    <d v="2022-03-23T00:00:00"/>
    <x v="0"/>
    <d v="2023-02-17T00:00:00"/>
    <s v="Open Market"/>
    <s v="M"/>
    <s v=""/>
    <m/>
    <n v="0"/>
    <m/>
    <n v="0"/>
    <m/>
    <n v="0"/>
    <n v="1"/>
    <n v="0"/>
    <n v="0"/>
    <n v="0"/>
    <n v="0"/>
    <n v="0"/>
    <n v="0"/>
    <n v="1"/>
    <n v="0"/>
    <n v="0"/>
    <n v="0"/>
    <n v="0"/>
    <n v="0"/>
    <n v="0"/>
    <n v="0"/>
    <n v="0"/>
    <n v="0"/>
    <n v="0"/>
    <n v="0"/>
    <n v="0"/>
    <n v="0"/>
    <n v="0"/>
    <n v="0"/>
    <n v="0"/>
    <n v="0"/>
    <n v="0"/>
    <n v="0"/>
    <m/>
    <m/>
    <s v="Rest of Borough"/>
    <n v="11"/>
    <n v="1"/>
    <m/>
    <m/>
    <m/>
    <m/>
    <m/>
    <m/>
    <m/>
    <m/>
    <m/>
    <m/>
    <m/>
    <m/>
    <m/>
    <m/>
    <m/>
    <m/>
    <m/>
    <m/>
    <m/>
    <n v="0"/>
    <n v="0"/>
  </r>
  <r>
    <n v="7517"/>
    <x v="0"/>
    <s v="2021/1109"/>
    <s v="11a Renmuir Street"/>
    <s v=""/>
    <n v="527906"/>
    <n v="170675"/>
    <s v="Tooting Broadway"/>
    <d v="2021-09-20T00:00:00"/>
    <d v="2023-03-31T00:00:00"/>
    <n v="0"/>
    <n v="1"/>
    <n v="1"/>
    <n v="1"/>
    <n v="1"/>
    <m/>
    <s v="Alterations including erection of mansard roof extension to main rear roof (with French doors and safety railings) and extension above part of two-storey back addition; formation of roof terrace above two-storey back addition with 1.7m high screen surround in connection with the creation of 1 x 1 bedroom flat."/>
    <s v="PF"/>
    <d v="2021-03-08T00:00:00"/>
    <d v="2021-05-17T00:00:00"/>
    <m/>
    <s v="Nil"/>
    <m/>
    <s v="BF"/>
    <s v="EXT"/>
    <x v="2"/>
    <x v="2"/>
    <n v="5.0000000000000001E-3"/>
    <d v="2021-09-20T00:00:00"/>
    <x v="0"/>
    <d v="2023-03-31T00:00:00"/>
    <s v="Open Market"/>
    <s v="M"/>
    <s v=""/>
    <m/>
    <n v="0"/>
    <m/>
    <n v="0"/>
    <m/>
    <n v="0"/>
    <n v="1"/>
    <n v="0"/>
    <n v="0"/>
    <n v="0"/>
    <n v="0"/>
    <n v="0"/>
    <n v="0"/>
    <n v="1"/>
    <n v="0"/>
    <n v="0"/>
    <n v="0"/>
    <n v="0"/>
    <n v="0"/>
    <n v="0"/>
    <n v="0"/>
    <n v="0"/>
    <n v="0"/>
    <n v="0"/>
    <n v="0"/>
    <n v="0"/>
    <n v="0"/>
    <n v="0"/>
    <n v="0"/>
    <n v="0"/>
    <n v="0"/>
    <n v="0"/>
    <n v="0"/>
    <m/>
    <m/>
    <s v="Rest of Borough"/>
    <n v="11"/>
    <n v="1"/>
    <m/>
    <m/>
    <m/>
    <m/>
    <m/>
    <m/>
    <m/>
    <m/>
    <m/>
    <m/>
    <m/>
    <m/>
    <m/>
    <m/>
    <m/>
    <m/>
    <m/>
    <m/>
    <m/>
    <n v="0"/>
    <n v="0"/>
  </r>
  <r>
    <n v="4799"/>
    <x v="0"/>
    <s v="2021/1311"/>
    <s v="259-263 Wimbledon Park Road"/>
    <s v=""/>
    <n v="524716"/>
    <n v="173221"/>
    <s v="West Hill"/>
    <d v="2022-03-31T00:00:00"/>
    <d v="2022-09-11T00:00:00"/>
    <n v="0"/>
    <n v="1"/>
    <n v="1"/>
    <n v="1"/>
    <n v="1"/>
    <m/>
    <s v="Erection of a single storey (ground floor and mezzanine) rear extension to provide 1x1 bedroom flat with rear roof terrace. Enlargement of rear balconies to all upper floors."/>
    <s v="PF"/>
    <d v="2021-03-26T00:00:00"/>
    <d v="2021-05-12T00:00:00"/>
    <m/>
    <s v="Nil"/>
    <m/>
    <s v="BF"/>
    <s v="EXT"/>
    <x v="2"/>
    <x v="2"/>
    <n v="0.01"/>
    <d v="2022-03-31T00:00:00"/>
    <x v="0"/>
    <d v="2022-09-11T00:00:00"/>
    <s v="Open Market"/>
    <s v="M"/>
    <s v=""/>
    <m/>
    <n v="0"/>
    <m/>
    <n v="0"/>
    <m/>
    <n v="0"/>
    <n v="1"/>
    <n v="0"/>
    <n v="0"/>
    <n v="0"/>
    <n v="0"/>
    <n v="0"/>
    <n v="0"/>
    <n v="1"/>
    <n v="0"/>
    <n v="0"/>
    <n v="0"/>
    <n v="0"/>
    <n v="0"/>
    <n v="0"/>
    <n v="0"/>
    <n v="0"/>
    <n v="0"/>
    <n v="0"/>
    <n v="0"/>
    <n v="0"/>
    <n v="0"/>
    <n v="0"/>
    <n v="0"/>
    <n v="0"/>
    <n v="0"/>
    <n v="0"/>
    <n v="0"/>
    <m/>
    <m/>
    <s v="Rest of Borough"/>
    <n v="11"/>
    <n v="1"/>
    <m/>
    <m/>
    <m/>
    <m/>
    <m/>
    <m/>
    <m/>
    <m/>
    <m/>
    <m/>
    <m/>
    <m/>
    <m/>
    <m/>
    <m/>
    <m/>
    <m/>
    <m/>
    <m/>
    <n v="0"/>
    <n v="0"/>
  </r>
  <r>
    <n v="5877"/>
    <x v="0"/>
    <s v="2021/1819"/>
    <s v="rear of /49 &amp; r/o The Studio, Ferndale and Killinhchy, Culverden Road (Land adjacent Fontenoy Road)"/>
    <s v=""/>
    <n v="529014"/>
    <n v="172572"/>
    <s v="South Balham"/>
    <d v="2018-03-31T00:00:00"/>
    <d v="2022-08-23T00:00:00"/>
    <n v="0"/>
    <n v="1"/>
    <n v="1"/>
    <n v="1"/>
    <n v="1"/>
    <m/>
    <s v="Erection of single-storey (plus basement and roof accommodation) detached 3-bedroom dwelling  (amendment to planning permission ref 2016/1630)."/>
    <s v="PF"/>
    <d v="2021-05-13T00:00:00"/>
    <d v="2021-06-17T00:00:00"/>
    <m/>
    <s v="Nil"/>
    <m/>
    <s v="BF"/>
    <s v="NB"/>
    <x v="2"/>
    <x v="1"/>
    <n v="7.0000000000000001E-3"/>
    <d v="2018-03-31T00:00:00"/>
    <x v="0"/>
    <d v="2022-08-23T00:00:00"/>
    <s v="Open Market"/>
    <s v="M"/>
    <s v=""/>
    <m/>
    <n v="0"/>
    <m/>
    <n v="0"/>
    <m/>
    <n v="0"/>
    <n v="0"/>
    <n v="0"/>
    <n v="1"/>
    <n v="0"/>
    <n v="0"/>
    <n v="0"/>
    <n v="0"/>
    <n v="0"/>
    <n v="0"/>
    <n v="0"/>
    <n v="0"/>
    <n v="0"/>
    <n v="0"/>
    <n v="0"/>
    <n v="0"/>
    <n v="0"/>
    <n v="1"/>
    <n v="0"/>
    <n v="0"/>
    <n v="0"/>
    <n v="0"/>
    <n v="0"/>
    <n v="0"/>
    <n v="0"/>
    <n v="0"/>
    <n v="0"/>
    <n v="0"/>
    <m/>
    <m/>
    <s v="Rest of Borough"/>
    <n v="1"/>
    <n v="1"/>
    <m/>
    <m/>
    <m/>
    <m/>
    <m/>
    <m/>
    <m/>
    <m/>
    <m/>
    <m/>
    <m/>
    <m/>
    <m/>
    <m/>
    <m/>
    <m/>
    <m/>
    <m/>
    <m/>
    <n v="0"/>
    <n v="0"/>
  </r>
  <r>
    <n v="7710"/>
    <x v="0"/>
    <s v="2021/2175"/>
    <s v="31 Montserrat Road"/>
    <s v=""/>
    <n v="524144"/>
    <n v="175268"/>
    <s v="Thamesfield"/>
    <d v="2021-11-01T00:00:00"/>
    <d v="2023-03-31T00:00:00"/>
    <n v="2"/>
    <n v="1"/>
    <n v="-1"/>
    <n v="1"/>
    <n v="-1"/>
    <m/>
    <s v="Alterations including partial rebuilding following fire damage and erection of dormer roof extensions to main rear roof (with French doors and safety railings) and above three-storey back addition; erection of replacement single-storey rear/side extension. Change of use from two flats to single family dwelling."/>
    <s v="PF"/>
    <d v="2021-07-26T00:00:00"/>
    <d v="2021-09-07T00:00:00"/>
    <m/>
    <s v="Nil"/>
    <m/>
    <s v="BF"/>
    <s v="MIX"/>
    <x v="2"/>
    <x v="8"/>
    <n v="8.3333000000000001E-3"/>
    <d v="2021-11-01T00:00:00"/>
    <x v="0"/>
    <d v="2023-03-31T00:00:00"/>
    <s v="Open Market"/>
    <s v="M"/>
    <s v=""/>
    <m/>
    <n v="0"/>
    <m/>
    <n v="0"/>
    <m/>
    <n v="0"/>
    <n v="-1"/>
    <n v="0"/>
    <n v="-1"/>
    <n v="1"/>
    <n v="0"/>
    <n v="0"/>
    <n v="0"/>
    <n v="-1"/>
    <n v="0"/>
    <n v="-1"/>
    <n v="0"/>
    <n v="0"/>
    <n v="0"/>
    <n v="0"/>
    <n v="0"/>
    <n v="0"/>
    <n v="0"/>
    <n v="1"/>
    <n v="0"/>
    <n v="0"/>
    <n v="0"/>
    <n v="0"/>
    <n v="0"/>
    <n v="0"/>
    <n v="0"/>
    <n v="0"/>
    <n v="0"/>
    <m/>
    <m/>
    <s v="Putney Town Centre"/>
    <n v="11"/>
    <n v="-1"/>
    <m/>
    <m/>
    <m/>
    <m/>
    <m/>
    <m/>
    <m/>
    <m/>
    <m/>
    <m/>
    <m/>
    <m/>
    <m/>
    <m/>
    <m/>
    <m/>
    <m/>
    <m/>
    <m/>
    <n v="0"/>
    <n v="0"/>
  </r>
  <r>
    <n v="7671"/>
    <x v="0"/>
    <s v="2021/2423"/>
    <s v="76 Brookwood Road"/>
    <s v=""/>
    <n v="525053"/>
    <n v="173143"/>
    <s v="Southfields"/>
    <d v="2021-09-21T00:00:00"/>
    <d v="2022-12-15T00:00:00"/>
    <n v="0"/>
    <n v="1"/>
    <n v="1"/>
    <n v="1"/>
    <n v="1"/>
    <m/>
    <s v="Determination as to whether prior approval is required for change of use from retail (Class E) to 1 x 1-bedroom flat (Class C3)."/>
    <s v="PAG"/>
    <d v="2021-05-28T00:00:00"/>
    <d v="2021-07-21T00:00:00"/>
    <m/>
    <s v="Nil"/>
    <m/>
    <s v="BF"/>
    <s v="COU"/>
    <x v="2"/>
    <x v="4"/>
    <n v="2E-3"/>
    <d v="2021-09-21T00:00:00"/>
    <x v="0"/>
    <d v="2022-12-15T00:00:00"/>
    <s v="Open Market"/>
    <s v="M"/>
    <s v=""/>
    <m/>
    <n v="0"/>
    <m/>
    <n v="0"/>
    <m/>
    <n v="0"/>
    <n v="1"/>
    <n v="0"/>
    <n v="0"/>
    <n v="0"/>
    <n v="0"/>
    <n v="0"/>
    <n v="0"/>
    <n v="1"/>
    <n v="0"/>
    <n v="0"/>
    <n v="0"/>
    <n v="0"/>
    <n v="0"/>
    <n v="0"/>
    <n v="0"/>
    <n v="0"/>
    <n v="0"/>
    <n v="0"/>
    <n v="0"/>
    <n v="0"/>
    <n v="0"/>
    <n v="0"/>
    <n v="0"/>
    <n v="0"/>
    <n v="0"/>
    <n v="0"/>
    <n v="0"/>
    <m/>
    <m/>
    <s v="Rest of Borough"/>
    <n v="11"/>
    <n v="1"/>
    <m/>
    <m/>
    <m/>
    <m/>
    <m/>
    <m/>
    <m/>
    <m/>
    <m/>
    <m/>
    <m/>
    <m/>
    <m/>
    <m/>
    <m/>
    <m/>
    <m/>
    <m/>
    <m/>
    <n v="0"/>
    <n v="0"/>
  </r>
  <r>
    <n v="1344"/>
    <x v="0"/>
    <s v="2021/2939"/>
    <s v="156 Battersea Park Road"/>
    <s v=""/>
    <n v="527910"/>
    <n v="176603"/>
    <s v="Battersea Park"/>
    <d v="2021-09-16T00:00:00"/>
    <d v="2022-11-03T00:00:00"/>
    <n v="0"/>
    <n v="1"/>
    <n v="1"/>
    <n v="1"/>
    <n v="1"/>
    <m/>
    <s v="Determination as to whether prior approval is required for change of use from retail (Class A1) to 1 x 1 bedroom, 1 person flat (Class C3)."/>
    <s v="PAG"/>
    <d v="2021-06-23T00:00:00"/>
    <d v="2021-08-18T00:00:00"/>
    <m/>
    <s v="Nil"/>
    <m/>
    <s v="BF"/>
    <s v="COU"/>
    <x v="2"/>
    <x v="4"/>
    <n v="1E-3"/>
    <d v="2021-09-16T00:00:00"/>
    <x v="0"/>
    <d v="2022-11-03T00:00:00"/>
    <s v="Open Market"/>
    <s v="M"/>
    <s v=""/>
    <m/>
    <n v="0"/>
    <m/>
    <n v="0"/>
    <m/>
    <n v="0"/>
    <n v="1"/>
    <n v="0"/>
    <n v="0"/>
    <n v="0"/>
    <n v="0"/>
    <n v="0"/>
    <n v="0"/>
    <n v="1"/>
    <n v="0"/>
    <n v="0"/>
    <n v="0"/>
    <n v="0"/>
    <n v="0"/>
    <n v="0"/>
    <n v="0"/>
    <n v="0"/>
    <n v="0"/>
    <n v="0"/>
    <n v="0"/>
    <n v="0"/>
    <n v="0"/>
    <n v="0"/>
    <n v="0"/>
    <n v="0"/>
    <n v="0"/>
    <n v="0"/>
    <n v="0"/>
    <m/>
    <m/>
    <s v="Rest of Borough"/>
    <n v="11"/>
    <n v="1"/>
    <m/>
    <m/>
    <m/>
    <m/>
    <m/>
    <m/>
    <m/>
    <m/>
    <m/>
    <m/>
    <m/>
    <m/>
    <m/>
    <m/>
    <m/>
    <m/>
    <m/>
    <m/>
    <m/>
    <n v="0"/>
    <n v="0"/>
  </r>
  <r>
    <n v="7746"/>
    <x v="0"/>
    <s v="2021/3518"/>
    <s v="56 Canford Road"/>
    <s v=""/>
    <n v="528073"/>
    <n v="174786"/>
    <s v="Northcote"/>
    <d v="2021-11-10T00:00:00"/>
    <d v="2023-03-17T00:00:00"/>
    <n v="1"/>
    <n v="1"/>
    <n v="0"/>
    <n v="1"/>
    <n v="0"/>
    <m/>
    <s v="Demolition of existing dwellinghouse except for front facade and erection of three-storey (plus basement) dwellinghouse."/>
    <s v="PF"/>
    <d v="2021-08-06T00:00:00"/>
    <d v="2021-10-18T00:00:00"/>
    <m/>
    <s v="Nil"/>
    <m/>
    <s v="BF"/>
    <s v="NB"/>
    <x v="2"/>
    <x v="1"/>
    <n v="6.0000000000000001E-3"/>
    <d v="2021-11-10T00:00:00"/>
    <x v="0"/>
    <d v="2023-03-17T00:00:00"/>
    <s v="Open Market"/>
    <s v="M"/>
    <s v=""/>
    <m/>
    <n v="0"/>
    <m/>
    <n v="0"/>
    <m/>
    <n v="0"/>
    <n v="0"/>
    <n v="0"/>
    <n v="-1"/>
    <n v="0"/>
    <n v="1"/>
    <n v="0"/>
    <n v="0"/>
    <n v="0"/>
    <n v="0"/>
    <n v="0"/>
    <n v="0"/>
    <n v="0"/>
    <n v="0"/>
    <n v="0"/>
    <n v="0"/>
    <n v="0"/>
    <n v="-1"/>
    <n v="0"/>
    <n v="1"/>
    <n v="0"/>
    <n v="0"/>
    <n v="0"/>
    <n v="0"/>
    <n v="0"/>
    <n v="0"/>
    <n v="0"/>
    <n v="0"/>
    <m/>
    <m/>
    <s v="Rest of Borough"/>
    <n v="1"/>
    <n v="0"/>
    <m/>
    <m/>
    <m/>
    <m/>
    <m/>
    <m/>
    <m/>
    <m/>
    <m/>
    <m/>
    <m/>
    <m/>
    <m/>
    <m/>
    <m/>
    <m/>
    <m/>
    <m/>
    <m/>
    <n v="0"/>
    <n v="0"/>
  </r>
  <r>
    <n v="3943"/>
    <x v="0"/>
    <s v="2020/1167"/>
    <s v="Royal Mail Group Site, Ponton Road (Nine Elms Park)"/>
    <s v="Plot C1 - Block C"/>
    <n v="529575"/>
    <n v="177401"/>
    <s v="Nine Elms"/>
    <d v="2019-11-29T00:00:00"/>
    <d v="2022-09-16T00:00:00"/>
    <n v="0"/>
    <n v="26"/>
    <n v="26"/>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m/>
    <s v="Nil"/>
    <m/>
    <s v="BF"/>
    <s v="NB"/>
    <x v="0"/>
    <x v="0"/>
    <n v="2.8000000000000001E-2"/>
    <d v="2020-03-31T00:00:00"/>
    <x v="0"/>
    <d v="2022-09-09T00:00:00"/>
    <s v="Intermediate"/>
    <s v="ISO"/>
    <s v="2.1.18"/>
    <m/>
    <n v="0"/>
    <n v="23"/>
    <n v="0"/>
    <n v="3"/>
    <n v="0"/>
    <n v="8"/>
    <n v="18"/>
    <n v="0"/>
    <n v="0"/>
    <n v="0"/>
    <n v="0"/>
    <n v="0"/>
    <n v="8"/>
    <n v="18"/>
    <n v="0"/>
    <n v="0"/>
    <n v="0"/>
    <n v="0"/>
    <n v="0"/>
    <n v="0"/>
    <n v="0"/>
    <n v="0"/>
    <n v="0"/>
    <n v="0"/>
    <n v="0"/>
    <n v="0"/>
    <n v="0"/>
    <n v="0"/>
    <n v="0"/>
    <n v="0"/>
    <n v="0"/>
    <n v="0"/>
    <m/>
    <s v="Y"/>
    <s v="Nine Elms Vauxhall Opportunity Area"/>
    <n v="1"/>
    <n v="26"/>
    <m/>
    <m/>
    <m/>
    <m/>
    <m/>
    <m/>
    <m/>
    <m/>
    <m/>
    <m/>
    <m/>
    <m/>
    <m/>
    <m/>
    <m/>
    <m/>
    <m/>
    <m/>
    <m/>
    <n v="0"/>
    <n v="0"/>
  </r>
  <r>
    <n v="3666"/>
    <x v="0"/>
    <s v="2022/5203"/>
    <s v="50 Lavender Hill"/>
    <s v=""/>
    <n v="528371"/>
    <n v="175760"/>
    <s v="Shaftesbury &amp; Queenstown"/>
    <d v="2023-03-07T00:00:00"/>
    <d v="2023-03-07T00:00:00"/>
    <n v="3"/>
    <n v="6"/>
    <n v="3"/>
    <n v="6"/>
    <n v="3"/>
    <m/>
    <s v="Use of property as ground floor shop (Class E) and 6 flats (Class C)."/>
    <s v="LDC Exist"/>
    <d v="2022-12-20T00:00:00"/>
    <d v="2023-03-07T00:00:00"/>
    <s v="Y"/>
    <s v="Nil"/>
    <m/>
    <s v="BF"/>
    <s v="COU"/>
    <x v="2"/>
    <x v="7"/>
    <n v="6.7666669999999996E-3"/>
    <d v="2023-03-07T00:00:00"/>
    <x v="1"/>
    <d v="2023-03-07T00:00:00"/>
    <s v="Open Market"/>
    <s v="M"/>
    <s v=""/>
    <m/>
    <n v="0"/>
    <m/>
    <n v="0"/>
    <m/>
    <n v="0"/>
    <n v="-1"/>
    <n v="-2"/>
    <n v="0"/>
    <n v="0"/>
    <n v="0"/>
    <n v="6"/>
    <n v="0"/>
    <n v="-1"/>
    <n v="-2"/>
    <n v="0"/>
    <n v="0"/>
    <n v="0"/>
    <n v="6"/>
    <n v="0"/>
    <n v="0"/>
    <n v="0"/>
    <n v="0"/>
    <n v="0"/>
    <n v="0"/>
    <n v="0"/>
    <n v="0"/>
    <n v="0"/>
    <n v="0"/>
    <n v="0"/>
    <n v="0"/>
    <n v="0"/>
    <n v="0"/>
    <m/>
    <m/>
    <s v="Rest of Borough"/>
    <n v="11"/>
    <n v="3"/>
    <m/>
    <m/>
    <m/>
    <m/>
    <m/>
    <m/>
    <m/>
    <m/>
    <m/>
    <m/>
    <m/>
    <m/>
    <m/>
    <m/>
    <m/>
    <m/>
    <m/>
    <m/>
    <m/>
    <n v="0"/>
    <n v="0"/>
  </r>
  <r>
    <n v="7960"/>
    <x v="0"/>
    <s v="2022/5085"/>
    <s v="Land West Of, 1 Treville Street"/>
    <s v=""/>
    <n v="522588"/>
    <n v="173914"/>
    <s v="Roehampton"/>
    <d v="2023-01-27T00:00:00"/>
    <d v="2023-01-27T00:00:00"/>
    <n v="0"/>
    <n v="1"/>
    <n v="1"/>
    <n v="1"/>
    <n v="1"/>
    <m/>
    <s v="Continued use of outbuilding as residential dwelling."/>
    <s v="LDC Exist"/>
    <d v="2022-12-12T00:00:00"/>
    <d v="2023-01-27T00:00:00"/>
    <s v="Y"/>
    <s v="Nil"/>
    <m/>
    <s v="BF"/>
    <s v="NB"/>
    <x v="2"/>
    <x v="1"/>
    <n v="2.0300000000000001E-3"/>
    <d v="2023-01-27T00:00:00"/>
    <x v="1"/>
    <d v="2023-01-27T00:00:00"/>
    <s v="Open Market"/>
    <s v="MR"/>
    <s v=""/>
    <m/>
    <n v="0"/>
    <m/>
    <n v="0"/>
    <m/>
    <n v="0"/>
    <n v="1"/>
    <n v="0"/>
    <n v="0"/>
    <n v="0"/>
    <n v="0"/>
    <n v="0"/>
    <n v="0"/>
    <n v="1"/>
    <n v="0"/>
    <n v="0"/>
    <n v="0"/>
    <n v="0"/>
    <n v="0"/>
    <n v="0"/>
    <n v="0"/>
    <n v="0"/>
    <n v="0"/>
    <n v="0"/>
    <n v="0"/>
    <n v="0"/>
    <n v="0"/>
    <n v="0"/>
    <n v="0"/>
    <n v="0"/>
    <n v="0"/>
    <n v="0"/>
    <n v="0"/>
    <m/>
    <m/>
    <s v="Rest of Borough"/>
    <n v="1"/>
    <n v="1"/>
    <m/>
    <m/>
    <m/>
    <m/>
    <m/>
    <m/>
    <m/>
    <m/>
    <m/>
    <m/>
    <m/>
    <m/>
    <m/>
    <m/>
    <m/>
    <m/>
    <m/>
    <m/>
    <m/>
    <n v="0"/>
    <n v="0"/>
  </r>
  <r>
    <n v="2563"/>
    <x v="0"/>
    <s v="2022/4313"/>
    <s v="and land at rear, 35 Keswick Road"/>
    <s v=""/>
    <n v="524452"/>
    <n v="174443"/>
    <s v="East Putney"/>
    <d v="2023-01-04T00:00:00"/>
    <d v="2023-01-04T00:00:00"/>
    <n v="0"/>
    <n v="1"/>
    <n v="1"/>
    <n v="1"/>
    <n v="1"/>
    <m/>
    <s v="Use of basement as one-bedroom self contained  flat."/>
    <s v="LDC Exist"/>
    <d v="2022-11-10T00:00:00"/>
    <d v="2023-01-04T00:00:00"/>
    <s v="Y"/>
    <s v="Nil"/>
    <m/>
    <s v="BF"/>
    <s v="NB"/>
    <x v="2"/>
    <x v="1"/>
    <n v="4.0000000000000001E-3"/>
    <d v="2023-01-04T00:00:00"/>
    <x v="1"/>
    <d v="2023-01-04T00:00:00"/>
    <s v="Open Market"/>
    <s v="M"/>
    <s v=""/>
    <m/>
    <n v="0"/>
    <m/>
    <n v="0"/>
    <m/>
    <n v="0"/>
    <n v="1"/>
    <n v="0"/>
    <n v="0"/>
    <n v="0"/>
    <n v="0"/>
    <n v="0"/>
    <n v="0"/>
    <n v="1"/>
    <n v="0"/>
    <n v="0"/>
    <n v="0"/>
    <n v="0"/>
    <n v="0"/>
    <n v="0"/>
    <n v="0"/>
    <n v="0"/>
    <n v="0"/>
    <n v="0"/>
    <n v="0"/>
    <n v="0"/>
    <n v="0"/>
    <n v="0"/>
    <n v="0"/>
    <n v="0"/>
    <n v="0"/>
    <n v="0"/>
    <n v="0"/>
    <m/>
    <m/>
    <s v="Rest of Borough"/>
    <n v="1"/>
    <n v="1"/>
    <m/>
    <m/>
    <m/>
    <m/>
    <m/>
    <m/>
    <m/>
    <m/>
    <m/>
    <m/>
    <m/>
    <m/>
    <m/>
    <m/>
    <m/>
    <m/>
    <m/>
    <m/>
    <m/>
    <n v="0"/>
    <n v="0"/>
  </r>
  <r>
    <n v="3792"/>
    <x v="0"/>
    <s v="2022/4763"/>
    <s v="30 Trinity Road"/>
    <s v=""/>
    <n v="527949"/>
    <n v="172431"/>
    <s v="Trinity"/>
    <d v="2022-12-31T00:00:00"/>
    <d v="2023-03-31T00:00:00"/>
    <n v="0"/>
    <n v="1"/>
    <n v="1"/>
    <n v="1"/>
    <n v="1"/>
    <m/>
    <s v="Determination as to whether prior approval is required for change of use from retail (Class E) to 1 x 1-bedroom flat(Class C3)."/>
    <s v="PAG"/>
    <d v="2022-11-23T00:00:00"/>
    <d v="2023-01-12T00:00:00"/>
    <s v="Y"/>
    <s v="Nil"/>
    <m/>
    <s v="BF"/>
    <s v="COU"/>
    <x v="2"/>
    <x v="4"/>
    <n v="4.0000000000000001E-3"/>
    <d v="2022-12-31T00:00:00"/>
    <x v="1"/>
    <d v="2023-03-31T00:00:00"/>
    <s v="Open Market"/>
    <s v="M"/>
    <s v=""/>
    <m/>
    <n v="0"/>
    <m/>
    <n v="0"/>
    <m/>
    <n v="0"/>
    <n v="1"/>
    <n v="0"/>
    <n v="0"/>
    <n v="0"/>
    <n v="0"/>
    <n v="0"/>
    <n v="0"/>
    <n v="1"/>
    <n v="0"/>
    <n v="0"/>
    <n v="0"/>
    <n v="0"/>
    <n v="0"/>
    <n v="0"/>
    <n v="0"/>
    <n v="0"/>
    <n v="0"/>
    <n v="0"/>
    <n v="0"/>
    <n v="0"/>
    <n v="0"/>
    <n v="0"/>
    <n v="0"/>
    <n v="0"/>
    <n v="0"/>
    <n v="0"/>
    <n v="0"/>
    <m/>
    <m/>
    <s v="Rest of Borough"/>
    <n v="11"/>
    <n v="1"/>
    <m/>
    <m/>
    <m/>
    <m/>
    <m/>
    <m/>
    <m/>
    <m/>
    <m/>
    <m/>
    <m/>
    <m/>
    <m/>
    <m/>
    <m/>
    <m/>
    <m/>
    <m/>
    <m/>
    <n v="0"/>
    <n v="0"/>
  </r>
  <r>
    <n v="7899"/>
    <x v="0"/>
    <s v="2022/3895"/>
    <s v="15 Chartfield Avenue"/>
    <s v=""/>
    <n v="523433"/>
    <n v="174695"/>
    <s v="West Putney"/>
    <d v="2022-12-06T00:00:00"/>
    <d v="2022-12-06T00:00:00"/>
    <n v="3"/>
    <n v="1"/>
    <n v="-2"/>
    <n v="1"/>
    <n v="-2"/>
    <m/>
    <s v="Continued use as a single dwelling."/>
    <s v="LDC Exist"/>
    <d v="2022-10-12T00:00:00"/>
    <d v="2022-12-06T00:00:00"/>
    <s v="Y"/>
    <s v="Nil"/>
    <m/>
    <s v="BF"/>
    <s v="CON"/>
    <x v="2"/>
    <x v="8"/>
    <n v="0"/>
    <d v="2022-12-06T00:00:00"/>
    <x v="1"/>
    <d v="2022-12-06T00:00:00"/>
    <s v="Open Market"/>
    <s v="M"/>
    <s v=""/>
    <m/>
    <n v="0"/>
    <m/>
    <n v="0"/>
    <m/>
    <n v="0"/>
    <n v="0"/>
    <n v="0"/>
    <n v="0"/>
    <n v="0"/>
    <n v="1"/>
    <n v="-3"/>
    <n v="0"/>
    <n v="0"/>
    <n v="0"/>
    <n v="0"/>
    <n v="0"/>
    <n v="0"/>
    <n v="-3"/>
    <n v="0"/>
    <n v="0"/>
    <n v="0"/>
    <n v="0"/>
    <n v="0"/>
    <n v="1"/>
    <n v="0"/>
    <n v="0"/>
    <n v="0"/>
    <n v="0"/>
    <n v="0"/>
    <n v="0"/>
    <n v="0"/>
    <n v="0"/>
    <m/>
    <m/>
    <s v="Rest of Borough"/>
    <n v="11"/>
    <n v="-2"/>
    <m/>
    <m/>
    <m/>
    <m/>
    <m/>
    <m/>
    <m/>
    <m/>
    <m/>
    <m/>
    <m/>
    <m/>
    <m/>
    <m/>
    <m/>
    <m/>
    <m/>
    <m/>
    <m/>
    <n v="0"/>
    <n v="0"/>
  </r>
  <r>
    <n v="3961"/>
    <x v="0"/>
    <s v="2022/3055"/>
    <s v="Dadu's Parade, 180-218 Upper Tooting Road"/>
    <s v=""/>
    <n v="527645"/>
    <n v="171873"/>
    <s v="Tooting Bec"/>
    <d v="2022-11-18T00:00:00"/>
    <d v="2022-11-18T00:00:00"/>
    <n v="0"/>
    <n v="32"/>
    <n v="32"/>
    <n v="41"/>
    <n v="41"/>
    <s v="Y"/>
    <s v="Submission of details for the viability review mechanism pursuant to Schedule 3 of section 106 agreement dated 10th August 2018 related to planning permission ref 2017/4726 (as varied by 2020/2855 dated 02/12/2021) (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and to modify the s.106 legal agreement to remove obligations relating to affordable housing provision."/>
    <s v="S106"/>
    <d v="2022-07-21T00:00:00"/>
    <d v="2022-11-18T00:00:00"/>
    <s v="Y"/>
    <s v="Nil"/>
    <m/>
    <s v="BF"/>
    <s v="CON"/>
    <x v="3"/>
    <x v="0"/>
    <n v="0.14599999999999999"/>
    <d v="2022-11-18T00:00:00"/>
    <x v="1"/>
    <d v="2022-11-18T00:00:00"/>
    <s v="Open Market"/>
    <s v="MR"/>
    <s v="5.1"/>
    <m/>
    <n v="0"/>
    <m/>
    <n v="0"/>
    <m/>
    <n v="0"/>
    <n v="7"/>
    <n v="22"/>
    <n v="3"/>
    <n v="0"/>
    <n v="0"/>
    <n v="0"/>
    <n v="0"/>
    <n v="7"/>
    <n v="22"/>
    <n v="3"/>
    <n v="0"/>
    <n v="0"/>
    <n v="0"/>
    <n v="0"/>
    <n v="0"/>
    <n v="0"/>
    <n v="0"/>
    <n v="0"/>
    <n v="0"/>
    <n v="0"/>
    <n v="0"/>
    <n v="0"/>
    <n v="0"/>
    <n v="0"/>
    <n v="0"/>
    <n v="0"/>
    <n v="0"/>
    <s v="Tooting"/>
    <m/>
    <s v="Tooting"/>
    <n v="11"/>
    <n v="32"/>
    <m/>
    <m/>
    <m/>
    <m/>
    <m/>
    <m/>
    <m/>
    <m/>
    <m/>
    <m/>
    <m/>
    <m/>
    <m/>
    <m/>
    <m/>
    <m/>
    <m/>
    <m/>
    <m/>
    <n v="0"/>
    <n v="0"/>
  </r>
  <r>
    <n v="3961"/>
    <x v="0"/>
    <s v="2022/3055"/>
    <s v="Dadu's Parade, 180-218 Upper Tooting Road"/>
    <s v=""/>
    <n v="527645"/>
    <n v="171873"/>
    <s v="Tooting Bec"/>
    <d v="2022-11-18T00:00:00"/>
    <d v="2022-11-18T00:00:00"/>
    <n v="0"/>
    <n v="9"/>
    <n v="9"/>
    <n v="41"/>
    <n v="41"/>
    <s v="Y"/>
    <s v="Submission of details for the viability review mechanism pursuant to Schedule 3 of section 106 agreement dated 10th August 2018 related to planning permission ref 2017/4726 (as varied by 2020/2855 dated 02/12/2021) (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and to modify the s.106 legal agreement to remove obligations relating to affordable housing provision."/>
    <s v="S106"/>
    <d v="2022-07-21T00:00:00"/>
    <d v="2022-11-18T00:00:00"/>
    <s v="Y"/>
    <s v="Nil"/>
    <m/>
    <s v="BF"/>
    <s v="CON"/>
    <x v="3"/>
    <x v="0"/>
    <n v="0.06"/>
    <d v="2022-11-18T00:00:00"/>
    <x v="1"/>
    <d v="2022-11-18T00:00:00"/>
    <s v="Open Market"/>
    <s v="MR"/>
    <s v="5.1"/>
    <m/>
    <n v="0"/>
    <m/>
    <n v="0"/>
    <m/>
    <n v="0"/>
    <n v="2"/>
    <n v="6"/>
    <n v="1"/>
    <n v="0"/>
    <n v="0"/>
    <n v="0"/>
    <n v="0"/>
    <n v="2"/>
    <n v="6"/>
    <n v="1"/>
    <n v="0"/>
    <n v="0"/>
    <n v="0"/>
    <n v="0"/>
    <n v="0"/>
    <n v="0"/>
    <n v="0"/>
    <n v="0"/>
    <n v="0"/>
    <n v="0"/>
    <n v="0"/>
    <n v="0"/>
    <n v="0"/>
    <n v="0"/>
    <n v="0"/>
    <n v="0"/>
    <n v="0"/>
    <s v="Tooting"/>
    <m/>
    <s v="Tooting"/>
    <n v="11"/>
    <n v="9"/>
    <m/>
    <m/>
    <m/>
    <m/>
    <m/>
    <m/>
    <m/>
    <m/>
    <m/>
    <m/>
    <m/>
    <m/>
    <m/>
    <m/>
    <m/>
    <m/>
    <m/>
    <m/>
    <m/>
    <n v="0"/>
    <n v="0"/>
  </r>
  <r>
    <n v="7883"/>
    <x v="0"/>
    <s v="2022/3357"/>
    <s v="91 Louisville Road"/>
    <s v=""/>
    <n v="528353"/>
    <n v="172255"/>
    <s v="South Balham"/>
    <d v="2022-10-31T00:00:00"/>
    <d v="2022-10-31T00:00:00"/>
    <n v="2"/>
    <n v="1"/>
    <n v="-1"/>
    <n v="1"/>
    <n v="-1"/>
    <m/>
    <s v="Conversion from two flats into a single dwellinghouse."/>
    <s v="PF"/>
    <d v="2022-09-06T00:00:00"/>
    <d v="2022-10-31T00:00:00"/>
    <s v="Y"/>
    <s v="Nil"/>
    <m/>
    <s v="BF"/>
    <s v="CON"/>
    <x v="2"/>
    <x v="8"/>
    <n v="8.0333330000000001E-3"/>
    <d v="2022-10-31T00:00:00"/>
    <x v="1"/>
    <d v="2022-10-31T00:00:00"/>
    <s v="Open Market"/>
    <s v="M"/>
    <s v=""/>
    <m/>
    <n v="0"/>
    <m/>
    <n v="0"/>
    <m/>
    <n v="0"/>
    <n v="-1"/>
    <n v="0"/>
    <n v="0"/>
    <n v="-1"/>
    <n v="1"/>
    <n v="0"/>
    <n v="0"/>
    <n v="-1"/>
    <n v="0"/>
    <n v="0"/>
    <n v="-1"/>
    <n v="0"/>
    <n v="0"/>
    <n v="0"/>
    <n v="0"/>
    <n v="0"/>
    <n v="0"/>
    <n v="0"/>
    <n v="1"/>
    <n v="0"/>
    <n v="0"/>
    <n v="0"/>
    <n v="0"/>
    <n v="0"/>
    <n v="0"/>
    <n v="0"/>
    <n v="0"/>
    <m/>
    <m/>
    <s v="Rest of Borough"/>
    <n v="11"/>
    <n v="-1"/>
    <m/>
    <m/>
    <m/>
    <m/>
    <m/>
    <m/>
    <m/>
    <m/>
    <m/>
    <m/>
    <m/>
    <m/>
    <m/>
    <m/>
    <m/>
    <m/>
    <m/>
    <m/>
    <m/>
    <n v="0"/>
    <n v="0"/>
  </r>
  <r>
    <n v="7414"/>
    <x v="0"/>
    <s v="2020/1094"/>
    <s v="242 Queenstown Road"/>
    <s v=""/>
    <n v="528805"/>
    <n v="176803"/>
    <s v="Shaftesbury &amp; Queenstown"/>
    <d v="2021-12-13T00:00:00"/>
    <d v="2023-02-08T00:00:00"/>
    <n v="1"/>
    <n v="2"/>
    <n v="1"/>
    <n v="2"/>
    <n v="1"/>
    <m/>
    <s v="Conversion of dwelling house into two apartments (1 x 3 bed and 1 x 1 bed), erection of single storey rear extension, roof extension including rear dormer, and creation of roof terrace at second floor level, together with associated refuse and cycle storage."/>
    <s v="PF"/>
    <d v="2020-04-17T00:00:00"/>
    <d v="2021-06-10T00:00:00"/>
    <m/>
    <s v="Nil"/>
    <m/>
    <s v="BF"/>
    <s v="CON"/>
    <x v="2"/>
    <x v="5"/>
    <n v="1.0999999999999999E-2"/>
    <d v="2021-12-13T00:00:00"/>
    <x v="0"/>
    <d v="2023-02-08T00:00:00"/>
    <s v="Open Market"/>
    <s v="M"/>
    <s v=""/>
    <m/>
    <n v="0"/>
    <m/>
    <n v="0"/>
    <m/>
    <n v="0"/>
    <n v="1"/>
    <n v="0"/>
    <n v="0"/>
    <n v="0"/>
    <n v="0"/>
    <n v="0"/>
    <n v="0"/>
    <n v="1"/>
    <n v="0"/>
    <n v="1"/>
    <n v="0"/>
    <n v="0"/>
    <n v="0"/>
    <n v="0"/>
    <n v="0"/>
    <n v="0"/>
    <n v="-1"/>
    <n v="0"/>
    <n v="0"/>
    <n v="0"/>
    <n v="0"/>
    <n v="0"/>
    <n v="0"/>
    <n v="0"/>
    <n v="0"/>
    <n v="0"/>
    <n v="0"/>
    <m/>
    <s v="Y"/>
    <s v="Nine Elms Vauxhall Opportunity Area"/>
    <n v="11"/>
    <n v="1"/>
    <m/>
    <m/>
    <m/>
    <m/>
    <m/>
    <m/>
    <m/>
    <m/>
    <m/>
    <m/>
    <m/>
    <m/>
    <m/>
    <m/>
    <m/>
    <m/>
    <m/>
    <m/>
    <m/>
    <n v="0"/>
    <n v="0"/>
  </r>
  <r>
    <n v="7690"/>
    <x v="0"/>
    <s v="2021/4834"/>
    <s v="12 Steerforth Street"/>
    <s v=""/>
    <n v="526059"/>
    <n v="172617"/>
    <s v="Wandsworth Common"/>
    <d v="2022-10-11T00:00:00"/>
    <d v="2023-03-31T00:00:00"/>
    <n v="2"/>
    <n v="1"/>
    <n v="-1"/>
    <n v="1"/>
    <n v="-1"/>
    <m/>
    <s v="Alterations including erection of mansard roof extension including raising the ridge by 300mm, extension above two storey back addition, and the formation of roof terrace with 1.7m high screen surround, in connection with use as a single dwellinghouse."/>
    <s v="PF"/>
    <d v="2021-10-21T00:00:00"/>
    <d v="2021-12-20T00:00:00"/>
    <m/>
    <s v="Nil"/>
    <m/>
    <s v="BF"/>
    <s v="MIX"/>
    <x v="2"/>
    <x v="8"/>
    <n v="5.0000000000000001E-3"/>
    <d v="2022-10-11T00:00:00"/>
    <x v="1"/>
    <d v="2023-03-31T00:00:00"/>
    <s v="Open Market"/>
    <s v="M"/>
    <s v=""/>
    <m/>
    <n v="0"/>
    <m/>
    <n v="0"/>
    <m/>
    <n v="0"/>
    <n v="-2"/>
    <n v="0"/>
    <n v="0"/>
    <n v="1"/>
    <n v="0"/>
    <n v="0"/>
    <n v="0"/>
    <n v="-2"/>
    <n v="0"/>
    <n v="0"/>
    <n v="0"/>
    <n v="0"/>
    <n v="0"/>
    <n v="0"/>
    <n v="0"/>
    <n v="0"/>
    <n v="0"/>
    <n v="1"/>
    <n v="0"/>
    <n v="0"/>
    <n v="0"/>
    <n v="0"/>
    <n v="0"/>
    <n v="0"/>
    <n v="0"/>
    <n v="0"/>
    <n v="0"/>
    <m/>
    <m/>
    <s v="The Wandle Valley"/>
    <n v="11"/>
    <n v="-1"/>
    <m/>
    <m/>
    <m/>
    <m/>
    <m/>
    <m/>
    <m/>
    <m/>
    <m/>
    <m/>
    <m/>
    <m/>
    <m/>
    <m/>
    <m/>
    <m/>
    <m/>
    <m/>
    <m/>
    <n v="0"/>
    <n v="0"/>
  </r>
  <r>
    <n v="7836"/>
    <x v="0"/>
    <s v="2022/1701"/>
    <s v="4 West Hill"/>
    <s v=""/>
    <n v="525243"/>
    <n v="174663"/>
    <s v="East Putney"/>
    <d v="2022-10-01T00:00:00"/>
    <d v="2023-02-16T00:00:00"/>
    <n v="1"/>
    <n v="3"/>
    <n v="2"/>
    <n v="3"/>
    <n v="2"/>
    <m/>
    <s v="Alterations including erection of mansard roof extension to main rear roof (with French doors and safety railings) and front dormer; extension above two storey back addition; with formation of a roof terrace with high screen surround; installation of french doors with safety railings to rear first floor of back addition, in connection with conversion of upper floors into 2 x 1 bedroom and 1 x studio flats."/>
    <s v="PF"/>
    <d v="2022-05-10T00:00:00"/>
    <d v="2022-07-04T00:00:00"/>
    <s v="Y"/>
    <s v="Nil"/>
    <m/>
    <s v="BF"/>
    <s v="MIX"/>
    <x v="2"/>
    <x v="2"/>
    <n v="7.0400000000000003E-3"/>
    <d v="2022-10-01T00:00:00"/>
    <x v="1"/>
    <d v="2023-02-16T00:00:00"/>
    <s v="Open Market"/>
    <s v="M"/>
    <s v=""/>
    <m/>
    <n v="0"/>
    <m/>
    <n v="0"/>
    <m/>
    <n v="1"/>
    <n v="2"/>
    <n v="0"/>
    <n v="-1"/>
    <n v="0"/>
    <n v="0"/>
    <n v="0"/>
    <n v="1"/>
    <n v="2"/>
    <n v="0"/>
    <n v="-1"/>
    <n v="0"/>
    <n v="0"/>
    <n v="0"/>
    <n v="0"/>
    <n v="0"/>
    <n v="0"/>
    <n v="0"/>
    <n v="0"/>
    <n v="0"/>
    <n v="0"/>
    <n v="0"/>
    <n v="0"/>
    <n v="0"/>
    <n v="0"/>
    <n v="0"/>
    <n v="0"/>
    <n v="0"/>
    <m/>
    <m/>
    <s v="Wandsworth Town, including the Wandle Delta Masterplan Area"/>
    <n v="11"/>
    <n v="2"/>
    <m/>
    <m/>
    <m/>
    <m/>
    <m/>
    <m/>
    <m/>
    <m/>
    <m/>
    <m/>
    <m/>
    <m/>
    <m/>
    <m/>
    <m/>
    <m/>
    <m/>
    <m/>
    <m/>
    <n v="0"/>
    <n v="0"/>
  </r>
  <r>
    <n v="7870"/>
    <x v="0"/>
    <s v="2022/2837"/>
    <s v="59 Byrne Road"/>
    <s v=""/>
    <n v="528923"/>
    <n v="173012"/>
    <s v="South Balham"/>
    <d v="2022-08-31T00:00:00"/>
    <d v="2023-03-31T00:00:00"/>
    <n v="1"/>
    <n v="1"/>
    <n v="0"/>
    <n v="1"/>
    <n v="0"/>
    <m/>
    <s v="Change of use from HMO (Class C4) to residential dwelling house (Class C3)"/>
    <s v="LDC Prop"/>
    <d v="2022-07-06T00:00:00"/>
    <d v="2022-08-31T00:00:00"/>
    <s v="Y"/>
    <s v="Nil"/>
    <m/>
    <s v="BF"/>
    <s v="CON"/>
    <x v="2"/>
    <x v="8"/>
    <n v="8.4499999999999992E-3"/>
    <d v="2022-08-31T00:00:00"/>
    <x v="1"/>
    <d v="2023-03-31T00:00:00"/>
    <s v="Open Market"/>
    <s v="M"/>
    <s v=""/>
    <m/>
    <n v="0"/>
    <m/>
    <n v="0"/>
    <m/>
    <n v="0"/>
    <n v="0"/>
    <n v="0"/>
    <n v="0"/>
    <n v="0"/>
    <n v="0"/>
    <n v="0"/>
    <n v="0"/>
    <n v="0"/>
    <n v="0"/>
    <n v="0"/>
    <n v="0"/>
    <n v="0"/>
    <n v="0"/>
    <n v="0"/>
    <n v="0"/>
    <n v="0"/>
    <n v="0"/>
    <n v="0"/>
    <n v="0"/>
    <n v="0"/>
    <n v="0"/>
    <n v="0"/>
    <n v="0"/>
    <n v="0"/>
    <n v="0"/>
    <n v="0"/>
    <n v="0"/>
    <m/>
    <m/>
    <s v="Rest of Borough"/>
    <n v="11"/>
    <n v="0"/>
    <m/>
    <m/>
    <m/>
    <m/>
    <m/>
    <m/>
    <m/>
    <m/>
    <m/>
    <m/>
    <m/>
    <m/>
    <m/>
    <m/>
    <m/>
    <m/>
    <m/>
    <m/>
    <m/>
    <n v="0"/>
    <n v="0"/>
  </r>
  <r>
    <n v="7678"/>
    <x v="0"/>
    <s v="2022/1738"/>
    <s v="Station Parade, 10 Balham High Road"/>
    <s v=""/>
    <n v="528429"/>
    <n v="173088"/>
    <s v="South Balham"/>
    <d v="2022-08-25T00:00:00"/>
    <d v="2022-12-16T00:00:00"/>
    <n v="0"/>
    <n v="8"/>
    <n v="8"/>
    <n v="8"/>
    <n v="8"/>
    <m/>
    <s v="Alterations and extensions including erection of ground, first and second floor rear extensions with rear terraces. Formation of a roof extension to main roof to form additional storey with front and rear terraces and internal/external alterations in connection with the partial conversion of the property into 8 flats (5 x studio/1-person and 3 x 1-bedroom flats) and 1 x commercial unit (Class E)."/>
    <s v="PF"/>
    <d v="2022-04-27T00:00:00"/>
    <d v="2022-08-25T00:00:00"/>
    <s v="Y"/>
    <s v="Nil"/>
    <m/>
    <s v="BF"/>
    <s v="MIX"/>
    <x v="2"/>
    <x v="6"/>
    <n v="1.0375000000000001E-2"/>
    <d v="2022-08-25T00:00:00"/>
    <x v="1"/>
    <d v="2022-12-16T00:00:00"/>
    <s v="Open Market"/>
    <s v="MR"/>
    <s v=""/>
    <m/>
    <n v="0"/>
    <m/>
    <n v="0"/>
    <m/>
    <n v="5"/>
    <n v="3"/>
    <n v="0"/>
    <n v="0"/>
    <n v="0"/>
    <n v="0"/>
    <n v="0"/>
    <n v="5"/>
    <n v="3"/>
    <n v="0"/>
    <n v="0"/>
    <n v="0"/>
    <n v="0"/>
    <n v="0"/>
    <n v="0"/>
    <n v="0"/>
    <n v="0"/>
    <n v="0"/>
    <n v="0"/>
    <n v="0"/>
    <n v="0"/>
    <n v="0"/>
    <n v="0"/>
    <n v="0"/>
    <n v="0"/>
    <n v="0"/>
    <n v="0"/>
    <n v="0"/>
    <m/>
    <m/>
    <s v="Rest of Borough"/>
    <n v="11"/>
    <n v="8"/>
    <m/>
    <m/>
    <m/>
    <m/>
    <m/>
    <m/>
    <m/>
    <m/>
    <m/>
    <m/>
    <m/>
    <m/>
    <m/>
    <m/>
    <m/>
    <m/>
    <m/>
    <m/>
    <m/>
    <n v="0"/>
    <n v="0"/>
  </r>
  <r>
    <n v="6556"/>
    <x v="0"/>
    <s v="2022/1944"/>
    <s v="49/49A, 49 Selkirk Road"/>
    <s v=""/>
    <n v="527369"/>
    <n v="171687"/>
    <s v="Tooting Broadway"/>
    <d v="2022-08-25T00:00:00"/>
    <d v="2023-02-17T00:00:00"/>
    <n v="2"/>
    <n v="4"/>
    <n v="2"/>
    <n v="4"/>
    <n v="2"/>
    <m/>
    <s v="Variation of condition 2 pursuant to planning permission dated 31/08/2021ref 2021/2373 (Alterations including erection of a mansard roof extension to main rear roof slope, increase in height of front gable, alterations to windows on rear elevation, excavation of front and rear lightwells and extension of existing basement and conversion of property into 4 self-contained flats (2 x 3 bedroom, 1 x 2 bedroom 1 x 1 bedroom flats) with associated refuse and cycle storage.) to create additional garden space at ground floor, winter garden at first floor and terrace at second floor level resulting replacement of 1 x 3 bedroom with 1 x 2 bedroom and 1 x 2 bedroom with 1 x 1 bedroom flat."/>
    <s v="S73"/>
    <d v="2022-05-11T00:00:00"/>
    <d v="2022-08-25T00:00:00"/>
    <s v="Y"/>
    <s v="Nil"/>
    <m/>
    <s v="BF"/>
    <s v="MIX"/>
    <x v="2"/>
    <x v="2"/>
    <n v="7.0000000000000001E-3"/>
    <d v="2022-08-25T00:00:00"/>
    <x v="1"/>
    <d v="2023-02-17T00:00:00"/>
    <s v="Open Market"/>
    <s v="M"/>
    <s v=""/>
    <m/>
    <n v="0"/>
    <m/>
    <n v="0"/>
    <m/>
    <n v="0"/>
    <n v="1"/>
    <n v="1"/>
    <n v="1"/>
    <n v="-1"/>
    <n v="0"/>
    <n v="0"/>
    <n v="0"/>
    <n v="1"/>
    <n v="1"/>
    <n v="1"/>
    <n v="-1"/>
    <n v="0"/>
    <n v="0"/>
    <n v="0"/>
    <n v="0"/>
    <n v="0"/>
    <n v="0"/>
    <n v="0"/>
    <n v="0"/>
    <n v="0"/>
    <n v="0"/>
    <n v="0"/>
    <n v="0"/>
    <n v="0"/>
    <n v="0"/>
    <n v="0"/>
    <n v="0"/>
    <m/>
    <m/>
    <s v="Rest of Borough"/>
    <n v="11"/>
    <n v="2"/>
    <m/>
    <m/>
    <m/>
    <m/>
    <m/>
    <m/>
    <m/>
    <m/>
    <m/>
    <m/>
    <m/>
    <m/>
    <m/>
    <m/>
    <m/>
    <m/>
    <m/>
    <m/>
    <m/>
    <n v="0"/>
    <n v="0"/>
  </r>
  <r>
    <n v="3531"/>
    <x v="0"/>
    <s v="2022/2254"/>
    <s v="42 Ritherdon Road (Flats a, b &amp; c)"/>
    <s v=""/>
    <n v="528427"/>
    <n v="172621"/>
    <s v="South Balham"/>
    <d v="2022-08-16T00:00:00"/>
    <d v="2022-08-16T00:00:00"/>
    <n v="3"/>
    <n v="1"/>
    <n v="-2"/>
    <n v="1"/>
    <n v="-2"/>
    <m/>
    <s v="Use of property as a four bedroom single dwelling house."/>
    <s v="LDC Exist"/>
    <d v="2022-06-21T00:00:00"/>
    <d v="2022-08-16T00:00:00"/>
    <s v="Y"/>
    <s v="Nil"/>
    <m/>
    <s v="BF"/>
    <s v="COU"/>
    <x v="2"/>
    <x v="8"/>
    <n v="0.01"/>
    <d v="2022-08-16T00:00:00"/>
    <x v="1"/>
    <d v="2022-08-16T00:00:00"/>
    <s v="Open Market"/>
    <s v="M"/>
    <s v=""/>
    <m/>
    <n v="0"/>
    <m/>
    <n v="0"/>
    <m/>
    <n v="0"/>
    <n v="-1"/>
    <n v="-1"/>
    <n v="-1"/>
    <n v="1"/>
    <n v="0"/>
    <n v="0"/>
    <n v="0"/>
    <n v="-1"/>
    <n v="-1"/>
    <n v="-1"/>
    <n v="0"/>
    <n v="0"/>
    <n v="0"/>
    <n v="0"/>
    <n v="0"/>
    <n v="0"/>
    <n v="0"/>
    <n v="1"/>
    <n v="0"/>
    <n v="0"/>
    <n v="0"/>
    <n v="0"/>
    <n v="0"/>
    <n v="0"/>
    <n v="0"/>
    <n v="0"/>
    <n v="0"/>
    <m/>
    <m/>
    <s v="Rest of Borough"/>
    <n v="11"/>
    <n v="-2"/>
    <m/>
    <m/>
    <m/>
    <m/>
    <m/>
    <m/>
    <m/>
    <m/>
    <m/>
    <m/>
    <m/>
    <m/>
    <m/>
    <m/>
    <m/>
    <m/>
    <m/>
    <m/>
    <m/>
    <n v="0"/>
    <n v="0"/>
  </r>
  <r>
    <n v="6984"/>
    <x v="0"/>
    <s v="2018/1510"/>
    <s v="Apts 2 &amp; 3 Centurian Building, 376 Queenstown Road (Chelsea Bridge Wharf)"/>
    <s v=""/>
    <n v="528629"/>
    <n v="177664"/>
    <s v="Battersea Park"/>
    <d v="2021-04-01T00:00:00"/>
    <d v="2022-04-26T00:00:00"/>
    <n v="2"/>
    <n v="1"/>
    <n v="-1"/>
    <n v="1"/>
    <n v="-1"/>
    <m/>
    <s v="Conversion (without extension) of apartments 2 &amp; 3 Centurion building to form one self contained residential dwelling."/>
    <s v="PF"/>
    <d v="2018-05-16T00:00:00"/>
    <d v="2018-06-19T00:00:00"/>
    <m/>
    <s v="Nil"/>
    <m/>
    <s v="BF"/>
    <s v="CON"/>
    <x v="2"/>
    <x v="9"/>
    <n v="3.0000000000000001E-3"/>
    <d v="2021-04-01T00:00:00"/>
    <x v="0"/>
    <d v="2022-04-26T00:00:00"/>
    <s v="Open Market"/>
    <s v="M"/>
    <s v=""/>
    <m/>
    <n v="0"/>
    <m/>
    <n v="0"/>
    <m/>
    <n v="0"/>
    <n v="-1"/>
    <n v="-1"/>
    <n v="1"/>
    <n v="0"/>
    <n v="0"/>
    <n v="0"/>
    <n v="0"/>
    <n v="-1"/>
    <n v="-1"/>
    <n v="1"/>
    <n v="0"/>
    <n v="0"/>
    <n v="0"/>
    <n v="0"/>
    <n v="0"/>
    <n v="0"/>
    <n v="0"/>
    <n v="0"/>
    <n v="0"/>
    <n v="0"/>
    <n v="0"/>
    <n v="0"/>
    <n v="0"/>
    <n v="0"/>
    <n v="0"/>
    <n v="0"/>
    <n v="0"/>
    <m/>
    <s v="Y"/>
    <s v="Nine Elms Vauxhall Opportunity Area"/>
    <n v="11"/>
    <n v="-1"/>
    <m/>
    <m/>
    <m/>
    <m/>
    <m/>
    <m/>
    <m/>
    <m/>
    <m/>
    <m/>
    <m/>
    <m/>
    <m/>
    <m/>
    <m/>
    <m/>
    <m/>
    <m/>
    <m/>
    <n v="0"/>
    <n v="0"/>
  </r>
  <r>
    <n v="6273"/>
    <x v="0"/>
    <s v="2022/2885"/>
    <s v="162a, Mitcham road"/>
    <s v=""/>
    <n v="527811"/>
    <n v="171019"/>
    <s v="Tooting Broadway"/>
    <d v="2022-07-27T00:00:00"/>
    <d v="2023-03-09T00:00:00"/>
    <n v="2"/>
    <n v="5"/>
    <n v="3"/>
    <n v="5"/>
    <n v="3"/>
    <m/>
    <s v="Alterations including erection of roof extension to provide additional floor of accommodation with rear roof terrace to create 2 x studio flats and erection of two-storey rear extension in connection with conversion of existing two flats into 2 x 2 bedroom and 1 x 1 bedroom flats. Reinstatement of side gable feature. Change of use part ground floor from commercial (Class E) to residential (Class C3)."/>
    <s v="PF"/>
    <d v="2022-07-08T00:00:00"/>
    <d v="2022-09-02T00:00:00"/>
    <s v="Y"/>
    <s v="Nil"/>
    <m/>
    <s v="BF"/>
    <s v="MIX"/>
    <x v="2"/>
    <x v="2"/>
    <n v="1.0919999999999999E-2"/>
    <d v="2022-07-27T00:00:00"/>
    <x v="1"/>
    <d v="2023-03-09T00:00:00"/>
    <s v="Open Market"/>
    <s v="M"/>
    <s v=""/>
    <m/>
    <n v="0"/>
    <m/>
    <n v="0"/>
    <m/>
    <n v="2"/>
    <n v="0"/>
    <n v="1"/>
    <n v="0"/>
    <n v="0"/>
    <n v="0"/>
    <n v="0"/>
    <n v="2"/>
    <n v="0"/>
    <n v="1"/>
    <n v="0"/>
    <n v="0"/>
    <n v="0"/>
    <n v="0"/>
    <n v="0"/>
    <n v="0"/>
    <n v="0"/>
    <n v="0"/>
    <n v="0"/>
    <n v="0"/>
    <n v="0"/>
    <n v="0"/>
    <n v="0"/>
    <n v="0"/>
    <n v="0"/>
    <n v="0"/>
    <n v="0"/>
    <n v="0"/>
    <m/>
    <m/>
    <s v="Tooting"/>
    <n v="11"/>
    <n v="3"/>
    <m/>
    <m/>
    <m/>
    <m/>
    <m/>
    <m/>
    <m/>
    <m/>
    <m/>
    <m/>
    <m/>
    <m/>
    <m/>
    <m/>
    <m/>
    <m/>
    <m/>
    <m/>
    <m/>
    <n v="0"/>
    <n v="0"/>
  </r>
  <r>
    <n v="4280"/>
    <x v="0"/>
    <s v="2021/2914"/>
    <s v="62 West Hill"/>
    <s v=""/>
    <n v="524989"/>
    <n v="174632"/>
    <s v="East Putney"/>
    <d v="2022-07-25T00:00:00"/>
    <d v="2023-03-14T00:00:00"/>
    <n v="0"/>
    <n v="1"/>
    <n v="1"/>
    <n v="1"/>
    <n v="1"/>
    <m/>
    <s v="Alterations including erection of a first floor extension in connection with change of use from an outbuilding (Class SG) to a 1 x 1 bed self contained dwelling (Class C3)."/>
    <s v="PF"/>
    <d v="2021-07-22T00:00:00"/>
    <d v="2021-09-15T00:00:00"/>
    <m/>
    <s v="Nil"/>
    <m/>
    <s v="BF"/>
    <s v="MIX"/>
    <x v="2"/>
    <x v="3"/>
    <n v="4.0000000000000001E-3"/>
    <d v="2022-07-25T00:00:00"/>
    <x v="1"/>
    <d v="2023-03-14T00:00:00"/>
    <s v="Open Market"/>
    <s v="M"/>
    <s v=""/>
    <m/>
    <n v="0"/>
    <m/>
    <n v="0"/>
    <m/>
    <n v="0"/>
    <n v="1"/>
    <n v="0"/>
    <n v="0"/>
    <n v="0"/>
    <n v="0"/>
    <n v="0"/>
    <n v="0"/>
    <n v="1"/>
    <n v="0"/>
    <n v="0"/>
    <n v="0"/>
    <n v="0"/>
    <n v="0"/>
    <n v="0"/>
    <n v="0"/>
    <n v="0"/>
    <n v="0"/>
    <n v="0"/>
    <n v="0"/>
    <n v="0"/>
    <n v="0"/>
    <n v="0"/>
    <n v="0"/>
    <n v="0"/>
    <n v="0"/>
    <n v="0"/>
    <n v="0"/>
    <m/>
    <m/>
    <s v="Rest of Borough"/>
    <n v="11"/>
    <n v="1"/>
    <m/>
    <m/>
    <m/>
    <m/>
    <m/>
    <m/>
    <m/>
    <m/>
    <m/>
    <m/>
    <m/>
    <m/>
    <m/>
    <m/>
    <m/>
    <m/>
    <m/>
    <m/>
    <m/>
    <n v="0"/>
    <n v="0"/>
  </r>
  <r>
    <n v="7821"/>
    <x v="0"/>
    <s v="2022/1244"/>
    <s v="39 Letchworth Street"/>
    <s v=""/>
    <n v="527770"/>
    <n v="171746"/>
    <s v="Tooting Bec"/>
    <d v="2022-07-20T00:00:00"/>
    <d v="2022-07-20T00:00:00"/>
    <n v="1"/>
    <n v="4"/>
    <n v="3"/>
    <n v="4"/>
    <n v="3"/>
    <m/>
    <s v="Retention of existing use as 4 x studio flats (more than 4 years)."/>
    <s v="LDC Exist"/>
    <d v="2022-04-04T00:00:00"/>
    <d v="2022-07-20T00:00:00"/>
    <s v="Y"/>
    <s v="Nil"/>
    <m/>
    <s v="BF"/>
    <s v="CON"/>
    <x v="2"/>
    <x v="5"/>
    <n v="6.0000000000000001E-3"/>
    <d v="2022-07-20T00:00:00"/>
    <x v="1"/>
    <d v="2022-07-20T00:00:00"/>
    <s v="Open Market"/>
    <s v="MR"/>
    <s v=""/>
    <m/>
    <n v="0"/>
    <m/>
    <n v="0"/>
    <m/>
    <n v="4"/>
    <n v="0"/>
    <n v="0"/>
    <n v="-1"/>
    <n v="0"/>
    <n v="0"/>
    <n v="0"/>
    <n v="4"/>
    <n v="0"/>
    <n v="0"/>
    <n v="0"/>
    <n v="0"/>
    <n v="0"/>
    <n v="0"/>
    <n v="0"/>
    <n v="0"/>
    <n v="0"/>
    <n v="-1"/>
    <n v="0"/>
    <n v="0"/>
    <n v="0"/>
    <n v="0"/>
    <n v="0"/>
    <n v="0"/>
    <n v="0"/>
    <n v="0"/>
    <n v="0"/>
    <n v="0"/>
    <m/>
    <m/>
    <s v="Rest of Borough"/>
    <n v="11"/>
    <n v="3"/>
    <m/>
    <m/>
    <m/>
    <m/>
    <m/>
    <m/>
    <m/>
    <m/>
    <m/>
    <m/>
    <m/>
    <m/>
    <m/>
    <m/>
    <m/>
    <m/>
    <m/>
    <m/>
    <m/>
    <n v="0"/>
    <n v="0"/>
  </r>
  <r>
    <n v="3667"/>
    <x v="0"/>
    <s v="2021/3784"/>
    <s v="13 Parkgate Road"/>
    <s v=""/>
    <n v="527234"/>
    <n v="177107"/>
    <s v="Battersea Park"/>
    <d v="2022-07-05T00:00:00"/>
    <d v="2023-03-31T00:00:00"/>
    <n v="1"/>
    <n v="3"/>
    <n v="2"/>
    <n v="3"/>
    <n v="2"/>
    <m/>
    <s v="Alterations including erection of mansard roof extension to provide an additional floor of residential accommodation and erection of a part single/ part two/ part three-storey rear extension with rear roof terrace at first floor level in connection with the provision of 3 self-contained flats (3 x 1-bedroom)."/>
    <s v="PF"/>
    <d v="2021-09-13T00:00:00"/>
    <d v="2021-11-08T00:00:00"/>
    <m/>
    <s v="Nil"/>
    <m/>
    <s v="BF"/>
    <s v="EXT"/>
    <x v="2"/>
    <x v="2"/>
    <n v="6.0000000000000001E-3"/>
    <d v="2022-07-05T00:00:00"/>
    <x v="1"/>
    <d v="2023-03-31T00:00:00"/>
    <s v="Open Market"/>
    <s v="M"/>
    <s v=""/>
    <m/>
    <n v="0"/>
    <m/>
    <n v="0"/>
    <m/>
    <n v="0"/>
    <n v="3"/>
    <n v="-1"/>
    <n v="0"/>
    <n v="0"/>
    <n v="0"/>
    <n v="0"/>
    <n v="0"/>
    <n v="3"/>
    <n v="-1"/>
    <n v="0"/>
    <n v="0"/>
    <n v="0"/>
    <n v="0"/>
    <n v="0"/>
    <n v="0"/>
    <n v="0"/>
    <n v="0"/>
    <n v="0"/>
    <n v="0"/>
    <n v="0"/>
    <n v="0"/>
    <n v="0"/>
    <n v="0"/>
    <n v="0"/>
    <n v="0"/>
    <n v="0"/>
    <n v="0"/>
    <m/>
    <m/>
    <s v="Wandsworth riverside"/>
    <n v="11"/>
    <n v="2"/>
    <m/>
    <m/>
    <m/>
    <m/>
    <m/>
    <m/>
    <m/>
    <m/>
    <m/>
    <m/>
    <m/>
    <m/>
    <m/>
    <m/>
    <m/>
    <m/>
    <m/>
    <m/>
    <m/>
    <n v="0"/>
    <n v="0"/>
  </r>
  <r>
    <n v="6400"/>
    <x v="0"/>
    <s v="2021/3352"/>
    <s v="127 Mitcham Lane"/>
    <s v=""/>
    <n v="529268"/>
    <n v="171015"/>
    <s v="Furzedown"/>
    <d v="2022-07-04T00:00:00"/>
    <d v="2023-01-31T00:00:00"/>
    <n v="3"/>
    <n v="6"/>
    <n v="3"/>
    <n v="6"/>
    <n v="3"/>
    <m/>
    <s v="Alterations including three-storey side/rear extension with terrace above (on top the existing single storey side/rear addition), raising of roof to main building and rear dormer extensions, roof terraces and balconies at first, second and third floor level, and conversion of existing residential units in connection with formation of 6 residential units 4 x 1-bedroom and 2 x 2-bedroom flats (3 additional) with access from Blegborough Road and associated cycle and refuse storage."/>
    <s v="PF"/>
    <d v="2021-07-19T00:00:00"/>
    <d v="2021-09-13T00:00:00"/>
    <m/>
    <s v="Nil"/>
    <m/>
    <s v="BF"/>
    <s v="MIX"/>
    <x v="2"/>
    <x v="7"/>
    <n v="1.035E-2"/>
    <d v="2022-07-04T00:00:00"/>
    <x v="1"/>
    <d v="2023-01-31T00:00:00"/>
    <s v="Open Market"/>
    <s v="MR"/>
    <s v=""/>
    <m/>
    <n v="0"/>
    <m/>
    <n v="0"/>
    <m/>
    <n v="2"/>
    <n v="2"/>
    <n v="0"/>
    <n v="-1"/>
    <n v="0"/>
    <n v="0"/>
    <n v="0"/>
    <n v="2"/>
    <n v="2"/>
    <n v="0"/>
    <n v="-1"/>
    <n v="0"/>
    <n v="0"/>
    <n v="0"/>
    <n v="0"/>
    <n v="0"/>
    <n v="0"/>
    <n v="0"/>
    <n v="0"/>
    <n v="0"/>
    <n v="0"/>
    <n v="0"/>
    <n v="0"/>
    <n v="0"/>
    <n v="0"/>
    <n v="0"/>
    <n v="0"/>
    <n v="0"/>
    <m/>
    <m/>
    <s v="Rest of Borough"/>
    <n v="11"/>
    <n v="3"/>
    <m/>
    <m/>
    <m/>
    <m/>
    <m/>
    <m/>
    <m/>
    <m/>
    <m/>
    <m/>
    <m/>
    <m/>
    <m/>
    <m/>
    <m/>
    <m/>
    <m/>
    <m/>
    <m/>
    <n v="0"/>
    <n v="0"/>
  </r>
  <r>
    <n v="6212"/>
    <x v="0"/>
    <s v="2020/1226"/>
    <s v="Land rear of, 117 Fernlea Road"/>
    <s v=""/>
    <n v="529084"/>
    <n v="173102"/>
    <s v="Balham"/>
    <d v="2022-07-01T00:00:00"/>
    <d v="2023-03-31T00:00:00"/>
    <n v="0"/>
    <n v="1"/>
    <n v="1"/>
    <n v="1"/>
    <n v="1"/>
    <m/>
    <s v="Demolition of existing garage and erection of two storey (and basement) 3 bedroom dwelling house with associated refuse and cycle storage."/>
    <s v="PF"/>
    <d v="2020-04-01T00:00:00"/>
    <d v="2020-08-10T00:00:00"/>
    <m/>
    <s v="Nil"/>
    <m/>
    <s v="Gdn"/>
    <s v="NB"/>
    <x v="2"/>
    <x v="1"/>
    <n v="8.9999999999999993E-3"/>
    <d v="2022-07-01T00:00:00"/>
    <x v="1"/>
    <d v="2023-03-31T00:00:00"/>
    <s v="Open Market"/>
    <s v="M"/>
    <s v=""/>
    <m/>
    <n v="0"/>
    <m/>
    <n v="0"/>
    <m/>
    <n v="0"/>
    <n v="0"/>
    <n v="0"/>
    <n v="1"/>
    <n v="0"/>
    <n v="0"/>
    <n v="0"/>
    <n v="0"/>
    <n v="0"/>
    <n v="0"/>
    <n v="0"/>
    <n v="0"/>
    <n v="0"/>
    <n v="0"/>
    <n v="0"/>
    <n v="0"/>
    <n v="0"/>
    <n v="1"/>
    <n v="0"/>
    <n v="0"/>
    <n v="0"/>
    <n v="0"/>
    <n v="0"/>
    <n v="0"/>
    <n v="0"/>
    <n v="0"/>
    <n v="0"/>
    <n v="0"/>
    <m/>
    <m/>
    <s v="Rest of Borough"/>
    <n v="1"/>
    <n v="1"/>
    <m/>
    <m/>
    <m/>
    <m/>
    <m/>
    <m/>
    <m/>
    <m/>
    <m/>
    <m/>
    <m/>
    <m/>
    <m/>
    <m/>
    <m/>
    <m/>
    <m/>
    <m/>
    <m/>
    <n v="0"/>
    <n v="0"/>
  </r>
  <r>
    <n v="7143"/>
    <x v="0"/>
    <s v="2022/1714"/>
    <s v="Land rear of, 94 Bolingbroke Grove"/>
    <s v=""/>
    <n v="527274"/>
    <n v="174744"/>
    <s v="Northcote"/>
    <d v="2022-06-24T00:00:00"/>
    <d v="2022-06-24T00:00:00"/>
    <n v="1"/>
    <n v="4"/>
    <n v="3"/>
    <n v="4"/>
    <n v="3"/>
    <m/>
    <s v="Retention of 4 x self-contained flats."/>
    <s v="LDC Exist"/>
    <d v="2022-05-01T00:00:00"/>
    <d v="2022-06-24T00:00:00"/>
    <s v="Y"/>
    <s v="Nil"/>
    <m/>
    <s v="BF"/>
    <s v="CON"/>
    <x v="2"/>
    <x v="5"/>
    <n v="6.2500000000000003E-3"/>
    <d v="2022-06-24T00:00:00"/>
    <x v="1"/>
    <d v="2022-06-24T00:00:00"/>
    <s v="Open Market"/>
    <s v="MR"/>
    <s v=""/>
    <m/>
    <n v="0"/>
    <m/>
    <n v="0"/>
    <m/>
    <n v="0"/>
    <n v="4"/>
    <n v="0"/>
    <n v="0"/>
    <n v="0"/>
    <n v="0"/>
    <n v="-1"/>
    <n v="0"/>
    <n v="4"/>
    <n v="0"/>
    <n v="0"/>
    <n v="0"/>
    <n v="0"/>
    <n v="0"/>
    <n v="0"/>
    <n v="0"/>
    <n v="0"/>
    <n v="0"/>
    <n v="0"/>
    <n v="0"/>
    <n v="-1"/>
    <n v="0"/>
    <n v="0"/>
    <n v="0"/>
    <n v="0"/>
    <n v="0"/>
    <n v="0"/>
    <n v="0"/>
    <m/>
    <m/>
    <s v="Rest of Borough"/>
    <n v="11"/>
    <n v="3"/>
    <m/>
    <m/>
    <m/>
    <m/>
    <m/>
    <m/>
    <m/>
    <m/>
    <m/>
    <m/>
    <m/>
    <m/>
    <m/>
    <m/>
    <m/>
    <m/>
    <m/>
    <m/>
    <m/>
    <n v="0"/>
    <n v="0"/>
  </r>
  <r>
    <n v="7770"/>
    <x v="0"/>
    <s v="2022/1739"/>
    <s v="32 Cornford Grove"/>
    <s v=""/>
    <n v="528885"/>
    <n v="172895"/>
    <s v="South Balham"/>
    <d v="2022-06-22T00:00:00"/>
    <m/>
    <n v="1"/>
    <n v="2"/>
    <n v="1"/>
    <n v="2"/>
    <n v="1"/>
    <m/>
    <s v="Conversion of property into 2 x 3-bedroom flats, the erection of a single-storey rear/side ground floor extension and associated alterations."/>
    <s v="PF"/>
    <d v="2022-04-27T00:00:00"/>
    <d v="2022-06-22T00:00:00"/>
    <s v="Y"/>
    <s v="Nil"/>
    <m/>
    <s v="BF"/>
    <s v="CON"/>
    <x v="2"/>
    <x v="5"/>
    <n v="7.7200000000000003E-3"/>
    <d v="2022-06-22T00:00:00"/>
    <x v="1"/>
    <d v="2022-06-22T00:00:00"/>
    <s v="Open Market"/>
    <s v="M"/>
    <s v=""/>
    <m/>
    <n v="0"/>
    <m/>
    <n v="0"/>
    <m/>
    <n v="0"/>
    <n v="0"/>
    <n v="0"/>
    <n v="2"/>
    <n v="0"/>
    <n v="-1"/>
    <n v="0"/>
    <n v="0"/>
    <n v="0"/>
    <n v="0"/>
    <n v="2"/>
    <n v="0"/>
    <n v="0"/>
    <n v="0"/>
    <n v="0"/>
    <n v="0"/>
    <n v="0"/>
    <n v="0"/>
    <n v="0"/>
    <n v="-1"/>
    <n v="0"/>
    <n v="0"/>
    <n v="0"/>
    <n v="0"/>
    <n v="0"/>
    <n v="0"/>
    <n v="0"/>
    <n v="0"/>
    <m/>
    <m/>
    <s v="Rest of Borough"/>
    <n v="11"/>
    <n v="1"/>
    <m/>
    <m/>
    <m/>
    <m/>
    <m/>
    <m/>
    <m/>
    <m/>
    <m/>
    <m/>
    <m/>
    <m/>
    <m/>
    <m/>
    <m/>
    <m/>
    <m/>
    <m/>
    <m/>
    <n v="0"/>
    <n v="0"/>
  </r>
  <r>
    <n v="7834"/>
    <x v="0"/>
    <s v="2022/1677"/>
    <s v="84 Edencourt Road"/>
    <s v=""/>
    <n v="528754"/>
    <n v="170773"/>
    <s v="Furzedown"/>
    <d v="2022-06-17T00:00:00"/>
    <d v="2022-06-17T00:00:00"/>
    <n v="1"/>
    <n v="2"/>
    <n v="1"/>
    <n v="2"/>
    <n v="1"/>
    <m/>
    <s v="Use of property as 1 x 2 bedroom flat and 1 x 3-bedroom flat."/>
    <s v="LDC Exist"/>
    <d v="2022-04-22T00:00:00"/>
    <d v="2022-06-17T00:00:00"/>
    <s v="Y"/>
    <s v="Nil"/>
    <m/>
    <s v="BF"/>
    <s v="CON"/>
    <x v="2"/>
    <x v="5"/>
    <n v="8.9999999999999993E-3"/>
    <d v="2022-06-17T00:00:00"/>
    <x v="1"/>
    <d v="2022-06-17T00:00:00"/>
    <s v="Open Market"/>
    <s v="MR"/>
    <s v=""/>
    <m/>
    <n v="0"/>
    <m/>
    <n v="0"/>
    <m/>
    <n v="0"/>
    <n v="0"/>
    <n v="1"/>
    <n v="1"/>
    <n v="-1"/>
    <n v="0"/>
    <n v="0"/>
    <n v="0"/>
    <n v="0"/>
    <n v="1"/>
    <n v="1"/>
    <n v="0"/>
    <n v="0"/>
    <n v="0"/>
    <n v="0"/>
    <n v="0"/>
    <n v="0"/>
    <n v="0"/>
    <n v="-1"/>
    <n v="0"/>
    <n v="0"/>
    <n v="0"/>
    <n v="0"/>
    <n v="0"/>
    <n v="0"/>
    <n v="0"/>
    <n v="0"/>
    <n v="0"/>
    <m/>
    <m/>
    <s v="Rest of Borough"/>
    <n v="11"/>
    <n v="1"/>
    <m/>
    <m/>
    <m/>
    <m/>
    <m/>
    <m/>
    <m/>
    <m/>
    <m/>
    <m/>
    <m/>
    <m/>
    <m/>
    <m/>
    <m/>
    <m/>
    <m/>
    <m/>
    <m/>
    <n v="0"/>
    <n v="0"/>
  </r>
  <r>
    <n v="1164"/>
    <x v="0"/>
    <s v="2019/2633"/>
    <s v="165-167 Lavender Hill"/>
    <s v=""/>
    <n v="527684"/>
    <n v="175583"/>
    <s v="Shaftesbury &amp; Queenstown"/>
    <d v="2022-06-16T00:00:00"/>
    <d v="2022-08-18T00:00:00"/>
    <n v="0"/>
    <n v="1"/>
    <n v="1"/>
    <n v="1"/>
    <n v="1"/>
    <m/>
    <s v="Alterations in connection with change of use of rear ground floor from retail (Class A1) to 1 x 1-bedroom flat (Class C3)."/>
    <s v="PF"/>
    <d v="2019-07-10T00:00:00"/>
    <d v="2019-08-14T00:00:00"/>
    <m/>
    <s v="Nil"/>
    <m/>
    <s v="BF"/>
    <s v="COU"/>
    <x v="2"/>
    <x v="4"/>
    <n v="6.0000000000000001E-3"/>
    <d v="2022-06-16T00:00:00"/>
    <x v="1"/>
    <d v="2022-08-18T00:00:00"/>
    <s v="Open Market"/>
    <s v="M"/>
    <s v=""/>
    <m/>
    <n v="0"/>
    <m/>
    <n v="0"/>
    <m/>
    <n v="0"/>
    <n v="1"/>
    <n v="0"/>
    <n v="0"/>
    <n v="0"/>
    <n v="0"/>
    <n v="0"/>
    <n v="0"/>
    <n v="1"/>
    <n v="0"/>
    <n v="0"/>
    <n v="0"/>
    <n v="0"/>
    <n v="0"/>
    <n v="0"/>
    <n v="0"/>
    <n v="0"/>
    <n v="0"/>
    <n v="0"/>
    <n v="0"/>
    <n v="0"/>
    <n v="0"/>
    <n v="0"/>
    <n v="0"/>
    <n v="0"/>
    <n v="0"/>
    <n v="0"/>
    <n v="0"/>
    <m/>
    <m/>
    <s v="Clapham Junction Spatial Area Strategy"/>
    <n v="11"/>
    <n v="1"/>
    <m/>
    <m/>
    <m/>
    <m/>
    <m/>
    <m/>
    <m/>
    <m/>
    <m/>
    <m/>
    <m/>
    <m/>
    <m/>
    <m/>
    <m/>
    <m/>
    <m/>
    <m/>
    <m/>
    <n v="0"/>
    <n v="0"/>
  </r>
  <r>
    <n v="2811"/>
    <x v="0"/>
    <s v="2022/0542"/>
    <s v="59 Battersea Church Road"/>
    <s v=""/>
    <n v="527026"/>
    <n v="177039"/>
    <s v="St Mary's"/>
    <d v="2022-05-31T00:00:00"/>
    <d v="2022-05-31T00:00:00"/>
    <n v="0"/>
    <n v="1"/>
    <n v="1"/>
    <n v="1"/>
    <n v="1"/>
    <m/>
    <s v="Continued use of self contained studio flat at the rear."/>
    <s v="LDC Exist"/>
    <d v="2022-03-15T00:00:00"/>
    <d v="2022-05-31T00:00:00"/>
    <s v="Y"/>
    <s v="Nil"/>
    <m/>
    <s v="BF"/>
    <s v="EXT"/>
    <x v="2"/>
    <x v="2"/>
    <n v="4.0000000000000001E-3"/>
    <d v="2022-05-31T00:00:00"/>
    <x v="1"/>
    <d v="2022-05-31T00:00:00"/>
    <s v="Open Market"/>
    <s v="MR"/>
    <s v=""/>
    <m/>
    <n v="0"/>
    <m/>
    <n v="0"/>
    <m/>
    <n v="1"/>
    <n v="0"/>
    <n v="0"/>
    <n v="0"/>
    <n v="0"/>
    <n v="0"/>
    <n v="0"/>
    <n v="1"/>
    <n v="0"/>
    <n v="0"/>
    <n v="0"/>
    <n v="0"/>
    <n v="0"/>
    <n v="0"/>
    <n v="0"/>
    <n v="0"/>
    <n v="0"/>
    <n v="0"/>
    <n v="0"/>
    <n v="0"/>
    <n v="0"/>
    <n v="0"/>
    <n v="0"/>
    <n v="0"/>
    <n v="0"/>
    <n v="0"/>
    <n v="0"/>
    <n v="0"/>
    <m/>
    <m/>
    <s v="Wandsworth riverside"/>
    <n v="11"/>
    <n v="1"/>
    <m/>
    <m/>
    <m/>
    <m/>
    <m/>
    <m/>
    <m/>
    <m/>
    <m/>
    <m/>
    <m/>
    <m/>
    <m/>
    <m/>
    <m/>
    <m/>
    <m/>
    <m/>
    <m/>
    <n v="0"/>
    <n v="0"/>
  </r>
  <r>
    <n v="3868"/>
    <x v="0"/>
    <s v="2021/5244"/>
    <s v="Flats 43-48 Newlands Terrace, 159 Queenstown Road (48a)"/>
    <s v=""/>
    <n v="528630"/>
    <n v="176325"/>
    <s v="Shaftesbury &amp; Queenstown"/>
    <d v="2022-05-26T00:00:00"/>
    <d v="2023-02-19T00:00:00"/>
    <n v="1"/>
    <n v="2"/>
    <n v="1"/>
    <n v="2"/>
    <n v="1"/>
    <m/>
    <s v="Alterations including erection of a mansard roof extension to main rear roof and extension above part of three storey back addition; Formation of a roof terrace above three storey back addition with 1.7m high screen surround, in connection with the reconfiguration of 1 x existing 1-bed flat and the creation of new 1 x 1-bedroom flat."/>
    <s v="PF"/>
    <d v="2021-11-29T00:00:00"/>
    <d v="2022-02-01T00:00:00"/>
    <m/>
    <s v="Nil"/>
    <m/>
    <s v="BF"/>
    <s v="EXT"/>
    <x v="2"/>
    <x v="2"/>
    <n v="2E-3"/>
    <d v="2022-05-26T00:00:00"/>
    <x v="1"/>
    <d v="2023-02-19T00:00:00"/>
    <s v="Open Market"/>
    <s v="M"/>
    <s v=""/>
    <m/>
    <n v="0"/>
    <m/>
    <n v="0"/>
    <m/>
    <n v="0"/>
    <n v="1"/>
    <n v="0"/>
    <n v="0"/>
    <n v="0"/>
    <n v="0"/>
    <n v="0"/>
    <n v="0"/>
    <n v="1"/>
    <n v="0"/>
    <n v="0"/>
    <n v="0"/>
    <n v="0"/>
    <n v="0"/>
    <n v="0"/>
    <n v="0"/>
    <n v="0"/>
    <n v="0"/>
    <n v="0"/>
    <n v="0"/>
    <n v="0"/>
    <n v="0"/>
    <n v="0"/>
    <n v="0"/>
    <n v="0"/>
    <n v="0"/>
    <n v="0"/>
    <n v="0"/>
    <m/>
    <m/>
    <s v="Rest of Borough"/>
    <n v="11"/>
    <n v="1"/>
    <m/>
    <m/>
    <m/>
    <m/>
    <m/>
    <m/>
    <m/>
    <m/>
    <m/>
    <m/>
    <m/>
    <m/>
    <m/>
    <m/>
    <m/>
    <m/>
    <m/>
    <m/>
    <m/>
    <n v="0"/>
    <n v="0"/>
  </r>
  <r>
    <n v="4774"/>
    <x v="0"/>
    <s v="2022/0367"/>
    <s v="45 Trinity Road"/>
    <s v=""/>
    <n v="527896"/>
    <n v="172432"/>
    <s v="Tooting Bec"/>
    <d v="2022-05-26T00:00:00"/>
    <d v="2022-05-26T00:00:00"/>
    <n v="0"/>
    <n v="1"/>
    <n v="1"/>
    <n v="1"/>
    <n v="1"/>
    <m/>
    <s v="Continued use of the property as a self-contained studio apartment."/>
    <s v="LDC Exist"/>
    <d v="2022-02-08T00:00:00"/>
    <d v="2022-05-26T00:00:00"/>
    <s v="Y"/>
    <s v="Nil"/>
    <m/>
    <s v="BF"/>
    <s v="CON"/>
    <x v="2"/>
    <x v="4"/>
    <n v="2.0999999999999999E-3"/>
    <d v="2022-05-26T00:00:00"/>
    <x v="1"/>
    <d v="2022-05-26T00:00:00"/>
    <s v="Open Market"/>
    <s v="M"/>
    <s v=""/>
    <m/>
    <n v="0"/>
    <m/>
    <n v="0"/>
    <m/>
    <n v="1"/>
    <n v="0"/>
    <n v="0"/>
    <n v="0"/>
    <n v="0"/>
    <n v="0"/>
    <n v="0"/>
    <n v="1"/>
    <n v="0"/>
    <n v="0"/>
    <n v="0"/>
    <n v="0"/>
    <n v="0"/>
    <n v="0"/>
    <n v="0"/>
    <n v="0"/>
    <n v="0"/>
    <n v="0"/>
    <n v="0"/>
    <n v="0"/>
    <n v="0"/>
    <n v="0"/>
    <n v="0"/>
    <n v="0"/>
    <n v="0"/>
    <n v="0"/>
    <n v="0"/>
    <n v="0"/>
    <m/>
    <m/>
    <s v="Rest of Borough"/>
    <n v="11"/>
    <n v="1"/>
    <m/>
    <m/>
    <m/>
    <m/>
    <m/>
    <m/>
    <m/>
    <m/>
    <m/>
    <m/>
    <m/>
    <m/>
    <m/>
    <m/>
    <m/>
    <m/>
    <m/>
    <m/>
    <m/>
    <n v="0"/>
    <n v="0"/>
  </r>
  <r>
    <n v="7608"/>
    <x v="0"/>
    <s v="2021/4650"/>
    <s v="63 Queenstown Road"/>
    <s v=""/>
    <n v="528554"/>
    <n v="176020"/>
    <s v="Shaftesbury &amp; Queenstown"/>
    <d v="2022-05-11T00:00:00"/>
    <d v="2023-03-31T00:00:00"/>
    <n v="1"/>
    <n v="1"/>
    <n v="0"/>
    <n v="1"/>
    <n v="0"/>
    <m/>
    <s v="Change of use from office (Class E) to part office (Class E) and part residential (Class C3) to provide 2-bedroom flat in conjunction with existing first floor accommodation."/>
    <s v="PF"/>
    <d v="2021-12-21T00:00:00"/>
    <d v="2022-02-15T00:00:00"/>
    <m/>
    <s v="Nil"/>
    <m/>
    <s v="BF"/>
    <s v="COU"/>
    <x v="2"/>
    <x v="6"/>
    <n v="5.0000000000000001E-3"/>
    <d v="2022-05-11T00:00:00"/>
    <x v="1"/>
    <d v="2023-03-31T00:00:00"/>
    <s v="Open Market"/>
    <s v="M"/>
    <s v=""/>
    <m/>
    <n v="0"/>
    <m/>
    <n v="0"/>
    <m/>
    <n v="0"/>
    <n v="-1"/>
    <n v="1"/>
    <n v="0"/>
    <n v="0"/>
    <n v="0"/>
    <n v="0"/>
    <n v="0"/>
    <n v="-1"/>
    <n v="1"/>
    <n v="0"/>
    <n v="0"/>
    <n v="0"/>
    <n v="0"/>
    <n v="0"/>
    <n v="0"/>
    <n v="0"/>
    <n v="0"/>
    <n v="0"/>
    <n v="0"/>
    <n v="0"/>
    <n v="0"/>
    <n v="0"/>
    <n v="0"/>
    <n v="0"/>
    <n v="0"/>
    <n v="0"/>
    <n v="0"/>
    <m/>
    <m/>
    <s v="Rest of Borough"/>
    <n v="11"/>
    <n v="0"/>
    <m/>
    <m/>
    <m/>
    <m/>
    <m/>
    <m/>
    <m/>
    <m/>
    <m/>
    <m/>
    <m/>
    <m/>
    <m/>
    <m/>
    <m/>
    <m/>
    <m/>
    <m/>
    <m/>
    <n v="0"/>
    <n v="0"/>
  </r>
  <r>
    <n v="4916"/>
    <x v="0"/>
    <s v="2022/0851"/>
    <s v="113 Lavender Hill"/>
    <s v=""/>
    <n v="528199"/>
    <n v="175656"/>
    <s v="Lavender"/>
    <d v="2022-04-25T00:00:00"/>
    <d v="2022-04-25T00:00:00"/>
    <n v="2"/>
    <n v="6"/>
    <n v="4"/>
    <n v="6"/>
    <n v="4"/>
    <m/>
    <s v="Use of the upper two-storyes as 6 x studio flats (Class C3)"/>
    <s v="LDC Exist"/>
    <d v="2022-02-28T00:00:00"/>
    <d v="2022-04-25T00:00:00"/>
    <s v="Y"/>
    <s v="Nil"/>
    <m/>
    <s v="BF"/>
    <s v="CON"/>
    <x v="2"/>
    <x v="7"/>
    <n v="0"/>
    <d v="2022-04-25T00:00:00"/>
    <x v="1"/>
    <d v="2022-04-25T00:00:00"/>
    <s v="Open Market"/>
    <s v="MR"/>
    <s v=""/>
    <m/>
    <n v="0"/>
    <m/>
    <n v="0"/>
    <m/>
    <n v="6"/>
    <n v="0"/>
    <n v="-2"/>
    <n v="0"/>
    <n v="0"/>
    <n v="0"/>
    <n v="0"/>
    <n v="6"/>
    <n v="0"/>
    <n v="-2"/>
    <n v="0"/>
    <n v="0"/>
    <n v="0"/>
    <n v="0"/>
    <n v="0"/>
    <n v="0"/>
    <n v="0"/>
    <n v="0"/>
    <n v="0"/>
    <n v="0"/>
    <n v="0"/>
    <n v="0"/>
    <n v="0"/>
    <n v="0"/>
    <n v="0"/>
    <n v="0"/>
    <n v="0"/>
    <n v="0"/>
    <m/>
    <m/>
    <s v="Rest of Borough"/>
    <n v="11"/>
    <n v="4"/>
    <m/>
    <m/>
    <m/>
    <m/>
    <m/>
    <m/>
    <m/>
    <m/>
    <m/>
    <m/>
    <m/>
    <m/>
    <m/>
    <m/>
    <m/>
    <m/>
    <m/>
    <m/>
    <m/>
    <n v="0"/>
    <n v="0"/>
  </r>
  <r>
    <n v="7506"/>
    <x v="0"/>
    <s v="2021/1025"/>
    <s v="17 Trinity Road"/>
    <s v=""/>
    <n v="527950"/>
    <n v="172380"/>
    <s v="Tooting Bec"/>
    <d v="2022-04-21T00:00:00"/>
    <d v="2023-03-30T00:00:00"/>
    <n v="0"/>
    <n v="1"/>
    <n v="1"/>
    <n v="1"/>
    <n v="1"/>
    <m/>
    <s v="Alterations to shopfront, erection of single-storey side and rear extension and change of use of ground floor from retail (Class E) to residential (Class C3) to provide a  1 x1-bedroom flat."/>
    <s v="PF"/>
    <d v="2021-03-03T00:00:00"/>
    <d v="2021-04-28T00:00:00"/>
    <m/>
    <s v="Nil"/>
    <m/>
    <s v="BF"/>
    <s v="MIX"/>
    <x v="2"/>
    <x v="4"/>
    <n v="6.0000000000000001E-3"/>
    <d v="2022-04-21T00:00:00"/>
    <x v="1"/>
    <d v="2023-03-30T00:00:00"/>
    <s v="Open Market"/>
    <s v="M"/>
    <s v=""/>
    <m/>
    <n v="0"/>
    <m/>
    <n v="0"/>
    <m/>
    <n v="0"/>
    <n v="1"/>
    <n v="0"/>
    <n v="0"/>
    <n v="0"/>
    <n v="0"/>
    <n v="0"/>
    <n v="0"/>
    <n v="1"/>
    <n v="0"/>
    <n v="0"/>
    <n v="0"/>
    <n v="0"/>
    <n v="0"/>
    <n v="0"/>
    <n v="0"/>
    <n v="0"/>
    <n v="0"/>
    <n v="0"/>
    <n v="0"/>
    <n v="0"/>
    <n v="0"/>
    <n v="0"/>
    <n v="0"/>
    <n v="0"/>
    <n v="0"/>
    <n v="0"/>
    <n v="0"/>
    <m/>
    <m/>
    <s v="Rest of Borough"/>
    <n v="11"/>
    <n v="1"/>
    <m/>
    <m/>
    <m/>
    <m/>
    <m/>
    <m/>
    <m/>
    <m/>
    <m/>
    <m/>
    <m/>
    <m/>
    <m/>
    <m/>
    <m/>
    <m/>
    <m/>
    <m/>
    <m/>
    <n v="0"/>
    <n v="0"/>
  </r>
  <r>
    <n v="6098"/>
    <x v="0"/>
    <s v="2022/0725"/>
    <s v="72 Lower Richmond Road"/>
    <s v=""/>
    <n v="523682"/>
    <n v="175813"/>
    <s v="Thamesfield"/>
    <d v="2022-04-20T00:00:00"/>
    <d v="2022-10-07T00:00:00"/>
    <n v="1"/>
    <n v="3"/>
    <n v="2"/>
    <n v="3"/>
    <n v="2"/>
    <m/>
    <s v="Alterations including erection of a mansard roof extension to the main rear roof and extension above part of the three-storey back addition including formation of a roof terrace with 1.7m high screen surround; erection of single storey rear and side extensions; enlargement of existing basement; works in connection with change of use of rear ground floor and part first floor to provide a 1 x 1 bed flat and conversion of the first and second floor flat into:1 x studio and 1 x 2 bed flat."/>
    <s v="PF"/>
    <d v="2022-02-09T00:00:00"/>
    <d v="2022-04-20T00:00:00"/>
    <s v="Y"/>
    <s v="Nil"/>
    <m/>
    <s v="BF"/>
    <s v="MIX"/>
    <x v="2"/>
    <x v="7"/>
    <n v="3.0000000000000001E-3"/>
    <d v="2022-04-20T00:00:00"/>
    <x v="1"/>
    <d v="2022-10-07T00:00:00"/>
    <s v="Open Market"/>
    <s v="M"/>
    <s v=""/>
    <m/>
    <n v="0"/>
    <m/>
    <n v="0"/>
    <m/>
    <n v="1"/>
    <n v="1"/>
    <n v="1"/>
    <n v="0"/>
    <n v="-1"/>
    <n v="0"/>
    <n v="0"/>
    <n v="1"/>
    <n v="1"/>
    <n v="1"/>
    <n v="0"/>
    <n v="-1"/>
    <n v="0"/>
    <n v="0"/>
    <n v="0"/>
    <n v="0"/>
    <n v="0"/>
    <n v="0"/>
    <n v="0"/>
    <n v="0"/>
    <n v="0"/>
    <n v="0"/>
    <n v="0"/>
    <n v="0"/>
    <n v="0"/>
    <n v="0"/>
    <n v="0"/>
    <n v="0"/>
    <m/>
    <m/>
    <s v="Rest of Borough"/>
    <n v="11"/>
    <n v="2"/>
    <m/>
    <m/>
    <m/>
    <m/>
    <m/>
    <m/>
    <m/>
    <m/>
    <m/>
    <m/>
    <m/>
    <m/>
    <m/>
    <m/>
    <m/>
    <m/>
    <m/>
    <m/>
    <m/>
    <n v="0"/>
    <n v="0"/>
  </r>
  <r>
    <n v="7426"/>
    <x v="0"/>
    <s v="2020/2756"/>
    <s v="14-17 Denton Street"/>
    <s v=""/>
    <n v="525903"/>
    <n v="174378"/>
    <s v="Wandsworth Town"/>
    <d v="2022-04-19T00:00:00"/>
    <d v="2022-09-23T00:00:00"/>
    <n v="0"/>
    <n v="1"/>
    <n v="1"/>
    <n v="1"/>
    <n v="1"/>
    <m/>
    <s v="Erection of mansard roof extension to main rear roof and  extension above part of two-storey back addition and formation of roof terrace above part of two-storey back addition with 1.7m high screen surround in connection with creation of 1 x 2-bedroom flat. Alterations including raising the ridge by 350mm."/>
    <s v="PF"/>
    <d v="2020-07-29T00:00:00"/>
    <d v="2020-10-22T00:00:00"/>
    <m/>
    <s v="Nil"/>
    <m/>
    <s v="BF"/>
    <s v="EXT"/>
    <x v="2"/>
    <x v="2"/>
    <n v="3.0000000000000001E-3"/>
    <d v="2022-04-19T00:00:00"/>
    <x v="1"/>
    <d v="2022-09-23T00:00:00"/>
    <s v="Open Market"/>
    <s v="M"/>
    <s v=""/>
    <m/>
    <n v="0"/>
    <m/>
    <n v="0"/>
    <m/>
    <n v="0"/>
    <n v="0"/>
    <n v="1"/>
    <n v="0"/>
    <n v="0"/>
    <n v="0"/>
    <n v="0"/>
    <n v="0"/>
    <n v="0"/>
    <n v="1"/>
    <n v="0"/>
    <n v="0"/>
    <n v="0"/>
    <n v="0"/>
    <n v="0"/>
    <n v="0"/>
    <n v="0"/>
    <n v="0"/>
    <n v="0"/>
    <n v="0"/>
    <n v="0"/>
    <n v="0"/>
    <n v="0"/>
    <n v="0"/>
    <n v="0"/>
    <n v="0"/>
    <n v="0"/>
    <n v="0"/>
    <m/>
    <m/>
    <s v="Wandsworth Town, excluding the Wandle Delta Masterplan Area"/>
    <n v="11"/>
    <n v="1"/>
    <m/>
    <m/>
    <m/>
    <m/>
    <m/>
    <m/>
    <m/>
    <m/>
    <m/>
    <m/>
    <m/>
    <m/>
    <m/>
    <m/>
    <m/>
    <m/>
    <m/>
    <m/>
    <m/>
    <n v="0"/>
    <n v="0"/>
  </r>
  <r>
    <n v="6053"/>
    <x v="0"/>
    <s v="2021/5536"/>
    <s v="Unit 1, 218-220 Garratt Lane"/>
    <s v=""/>
    <n v="525908"/>
    <n v="173523"/>
    <s v="Wandle"/>
    <d v="2022-04-07T00:00:00"/>
    <d v="2022-04-07T00:00:00"/>
    <n v="0"/>
    <n v="2"/>
    <n v="2"/>
    <n v="2"/>
    <n v="2"/>
    <m/>
    <s v="Retention of former unit 1 (Use Class E) as 1 x 2 bed and 1 x 3 bed flats. (Use Class C3)"/>
    <s v="LDC Exist"/>
    <d v="2022-02-11T00:00:00"/>
    <d v="2022-04-07T00:00:00"/>
    <s v="Y"/>
    <s v="Nil"/>
    <m/>
    <s v="BF"/>
    <s v="COU"/>
    <x v="2"/>
    <x v="6"/>
    <n v="4.0000000000000001E-3"/>
    <d v="2022-04-07T00:00:00"/>
    <x v="1"/>
    <d v="2022-04-07T00:00:00"/>
    <s v="Open Market"/>
    <s v="M"/>
    <s v=""/>
    <m/>
    <n v="0"/>
    <m/>
    <n v="0"/>
    <m/>
    <n v="0"/>
    <n v="0"/>
    <n v="1"/>
    <n v="1"/>
    <n v="0"/>
    <n v="0"/>
    <n v="0"/>
    <n v="0"/>
    <n v="0"/>
    <n v="1"/>
    <n v="1"/>
    <n v="0"/>
    <n v="0"/>
    <n v="0"/>
    <n v="0"/>
    <n v="0"/>
    <n v="0"/>
    <n v="0"/>
    <n v="0"/>
    <n v="0"/>
    <n v="0"/>
    <n v="0"/>
    <n v="0"/>
    <n v="0"/>
    <n v="0"/>
    <n v="0"/>
    <n v="0"/>
    <n v="0"/>
    <m/>
    <m/>
    <s v="The Wandle Valley"/>
    <n v="11"/>
    <n v="2"/>
    <m/>
    <m/>
    <m/>
    <m/>
    <m/>
    <m/>
    <m/>
    <m/>
    <m/>
    <m/>
    <m/>
    <m/>
    <m/>
    <m/>
    <m/>
    <m/>
    <m/>
    <m/>
    <m/>
    <n v="0"/>
    <n v="0"/>
  </r>
  <r>
    <n v="4204"/>
    <x v="0"/>
    <s v="2021/5537"/>
    <s v="Unit 2 Bendon Valley House, 218-220 Garratt Lane"/>
    <s v=""/>
    <n v="525908"/>
    <n v="173523"/>
    <s v="Wandle"/>
    <d v="2022-04-07T00:00:00"/>
    <d v="2022-04-07T00:00:00"/>
    <n v="0"/>
    <n v="2"/>
    <n v="2"/>
    <n v="2"/>
    <n v="2"/>
    <m/>
    <s v="Retention of former unit 2a (Class Use E) as 1 x 1 bedroom flat (2a) and 1 x 4 bedroom flat (2b) (Use Class C3)"/>
    <s v="LDC Exist"/>
    <d v="2022-02-11T00:00:00"/>
    <d v="2022-04-07T00:00:00"/>
    <s v="Y"/>
    <s v="Nil"/>
    <m/>
    <s v="BF"/>
    <s v="COU"/>
    <x v="2"/>
    <x v="6"/>
    <n v="2E-3"/>
    <d v="2022-04-07T00:00:00"/>
    <x v="1"/>
    <d v="2022-04-07T00:00:00"/>
    <s v="Open Market"/>
    <s v="M"/>
    <s v=""/>
    <m/>
    <n v="0"/>
    <m/>
    <n v="0"/>
    <m/>
    <n v="0"/>
    <n v="1"/>
    <n v="0"/>
    <n v="0"/>
    <n v="1"/>
    <n v="0"/>
    <n v="0"/>
    <n v="0"/>
    <n v="1"/>
    <n v="0"/>
    <n v="0"/>
    <n v="1"/>
    <n v="0"/>
    <n v="0"/>
    <n v="0"/>
    <n v="0"/>
    <n v="0"/>
    <n v="0"/>
    <n v="0"/>
    <n v="0"/>
    <n v="0"/>
    <n v="0"/>
    <n v="0"/>
    <n v="0"/>
    <n v="0"/>
    <n v="0"/>
    <n v="0"/>
    <n v="0"/>
    <m/>
    <m/>
    <s v="The Wandle Valley"/>
    <n v="11"/>
    <n v="2"/>
    <m/>
    <m/>
    <m/>
    <m/>
    <m/>
    <m/>
    <m/>
    <m/>
    <m/>
    <m/>
    <m/>
    <m/>
    <m/>
    <m/>
    <m/>
    <m/>
    <m/>
    <m/>
    <m/>
    <n v="0"/>
    <n v="0"/>
  </r>
  <r>
    <n v="5755"/>
    <x v="0"/>
    <s v="2021/5538"/>
    <s v="Unit 3 Bendon Valley, 218-220 Garratt Lane"/>
    <s v=""/>
    <n v="525908"/>
    <n v="173523"/>
    <s v="Wandle"/>
    <d v="2022-04-07T00:00:00"/>
    <d v="2022-04-07T00:00:00"/>
    <n v="0"/>
    <n v="2"/>
    <n v="2"/>
    <n v="2"/>
    <n v="2"/>
    <m/>
    <s v="Retention of former unit 3 (Class Use E) as 1 x studio (3a) and 1 x3 bedroom flat (3b) (Class Use C3)"/>
    <s v="LDC Exist"/>
    <d v="2022-02-11T00:00:00"/>
    <d v="2022-04-07T00:00:00"/>
    <s v="Y"/>
    <s v="Nil"/>
    <m/>
    <s v="BF"/>
    <s v="COU"/>
    <x v="2"/>
    <x v="6"/>
    <n v="3.0000000000000001E-3"/>
    <d v="2022-04-07T00:00:00"/>
    <x v="1"/>
    <d v="2022-04-07T00:00:00"/>
    <s v="Open Market"/>
    <s v="M"/>
    <s v=""/>
    <m/>
    <n v="0"/>
    <m/>
    <n v="0"/>
    <m/>
    <n v="1"/>
    <n v="0"/>
    <n v="0"/>
    <n v="1"/>
    <n v="0"/>
    <n v="0"/>
    <n v="0"/>
    <n v="1"/>
    <n v="0"/>
    <n v="0"/>
    <n v="1"/>
    <n v="0"/>
    <n v="0"/>
    <n v="0"/>
    <n v="0"/>
    <n v="0"/>
    <n v="0"/>
    <n v="0"/>
    <n v="0"/>
    <n v="0"/>
    <n v="0"/>
    <n v="0"/>
    <n v="0"/>
    <n v="0"/>
    <n v="0"/>
    <n v="0"/>
    <n v="0"/>
    <n v="0"/>
    <m/>
    <m/>
    <s v="The Wandle Valley"/>
    <n v="11"/>
    <n v="2"/>
    <m/>
    <m/>
    <m/>
    <m/>
    <m/>
    <m/>
    <m/>
    <m/>
    <m/>
    <m/>
    <m/>
    <m/>
    <m/>
    <m/>
    <m/>
    <m/>
    <m/>
    <m/>
    <m/>
    <n v="0"/>
    <n v="0"/>
  </r>
  <r>
    <n v="6809"/>
    <x v="0"/>
    <s v="2021/4716"/>
    <s v="116 Mitcham Lane"/>
    <s v=""/>
    <n v="529284"/>
    <n v="171134"/>
    <s v="Furzedown"/>
    <d v="2022-04-04T00:00:00"/>
    <d v="2022-11-11T00:00:00"/>
    <n v="0"/>
    <n v="1"/>
    <n v="1"/>
    <n v="1"/>
    <n v="1"/>
    <m/>
    <s v="Determination as to whether prior approval is required for change of use from retail (Class E) to 1 x studio flat (Class C3)."/>
    <s v="PAG"/>
    <d v="2021-12-09T00:00:00"/>
    <d v="2022-01-28T00:00:00"/>
    <m/>
    <s v="Nil"/>
    <m/>
    <s v="BF"/>
    <s v="CON"/>
    <x v="2"/>
    <x v="4"/>
    <n v="3.8899999999999998E-3"/>
    <d v="2022-04-04T00:00:00"/>
    <x v="1"/>
    <d v="2022-11-11T00:00:00"/>
    <s v="Open Market"/>
    <s v="M"/>
    <s v=""/>
    <m/>
    <n v="0"/>
    <m/>
    <n v="0"/>
    <m/>
    <n v="1"/>
    <n v="0"/>
    <n v="0"/>
    <n v="0"/>
    <n v="0"/>
    <n v="0"/>
    <n v="0"/>
    <n v="1"/>
    <n v="0"/>
    <n v="0"/>
    <n v="0"/>
    <n v="0"/>
    <n v="0"/>
    <n v="0"/>
    <n v="0"/>
    <n v="0"/>
    <n v="0"/>
    <n v="0"/>
    <n v="0"/>
    <n v="0"/>
    <n v="0"/>
    <n v="0"/>
    <n v="0"/>
    <n v="0"/>
    <n v="0"/>
    <n v="0"/>
    <n v="0"/>
    <n v="0"/>
    <m/>
    <m/>
    <s v="Rest of Borough"/>
    <n v="11"/>
    <n v="1"/>
    <m/>
    <m/>
    <m/>
    <m/>
    <m/>
    <m/>
    <m/>
    <m/>
    <m/>
    <m/>
    <m/>
    <m/>
    <m/>
    <m/>
    <m/>
    <m/>
    <m/>
    <m/>
    <m/>
    <n v="0"/>
    <n v="0"/>
  </r>
  <r>
    <n v="4420"/>
    <x v="0"/>
    <s v="2021/2077"/>
    <s v="114 Putney High Street"/>
    <s v=""/>
    <n v="523999"/>
    <n v="175272"/>
    <s v="Thamesfield"/>
    <d v="2022-04-01T00:00:00"/>
    <d v="2023-03-31T00:00:00"/>
    <n v="1"/>
    <n v="3"/>
    <n v="2"/>
    <n v="3"/>
    <n v="2"/>
    <m/>
    <s v="Alterations including erection of ground, first and second  floor extension in connection with creation of 2 x 2 bedroom flat and 1 x1 bedroom flat."/>
    <s v="PF"/>
    <d v="2021-06-10T00:00:00"/>
    <d v="2021-07-29T00:00:00"/>
    <m/>
    <s v="Nil"/>
    <m/>
    <s v="BF"/>
    <s v="CON"/>
    <x v="2"/>
    <x v="7"/>
    <n v="4.8225000000000004E-3"/>
    <d v="2022-04-01T00:00:00"/>
    <x v="1"/>
    <d v="2023-03-31T00:00:00"/>
    <s v="Open Market"/>
    <s v="MR"/>
    <s v=""/>
    <m/>
    <n v="0"/>
    <m/>
    <n v="0"/>
    <m/>
    <n v="0"/>
    <n v="1"/>
    <n v="2"/>
    <n v="0"/>
    <n v="0"/>
    <n v="-1"/>
    <n v="0"/>
    <n v="0"/>
    <n v="1"/>
    <n v="2"/>
    <n v="0"/>
    <n v="0"/>
    <n v="-1"/>
    <n v="0"/>
    <n v="0"/>
    <n v="0"/>
    <n v="0"/>
    <n v="0"/>
    <n v="0"/>
    <n v="0"/>
    <n v="0"/>
    <n v="0"/>
    <n v="0"/>
    <n v="0"/>
    <n v="0"/>
    <n v="0"/>
    <n v="0"/>
    <n v="0"/>
    <s v="Putney"/>
    <m/>
    <s v="Putney Town Centre"/>
    <n v="11"/>
    <n v="2"/>
    <m/>
    <m/>
    <m/>
    <m/>
    <m/>
    <m/>
    <m/>
    <m/>
    <m/>
    <m/>
    <m/>
    <m/>
    <m/>
    <m/>
    <m/>
    <m/>
    <m/>
    <m/>
    <m/>
    <n v="0"/>
    <n v="0"/>
  </r>
  <r>
    <n v="7489"/>
    <x v="0"/>
    <s v="2021/1534"/>
    <s v="15 Mantilla Road"/>
    <s v=""/>
    <n v="528355"/>
    <n v="171746"/>
    <s v="Tooting Bec"/>
    <d v="2022-04-01T00:00:00"/>
    <d v="2022-07-31T00:00:00"/>
    <n v="1"/>
    <n v="2"/>
    <n v="1"/>
    <n v="2"/>
    <n v="1"/>
    <m/>
    <s v="Alterations including the erection of mansard roof extension to main rear roof including raising ridge 300mm, erection of roof extension and formation of roof terrace with screen surround above two-storey back addition in connection with creation of 1 x 1-bedroom flat."/>
    <s v="PF"/>
    <d v="2021-03-31T00:00:00"/>
    <d v="2021-06-16T00:00:00"/>
    <m/>
    <s v="Nil"/>
    <m/>
    <s v="BF"/>
    <s v="EXT"/>
    <x v="2"/>
    <x v="2"/>
    <n v="6.0000000000000001E-3"/>
    <d v="2022-04-01T00:00:00"/>
    <x v="1"/>
    <d v="2022-07-31T00:00:00"/>
    <s v="Open Market"/>
    <s v="M"/>
    <s v=""/>
    <m/>
    <n v="0"/>
    <m/>
    <n v="0"/>
    <m/>
    <n v="0"/>
    <n v="1"/>
    <n v="1"/>
    <n v="-1"/>
    <n v="0"/>
    <n v="0"/>
    <n v="0"/>
    <n v="0"/>
    <n v="1"/>
    <n v="1"/>
    <n v="0"/>
    <n v="0"/>
    <n v="0"/>
    <n v="0"/>
    <n v="0"/>
    <n v="0"/>
    <n v="0"/>
    <n v="-1"/>
    <n v="0"/>
    <n v="0"/>
    <n v="0"/>
    <n v="0"/>
    <n v="0"/>
    <n v="0"/>
    <n v="0"/>
    <n v="0"/>
    <n v="0"/>
    <n v="0"/>
    <m/>
    <m/>
    <s v="Rest of Borough"/>
    <n v="11"/>
    <n v="1"/>
    <m/>
    <m/>
    <m/>
    <m/>
    <m/>
    <m/>
    <m/>
    <m/>
    <m/>
    <m/>
    <m/>
    <m/>
    <m/>
    <m/>
    <m/>
    <m/>
    <m/>
    <m/>
    <m/>
    <n v="0"/>
    <n v="0"/>
  </r>
  <r>
    <n v="2807"/>
    <x v="0"/>
    <s v="2021/1874"/>
    <s v="45 Balham High Road"/>
    <s v=""/>
    <n v="528724"/>
    <n v="173597"/>
    <s v="Balham"/>
    <d v="2022-04-01T00:00:00"/>
    <d v="2022-12-20T00:00:00"/>
    <n v="1"/>
    <n v="2"/>
    <n v="1"/>
    <n v="2"/>
    <n v="1"/>
    <m/>
    <s v="Alterations including erection part single/part two storey rear extension at first and second floors in connection with creation of 1 x 2-bedroom, 1 x 1-bedroom flats. Replacement of windows."/>
    <s v="PF"/>
    <d v="2021-05-11T00:00:00"/>
    <d v="2021-11-19T00:00:00"/>
    <m/>
    <s v="Nil"/>
    <m/>
    <s v="BF"/>
    <s v="MIX"/>
    <x v="2"/>
    <x v="7"/>
    <n v="5.5500000000000002E-3"/>
    <d v="2022-04-01T00:00:00"/>
    <x v="1"/>
    <d v="2022-12-20T00:00:00"/>
    <s v="Open Market"/>
    <s v="MR"/>
    <s v=""/>
    <m/>
    <n v="0"/>
    <m/>
    <n v="0"/>
    <m/>
    <n v="0"/>
    <n v="1"/>
    <n v="1"/>
    <n v="-1"/>
    <n v="0"/>
    <n v="0"/>
    <n v="0"/>
    <n v="0"/>
    <n v="1"/>
    <n v="1"/>
    <n v="-1"/>
    <n v="0"/>
    <n v="0"/>
    <n v="0"/>
    <n v="0"/>
    <n v="0"/>
    <n v="0"/>
    <n v="0"/>
    <n v="0"/>
    <n v="0"/>
    <n v="0"/>
    <n v="0"/>
    <n v="0"/>
    <n v="0"/>
    <n v="0"/>
    <n v="0"/>
    <n v="0"/>
    <n v="0"/>
    <s v="Balham"/>
    <m/>
    <s v="Balham"/>
    <n v="11"/>
    <n v="1"/>
    <m/>
    <m/>
    <m/>
    <m/>
    <m/>
    <m/>
    <m/>
    <m/>
    <m/>
    <m/>
    <m/>
    <m/>
    <m/>
    <m/>
    <m/>
    <m/>
    <m/>
    <m/>
    <m/>
    <n v="0"/>
    <n v="0"/>
  </r>
  <r>
    <n v="1535"/>
    <x v="0"/>
    <s v="2021/0309"/>
    <s v="14 Oxford Road"/>
    <s v=""/>
    <n v="524322"/>
    <n v="175262"/>
    <s v="Thamesfield"/>
    <d v="2022-04-01T00:00:00"/>
    <d v="2022-04-01T00:00:00"/>
    <n v="2"/>
    <n v="1"/>
    <n v="-1"/>
    <n v="1"/>
    <n v="-1"/>
    <m/>
    <s v="Alterations including erection of front boundary wall, railings and gates and landscaping. Installation of replacement of replacement timber windows to side and rear lower ground floor elevations in connection with the change of use to a single dwelling."/>
    <s v="PF"/>
    <d v="2021-01-25T00:00:00"/>
    <d v="2021-04-08T00:00:00"/>
    <m/>
    <s v="Nil"/>
    <m/>
    <s v="BF"/>
    <s v="CON"/>
    <x v="2"/>
    <x v="8"/>
    <n v="2.9000000000000001E-2"/>
    <d v="2022-04-01T00:00:00"/>
    <x v="1"/>
    <d v="2022-04-01T00:00:00"/>
    <s v="Open Market"/>
    <s v="M"/>
    <s v=""/>
    <m/>
    <n v="0"/>
    <m/>
    <n v="0"/>
    <m/>
    <n v="0"/>
    <n v="-1"/>
    <n v="0"/>
    <n v="0"/>
    <n v="-1"/>
    <n v="1"/>
    <n v="0"/>
    <n v="0"/>
    <n v="-1"/>
    <n v="0"/>
    <n v="0"/>
    <n v="-1"/>
    <n v="0"/>
    <n v="0"/>
    <n v="0"/>
    <n v="0"/>
    <n v="0"/>
    <n v="0"/>
    <n v="0"/>
    <n v="1"/>
    <n v="0"/>
    <n v="0"/>
    <n v="0"/>
    <n v="0"/>
    <n v="0"/>
    <n v="0"/>
    <n v="0"/>
    <n v="0"/>
    <m/>
    <m/>
    <s v="Rest of Borough"/>
    <n v="11"/>
    <n v="-1"/>
    <m/>
    <m/>
    <m/>
    <m/>
    <m/>
    <m/>
    <m/>
    <m/>
    <m/>
    <m/>
    <m/>
    <m/>
    <m/>
    <m/>
    <m/>
    <m/>
    <m/>
    <m/>
    <m/>
    <n v="0"/>
    <n v="0"/>
  </r>
  <r>
    <n v="7655"/>
    <x v="0"/>
    <s v="2021/2917"/>
    <s v="9a Luttrell Avenue"/>
    <s v=""/>
    <n v="522962"/>
    <n v="174883"/>
    <s v="West Putney"/>
    <d v="2022-04-01T00:00:00"/>
    <d v="2023-02-21T00:00:00"/>
    <n v="1"/>
    <n v="1"/>
    <n v="0"/>
    <n v="1"/>
    <n v="0"/>
    <m/>
    <s v="Change of use from residential (Class C3) to HMO (Class C4)."/>
    <s v="LDC Prop"/>
    <d v="2021-08-03T00:00:00"/>
    <d v="2021-09-28T00:00:00"/>
    <m/>
    <s v="Nil"/>
    <m/>
    <s v="BF"/>
    <s v="COU"/>
    <x v="2"/>
    <x v="7"/>
    <n v="4.6499999999999996E-3"/>
    <d v="2022-04-01T00:00:00"/>
    <x v="1"/>
    <d v="2023-02-21T00:00:00"/>
    <s v="Open Market"/>
    <s v="MR"/>
    <s v=""/>
    <m/>
    <n v="0"/>
    <m/>
    <n v="0"/>
    <m/>
    <n v="0"/>
    <n v="0"/>
    <n v="0"/>
    <n v="0"/>
    <n v="0"/>
    <n v="0"/>
    <n v="0"/>
    <n v="0"/>
    <n v="0"/>
    <n v="0"/>
    <n v="0"/>
    <n v="0"/>
    <n v="0"/>
    <n v="0"/>
    <n v="0"/>
    <n v="0"/>
    <n v="0"/>
    <n v="0"/>
    <n v="0"/>
    <n v="0"/>
    <n v="0"/>
    <n v="0"/>
    <n v="0"/>
    <n v="0"/>
    <n v="0"/>
    <n v="0"/>
    <n v="0"/>
    <n v="0"/>
    <m/>
    <m/>
    <s v="Rest of Borough"/>
    <n v="11"/>
    <n v="0"/>
    <m/>
    <m/>
    <m/>
    <m/>
    <m/>
    <m/>
    <m/>
    <m/>
    <m/>
    <m/>
    <m/>
    <m/>
    <m/>
    <m/>
    <m/>
    <m/>
    <m/>
    <m/>
    <m/>
    <n v="0"/>
    <n v="0"/>
  </r>
  <r>
    <n v="5956"/>
    <x v="0"/>
    <s v="2022/0208"/>
    <s v="48 &amp; 48A, 48 Lower Richmond Road"/>
    <s v=""/>
    <n v="523775"/>
    <n v="175783"/>
    <s v="Thamesfield"/>
    <d v="2022-04-01T00:00:00"/>
    <d v="2023-03-31T00:00:00"/>
    <n v="1"/>
    <n v="1"/>
    <n v="0"/>
    <n v="1"/>
    <n v="0"/>
    <m/>
    <s v="Erection of part single, part three storey rear/side extension and rear dormer in connection with the use of property as 1 x 3-bedroom flat. forrmation of roof terrace at rear second floor level."/>
    <s v="PF"/>
    <d v="2022-02-02T00:00:00"/>
    <d v="2022-03-29T00:00:00"/>
    <m/>
    <s v="Nil"/>
    <m/>
    <s v="BF"/>
    <s v="EXT"/>
    <x v="2"/>
    <x v="2"/>
    <n v="4.0000000000000001E-3"/>
    <d v="2022-04-01T00:00:00"/>
    <x v="1"/>
    <d v="2023-03-31T00:00:00"/>
    <s v="Open Market"/>
    <s v="M"/>
    <s v=""/>
    <m/>
    <n v="0"/>
    <m/>
    <n v="0"/>
    <m/>
    <n v="0"/>
    <n v="0"/>
    <n v="0"/>
    <n v="0"/>
    <n v="0"/>
    <n v="0"/>
    <n v="0"/>
    <n v="0"/>
    <n v="0"/>
    <n v="0"/>
    <n v="0"/>
    <n v="0"/>
    <n v="0"/>
    <n v="0"/>
    <n v="0"/>
    <n v="0"/>
    <n v="0"/>
    <n v="0"/>
    <n v="0"/>
    <n v="0"/>
    <n v="0"/>
    <n v="0"/>
    <n v="0"/>
    <n v="0"/>
    <n v="0"/>
    <n v="0"/>
    <n v="0"/>
    <n v="0"/>
    <m/>
    <m/>
    <s v="Rest of Borough"/>
    <n v="11"/>
    <n v="0"/>
    <m/>
    <m/>
    <m/>
    <m/>
    <m/>
    <m/>
    <m/>
    <m/>
    <m/>
    <m/>
    <m/>
    <m/>
    <m/>
    <m/>
    <m/>
    <m/>
    <m/>
    <m/>
    <m/>
    <n v="0"/>
    <n v="0"/>
  </r>
  <r>
    <n v="5381"/>
    <x v="0"/>
    <s v="2020/2369"/>
    <s v="Battersea Bar/The Chopper, 58-70 York Road"/>
    <s v="Market"/>
    <n v="526820"/>
    <n v="176155"/>
    <s v="St Mary's"/>
    <d v="2018-11-26T00:00:00"/>
    <m/>
    <n v="0"/>
    <n v="55"/>
    <n v="55"/>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0"/>
    <x v="0"/>
    <n v="5.0999999999999997E-2"/>
    <d v="2018-11-26T00:00:00"/>
    <x v="0"/>
    <d v="2023-03-31T00:00:00"/>
    <s v="Open Market"/>
    <s v="M"/>
    <s v="10.14"/>
    <m/>
    <n v="0"/>
    <m/>
    <n v="0"/>
    <m/>
    <n v="1"/>
    <n v="15"/>
    <n v="33"/>
    <n v="6"/>
    <n v="0"/>
    <n v="0"/>
    <n v="0"/>
    <n v="1"/>
    <n v="15"/>
    <n v="33"/>
    <n v="6"/>
    <n v="0"/>
    <n v="0"/>
    <n v="0"/>
    <n v="0"/>
    <n v="0"/>
    <n v="0"/>
    <n v="0"/>
    <n v="0"/>
    <n v="0"/>
    <n v="0"/>
    <n v="0"/>
    <n v="0"/>
    <n v="0"/>
    <n v="0"/>
    <n v="0"/>
    <n v="0"/>
    <n v="0"/>
    <m/>
    <m/>
    <s v="Wandsworth riverside"/>
    <n v="1"/>
    <n v="55"/>
    <m/>
    <m/>
    <m/>
    <m/>
    <m/>
    <m/>
    <m/>
    <m/>
    <m/>
    <m/>
    <m/>
    <m/>
    <m/>
    <m/>
    <m/>
    <m/>
    <m/>
    <m/>
    <m/>
    <n v="0"/>
    <n v="0"/>
  </r>
  <r>
    <n v="5381"/>
    <x v="0"/>
    <s v="2020/2369"/>
    <s v="Battersea Bar/The Chopper, 58-70 York Road"/>
    <s v="ISL CO"/>
    <n v="526820"/>
    <n v="176155"/>
    <s v="St Mary's"/>
    <d v="2018-11-26T00:00:00"/>
    <m/>
    <n v="0"/>
    <n v="27"/>
    <n v="27"/>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0"/>
    <x v="0"/>
    <n v="2.5000000000000001E-2"/>
    <d v="2018-11-26T00:00:00"/>
    <x v="0"/>
    <d v="2023-03-31T00:00:00"/>
    <s v="Intermediate"/>
    <s v="ISL"/>
    <s v="10.14"/>
    <m/>
    <n v="0"/>
    <m/>
    <n v="0"/>
    <m/>
    <n v="0"/>
    <n v="13"/>
    <n v="12"/>
    <n v="2"/>
    <n v="0"/>
    <n v="0"/>
    <n v="0"/>
    <n v="0"/>
    <n v="13"/>
    <n v="12"/>
    <n v="2"/>
    <n v="0"/>
    <n v="0"/>
    <n v="0"/>
    <n v="0"/>
    <n v="0"/>
    <n v="0"/>
    <n v="0"/>
    <n v="0"/>
    <n v="0"/>
    <n v="0"/>
    <n v="0"/>
    <n v="0"/>
    <n v="0"/>
    <n v="0"/>
    <n v="0"/>
    <n v="0"/>
    <n v="0"/>
    <m/>
    <m/>
    <s v="Wandsworth riverside"/>
    <n v="1"/>
    <n v="27"/>
    <m/>
    <m/>
    <m/>
    <m/>
    <m/>
    <m/>
    <m/>
    <m/>
    <m/>
    <m/>
    <m/>
    <m/>
    <m/>
    <m/>
    <m/>
    <m/>
    <m/>
    <m/>
    <m/>
    <n v="0"/>
    <n v="0"/>
  </r>
  <r>
    <n v="7309"/>
    <x v="0"/>
    <s v="2019/4378"/>
    <s v="Apartments 5 &amp; 6, 2 Riverlight Quay (Riverlight)"/>
    <s v=""/>
    <n v="529462"/>
    <n v="177565"/>
    <s v="Nine Elms"/>
    <d v="2021-04-01T00:00:00"/>
    <d v="2022-04-01T00:00:00"/>
    <n v="2"/>
    <n v="1"/>
    <n v="-1"/>
    <n v="1"/>
    <n v="-1"/>
    <m/>
    <s v="The amalgamation of two adjacent two-bed units to create one four-bed unit."/>
    <s v="PF"/>
    <d v="2019-12-20T00:00:00"/>
    <d v="2020-02-11T00:00:00"/>
    <m/>
    <s v="Nil"/>
    <m/>
    <s v="BF"/>
    <s v="CON"/>
    <x v="2"/>
    <x v="9"/>
    <n v="2E-3"/>
    <d v="2021-04-01T00:00:00"/>
    <x v="0"/>
    <d v="2022-04-01T00:00:00"/>
    <s v="Open Market"/>
    <s v="M"/>
    <s v="2.1.9"/>
    <m/>
    <n v="0"/>
    <m/>
    <n v="0"/>
    <m/>
    <n v="0"/>
    <n v="0"/>
    <n v="-2"/>
    <n v="0"/>
    <n v="1"/>
    <n v="0"/>
    <n v="0"/>
    <n v="0"/>
    <n v="0"/>
    <n v="-2"/>
    <n v="0"/>
    <n v="1"/>
    <n v="0"/>
    <n v="0"/>
    <n v="0"/>
    <n v="0"/>
    <n v="0"/>
    <n v="0"/>
    <n v="0"/>
    <n v="0"/>
    <n v="0"/>
    <n v="0"/>
    <n v="0"/>
    <n v="0"/>
    <n v="0"/>
    <n v="0"/>
    <n v="0"/>
    <n v="0"/>
    <m/>
    <s v="Y"/>
    <s v="Nine Elms Vauxhall Opportunity Area"/>
    <n v="11"/>
    <n v="-1"/>
    <m/>
    <m/>
    <m/>
    <m/>
    <m/>
    <m/>
    <m/>
    <m/>
    <m/>
    <m/>
    <m/>
    <m/>
    <m/>
    <m/>
    <m/>
    <m/>
    <m/>
    <m/>
    <m/>
    <n v="0"/>
    <n v="0"/>
  </r>
  <r>
    <n v="3745"/>
    <x v="0"/>
    <s v="2018/0210"/>
    <s v="Land rear of 4-24, Thrale Road (Land rear of Mitcham Lane)"/>
    <s v="Block B"/>
    <n v="529291"/>
    <n v="171210"/>
    <s v="Furzedown"/>
    <d v="2020-11-01T00:00:00"/>
    <m/>
    <n v="0"/>
    <n v="6"/>
    <n v="6"/>
    <n v="22"/>
    <n v="22"/>
    <s v="Y"/>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m/>
    <s v="Nil"/>
    <m/>
    <s v="BF"/>
    <s v="NB"/>
    <x v="0"/>
    <x v="0"/>
    <n v="7.0999999999999994E-2"/>
    <d v="2020-11-01T00:00:00"/>
    <x v="0"/>
    <d v="2023-02-14T00:00:00"/>
    <s v="Open Market"/>
    <s v="M"/>
    <s v=""/>
    <m/>
    <n v="0"/>
    <m/>
    <n v="0"/>
    <m/>
    <n v="0"/>
    <n v="0"/>
    <n v="0"/>
    <n v="6"/>
    <n v="0"/>
    <n v="0"/>
    <n v="0"/>
    <n v="0"/>
    <n v="0"/>
    <n v="0"/>
    <n v="0"/>
    <n v="0"/>
    <n v="0"/>
    <n v="0"/>
    <n v="0"/>
    <n v="0"/>
    <n v="0"/>
    <n v="6"/>
    <n v="0"/>
    <n v="0"/>
    <n v="0"/>
    <n v="0"/>
    <n v="0"/>
    <n v="0"/>
    <n v="0"/>
    <n v="0"/>
    <n v="0"/>
    <n v="0"/>
    <m/>
    <m/>
    <s v="Rest of Borough"/>
    <n v="1"/>
    <n v="6"/>
    <m/>
    <m/>
    <m/>
    <m/>
    <m/>
    <m/>
    <m/>
    <m/>
    <m/>
    <m/>
    <m/>
    <m/>
    <m/>
    <m/>
    <m/>
    <m/>
    <m/>
    <m/>
    <m/>
    <n v="0"/>
    <n v="0"/>
  </r>
  <r>
    <n v="3745"/>
    <x v="0"/>
    <s v="2018/0210"/>
    <s v="Land rear of 4-24, Thrale Road (Land rear of Mitcham Lane)"/>
    <s v="Block C"/>
    <n v="529291"/>
    <n v="171210"/>
    <s v="Furzedown"/>
    <d v="2020-11-01T00:00:00"/>
    <m/>
    <n v="0"/>
    <n v="10"/>
    <n v="10"/>
    <n v="22"/>
    <n v="22"/>
    <s v="Y"/>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m/>
    <s v="Nil"/>
    <m/>
    <s v="BF"/>
    <s v="NB"/>
    <x v="0"/>
    <x v="0"/>
    <n v="0.08"/>
    <d v="2020-11-01T00:00:00"/>
    <x v="0"/>
    <d v="2022-12-09T00:00:00"/>
    <s v="Open Market"/>
    <s v="M"/>
    <s v=""/>
    <m/>
    <n v="0"/>
    <m/>
    <n v="0"/>
    <m/>
    <n v="0"/>
    <n v="4"/>
    <n v="6"/>
    <n v="0"/>
    <n v="0"/>
    <n v="0"/>
    <n v="0"/>
    <n v="0"/>
    <n v="4"/>
    <n v="6"/>
    <n v="0"/>
    <n v="0"/>
    <n v="0"/>
    <n v="0"/>
    <n v="0"/>
    <n v="0"/>
    <n v="0"/>
    <n v="0"/>
    <n v="0"/>
    <n v="0"/>
    <n v="0"/>
    <n v="0"/>
    <n v="0"/>
    <n v="0"/>
    <n v="0"/>
    <n v="0"/>
    <n v="0"/>
    <n v="0"/>
    <m/>
    <m/>
    <s v="Rest of Borough"/>
    <n v="1"/>
    <n v="10"/>
    <m/>
    <m/>
    <m/>
    <m/>
    <m/>
    <m/>
    <m/>
    <m/>
    <m/>
    <m/>
    <m/>
    <m/>
    <m/>
    <m/>
    <m/>
    <m/>
    <m/>
    <m/>
    <m/>
    <n v="0"/>
    <n v="0"/>
  </r>
  <r>
    <n v="2589"/>
    <x v="0"/>
    <s v="2021/0652"/>
    <s v="24 Southolm Street"/>
    <s v=""/>
    <n v="528730"/>
    <n v="176714"/>
    <s v="Shaftesbury &amp; Queenstown"/>
    <d v="2021-04-28T00:00:00"/>
    <d v="2022-06-13T00:00:00"/>
    <n v="1"/>
    <n v="0"/>
    <n v="-1"/>
    <n v="0"/>
    <n v="-1"/>
    <m/>
    <s v="Alterations including change of use from residential (Class C3) to 1 x 7-bedroom HMO (Class Sui Generis), replacement windows and bin store to front."/>
    <s v="PF"/>
    <d v="2021-03-11T00:00:00"/>
    <d v="2021-04-28T00:00:00"/>
    <m/>
    <s v="Nil"/>
    <m/>
    <s v="BF"/>
    <s v="COU"/>
    <x v="2"/>
    <x v="5"/>
    <n v="8.0000000000000002E-3"/>
    <d v="2021-04-28T00:00:00"/>
    <x v="0"/>
    <d v="2022-06-13T00:00:00"/>
    <s v="Open Market"/>
    <s v="M"/>
    <s v=""/>
    <m/>
    <n v="0"/>
    <m/>
    <n v="0"/>
    <m/>
    <n v="0"/>
    <n v="0"/>
    <n v="0"/>
    <n v="-1"/>
    <n v="0"/>
    <n v="0"/>
    <n v="0"/>
    <n v="0"/>
    <n v="0"/>
    <n v="0"/>
    <n v="0"/>
    <n v="0"/>
    <n v="0"/>
    <n v="0"/>
    <n v="0"/>
    <n v="0"/>
    <n v="0"/>
    <n v="-1"/>
    <n v="0"/>
    <n v="0"/>
    <n v="0"/>
    <n v="0"/>
    <n v="0"/>
    <n v="0"/>
    <n v="0"/>
    <n v="0"/>
    <n v="0"/>
    <n v="0"/>
    <m/>
    <s v="Y"/>
    <s v="Nine Elms Vauxhall Opportunity Area"/>
    <n v="11"/>
    <n v="-1"/>
    <m/>
    <m/>
    <m/>
    <m/>
    <m/>
    <m/>
    <m/>
    <m/>
    <m/>
    <m/>
    <m/>
    <m/>
    <m/>
    <m/>
    <m/>
    <m/>
    <m/>
    <m/>
    <m/>
    <n v="0"/>
    <n v="0"/>
  </r>
  <r>
    <n v="7289"/>
    <x v="0"/>
    <s v="2019/4774"/>
    <s v="62 Thrale Road"/>
    <s v="conv"/>
    <n v="529107"/>
    <n v="171539"/>
    <s v="Furzedown"/>
    <d v="2022-02-23T00:00:00"/>
    <d v="2023-01-04T00:00:00"/>
    <n v="4"/>
    <n v="4"/>
    <n v="0"/>
    <n v="6"/>
    <n v="2"/>
    <m/>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m/>
    <s v="Nil"/>
    <m/>
    <s v="BF"/>
    <s v="MIX"/>
    <x v="2"/>
    <x v="7"/>
    <n v="6.0999999999999999E-2"/>
    <d v="2022-02-23T00:00:00"/>
    <x v="0"/>
    <d v="2023-01-04T00:00:00"/>
    <s v="Open Market"/>
    <s v="M"/>
    <s v=""/>
    <m/>
    <n v="0"/>
    <m/>
    <n v="0"/>
    <m/>
    <n v="0"/>
    <n v="-2"/>
    <n v="1"/>
    <n v="1"/>
    <n v="0"/>
    <n v="0"/>
    <n v="0"/>
    <n v="0"/>
    <n v="-2"/>
    <n v="1"/>
    <n v="1"/>
    <n v="0"/>
    <n v="0"/>
    <n v="0"/>
    <n v="0"/>
    <n v="0"/>
    <n v="0"/>
    <n v="0"/>
    <n v="0"/>
    <n v="0"/>
    <n v="0"/>
    <n v="0"/>
    <n v="0"/>
    <n v="0"/>
    <n v="0"/>
    <n v="0"/>
    <n v="0"/>
    <n v="0"/>
    <m/>
    <m/>
    <s v="Rest of Borough"/>
    <n v="11"/>
    <n v="0"/>
    <m/>
    <m/>
    <m/>
    <m/>
    <m/>
    <m/>
    <m/>
    <m/>
    <m/>
    <m/>
    <m/>
    <m/>
    <m/>
    <m/>
    <m/>
    <m/>
    <m/>
    <m/>
    <m/>
    <n v="0"/>
    <n v="0"/>
  </r>
  <r>
    <n v="7289"/>
    <x v="0"/>
    <s v="2019/4774"/>
    <s v="62 Thrale Road"/>
    <s v="extn"/>
    <n v="529107"/>
    <n v="171539"/>
    <s v="Furzedown"/>
    <d v="2022-02-23T00:00:00"/>
    <d v="2023-01-04T00:00:00"/>
    <n v="0"/>
    <n v="2"/>
    <n v="2"/>
    <n v="6"/>
    <n v="2"/>
    <m/>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m/>
    <s v="Nil"/>
    <m/>
    <s v="BF"/>
    <s v="MIX"/>
    <x v="2"/>
    <x v="2"/>
    <n v="2.5999999999999999E-2"/>
    <d v="2022-02-23T00:00:00"/>
    <x v="0"/>
    <d v="2023-01-04T00:00:00"/>
    <s v="Open Market"/>
    <s v="M"/>
    <s v=""/>
    <m/>
    <n v="0"/>
    <m/>
    <n v="0"/>
    <m/>
    <n v="0"/>
    <n v="1"/>
    <n v="1"/>
    <n v="0"/>
    <n v="0"/>
    <n v="0"/>
    <n v="0"/>
    <n v="0"/>
    <n v="1"/>
    <n v="1"/>
    <n v="0"/>
    <n v="0"/>
    <n v="0"/>
    <n v="0"/>
    <n v="0"/>
    <n v="0"/>
    <n v="0"/>
    <n v="0"/>
    <n v="0"/>
    <n v="0"/>
    <n v="0"/>
    <n v="0"/>
    <n v="0"/>
    <n v="0"/>
    <n v="0"/>
    <n v="0"/>
    <n v="0"/>
    <n v="0"/>
    <m/>
    <m/>
    <s v="Rest of Borough"/>
    <n v="11"/>
    <n v="2"/>
    <m/>
    <m/>
    <m/>
    <m/>
    <m/>
    <m/>
    <m/>
    <m/>
    <m/>
    <m/>
    <m/>
    <m/>
    <m/>
    <m/>
    <m/>
    <m/>
    <m/>
    <m/>
    <m/>
    <n v="0"/>
    <n v="0"/>
  </r>
  <r>
    <n v="7619"/>
    <x v="0"/>
    <s v="2021/4546"/>
    <s v="4 Ellerton Road"/>
    <s v="house"/>
    <n v="526682"/>
    <n v="173430"/>
    <s v="Wandsworth Common"/>
    <d v="2022-04-01T00:00:00"/>
    <d v="2022-12-07T00:00:00"/>
    <n v="2"/>
    <n v="1"/>
    <n v="-1"/>
    <n v="1"/>
    <n v="-1"/>
    <m/>
    <s v="Alterations in connection with the use of two flats as a single dwelling house."/>
    <s v="PF"/>
    <d v="2021-10-13T00:00:00"/>
    <d v="2021-11-30T00:00:00"/>
    <m/>
    <s v="Nil"/>
    <m/>
    <s v="BF"/>
    <s v="CON"/>
    <x v="2"/>
    <x v="8"/>
    <n v="6.7666599999999999E-3"/>
    <d v="2022-04-01T00:00:00"/>
    <x v="1"/>
    <d v="2022-12-07T00:00:00"/>
    <s v="Open Market"/>
    <s v="M"/>
    <s v=""/>
    <m/>
    <n v="0"/>
    <m/>
    <n v="0"/>
    <m/>
    <n v="0"/>
    <n v="0"/>
    <n v="-1"/>
    <n v="0"/>
    <n v="-1"/>
    <n v="1"/>
    <n v="0"/>
    <n v="0"/>
    <n v="0"/>
    <n v="-1"/>
    <n v="0"/>
    <n v="-1"/>
    <n v="0"/>
    <n v="0"/>
    <n v="0"/>
    <n v="0"/>
    <n v="0"/>
    <n v="0"/>
    <n v="0"/>
    <n v="1"/>
    <n v="0"/>
    <n v="0"/>
    <n v="0"/>
    <n v="0"/>
    <n v="0"/>
    <n v="0"/>
    <n v="0"/>
    <n v="0"/>
    <m/>
    <m/>
    <s v="Rest of Borough"/>
    <n v="11"/>
    <n v="-1"/>
    <m/>
    <m/>
    <m/>
    <m/>
    <m/>
    <m/>
    <m/>
    <m/>
    <m/>
    <m/>
    <m/>
    <m/>
    <m/>
    <m/>
    <m/>
    <m/>
    <m/>
    <m/>
    <m/>
    <n v="0"/>
    <n v="0"/>
  </r>
  <r>
    <n v="7630"/>
    <x v="0"/>
    <s v="2021/1458"/>
    <s v="Apartments 82 &amp; 83 &amp; 84, 1 Riverlight Quay (Riverlight)"/>
    <s v=""/>
    <n v="529505"/>
    <n v="177593"/>
    <s v="Nine Elms"/>
    <d v="2022-08-09T00:00:00"/>
    <d v="2022-08-09T00:00:00"/>
    <n v="2"/>
    <n v="1"/>
    <n v="-1"/>
    <n v="1"/>
    <n v="-1"/>
    <m/>
    <s v="The amalgamation of two adjacent two-bed units to create one threebed unit and extension of the unit to incorporate 2 sqm of the communal hallway"/>
    <s v="PF"/>
    <d v="2021-03-26T00:00:00"/>
    <d v="2021-09-02T00:00:00"/>
    <m/>
    <s v="Nil"/>
    <m/>
    <s v="BF"/>
    <s v="CON"/>
    <x v="2"/>
    <x v="9"/>
    <n v="1.89E-2"/>
    <d v="2022-08-09T00:00:00"/>
    <x v="1"/>
    <d v="2022-08-09T00:00:00"/>
    <s v="Open Market"/>
    <s v="M"/>
    <s v="2.1.9"/>
    <m/>
    <n v="0"/>
    <m/>
    <n v="0"/>
    <m/>
    <n v="0"/>
    <n v="0"/>
    <n v="-2"/>
    <n v="1"/>
    <n v="0"/>
    <n v="0"/>
    <n v="0"/>
    <n v="0"/>
    <n v="0"/>
    <n v="-2"/>
    <n v="1"/>
    <n v="0"/>
    <n v="0"/>
    <n v="0"/>
    <n v="0"/>
    <n v="0"/>
    <n v="0"/>
    <n v="0"/>
    <n v="0"/>
    <n v="0"/>
    <n v="0"/>
    <n v="0"/>
    <n v="0"/>
    <n v="0"/>
    <n v="0"/>
    <n v="0"/>
    <n v="0"/>
    <n v="0"/>
    <m/>
    <s v="Y"/>
    <s v="Nine Elms Vauxhall Opportunity Area"/>
    <n v="11"/>
    <n v="-1"/>
    <m/>
    <m/>
    <m/>
    <m/>
    <m/>
    <m/>
    <m/>
    <m/>
    <m/>
    <m/>
    <m/>
    <m/>
    <m/>
    <m/>
    <m/>
    <m/>
    <m/>
    <m/>
    <m/>
    <n v="0"/>
    <n v="0"/>
  </r>
  <r>
    <n v="5812"/>
    <x v="0"/>
    <s v="2015/4504"/>
    <s v="46 Ponton Road (Lexington Gardens)"/>
    <s v="Block A"/>
    <n v="529628"/>
    <n v="177338"/>
    <s v="Nine Elms"/>
    <d v="2017-02-27T00:00:00"/>
    <m/>
    <n v="0"/>
    <n v="126"/>
    <n v="126"/>
    <n v="357"/>
    <n v="357"/>
    <s v="Y"/>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m/>
    <s v="Nil"/>
    <m/>
    <s v="BF"/>
    <s v="NB"/>
    <x v="0"/>
    <x v="0"/>
    <n v="0.2"/>
    <d v="2017-02-27T00:00:00"/>
    <x v="0"/>
    <d v="2022-04-01T00:00:00"/>
    <s v="Open Market"/>
    <s v="M"/>
    <s v="2.1.20"/>
    <m/>
    <n v="126"/>
    <m/>
    <n v="12"/>
    <m/>
    <n v="9"/>
    <n v="12"/>
    <n v="97"/>
    <n v="8"/>
    <n v="0"/>
    <n v="0"/>
    <n v="0"/>
    <n v="9"/>
    <n v="12"/>
    <n v="97"/>
    <n v="8"/>
    <n v="0"/>
    <n v="0"/>
    <n v="0"/>
    <n v="0"/>
    <n v="0"/>
    <n v="0"/>
    <n v="0"/>
    <n v="0"/>
    <n v="0"/>
    <n v="0"/>
    <n v="0"/>
    <n v="0"/>
    <n v="0"/>
    <n v="0"/>
    <n v="0"/>
    <n v="0"/>
    <n v="0"/>
    <m/>
    <s v="Y"/>
    <s v="Nine Elms Vauxhall Opportunity Area"/>
    <n v="1"/>
    <n v="126"/>
    <m/>
    <m/>
    <m/>
    <m/>
    <m/>
    <m/>
    <m/>
    <m/>
    <m/>
    <m/>
    <m/>
    <m/>
    <m/>
    <m/>
    <m/>
    <m/>
    <m/>
    <m/>
    <m/>
    <n v="0"/>
    <n v="0"/>
  </r>
  <r>
    <n v="6657"/>
    <x v="0"/>
    <s v="2021/1291"/>
    <s v="Brocklebank Health Centre, 249 Garratt Lane (and others), 229-247 Garratt Lane (Garratt Lane and Atheldene Regeneration Site)"/>
    <s v="Phase 1 (Houses) 2x replacement"/>
    <n v="525999"/>
    <n v="173647"/>
    <s v="Wandle"/>
    <d v="2022-01-20T00:00:00"/>
    <m/>
    <n v="0"/>
    <n v="2"/>
    <n v="2"/>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2E-3"/>
    <d v="2022-01-20T00:00:00"/>
    <x v="0"/>
    <d v="2022-12-07T00:00:00"/>
    <s v="Open Market"/>
    <s v="M"/>
    <s v=""/>
    <m/>
    <n v="0"/>
    <n v="2"/>
    <n v="0"/>
    <m/>
    <n v="0"/>
    <n v="0"/>
    <n v="0"/>
    <n v="2"/>
    <n v="0"/>
    <n v="0"/>
    <n v="0"/>
    <n v="0"/>
    <n v="0"/>
    <n v="0"/>
    <n v="0"/>
    <n v="0"/>
    <n v="0"/>
    <n v="0"/>
    <n v="0"/>
    <n v="0"/>
    <n v="0"/>
    <n v="2"/>
    <n v="0"/>
    <n v="0"/>
    <n v="0"/>
    <n v="0"/>
    <n v="0"/>
    <n v="0"/>
    <n v="0"/>
    <n v="0"/>
    <n v="0"/>
    <n v="0"/>
    <m/>
    <m/>
    <s v="Rest of Borough"/>
    <n v="1"/>
    <n v="2"/>
    <m/>
    <m/>
    <m/>
    <m/>
    <m/>
    <m/>
    <m/>
    <m/>
    <m/>
    <m/>
    <m/>
    <m/>
    <m/>
    <m/>
    <m/>
    <m/>
    <m/>
    <m/>
    <m/>
    <n v="0"/>
    <n v="0"/>
  </r>
  <r>
    <n v="3521"/>
    <x v="0"/>
    <s v="2021/5678"/>
    <s v="Peabody Estate, St Johns Hill"/>
    <s v="Phase 1 [Tenure Change to Existing]"/>
    <n v="527156"/>
    <n v="175243"/>
    <s v="Lavender"/>
    <d v="2022-11-03T00:00:00"/>
    <m/>
    <n v="8"/>
    <n v="8"/>
    <n v="0"/>
    <n v="315"/>
    <n v="307"/>
    <s v="Y"/>
    <s v="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_x000a_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
    <s v="S73"/>
    <d v="2021-12-17T00:00:00"/>
    <d v="2022-11-03T00:00:00"/>
    <s v="Y"/>
    <s v="Nil"/>
    <m/>
    <s v="BF"/>
    <s v="MIX"/>
    <x v="4"/>
    <x v="0"/>
    <n v="0"/>
    <d v="2022-11-03T00:00:00"/>
    <x v="1"/>
    <d v="2022-11-03T00:00:00"/>
    <s v="Intermediate"/>
    <s v="ISO"/>
    <s v="4.1.5"/>
    <m/>
    <n v="0"/>
    <m/>
    <n v="0"/>
    <m/>
    <n v="0"/>
    <n v="0"/>
    <n v="0"/>
    <n v="0"/>
    <n v="0"/>
    <n v="0"/>
    <n v="0"/>
    <n v="0"/>
    <n v="0"/>
    <n v="0"/>
    <n v="0"/>
    <n v="0"/>
    <n v="0"/>
    <n v="0"/>
    <n v="0"/>
    <n v="0"/>
    <n v="0"/>
    <n v="0"/>
    <n v="0"/>
    <n v="0"/>
    <n v="0"/>
    <n v="0"/>
    <n v="0"/>
    <n v="0"/>
    <n v="0"/>
    <n v="0"/>
    <n v="0"/>
    <n v="0"/>
    <m/>
    <m/>
    <s v="Clapham Junction Spatial Area Strategy"/>
    <n v="11"/>
    <n v="0"/>
    <m/>
    <m/>
    <m/>
    <m/>
    <m/>
    <m/>
    <m/>
    <m/>
    <m/>
    <m/>
    <m/>
    <m/>
    <m/>
    <m/>
    <m/>
    <m/>
    <m/>
    <m/>
    <m/>
    <n v="0"/>
    <n v="0"/>
  </r>
  <r>
    <n v="3521"/>
    <x v="0"/>
    <s v="2017/5837"/>
    <s v="Peabody Estate, St Johns Hill"/>
    <s v="Phase 2"/>
    <n v="527156"/>
    <n v="175243"/>
    <s v="Lavender"/>
    <d v="2020-02-01T00:00:00"/>
    <m/>
    <n v="0"/>
    <n v="109"/>
    <n v="109"/>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0"/>
    <x v="0"/>
    <n v="0.54500000000000004"/>
    <d v="2020-02-01T00:00:00"/>
    <x v="0"/>
    <d v="2023-03-31T00:00:00"/>
    <s v="Social/Affordable Rent"/>
    <s v="AS"/>
    <s v="4.1.5"/>
    <m/>
    <n v="109"/>
    <m/>
    <n v="0"/>
    <m/>
    <n v="0"/>
    <n v="31"/>
    <n v="52"/>
    <n v="25"/>
    <n v="1"/>
    <n v="0"/>
    <n v="0"/>
    <n v="0"/>
    <n v="31"/>
    <n v="52"/>
    <n v="25"/>
    <n v="1"/>
    <n v="0"/>
    <n v="0"/>
    <n v="0"/>
    <n v="0"/>
    <n v="0"/>
    <n v="0"/>
    <n v="0"/>
    <n v="0"/>
    <n v="0"/>
    <n v="0"/>
    <n v="0"/>
    <n v="0"/>
    <n v="0"/>
    <n v="0"/>
    <n v="0"/>
    <n v="0"/>
    <m/>
    <m/>
    <s v="Clapham Junction Spatial Area Strategy"/>
    <n v="1"/>
    <n v="109"/>
    <m/>
    <m/>
    <m/>
    <m/>
    <m/>
    <m/>
    <m/>
    <m/>
    <m/>
    <m/>
    <m/>
    <m/>
    <m/>
    <m/>
    <m/>
    <m/>
    <m/>
    <m/>
    <m/>
    <n v="0"/>
    <n v="0"/>
  </r>
  <r>
    <n v="3521"/>
    <x v="0"/>
    <s v="2017/5837"/>
    <s v="Peabody Estate, St Johns Hill"/>
    <s v="Phase 2"/>
    <n v="527156"/>
    <n v="175243"/>
    <s v="Lavender"/>
    <d v="2020-02-01T00:00:00"/>
    <m/>
    <n v="0"/>
    <n v="54"/>
    <n v="54"/>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0"/>
    <x v="0"/>
    <n v="0.27"/>
    <d v="2020-02-01T00:00:00"/>
    <x v="0"/>
    <d v="2023-03-31T00:00:00"/>
    <s v="Social/Affordable Rent"/>
    <s v="AS"/>
    <s v="4.1.5"/>
    <m/>
    <n v="54"/>
    <m/>
    <n v="0"/>
    <m/>
    <n v="0"/>
    <n v="54"/>
    <n v="0"/>
    <n v="0"/>
    <n v="0"/>
    <n v="0"/>
    <n v="0"/>
    <n v="0"/>
    <n v="54"/>
    <n v="0"/>
    <n v="0"/>
    <n v="0"/>
    <n v="0"/>
    <n v="0"/>
    <n v="0"/>
    <n v="0"/>
    <n v="0"/>
    <n v="0"/>
    <n v="0"/>
    <n v="0"/>
    <n v="0"/>
    <n v="0"/>
    <n v="0"/>
    <n v="0"/>
    <n v="0"/>
    <n v="0"/>
    <n v="0"/>
    <n v="0"/>
    <m/>
    <m/>
    <s v="Clapham Junction Spatial Area Strategy"/>
    <n v="1"/>
    <n v="54"/>
    <m/>
    <m/>
    <m/>
    <m/>
    <m/>
    <m/>
    <m/>
    <m/>
    <m/>
    <m/>
    <m/>
    <m/>
    <m/>
    <m/>
    <m/>
    <m/>
    <m/>
    <m/>
    <m/>
    <n v="0"/>
    <n v="0"/>
  </r>
  <r>
    <n v="3521"/>
    <x v="0"/>
    <s v="2017/5837"/>
    <s v="Peabody Estate, St Johns Hill"/>
    <s v="Phase 2"/>
    <n v="527156"/>
    <n v="175243"/>
    <s v="Lavender"/>
    <d v="2020-02-01T00:00:00"/>
    <m/>
    <n v="0"/>
    <n v="35"/>
    <n v="35"/>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0"/>
    <x v="0"/>
    <n v="0.17499999999999999"/>
    <d v="2020-02-01T00:00:00"/>
    <x v="0"/>
    <d v="2023-03-31T00:00:00"/>
    <s v="Intermediate"/>
    <s v="IR"/>
    <s v="4.1.5"/>
    <m/>
    <n v="35"/>
    <m/>
    <n v="0"/>
    <m/>
    <n v="0"/>
    <n v="18"/>
    <n v="13"/>
    <n v="4"/>
    <n v="0"/>
    <n v="0"/>
    <n v="0"/>
    <n v="0"/>
    <n v="18"/>
    <n v="13"/>
    <n v="4"/>
    <n v="0"/>
    <n v="0"/>
    <n v="0"/>
    <n v="0"/>
    <n v="0"/>
    <n v="0"/>
    <n v="0"/>
    <n v="0"/>
    <n v="0"/>
    <n v="0"/>
    <n v="0"/>
    <n v="0"/>
    <n v="0"/>
    <n v="0"/>
    <n v="0"/>
    <n v="0"/>
    <n v="0"/>
    <m/>
    <m/>
    <s v="Clapham Junction Spatial Area Strategy"/>
    <n v="1"/>
    <n v="35"/>
    <m/>
    <m/>
    <m/>
    <m/>
    <m/>
    <m/>
    <m/>
    <m/>
    <m/>
    <m/>
    <m/>
    <m/>
    <m/>
    <m/>
    <m/>
    <m/>
    <m/>
    <m/>
    <m/>
    <n v="0"/>
    <n v="0"/>
  </r>
  <r>
    <n v="3521"/>
    <x v="0"/>
    <s v="2017/5837"/>
    <s v="Peabody Estate, St Johns Hill"/>
    <s v="Phase 2"/>
    <n v="527156"/>
    <n v="175243"/>
    <s v="Lavender"/>
    <d v="2020-02-01T00:00:00"/>
    <m/>
    <n v="97"/>
    <n v="0"/>
    <n v="-97"/>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0"/>
    <x v="0"/>
    <n v="0"/>
    <d v="2020-02-01T00:00:00"/>
    <x v="0"/>
    <d v="2023-03-31T00:00:00"/>
    <s v="Social/Affordable Rent"/>
    <s v="AS"/>
    <s v="4.1.5"/>
    <m/>
    <n v="0"/>
    <m/>
    <n v="0"/>
    <m/>
    <n v="-2"/>
    <n v="-31"/>
    <n v="-39"/>
    <n v="-25"/>
    <n v="0"/>
    <n v="0"/>
    <n v="0"/>
    <n v="-2"/>
    <n v="-31"/>
    <n v="-39"/>
    <n v="-25"/>
    <n v="0"/>
    <n v="0"/>
    <n v="0"/>
    <n v="0"/>
    <n v="0"/>
    <n v="0"/>
    <n v="0"/>
    <n v="0"/>
    <n v="0"/>
    <n v="0"/>
    <n v="0"/>
    <n v="0"/>
    <n v="0"/>
    <n v="0"/>
    <n v="0"/>
    <n v="0"/>
    <n v="0"/>
    <m/>
    <m/>
    <s v="Clapham Junction Spatial Area Strategy"/>
    <n v="1"/>
    <n v="-97"/>
    <m/>
    <m/>
    <m/>
    <m/>
    <m/>
    <m/>
    <m/>
    <m/>
    <m/>
    <m/>
    <m/>
    <m/>
    <m/>
    <m/>
    <m/>
    <m/>
    <m/>
    <m/>
    <m/>
    <n v="0"/>
    <n v="0"/>
  </r>
  <r>
    <n v="3521"/>
    <x v="0"/>
    <s v="2017/5837"/>
    <s v="Peabody Estate, St Johns Hill"/>
    <s v="Phase 2"/>
    <n v="527156"/>
    <n v="175243"/>
    <s v="Lavender"/>
    <d v="2020-02-01T00:00:00"/>
    <m/>
    <n v="61"/>
    <n v="0"/>
    <n v="-61"/>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0"/>
    <x v="0"/>
    <n v="0"/>
    <d v="2020-02-01T00:00:00"/>
    <x v="0"/>
    <d v="2023-03-31T00:00:00"/>
    <s v="Open Market"/>
    <s v="M"/>
    <s v="4.1.5"/>
    <m/>
    <n v="0"/>
    <m/>
    <n v="0"/>
    <m/>
    <n v="-1"/>
    <n v="-26"/>
    <n v="-26"/>
    <n v="-7"/>
    <n v="-1"/>
    <n v="0"/>
    <n v="0"/>
    <n v="-1"/>
    <n v="-26"/>
    <n v="-26"/>
    <n v="-7"/>
    <n v="-1"/>
    <n v="0"/>
    <n v="0"/>
    <n v="0"/>
    <n v="0"/>
    <n v="0"/>
    <n v="0"/>
    <n v="0"/>
    <n v="0"/>
    <n v="0"/>
    <n v="0"/>
    <n v="0"/>
    <n v="0"/>
    <n v="0"/>
    <n v="0"/>
    <n v="0"/>
    <n v="0"/>
    <m/>
    <m/>
    <s v="Clapham Junction Spatial Area Strategy"/>
    <n v="1"/>
    <n v="-61"/>
    <m/>
    <m/>
    <m/>
    <m/>
    <m/>
    <m/>
    <m/>
    <m/>
    <m/>
    <m/>
    <m/>
    <m/>
    <m/>
    <m/>
    <m/>
    <m/>
    <m/>
    <m/>
    <m/>
    <n v="0"/>
    <n v="0"/>
  </r>
  <r>
    <n v="3514"/>
    <x v="0"/>
    <s v="2016/6417"/>
    <s v="Battersea Gasholder, 101 Prince of Wales Drive"/>
    <s v="Block C-ii"/>
    <n v="528809"/>
    <n v="177181"/>
    <s v="Nine Elms"/>
    <d v="2016-10-19T00:00:00"/>
    <m/>
    <n v="0"/>
    <n v="27"/>
    <n v="27"/>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x v="0"/>
    <x v="0"/>
    <n v="4.7E-2"/>
    <d v="2016-10-19T00:00:00"/>
    <x v="0"/>
    <d v="2022-06-19T00:00:00"/>
    <s v="Open Market"/>
    <s v="M"/>
    <s v="2.1.4"/>
    <m/>
    <n v="27"/>
    <m/>
    <n v="2"/>
    <m/>
    <n v="0"/>
    <n v="0"/>
    <n v="17"/>
    <n v="10"/>
    <n v="0"/>
    <n v="0"/>
    <n v="0"/>
    <n v="0"/>
    <n v="0"/>
    <n v="17"/>
    <n v="10"/>
    <n v="0"/>
    <n v="0"/>
    <n v="0"/>
    <n v="0"/>
    <n v="0"/>
    <n v="0"/>
    <n v="0"/>
    <n v="0"/>
    <n v="0"/>
    <n v="0"/>
    <n v="0"/>
    <n v="0"/>
    <n v="0"/>
    <n v="0"/>
    <n v="0"/>
    <n v="0"/>
    <n v="0"/>
    <m/>
    <s v="Y"/>
    <s v="Nine Elms Vauxhall Opportunity Area"/>
    <n v="1"/>
    <n v="27"/>
    <m/>
    <m/>
    <m/>
    <m/>
    <m/>
    <m/>
    <m/>
    <m/>
    <m/>
    <m/>
    <m/>
    <m/>
    <m/>
    <m/>
    <m/>
    <m/>
    <m/>
    <m/>
    <m/>
    <n v="0"/>
    <n v="0"/>
  </r>
  <r>
    <n v="3511"/>
    <x v="1"/>
    <s v="2023/0176"/>
    <s v="New Covent Garden Market, Nine Elms Lane (Combined Main Market, Entrance site and Thessaly College site)"/>
    <s v="Apex 1"/>
    <n v="529369"/>
    <n v="177317"/>
    <s v="Nine Elms"/>
    <d v="2017-03-31T00:00:00"/>
    <m/>
    <n v="0"/>
    <n v="201"/>
    <n v="201"/>
    <n v="201"/>
    <n v="201"/>
    <s v="Y"/>
    <s v="Application under Section 96a of the Town and Country Planning Act 1990 for &quot;non-material&quot; amendments to Condition 1 (revised drawings with design amendments to introduce a second staircore with consequential amendments to unit layouts, mix and elevations) of Reserved Matters application ref. 2021/5032 dated 4th March 2022."/>
    <s v="PF"/>
    <d v="2023-01-17T00:00:00"/>
    <d v="2023-02-06T00:00:00"/>
    <s v="Y"/>
    <s v="Nil"/>
    <m/>
    <s v="BF"/>
    <s v="NB"/>
    <x v="0"/>
    <x v="0"/>
    <n v="6.5383999999999998E-2"/>
    <m/>
    <x v="0"/>
    <m/>
    <s v="Open Market"/>
    <s v="M"/>
    <s v="2.1.27"/>
    <m/>
    <n v="0"/>
    <n v="181"/>
    <n v="0"/>
    <n v="20"/>
    <n v="34"/>
    <n v="70"/>
    <n v="87"/>
    <n v="10"/>
    <n v="0"/>
    <n v="0"/>
    <n v="0"/>
    <n v="34"/>
    <n v="70"/>
    <n v="87"/>
    <n v="10"/>
    <n v="0"/>
    <n v="0"/>
    <n v="0"/>
    <n v="0"/>
    <n v="0"/>
    <n v="0"/>
    <n v="0"/>
    <n v="0"/>
    <n v="0"/>
    <n v="0"/>
    <n v="0"/>
    <n v="0"/>
    <n v="0"/>
    <n v="0"/>
    <n v="0"/>
    <n v="0"/>
    <n v="0"/>
    <m/>
    <s v="Y"/>
    <s v="Nine Elms Vauxhall Opportunity Area"/>
    <n v="8"/>
    <m/>
    <m/>
    <m/>
    <m/>
    <n v="201"/>
    <m/>
    <m/>
    <m/>
    <m/>
    <m/>
    <m/>
    <m/>
    <m/>
    <m/>
    <m/>
    <m/>
    <m/>
    <m/>
    <m/>
    <m/>
    <n v="201"/>
    <n v="201"/>
  </r>
  <r>
    <n v="2502"/>
    <x v="0"/>
    <s v="2020/1779"/>
    <s v="Springfield Hospital site, 61 Glenburnie Road"/>
    <s v="Phase 5A - Block B1A"/>
    <n v="527221"/>
    <n v="172443"/>
    <s v="Wandsworth Common"/>
    <d v="2021-03-31T00:00:00"/>
    <m/>
    <n v="0"/>
    <n v="14"/>
    <n v="1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0.13500000000000001"/>
    <d v="2021-03-31T00:00:00"/>
    <x v="0"/>
    <d v="2023-03-31T00:00:00"/>
    <s v="Social/Affordable Rent"/>
    <s v="AA"/>
    <s v="9.1"/>
    <m/>
    <n v="0"/>
    <m/>
    <n v="0"/>
    <m/>
    <n v="0"/>
    <n v="4"/>
    <n v="4"/>
    <n v="6"/>
    <n v="0"/>
    <n v="0"/>
    <n v="0"/>
    <n v="0"/>
    <n v="4"/>
    <n v="4"/>
    <n v="6"/>
    <n v="0"/>
    <n v="0"/>
    <n v="0"/>
    <n v="0"/>
    <n v="0"/>
    <n v="0"/>
    <n v="0"/>
    <n v="0"/>
    <n v="0"/>
    <n v="0"/>
    <n v="0"/>
    <n v="0"/>
    <n v="0"/>
    <n v="0"/>
    <n v="0"/>
    <n v="0"/>
    <n v="0"/>
    <m/>
    <m/>
    <s v="Rest of Borough"/>
    <n v="1"/>
    <n v="14"/>
    <m/>
    <m/>
    <m/>
    <m/>
    <m/>
    <m/>
    <m/>
    <m/>
    <m/>
    <m/>
    <m/>
    <m/>
    <m/>
    <m/>
    <m/>
    <m/>
    <m/>
    <m/>
    <m/>
    <n v="0"/>
    <n v="0"/>
  </r>
  <r>
    <n v="2502"/>
    <x v="0"/>
    <s v="2020/1779"/>
    <s v="Springfield Hospital site, 61 Glenburnie Road"/>
    <s v="Phase 5A - Block B1B"/>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3.9E-2"/>
    <d v="2021-03-31T00:00:00"/>
    <x v="0"/>
    <d v="2023-03-31T00:00:00"/>
    <s v="Social/Affordable Rent"/>
    <s v="AA"/>
    <s v="9.1"/>
    <m/>
    <n v="0"/>
    <m/>
    <n v="0"/>
    <m/>
    <n v="0"/>
    <n v="0"/>
    <n v="1"/>
    <n v="3"/>
    <n v="0"/>
    <n v="0"/>
    <n v="0"/>
    <n v="0"/>
    <n v="0"/>
    <n v="0"/>
    <n v="0"/>
    <n v="0"/>
    <n v="0"/>
    <n v="0"/>
    <n v="0"/>
    <n v="0"/>
    <n v="1"/>
    <n v="3"/>
    <n v="0"/>
    <n v="0"/>
    <n v="0"/>
    <n v="0"/>
    <n v="0"/>
    <n v="0"/>
    <n v="0"/>
    <n v="0"/>
    <n v="0"/>
    <n v="0"/>
    <m/>
    <m/>
    <s v="Rest of Borough"/>
    <n v="1"/>
    <n v="4"/>
    <m/>
    <m/>
    <m/>
    <m/>
    <m/>
    <m/>
    <m/>
    <m/>
    <m/>
    <m/>
    <m/>
    <m/>
    <m/>
    <m/>
    <m/>
    <m/>
    <m/>
    <m/>
    <m/>
    <n v="0"/>
    <n v="0"/>
  </r>
  <r>
    <n v="2502"/>
    <x v="0"/>
    <s v="2020/1779"/>
    <s v="Springfield Hospital site, 61 Glenburnie Road"/>
    <s v="Phase 5A - Block B1C"/>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3.9E-2"/>
    <d v="2021-03-31T00:00:00"/>
    <x v="0"/>
    <d v="2023-03-31T00:00:00"/>
    <s v="Social/Affordable Rent"/>
    <s v="AA"/>
    <s v="9.1"/>
    <m/>
    <n v="0"/>
    <m/>
    <n v="0"/>
    <m/>
    <n v="0"/>
    <n v="0"/>
    <n v="1"/>
    <n v="3"/>
    <n v="0"/>
    <n v="0"/>
    <n v="0"/>
    <n v="0"/>
    <n v="0"/>
    <n v="0"/>
    <n v="0"/>
    <n v="0"/>
    <n v="0"/>
    <n v="0"/>
    <n v="0"/>
    <n v="0"/>
    <n v="1"/>
    <n v="3"/>
    <n v="0"/>
    <n v="0"/>
    <n v="0"/>
    <n v="0"/>
    <n v="0"/>
    <n v="0"/>
    <n v="0"/>
    <n v="0"/>
    <n v="0"/>
    <n v="0"/>
    <m/>
    <m/>
    <s v="Rest of Borough"/>
    <n v="1"/>
    <n v="4"/>
    <m/>
    <m/>
    <m/>
    <m/>
    <m/>
    <m/>
    <m/>
    <m/>
    <m/>
    <m/>
    <m/>
    <m/>
    <m/>
    <m/>
    <m/>
    <m/>
    <m/>
    <m/>
    <m/>
    <n v="0"/>
    <n v="0"/>
  </r>
  <r>
    <n v="2502"/>
    <x v="0"/>
    <s v="2020/1779"/>
    <s v="Springfield Hospital site, 61 Glenburnie Road"/>
    <s v="Phase 5A - Block C2A"/>
    <n v="527221"/>
    <n v="172443"/>
    <s v="Wandsworth Common"/>
    <d v="2021-03-31T00:00:00"/>
    <m/>
    <n v="0"/>
    <n v="18"/>
    <n v="1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0.17399999999999999"/>
    <d v="2021-03-31T00:00:00"/>
    <x v="0"/>
    <d v="2023-03-31T00:00:00"/>
    <s v="Open Market"/>
    <s v="M"/>
    <s v="9.1"/>
    <m/>
    <n v="0"/>
    <m/>
    <n v="18"/>
    <m/>
    <n v="0"/>
    <n v="6"/>
    <n v="3"/>
    <n v="9"/>
    <n v="0"/>
    <n v="0"/>
    <n v="0"/>
    <n v="0"/>
    <n v="6"/>
    <n v="3"/>
    <n v="9"/>
    <n v="0"/>
    <n v="0"/>
    <n v="0"/>
    <n v="0"/>
    <n v="0"/>
    <n v="0"/>
    <n v="0"/>
    <n v="0"/>
    <n v="0"/>
    <n v="0"/>
    <n v="0"/>
    <n v="0"/>
    <n v="0"/>
    <n v="0"/>
    <n v="0"/>
    <n v="0"/>
    <n v="0"/>
    <m/>
    <m/>
    <s v="Rest of Borough"/>
    <n v="1"/>
    <n v="18"/>
    <m/>
    <m/>
    <m/>
    <m/>
    <m/>
    <m/>
    <m/>
    <m/>
    <m/>
    <m/>
    <m/>
    <m/>
    <m/>
    <m/>
    <m/>
    <m/>
    <m/>
    <m/>
    <m/>
    <n v="0"/>
    <n v="0"/>
  </r>
  <r>
    <n v="2502"/>
    <x v="0"/>
    <s v="2020/1779"/>
    <s v="Springfield Hospital site, 61 Glenburnie Road"/>
    <s v="Phase 5A - Block C2A"/>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1.9E-2"/>
    <d v="2021-03-31T00:00:00"/>
    <x v="0"/>
    <d v="2023-03-31T00:00:00"/>
    <s v="Intermediate"/>
    <s v="ISO"/>
    <s v="9.1"/>
    <m/>
    <n v="0"/>
    <m/>
    <n v="1"/>
    <m/>
    <n v="0"/>
    <n v="0"/>
    <n v="2"/>
    <n v="0"/>
    <n v="0"/>
    <n v="0"/>
    <n v="0"/>
    <n v="0"/>
    <n v="0"/>
    <n v="2"/>
    <n v="0"/>
    <n v="0"/>
    <n v="0"/>
    <n v="0"/>
    <n v="0"/>
    <n v="0"/>
    <n v="0"/>
    <n v="0"/>
    <n v="0"/>
    <n v="0"/>
    <n v="0"/>
    <n v="0"/>
    <n v="0"/>
    <n v="0"/>
    <n v="0"/>
    <n v="0"/>
    <n v="0"/>
    <n v="0"/>
    <m/>
    <m/>
    <s v="Rest of Borough"/>
    <n v="1"/>
    <n v="2"/>
    <m/>
    <m/>
    <m/>
    <m/>
    <m/>
    <m/>
    <m/>
    <m/>
    <m/>
    <m/>
    <m/>
    <m/>
    <m/>
    <m/>
    <m/>
    <m/>
    <m/>
    <m/>
    <m/>
    <n v="0"/>
    <n v="0"/>
  </r>
  <r>
    <n v="2502"/>
    <x v="0"/>
    <s v="2020/1780"/>
    <s v="Springfield Hospital site, 61 Glenburnie Road"/>
    <s v="Phase 5B - Block L"/>
    <n v="527221"/>
    <n v="172443"/>
    <s v="Wandsworth Common"/>
    <d v="2021-03-31T00:00:00"/>
    <d v="2023-03-31T00:00:00"/>
    <n v="0"/>
    <n v="49"/>
    <n v="49"/>
    <n v="71"/>
    <n v="71"/>
    <s v="Y"/>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m/>
    <s v="Nil"/>
    <m/>
    <s v="BF"/>
    <s v="NB"/>
    <x v="0"/>
    <x v="0"/>
    <n v="0.33500000000000002"/>
    <d v="2021-03-31T00:00:00"/>
    <x v="0"/>
    <d v="2023-03-31T00:00:00"/>
    <s v="Open Market"/>
    <s v="M"/>
    <s v="9.1"/>
    <m/>
    <n v="0"/>
    <m/>
    <n v="0"/>
    <m/>
    <n v="0"/>
    <n v="20"/>
    <n v="29"/>
    <n v="0"/>
    <n v="0"/>
    <n v="0"/>
    <n v="0"/>
    <n v="0"/>
    <n v="20"/>
    <n v="29"/>
    <n v="0"/>
    <n v="0"/>
    <n v="0"/>
    <n v="0"/>
    <n v="0"/>
    <n v="0"/>
    <n v="0"/>
    <n v="0"/>
    <n v="0"/>
    <n v="0"/>
    <n v="0"/>
    <n v="0"/>
    <n v="0"/>
    <n v="0"/>
    <n v="0"/>
    <n v="0"/>
    <n v="0"/>
    <n v="0"/>
    <m/>
    <m/>
    <s v="Rest of Borough"/>
    <n v="1"/>
    <n v="49"/>
    <m/>
    <m/>
    <m/>
    <m/>
    <m/>
    <m/>
    <m/>
    <m/>
    <m/>
    <m/>
    <m/>
    <m/>
    <m/>
    <m/>
    <m/>
    <m/>
    <m/>
    <m/>
    <m/>
    <n v="0"/>
    <n v="0"/>
  </r>
  <r>
    <n v="2502"/>
    <x v="0"/>
    <s v="2020/1780"/>
    <s v="Springfield Hospital site, 61 Glenburnie Road"/>
    <s v="Phase 5B - Block M"/>
    <n v="527221"/>
    <n v="172443"/>
    <s v="Wandsworth Common"/>
    <d v="2021-03-31T00:00:00"/>
    <d v="2023-03-31T00:00:00"/>
    <n v="0"/>
    <n v="22"/>
    <n v="22"/>
    <n v="71"/>
    <n v="71"/>
    <s v="Y"/>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m/>
    <s v="Nil"/>
    <m/>
    <s v="BF"/>
    <s v="NB"/>
    <x v="0"/>
    <x v="0"/>
    <n v="0.14899999999999999"/>
    <d v="2021-03-31T00:00:00"/>
    <x v="0"/>
    <d v="2023-03-31T00:00:00"/>
    <s v="Open Market"/>
    <s v="M"/>
    <s v="9.1"/>
    <m/>
    <n v="0"/>
    <m/>
    <n v="0"/>
    <m/>
    <n v="0"/>
    <n v="9"/>
    <n v="13"/>
    <n v="0"/>
    <n v="0"/>
    <n v="0"/>
    <n v="0"/>
    <n v="0"/>
    <n v="9"/>
    <n v="13"/>
    <n v="0"/>
    <n v="0"/>
    <n v="0"/>
    <n v="0"/>
    <n v="0"/>
    <n v="0"/>
    <n v="0"/>
    <n v="0"/>
    <n v="0"/>
    <n v="0"/>
    <n v="0"/>
    <n v="0"/>
    <n v="0"/>
    <n v="0"/>
    <n v="0"/>
    <n v="0"/>
    <n v="0"/>
    <n v="0"/>
    <m/>
    <m/>
    <s v="Rest of Borough"/>
    <n v="1"/>
    <n v="22"/>
    <m/>
    <m/>
    <m/>
    <m/>
    <m/>
    <m/>
    <m/>
    <m/>
    <m/>
    <m/>
    <m/>
    <m/>
    <m/>
    <m/>
    <m/>
    <m/>
    <m/>
    <m/>
    <m/>
    <n v="0"/>
    <n v="0"/>
  </r>
  <r>
    <n v="2502"/>
    <x v="0"/>
    <s v="2020/1490"/>
    <s v="Springfield Hospital site, 61 Glenburnie Road"/>
    <s v="Phase 6A - Block S completed"/>
    <n v="527221"/>
    <n v="172443"/>
    <s v="Wandsworth Common"/>
    <d v="2021-03-31T00:00:00"/>
    <m/>
    <n v="0"/>
    <n v="43"/>
    <n v="43"/>
    <n v="72"/>
    <n v="72"/>
    <s v="Y"/>
    <s v="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0-04-27T00:00:00"/>
    <d v="2020-07-27T00:00:00"/>
    <m/>
    <s v="Nil"/>
    <m/>
    <s v="BF"/>
    <s v="COU"/>
    <x v="5"/>
    <x v="0"/>
    <n v="1.3"/>
    <d v="2021-03-31T00:00:00"/>
    <x v="0"/>
    <d v="2023-03-31T00:00:00"/>
    <s v="Open Market"/>
    <s v="M"/>
    <s v="9.1"/>
    <m/>
    <n v="0"/>
    <m/>
    <n v="0"/>
    <m/>
    <n v="0"/>
    <n v="0"/>
    <n v="37"/>
    <n v="6"/>
    <n v="0"/>
    <n v="0"/>
    <n v="0"/>
    <n v="0"/>
    <n v="0"/>
    <n v="37"/>
    <n v="6"/>
    <n v="0"/>
    <n v="0"/>
    <n v="0"/>
    <n v="0"/>
    <n v="0"/>
    <n v="0"/>
    <n v="0"/>
    <n v="0"/>
    <n v="0"/>
    <n v="0"/>
    <n v="0"/>
    <n v="0"/>
    <n v="0"/>
    <n v="0"/>
    <n v="0"/>
    <n v="0"/>
    <n v="0"/>
    <m/>
    <m/>
    <s v="Rest of Borough"/>
    <n v="11"/>
    <n v="43"/>
    <m/>
    <m/>
    <m/>
    <m/>
    <m/>
    <m/>
    <m/>
    <m/>
    <m/>
    <m/>
    <m/>
    <m/>
    <m/>
    <m/>
    <m/>
    <m/>
    <m/>
    <m/>
    <m/>
    <n v="0"/>
    <n v="0"/>
  </r>
  <r>
    <n v="3511"/>
    <x v="1"/>
    <s v="2014/2810"/>
    <s v="New Covent Garden Market, Nine Elms Lane (Combined Main Market, Entrance site and Thessaly College site)"/>
    <s v="Apex Site - A2"/>
    <n v="529369"/>
    <n v="177317"/>
    <s v="Nine Elms"/>
    <d v="2017-03-31T00:00:00"/>
    <m/>
    <n v="0"/>
    <n v="136"/>
    <n v="13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0.82099999999999995"/>
    <m/>
    <x v="0"/>
    <m/>
    <s v="Open Market"/>
    <s v="M"/>
    <s v="2.1.27"/>
    <m/>
    <n v="0"/>
    <n v="122"/>
    <n v="0"/>
    <n v="14"/>
    <n v="17"/>
    <n v="27"/>
    <n v="82"/>
    <n v="10"/>
    <n v="0"/>
    <n v="0"/>
    <n v="0"/>
    <n v="17"/>
    <n v="27"/>
    <n v="82"/>
    <n v="10"/>
    <n v="0"/>
    <n v="0"/>
    <n v="0"/>
    <n v="0"/>
    <n v="0"/>
    <n v="0"/>
    <n v="0"/>
    <n v="0"/>
    <n v="0"/>
    <n v="0"/>
    <n v="0"/>
    <n v="0"/>
    <n v="0"/>
    <n v="0"/>
    <n v="0"/>
    <n v="0"/>
    <n v="0"/>
    <m/>
    <s v="Y"/>
    <s v="Nine Elms Vauxhall Opportunity Area"/>
    <n v="8"/>
    <m/>
    <m/>
    <m/>
    <m/>
    <m/>
    <m/>
    <m/>
    <m/>
    <n v="136"/>
    <m/>
    <m/>
    <m/>
    <m/>
    <m/>
    <m/>
    <m/>
    <m/>
    <m/>
    <m/>
    <m/>
    <n v="0"/>
    <n v="136"/>
  </r>
  <r>
    <n v="2411"/>
    <x v="2"/>
    <s v="2021/0138"/>
    <s v="South Lambeth Goods Depot, Cringle St./Battersea Park Rd., Kirtling Street (Battersea Power Station)"/>
    <s v="Phase 3 (rest of RS-4 + O1)"/>
    <n v="528934"/>
    <n v="177496"/>
    <s v="Nine Elms"/>
    <d v="2016-05-16T00:00:00"/>
    <m/>
    <n v="0"/>
    <n v="836"/>
    <n v="836"/>
    <n v="2027"/>
    <n v="2027"/>
    <s v="Y"/>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m/>
    <s v="Nil"/>
    <m/>
    <s v="BF"/>
    <s v="NB"/>
    <x v="0"/>
    <x v="0"/>
    <n v="1.4490000000000001"/>
    <d v="2016-05-16T00:00:00"/>
    <x v="0"/>
    <m/>
    <s v="Open Market"/>
    <s v="M"/>
    <s v="2.1.1"/>
    <m/>
    <n v="836"/>
    <m/>
    <n v="84"/>
    <m/>
    <n v="148"/>
    <n v="149"/>
    <n v="406"/>
    <n v="87"/>
    <n v="11"/>
    <n v="35"/>
    <n v="0"/>
    <n v="148"/>
    <n v="149"/>
    <n v="406"/>
    <n v="87"/>
    <n v="11"/>
    <n v="35"/>
    <n v="0"/>
    <n v="0"/>
    <n v="0"/>
    <n v="0"/>
    <n v="0"/>
    <n v="0"/>
    <n v="0"/>
    <n v="0"/>
    <n v="0"/>
    <n v="0"/>
    <n v="0"/>
    <n v="0"/>
    <n v="0"/>
    <n v="0"/>
    <n v="0"/>
    <m/>
    <s v="Y"/>
    <s v="Nine Elms Vauxhall Opportunity Area"/>
    <n v="6"/>
    <m/>
    <m/>
    <n v="209"/>
    <n v="209"/>
    <n v="209"/>
    <n v="209"/>
    <m/>
    <m/>
    <m/>
    <m/>
    <m/>
    <m/>
    <m/>
    <m/>
    <m/>
    <m/>
    <m/>
    <m/>
    <m/>
    <m/>
    <n v="836"/>
    <n v="836"/>
  </r>
  <r>
    <n v="3943"/>
    <x v="0"/>
    <s v="2020/1167"/>
    <s v="Royal Mail Group Site, Ponton Road (Nine Elms Park)"/>
    <s v="Plot C1 - Block A"/>
    <n v="529575"/>
    <n v="177401"/>
    <s v="Nine Elms"/>
    <d v="2019-11-29T00:00:00"/>
    <d v="2022-09-16T00:00:00"/>
    <n v="0"/>
    <n v="96"/>
    <n v="96"/>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m/>
    <s v="Nil"/>
    <m/>
    <s v="BF"/>
    <s v="NB"/>
    <x v="0"/>
    <x v="0"/>
    <n v="0.104"/>
    <d v="2020-03-31T00:00:00"/>
    <x v="0"/>
    <d v="2022-09-16T00:00:00"/>
    <s v="Open Market"/>
    <s v="M"/>
    <s v="2.1.18"/>
    <m/>
    <n v="0"/>
    <n v="86"/>
    <n v="0"/>
    <n v="10"/>
    <n v="0"/>
    <n v="32"/>
    <n v="43"/>
    <n v="21"/>
    <n v="0"/>
    <n v="0"/>
    <n v="0"/>
    <n v="0"/>
    <n v="32"/>
    <n v="43"/>
    <n v="21"/>
    <n v="0"/>
    <n v="0"/>
    <n v="0"/>
    <n v="0"/>
    <n v="0"/>
    <n v="0"/>
    <n v="0"/>
    <n v="0"/>
    <n v="0"/>
    <n v="0"/>
    <n v="0"/>
    <n v="0"/>
    <n v="0"/>
    <n v="0"/>
    <n v="0"/>
    <n v="0"/>
    <n v="0"/>
    <m/>
    <s v="Y"/>
    <s v="Nine Elms Vauxhall Opportunity Area"/>
    <n v="1"/>
    <n v="96"/>
    <m/>
    <m/>
    <m/>
    <m/>
    <m/>
    <m/>
    <m/>
    <m/>
    <m/>
    <m/>
    <m/>
    <m/>
    <m/>
    <m/>
    <m/>
    <m/>
    <m/>
    <m/>
    <m/>
    <n v="0"/>
    <n v="0"/>
  </r>
  <r>
    <n v="3943"/>
    <x v="0"/>
    <s v="2020/1167"/>
    <s v="Royal Mail Group Site, Ponton Road (Nine Elms Park)"/>
    <s v="Plot C1 - Block B"/>
    <n v="529575"/>
    <n v="177401"/>
    <s v="Nine Elms"/>
    <d v="2019-11-29T00:00:00"/>
    <d v="2022-09-16T00:00:00"/>
    <n v="0"/>
    <n v="99"/>
    <n v="99"/>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m/>
    <s v="Nil"/>
    <m/>
    <s v="BF"/>
    <s v="NB"/>
    <x v="0"/>
    <x v="0"/>
    <n v="0.108"/>
    <d v="2020-03-31T00:00:00"/>
    <x v="0"/>
    <d v="2022-09-13T00:00:00"/>
    <s v="Open Market"/>
    <s v="M"/>
    <s v="2.1.18"/>
    <m/>
    <n v="0"/>
    <n v="90"/>
    <n v="0"/>
    <n v="9"/>
    <n v="0"/>
    <n v="31"/>
    <n v="67"/>
    <n v="1"/>
    <n v="0"/>
    <n v="0"/>
    <n v="0"/>
    <n v="0"/>
    <n v="31"/>
    <n v="67"/>
    <n v="1"/>
    <n v="0"/>
    <n v="0"/>
    <n v="0"/>
    <n v="0"/>
    <n v="0"/>
    <n v="0"/>
    <n v="0"/>
    <n v="0"/>
    <n v="0"/>
    <n v="0"/>
    <n v="0"/>
    <n v="0"/>
    <n v="0"/>
    <n v="0"/>
    <n v="0"/>
    <n v="0"/>
    <n v="0"/>
    <m/>
    <s v="Y"/>
    <s v="Nine Elms Vauxhall Opportunity Area"/>
    <n v="1"/>
    <n v="99"/>
    <m/>
    <m/>
    <m/>
    <m/>
    <m/>
    <m/>
    <m/>
    <m/>
    <m/>
    <m/>
    <m/>
    <m/>
    <m/>
    <m/>
    <m/>
    <m/>
    <m/>
    <m/>
    <m/>
    <n v="0"/>
    <n v="0"/>
  </r>
  <r>
    <n v="1116"/>
    <x v="0"/>
    <s v="2022/3187"/>
    <s v="229 Queenstown Road"/>
    <s v=""/>
    <n v="528677"/>
    <n v="176511"/>
    <s v="Shaftesbury &amp; Queenstown"/>
    <d v="2022-10-19T00:00:00"/>
    <d v="2022-10-19T00:00:00"/>
    <n v="3"/>
    <n v="12"/>
    <n v="9"/>
    <n v="12"/>
    <n v="9"/>
    <s v="Y"/>
    <s v="Use as 12 x self-contained flats."/>
    <s v="LDC Exist"/>
    <d v="2022-08-22T00:00:00"/>
    <d v="2022-10-19T00:00:00"/>
    <s v="Y"/>
    <s v="Nil"/>
    <m/>
    <s v="BF"/>
    <s v="CON"/>
    <x v="4"/>
    <x v="0"/>
    <n v="8.7500000000000008E-3"/>
    <d v="2022-10-19T00:00:00"/>
    <x v="1"/>
    <d v="2022-10-19T00:00:00"/>
    <s v="Open Market"/>
    <s v="MR"/>
    <s v=""/>
    <m/>
    <n v="0"/>
    <m/>
    <n v="0"/>
    <m/>
    <n v="0"/>
    <n v="-1"/>
    <n v="-2"/>
    <n v="0"/>
    <n v="0"/>
    <n v="0"/>
    <n v="12"/>
    <n v="0"/>
    <n v="-1"/>
    <n v="-2"/>
    <n v="0"/>
    <n v="0"/>
    <n v="0"/>
    <n v="12"/>
    <n v="0"/>
    <n v="0"/>
    <n v="0"/>
    <n v="0"/>
    <n v="0"/>
    <n v="0"/>
    <n v="0"/>
    <n v="0"/>
    <n v="0"/>
    <n v="0"/>
    <n v="0"/>
    <n v="0"/>
    <n v="0"/>
    <n v="0"/>
    <m/>
    <s v="Y"/>
    <s v="Nine Elms Vauxhall Opportunity Area"/>
    <n v="11"/>
    <n v="9"/>
    <m/>
    <m/>
    <m/>
    <m/>
    <m/>
    <m/>
    <m/>
    <m/>
    <m/>
    <m/>
    <m/>
    <m/>
    <m/>
    <m/>
    <m/>
    <m/>
    <m/>
    <m/>
    <m/>
    <n v="0"/>
    <n v="0"/>
  </r>
  <r>
    <n v="3943"/>
    <x v="0"/>
    <s v="2017/6764"/>
    <s v="Royal Mail Group Site, Ponton Road (Nine Elms Park)"/>
    <s v="Plot D1"/>
    <n v="529575"/>
    <n v="177401"/>
    <s v="Nine Elms"/>
    <d v="2019-09-03T00:00:00"/>
    <m/>
    <n v="0"/>
    <n v="111"/>
    <n v="111"/>
    <n v="894"/>
    <n v="894"/>
    <s v="Y"/>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m/>
    <s v="Nil"/>
    <m/>
    <s v="BF"/>
    <s v="NB"/>
    <x v="0"/>
    <x v="0"/>
    <n v="0.108"/>
    <d v="2019-09-03T00:00:00"/>
    <x v="0"/>
    <d v="2023-01-06T00:00:00"/>
    <s v="Open Market"/>
    <s v="MR"/>
    <s v="2.1.18"/>
    <m/>
    <n v="0"/>
    <n v="100"/>
    <n v="0"/>
    <n v="11"/>
    <n v="16"/>
    <n v="42"/>
    <n v="41"/>
    <n v="12"/>
    <n v="0"/>
    <n v="0"/>
    <n v="0"/>
    <n v="16"/>
    <n v="42"/>
    <n v="41"/>
    <n v="12"/>
    <n v="0"/>
    <n v="0"/>
    <n v="0"/>
    <n v="0"/>
    <n v="0"/>
    <n v="0"/>
    <n v="0"/>
    <n v="0"/>
    <n v="0"/>
    <n v="0"/>
    <n v="0"/>
    <n v="0"/>
    <n v="0"/>
    <n v="0"/>
    <n v="0"/>
    <n v="0"/>
    <n v="0"/>
    <m/>
    <s v="Y"/>
    <s v="Nine Elms Vauxhall Opportunity Area"/>
    <n v="1"/>
    <n v="111"/>
    <m/>
    <m/>
    <m/>
    <m/>
    <m/>
    <m/>
    <m/>
    <m/>
    <m/>
    <m/>
    <m/>
    <m/>
    <m/>
    <m/>
    <m/>
    <m/>
    <m/>
    <m/>
    <m/>
    <n v="0"/>
    <n v="0"/>
  </r>
  <r>
    <n v="7464"/>
    <x v="0"/>
    <s v="2020/3080"/>
    <s v="Garages and Land @, 5 Fishponds Road"/>
    <s v="Unit A"/>
    <n v="527725"/>
    <n v="172227"/>
    <s v="Tooting Bec"/>
    <d v="2021-07-21T00:00:00"/>
    <d v="2022-10-21T00:00:00"/>
    <n v="0"/>
    <n v="1"/>
    <n v="1"/>
    <n v="2"/>
    <n v="2"/>
    <m/>
    <s v="Demolition of existing garages and construction of 2 x two-storey houses."/>
    <s v="PF"/>
    <d v="2020-09-01T00:00:00"/>
    <d v="2020-11-26T00:00:00"/>
    <m/>
    <s v="Nil"/>
    <m/>
    <s v="BF"/>
    <s v="NB"/>
    <x v="2"/>
    <x v="1"/>
    <n v="1.0999999999999999E-2"/>
    <d v="2021-07-21T00:00:00"/>
    <x v="0"/>
    <d v="2022-10-21T00:00:00"/>
    <s v="Open Market"/>
    <s v="M"/>
    <s v=""/>
    <m/>
    <n v="0"/>
    <m/>
    <n v="0"/>
    <m/>
    <n v="0"/>
    <n v="0"/>
    <n v="0"/>
    <n v="1"/>
    <n v="0"/>
    <n v="0"/>
    <n v="0"/>
    <n v="0"/>
    <n v="0"/>
    <n v="0"/>
    <n v="0"/>
    <n v="0"/>
    <n v="0"/>
    <n v="0"/>
    <n v="0"/>
    <n v="0"/>
    <n v="0"/>
    <n v="1"/>
    <n v="0"/>
    <n v="0"/>
    <n v="0"/>
    <n v="0"/>
    <n v="0"/>
    <n v="0"/>
    <n v="0"/>
    <n v="0"/>
    <n v="0"/>
    <n v="0"/>
    <m/>
    <m/>
    <s v="Rest of Borough"/>
    <n v="1"/>
    <n v="1"/>
    <m/>
    <m/>
    <m/>
    <m/>
    <m/>
    <m/>
    <m/>
    <m/>
    <m/>
    <m/>
    <m/>
    <m/>
    <m/>
    <m/>
    <m/>
    <m/>
    <m/>
    <m/>
    <m/>
    <n v="0"/>
    <n v="0"/>
  </r>
  <r>
    <n v="7464"/>
    <x v="0"/>
    <s v="2020/3080"/>
    <s v="Garages and Land @, 5 Fishponds Road"/>
    <s v="Unit B"/>
    <n v="527725"/>
    <n v="172227"/>
    <s v="Tooting Bec"/>
    <d v="2021-07-21T00:00:00"/>
    <d v="2022-10-21T00:00:00"/>
    <n v="0"/>
    <n v="1"/>
    <n v="1"/>
    <n v="2"/>
    <n v="2"/>
    <m/>
    <s v="Demolition of existing garages and construction of 2 x two-storey houses."/>
    <s v="PF"/>
    <d v="2020-09-01T00:00:00"/>
    <d v="2020-11-26T00:00:00"/>
    <m/>
    <s v="Nil"/>
    <m/>
    <s v="BF"/>
    <s v="NB"/>
    <x v="2"/>
    <x v="1"/>
    <n v="7.0000000000000001E-3"/>
    <d v="2021-07-21T00:00:00"/>
    <x v="0"/>
    <d v="2022-10-21T00:00:00"/>
    <s v="Open Market"/>
    <s v="M"/>
    <s v=""/>
    <m/>
    <n v="0"/>
    <m/>
    <n v="0"/>
    <m/>
    <n v="0"/>
    <n v="0"/>
    <n v="1"/>
    <n v="0"/>
    <n v="0"/>
    <n v="0"/>
    <n v="0"/>
    <n v="0"/>
    <n v="0"/>
    <n v="0"/>
    <n v="0"/>
    <n v="0"/>
    <n v="0"/>
    <n v="0"/>
    <n v="0"/>
    <n v="0"/>
    <n v="1"/>
    <n v="0"/>
    <n v="0"/>
    <n v="0"/>
    <n v="0"/>
    <n v="0"/>
    <n v="0"/>
    <n v="0"/>
    <n v="0"/>
    <n v="0"/>
    <n v="0"/>
    <n v="0"/>
    <m/>
    <m/>
    <s v="Rest of Borough"/>
    <n v="1"/>
    <n v="1"/>
    <m/>
    <m/>
    <m/>
    <m/>
    <m/>
    <m/>
    <m/>
    <m/>
    <m/>
    <m/>
    <m/>
    <m/>
    <m/>
    <m/>
    <m/>
    <m/>
    <m/>
    <m/>
    <m/>
    <n v="0"/>
    <n v="0"/>
  </r>
  <r>
    <n v="6302"/>
    <x v="0"/>
    <s v="2019/1427"/>
    <s v="150a-170 &amp; 2-8 Thornsett Road, Penwith Road"/>
    <s v="Level 2/3"/>
    <n v="525938"/>
    <n v="173047"/>
    <s v="Wandle"/>
    <d v="2021-07-12T00:00:00"/>
    <m/>
    <n v="0"/>
    <n v="9"/>
    <n v="9"/>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m/>
    <s v="APG"/>
    <d v="2020-10-30T00:00:00"/>
    <s v="BF"/>
    <s v="NB"/>
    <x v="0"/>
    <x v="0"/>
    <n v="0.03"/>
    <d v="2021-07-12T00:00:00"/>
    <x v="0"/>
    <d v="2023-03-31T00:00:00"/>
    <s v="Open Market"/>
    <s v="M"/>
    <s v=""/>
    <m/>
    <n v="0"/>
    <m/>
    <n v="0"/>
    <m/>
    <n v="0"/>
    <n v="3"/>
    <n v="5"/>
    <n v="1"/>
    <n v="0"/>
    <n v="0"/>
    <n v="0"/>
    <n v="0"/>
    <n v="3"/>
    <n v="5"/>
    <n v="1"/>
    <n v="0"/>
    <n v="0"/>
    <n v="0"/>
    <n v="0"/>
    <n v="0"/>
    <n v="0"/>
    <n v="0"/>
    <n v="0"/>
    <n v="0"/>
    <n v="0"/>
    <n v="0"/>
    <n v="0"/>
    <n v="0"/>
    <n v="0"/>
    <n v="0"/>
    <n v="0"/>
    <n v="0"/>
    <m/>
    <m/>
    <s v="The Wandle Valley"/>
    <n v="1"/>
    <n v="9"/>
    <m/>
    <m/>
    <m/>
    <m/>
    <m/>
    <m/>
    <m/>
    <m/>
    <m/>
    <m/>
    <m/>
    <m/>
    <m/>
    <m/>
    <m/>
    <m/>
    <m/>
    <m/>
    <m/>
    <n v="0"/>
    <n v="0"/>
  </r>
  <r>
    <n v="365"/>
    <x v="2"/>
    <s v="2015/5942"/>
    <s v="Market Towers, 1 Nine Elms Lane (One Nine Elms)"/>
    <s v=""/>
    <n v="530104"/>
    <n v="177808"/>
    <s v="Nine Elms"/>
    <d v="2015-08-12T00:00:00"/>
    <m/>
    <n v="0"/>
    <n v="437"/>
    <n v="437"/>
    <n v="437"/>
    <n v="437"/>
    <s v="Y"/>
    <s v="Non Material Amendment to planning application 2014/0871 dated 26 August 2014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
    <s v="S96A"/>
    <d v="2016-06-15T00:00:00"/>
    <d v="2016-06-21T00:00:00"/>
    <m/>
    <s v="Nil"/>
    <m/>
    <s v="BF"/>
    <s v="NB"/>
    <x v="0"/>
    <x v="0"/>
    <n v="0.252"/>
    <d v="2015-08-12T00:00:00"/>
    <x v="0"/>
    <m/>
    <s v="Open Market"/>
    <s v="M"/>
    <s v="2.1.12"/>
    <m/>
    <n v="0"/>
    <n v="44"/>
    <n v="0"/>
    <n v="395"/>
    <n v="0"/>
    <n v="117"/>
    <n v="181"/>
    <n v="129"/>
    <n v="10"/>
    <n v="0"/>
    <n v="0"/>
    <n v="0"/>
    <n v="117"/>
    <n v="181"/>
    <n v="129"/>
    <n v="10"/>
    <n v="0"/>
    <n v="0"/>
    <n v="0"/>
    <n v="0"/>
    <n v="0"/>
    <n v="0"/>
    <n v="0"/>
    <n v="0"/>
    <n v="0"/>
    <n v="0"/>
    <n v="0"/>
    <n v="0"/>
    <n v="0"/>
    <n v="0"/>
    <n v="0"/>
    <n v="0"/>
    <m/>
    <s v="Y"/>
    <s v="Nine Elms Vauxhall Opportunity Area"/>
    <n v="5"/>
    <m/>
    <n v="437"/>
    <m/>
    <m/>
    <m/>
    <m/>
    <m/>
    <m/>
    <m/>
    <m/>
    <m/>
    <m/>
    <m/>
    <m/>
    <m/>
    <m/>
    <m/>
    <m/>
    <m/>
    <m/>
    <n v="437"/>
    <n v="437"/>
  </r>
  <r>
    <n v="7100"/>
    <x v="2"/>
    <s v="2021/0208"/>
    <s v="190-194 St Anns Hill"/>
    <s v=""/>
    <n v="525939"/>
    <n v="174515"/>
    <s v="Wandsworth Town"/>
    <d v="2020-12-10T00:00:00"/>
    <m/>
    <n v="0"/>
    <n v="20"/>
    <n v="20"/>
    <n v="22"/>
    <n v="22"/>
    <s v="Y"/>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m/>
    <s v="Nil"/>
    <m/>
    <s v="BF"/>
    <s v="MIX"/>
    <x v="0"/>
    <x v="0"/>
    <n v="5.8999999999999997E-2"/>
    <d v="2020-12-10T00:00:00"/>
    <x v="0"/>
    <m/>
    <s v="Open Market"/>
    <s v="M"/>
    <s v=""/>
    <m/>
    <n v="0"/>
    <m/>
    <n v="0"/>
    <m/>
    <n v="0"/>
    <n v="12"/>
    <n v="6"/>
    <n v="2"/>
    <n v="0"/>
    <n v="0"/>
    <n v="0"/>
    <n v="0"/>
    <n v="12"/>
    <n v="6"/>
    <n v="2"/>
    <n v="0"/>
    <n v="0"/>
    <n v="0"/>
    <n v="0"/>
    <n v="0"/>
    <n v="0"/>
    <n v="0"/>
    <n v="0"/>
    <n v="0"/>
    <n v="0"/>
    <n v="0"/>
    <n v="0"/>
    <n v="0"/>
    <n v="0"/>
    <n v="0"/>
    <n v="0"/>
    <n v="0"/>
    <m/>
    <m/>
    <s v="Wandsworth Town, including the Wandle Delta Masterplan Area"/>
    <n v="13"/>
    <m/>
    <n v="20"/>
    <m/>
    <m/>
    <m/>
    <m/>
    <m/>
    <m/>
    <m/>
    <m/>
    <m/>
    <m/>
    <m/>
    <m/>
    <m/>
    <m/>
    <m/>
    <m/>
    <m/>
    <m/>
    <n v="20"/>
    <n v="20"/>
  </r>
  <r>
    <n v="6501"/>
    <x v="2"/>
    <s v="2019/0866"/>
    <s v="1023-1025 Garratt Lane"/>
    <s v=""/>
    <n v="527304"/>
    <n v="171639"/>
    <s v="Tooting Broadway"/>
    <d v="2022-09-08T00:00:00"/>
    <m/>
    <n v="0"/>
    <n v="17"/>
    <n v="17"/>
    <n v="17"/>
    <n v="17"/>
    <s v="Y"/>
    <s v="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
    <s v="S73"/>
    <d v="2019-03-15T00:00:00"/>
    <d v="2019-11-14T00:00:00"/>
    <m/>
    <s v="Nil"/>
    <m/>
    <s v="BF"/>
    <s v="NB"/>
    <x v="0"/>
    <x v="0"/>
    <n v="0.156"/>
    <d v="2022-09-08T00:00:00"/>
    <x v="1"/>
    <m/>
    <s v="Open Market"/>
    <s v="M"/>
    <s v=""/>
    <m/>
    <n v="0"/>
    <n v="15"/>
    <n v="0"/>
    <n v="2"/>
    <n v="0"/>
    <n v="4"/>
    <n v="10"/>
    <n v="3"/>
    <n v="0"/>
    <n v="0"/>
    <n v="0"/>
    <n v="0"/>
    <n v="4"/>
    <n v="10"/>
    <n v="3"/>
    <n v="0"/>
    <n v="0"/>
    <n v="0"/>
    <n v="0"/>
    <n v="0"/>
    <n v="0"/>
    <n v="0"/>
    <n v="0"/>
    <n v="0"/>
    <n v="0"/>
    <n v="0"/>
    <n v="0"/>
    <n v="0"/>
    <n v="0"/>
    <n v="0"/>
    <n v="0"/>
    <n v="0"/>
    <m/>
    <m/>
    <s v="Tooting"/>
    <n v="3"/>
    <m/>
    <n v="17"/>
    <m/>
    <m/>
    <m/>
    <m/>
    <m/>
    <m/>
    <m/>
    <m/>
    <m/>
    <m/>
    <m/>
    <m/>
    <m/>
    <m/>
    <m/>
    <m/>
    <m/>
    <m/>
    <n v="17"/>
    <n v="17"/>
  </r>
  <r>
    <n v="5589"/>
    <x v="2"/>
    <s v="2018/4579"/>
    <s v="Chatfield Court, 56 Chatfield Road"/>
    <s v=""/>
    <n v="526329"/>
    <n v="175625"/>
    <s v="St Mary's"/>
    <d v="2020-04-01T00:00:00"/>
    <m/>
    <n v="0"/>
    <n v="14"/>
    <n v="14"/>
    <n v="14"/>
    <n v="14"/>
    <s v="Y"/>
    <s v="Determination as to whether prior approval is required for change of use from office (Class B1a) to residential (Class C3) to provide 13 x 1-bedroom and 1 x 2-bedroom flats."/>
    <s v="PAG"/>
    <d v="2018-10-01T00:00:00"/>
    <d v="2018-11-22T00:00:00"/>
    <m/>
    <s v="Nil"/>
    <m/>
    <s v="BF"/>
    <s v="COU"/>
    <x v="6"/>
    <x v="0"/>
    <n v="4.3999999999999997E-2"/>
    <d v="2020-04-01T00:00:00"/>
    <x v="0"/>
    <m/>
    <s v="Open Market"/>
    <s v="M"/>
    <s v=""/>
    <m/>
    <n v="0"/>
    <m/>
    <n v="0"/>
    <m/>
    <n v="0"/>
    <n v="13"/>
    <n v="1"/>
    <n v="0"/>
    <n v="0"/>
    <n v="0"/>
    <n v="0"/>
    <n v="0"/>
    <n v="13"/>
    <n v="1"/>
    <n v="0"/>
    <n v="0"/>
    <n v="0"/>
    <n v="0"/>
    <n v="0"/>
    <n v="0"/>
    <n v="0"/>
    <n v="0"/>
    <n v="0"/>
    <n v="0"/>
    <n v="0"/>
    <n v="0"/>
    <n v="0"/>
    <n v="0"/>
    <n v="0"/>
    <n v="0"/>
    <n v="0"/>
    <n v="0"/>
    <m/>
    <m/>
    <s v="Wandsworth riverside"/>
    <n v="13"/>
    <m/>
    <n v="14"/>
    <m/>
    <m/>
    <m/>
    <m/>
    <m/>
    <m/>
    <m/>
    <m/>
    <m/>
    <m/>
    <m/>
    <m/>
    <m/>
    <m/>
    <m/>
    <m/>
    <m/>
    <m/>
    <n v="14"/>
    <n v="14"/>
  </r>
  <r>
    <n v="4474"/>
    <x v="2"/>
    <s v="2014/5383"/>
    <s v="19-21 Mitcham Road"/>
    <s v=""/>
    <n v="527533"/>
    <n v="171477"/>
    <s v="Tooting Broadway"/>
    <d v="2019-08-06T00:00:00"/>
    <m/>
    <n v="0"/>
    <n v="13"/>
    <n v="13"/>
    <n v="19"/>
    <n v="19"/>
    <s v="Y"/>
    <s v="Conversion of existing building at first, second, and third floor levels into 19 self contained apartments."/>
    <s v="PFLA"/>
    <d v="2014-09-09T00:00:00"/>
    <d v="2016-08-12T00:00:00"/>
    <m/>
    <s v="Nil"/>
    <m/>
    <s v="BF"/>
    <s v="COU"/>
    <x v="5"/>
    <x v="0"/>
    <n v="0.1"/>
    <d v="2019-08-06T00:00:00"/>
    <x v="0"/>
    <m/>
    <s v="Open Market"/>
    <s v="MR"/>
    <s v="5.2"/>
    <m/>
    <n v="9"/>
    <m/>
    <n v="2"/>
    <m/>
    <n v="1"/>
    <n v="1"/>
    <n v="11"/>
    <n v="0"/>
    <n v="0"/>
    <n v="0"/>
    <n v="0"/>
    <n v="1"/>
    <n v="1"/>
    <n v="11"/>
    <n v="0"/>
    <n v="0"/>
    <n v="0"/>
    <n v="0"/>
    <n v="0"/>
    <n v="0"/>
    <n v="0"/>
    <n v="0"/>
    <n v="0"/>
    <n v="0"/>
    <n v="0"/>
    <n v="0"/>
    <n v="0"/>
    <n v="0"/>
    <n v="0"/>
    <n v="0"/>
    <n v="0"/>
    <n v="0"/>
    <s v="Tooting"/>
    <m/>
    <s v="Tooting"/>
    <n v="12"/>
    <m/>
    <n v="13"/>
    <m/>
    <m/>
    <m/>
    <m/>
    <m/>
    <m/>
    <m/>
    <m/>
    <m/>
    <m/>
    <m/>
    <m/>
    <m/>
    <m/>
    <m/>
    <m/>
    <m/>
    <m/>
    <n v="13"/>
    <n v="13"/>
  </r>
  <r>
    <n v="536"/>
    <x v="2"/>
    <s v="2021/4727"/>
    <s v="Argylle House, 1a All Saints Passage"/>
    <s v=""/>
    <n v="525441"/>
    <n v="174750"/>
    <s v="Wandsworth Town"/>
    <d v="2022-02-03T00:00:00"/>
    <m/>
    <n v="4"/>
    <n v="16"/>
    <n v="12"/>
    <n v="17"/>
    <n v="13"/>
    <s v="Y"/>
    <s v="Variation of conditions 2 (in accordance with drawings) and 3 (materials) pursuant to planning permission dated 30/01/2020 ref 2016/7216 (Demolition of the existing building and construction of a part 4 part 5 storey building providing 17 residential units and 106sqm flexible B1 commercial floorspace with communal external amenity space at fourth floor level) to allow minor changes to the appearance of the building, layout of commercial waste and cycle stores and to change the wording of Condition 3 to include compliance trigger instead of pre-commencement."/>
    <s v="PFLA"/>
    <d v="2021-10-14T00:00:00"/>
    <d v="2022-06-21T00:00:00"/>
    <s v="Y"/>
    <s v="Nil"/>
    <m/>
    <s v="BF"/>
    <s v="NB"/>
    <x v="0"/>
    <x v="0"/>
    <n v="4.3999999999999997E-2"/>
    <d v="2022-02-03T00:00:00"/>
    <x v="0"/>
    <m/>
    <s v="Open Market"/>
    <s v="M"/>
    <s v=""/>
    <m/>
    <n v="16"/>
    <m/>
    <n v="1"/>
    <m/>
    <n v="2"/>
    <n v="2"/>
    <n v="7"/>
    <n v="1"/>
    <n v="0"/>
    <n v="0"/>
    <n v="0"/>
    <n v="2"/>
    <n v="2"/>
    <n v="7"/>
    <n v="1"/>
    <n v="0"/>
    <n v="0"/>
    <n v="0"/>
    <n v="0"/>
    <n v="0"/>
    <n v="0"/>
    <n v="0"/>
    <n v="0"/>
    <n v="0"/>
    <n v="0"/>
    <n v="0"/>
    <n v="0"/>
    <n v="0"/>
    <n v="0"/>
    <n v="0"/>
    <n v="0"/>
    <n v="0"/>
    <s v="Wandsworth"/>
    <m/>
    <s v="Wandsworth Town, including the Wandle Delta Masterplan Area"/>
    <n v="2"/>
    <m/>
    <n v="12"/>
    <m/>
    <m/>
    <m/>
    <m/>
    <m/>
    <m/>
    <m/>
    <m/>
    <m/>
    <m/>
    <m/>
    <m/>
    <m/>
    <m/>
    <m/>
    <m/>
    <m/>
    <m/>
    <n v="12"/>
    <n v="12"/>
  </r>
  <r>
    <n v="5589"/>
    <x v="2"/>
    <s v="2016/3838"/>
    <s v="Chatfield Court, 56 Chatfield Road"/>
    <s v=""/>
    <n v="526329"/>
    <n v="175625"/>
    <s v="St Mary's"/>
    <d v="2020-04-01T00:00:00"/>
    <m/>
    <n v="0"/>
    <n v="9"/>
    <n v="9"/>
    <n v="9"/>
    <n v="9"/>
    <m/>
    <s v="Demolition of existing roof structure and erection of four-storey extension (to create fourth, fifth, sixth and seventh floors) to provide 2 x 1-bedroom, 5 x 2-bedroom and  2 x 3-bedroom residential units, creation of balconies and roof terraces, and external alterations."/>
    <s v="PF"/>
    <d v="2016-06-30T00:00:00"/>
    <d v="2016-11-28T00:00:00"/>
    <m/>
    <s v="Nil"/>
    <m/>
    <s v="BF"/>
    <s v="EXT"/>
    <x v="2"/>
    <x v="2"/>
    <n v="2.7E-2"/>
    <d v="2020-04-01T00:00:00"/>
    <x v="0"/>
    <m/>
    <s v="Open Market"/>
    <s v="M"/>
    <s v=""/>
    <m/>
    <n v="9"/>
    <m/>
    <n v="0"/>
    <m/>
    <n v="0"/>
    <n v="2"/>
    <n v="5"/>
    <n v="2"/>
    <n v="0"/>
    <n v="0"/>
    <n v="0"/>
    <n v="0"/>
    <n v="2"/>
    <n v="5"/>
    <n v="2"/>
    <n v="0"/>
    <n v="0"/>
    <n v="0"/>
    <n v="0"/>
    <n v="0"/>
    <n v="0"/>
    <n v="0"/>
    <n v="0"/>
    <n v="0"/>
    <n v="0"/>
    <n v="0"/>
    <n v="0"/>
    <n v="0"/>
    <n v="0"/>
    <n v="0"/>
    <n v="0"/>
    <n v="0"/>
    <m/>
    <m/>
    <s v="Wandsworth riverside"/>
    <n v="13"/>
    <m/>
    <n v="9"/>
    <m/>
    <m/>
    <m/>
    <m/>
    <m/>
    <m/>
    <m/>
    <m/>
    <m/>
    <m/>
    <m/>
    <m/>
    <m/>
    <m/>
    <m/>
    <m/>
    <m/>
    <m/>
    <n v="9"/>
    <n v="9"/>
  </r>
  <r>
    <n v="6841"/>
    <x v="2"/>
    <s v="2020/5124"/>
    <s v="Garages south of 156-232, 156-232 Whitlock Drive"/>
    <s v=""/>
    <n v="524290"/>
    <n v="173418"/>
    <s v="West Hill"/>
    <d v="2022-08-30T00:00:00"/>
    <m/>
    <n v="0"/>
    <n v="9"/>
    <n v="9"/>
    <n v="9"/>
    <n v="9"/>
    <m/>
    <s v="Demolition of existing garages and erection of three-storey (plus basement) residential building comprising 1 x 1-bed, 6 x 2-bed and 2 x 3-bed flats with associated landscaping, underground parking, refuse and cycle storage."/>
    <s v="PF"/>
    <d v="2020-12-24T00:00:00"/>
    <d v="2021-04-22T00:00:00"/>
    <m/>
    <s v="Nil"/>
    <m/>
    <s v="BF"/>
    <s v="NB"/>
    <x v="2"/>
    <x v="1"/>
    <n v="0.125"/>
    <d v="2022-08-30T00:00:00"/>
    <x v="1"/>
    <m/>
    <s v="Social/Affordable Rent"/>
    <s v="AS"/>
    <s v=""/>
    <m/>
    <n v="0"/>
    <m/>
    <n v="0"/>
    <m/>
    <n v="0"/>
    <n v="1"/>
    <n v="6"/>
    <n v="2"/>
    <n v="0"/>
    <n v="0"/>
    <n v="0"/>
    <n v="0"/>
    <n v="1"/>
    <n v="6"/>
    <n v="2"/>
    <n v="0"/>
    <n v="0"/>
    <n v="0"/>
    <n v="0"/>
    <n v="0"/>
    <n v="0"/>
    <n v="0"/>
    <n v="0"/>
    <n v="0"/>
    <n v="0"/>
    <n v="0"/>
    <n v="0"/>
    <n v="0"/>
    <n v="0"/>
    <n v="0"/>
    <n v="0"/>
    <n v="0"/>
    <m/>
    <m/>
    <s v="Rest of Borough"/>
    <n v="2"/>
    <m/>
    <n v="9"/>
    <m/>
    <m/>
    <m/>
    <m/>
    <m/>
    <m/>
    <m/>
    <m/>
    <m/>
    <m/>
    <m/>
    <m/>
    <m/>
    <m/>
    <m/>
    <m/>
    <m/>
    <m/>
    <n v="9"/>
    <n v="9"/>
  </r>
  <r>
    <n v="7715"/>
    <x v="2"/>
    <s v="2021/3550"/>
    <s v="Silverdale House, 98-100 Wandsworth High Street"/>
    <s v=""/>
    <n v="525439"/>
    <n v="174719"/>
    <s v="Wandsworth Town"/>
    <d v="2022-09-05T00:00:00"/>
    <m/>
    <n v="0"/>
    <n v="9"/>
    <n v="9"/>
    <n v="9"/>
    <n v="9"/>
    <m/>
    <s v="Erection of six storey building in connection with creation of 2 x 3-bedroom, 1 x 2-bedroom and 6 x 1-bedroom flats with associated refuse and cycle storage."/>
    <s v="PF"/>
    <d v="2021-07-28T00:00:00"/>
    <d v="2022-04-27T00:00:00"/>
    <s v="Y"/>
    <s v="Nil"/>
    <m/>
    <s v="BF"/>
    <s v="NB"/>
    <x v="2"/>
    <x v="1"/>
    <n v="1.2999999999999999E-2"/>
    <d v="2022-09-05T00:00:00"/>
    <x v="1"/>
    <m/>
    <s v="Open Market"/>
    <s v="M"/>
    <s v=""/>
    <m/>
    <n v="0"/>
    <m/>
    <n v="0"/>
    <m/>
    <n v="0"/>
    <n v="6"/>
    <n v="1"/>
    <n v="2"/>
    <n v="0"/>
    <n v="0"/>
    <n v="0"/>
    <n v="0"/>
    <n v="6"/>
    <n v="1"/>
    <n v="2"/>
    <n v="0"/>
    <n v="0"/>
    <n v="0"/>
    <n v="0"/>
    <n v="0"/>
    <n v="0"/>
    <n v="0"/>
    <n v="0"/>
    <n v="0"/>
    <n v="0"/>
    <n v="0"/>
    <n v="0"/>
    <n v="0"/>
    <n v="0"/>
    <n v="0"/>
    <n v="0"/>
    <n v="0"/>
    <s v="Wandsworth"/>
    <m/>
    <s v="Wandsworth Town, including the Wandle Delta Masterplan Area"/>
    <n v="3"/>
    <m/>
    <n v="9"/>
    <m/>
    <m/>
    <m/>
    <m/>
    <m/>
    <m/>
    <m/>
    <m/>
    <m/>
    <m/>
    <m/>
    <m/>
    <m/>
    <m/>
    <m/>
    <m/>
    <m/>
    <m/>
    <n v="9"/>
    <n v="9"/>
  </r>
  <r>
    <n v="6765"/>
    <x v="2"/>
    <s v="2017/6846"/>
    <s v="Garages north of Fordyce House, Colson way"/>
    <s v=""/>
    <n v="529291"/>
    <n v="171713"/>
    <s v="Furzedown"/>
    <d v="2021-11-26T00:00:00"/>
    <m/>
    <n v="0"/>
    <n v="8"/>
    <n v="8"/>
    <n v="8"/>
    <n v="8"/>
    <m/>
    <s v="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
    <s v="PF"/>
    <d v="2017-12-21T00:00:00"/>
    <d v="2018-11-23T00:00:00"/>
    <m/>
    <s v="Nil"/>
    <m/>
    <s v="BF"/>
    <s v="NB"/>
    <x v="2"/>
    <x v="1"/>
    <n v="3.6999999999999998E-2"/>
    <d v="2021-11-26T00:00:00"/>
    <x v="0"/>
    <m/>
    <s v="Social/Affordable Rent"/>
    <s v="AC"/>
    <s v=""/>
    <m/>
    <n v="0"/>
    <m/>
    <n v="0"/>
    <m/>
    <n v="0"/>
    <n v="8"/>
    <n v="0"/>
    <n v="0"/>
    <n v="0"/>
    <n v="0"/>
    <n v="0"/>
    <n v="0"/>
    <n v="8"/>
    <n v="0"/>
    <n v="0"/>
    <n v="0"/>
    <n v="0"/>
    <n v="0"/>
    <n v="0"/>
    <n v="0"/>
    <n v="0"/>
    <n v="0"/>
    <n v="0"/>
    <n v="0"/>
    <n v="0"/>
    <n v="0"/>
    <n v="0"/>
    <n v="0"/>
    <n v="0"/>
    <n v="0"/>
    <n v="0"/>
    <n v="0"/>
    <m/>
    <m/>
    <s v="Rest of Borough"/>
    <n v="2"/>
    <m/>
    <n v="8"/>
    <m/>
    <m/>
    <m/>
    <m/>
    <m/>
    <m/>
    <m/>
    <m/>
    <m/>
    <m/>
    <m/>
    <m/>
    <m/>
    <m/>
    <m/>
    <m/>
    <m/>
    <m/>
    <n v="8"/>
    <n v="8"/>
  </r>
  <r>
    <n v="7498"/>
    <x v="2"/>
    <s v="2021/0831"/>
    <s v="142 Trinity Road"/>
    <s v=""/>
    <n v="527633"/>
    <n v="172951"/>
    <s v="Trinity"/>
    <d v="2022-03-31T00:00:00"/>
    <m/>
    <n v="1"/>
    <n v="8"/>
    <n v="7"/>
    <n v="8"/>
    <n v="7"/>
    <m/>
    <s v="Alterations including demolition of existing garage, erection of dormer roof extensions to main rear roof, two-storey rear and side extension plus roof level extensions above, excavation to enlarge basement including formation of front and rear lightwells, alterations to fenestration in connection with conversion and creation of 2 x 3-bedroom, 5 x 2-bedroom and 1 x 1-bed/studio flats with associated boundary treatment, landscaping, cycle and refuse storage."/>
    <s v="PF"/>
    <d v="2021-02-22T00:00:00"/>
    <d v="2021-06-22T00:00:00"/>
    <m/>
    <s v="Nil"/>
    <m/>
    <s v="BF"/>
    <s v="MIX"/>
    <x v="2"/>
    <x v="5"/>
    <n v="6.2E-2"/>
    <d v="2022-07-03T00:00:00"/>
    <x v="1"/>
    <m/>
    <s v="Open Market"/>
    <s v="M"/>
    <s v=""/>
    <m/>
    <n v="0"/>
    <m/>
    <n v="0"/>
    <m/>
    <n v="0"/>
    <n v="1"/>
    <n v="5"/>
    <n v="2"/>
    <n v="0"/>
    <n v="-1"/>
    <n v="0"/>
    <n v="0"/>
    <n v="1"/>
    <n v="5"/>
    <n v="2"/>
    <n v="0"/>
    <n v="0"/>
    <n v="0"/>
    <n v="0"/>
    <n v="0"/>
    <n v="0"/>
    <n v="0"/>
    <n v="0"/>
    <n v="-1"/>
    <n v="0"/>
    <n v="0"/>
    <n v="0"/>
    <n v="0"/>
    <n v="0"/>
    <n v="0"/>
    <n v="0"/>
    <n v="0"/>
    <m/>
    <m/>
    <s v="Rest of Borough"/>
    <n v="13"/>
    <m/>
    <n v="7"/>
    <m/>
    <m/>
    <m/>
    <m/>
    <m/>
    <m/>
    <m/>
    <m/>
    <m/>
    <m/>
    <m/>
    <m/>
    <m/>
    <m/>
    <m/>
    <m/>
    <m/>
    <m/>
    <n v="7"/>
    <n v="7"/>
  </r>
  <r>
    <n v="6490"/>
    <x v="2"/>
    <s v="2019/3275"/>
    <s v="153-159 Putney High Street"/>
    <s v=""/>
    <n v="523997"/>
    <n v="175115"/>
    <s v="Thamesfield"/>
    <d v="2021-03-08T00:00:00"/>
    <m/>
    <n v="0"/>
    <n v="7"/>
    <n v="7"/>
    <n v="9"/>
    <n v="9"/>
    <m/>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m/>
    <s v="Nil"/>
    <m/>
    <s v="BF"/>
    <s v="MIX"/>
    <x v="2"/>
    <x v="1"/>
    <n v="1.2E-2"/>
    <d v="2021-03-08T00:00:00"/>
    <x v="0"/>
    <m/>
    <s v="Open Market"/>
    <s v="M"/>
    <s v=""/>
    <m/>
    <n v="0"/>
    <m/>
    <n v="0"/>
    <m/>
    <n v="0"/>
    <n v="0"/>
    <n v="6"/>
    <n v="1"/>
    <n v="0"/>
    <n v="0"/>
    <n v="0"/>
    <n v="0"/>
    <n v="0"/>
    <n v="6"/>
    <n v="1"/>
    <n v="0"/>
    <n v="0"/>
    <n v="0"/>
    <n v="0"/>
    <n v="0"/>
    <n v="0"/>
    <n v="0"/>
    <n v="0"/>
    <n v="0"/>
    <n v="0"/>
    <n v="0"/>
    <n v="0"/>
    <n v="0"/>
    <n v="0"/>
    <n v="0"/>
    <n v="0"/>
    <n v="0"/>
    <s v="Putney"/>
    <m/>
    <s v="Putney Town Centre"/>
    <n v="12"/>
    <m/>
    <n v="7"/>
    <m/>
    <m/>
    <m/>
    <m/>
    <m/>
    <m/>
    <m/>
    <m/>
    <m/>
    <m/>
    <m/>
    <m/>
    <m/>
    <m/>
    <m/>
    <m/>
    <m/>
    <m/>
    <n v="7"/>
    <n v="7"/>
  </r>
  <r>
    <n v="6988"/>
    <x v="2"/>
    <s v="2021/1729"/>
    <s v="73 Earlsfield Road"/>
    <s v=""/>
    <n v="526452"/>
    <n v="173866"/>
    <s v="Wandle"/>
    <d v="2022-06-28T00:00:00"/>
    <m/>
    <n v="1"/>
    <n v="8"/>
    <n v="7"/>
    <n v="8"/>
    <n v="7"/>
    <m/>
    <s v="Alterations including erection of rear mansard roof extension to main rear roof slope and above existing two-storey side extension; extension above part of two-storey rear addition with installation of 1.7m high obscure glazed balustrade to form roof terrace; erection of single-storey rear extension to create full width ground floor rear extension, excavation to enlarge existing basement with stairs up to rear garden. alterations to front fenestration and replacement of all windows and doors in association with conversion of single-family dwelling house into 8 self-contained flats (3 x 3 bed, 2 x 2 bed, 3 x 1 bed) with associated outside amenity space, secure refuse and cycle storage and off-street parking."/>
    <s v="PF"/>
    <d v="2021-04-12T00:00:00"/>
    <d v="2021-07-27T00:00:00"/>
    <m/>
    <s v="Nil"/>
    <m/>
    <s v="BF"/>
    <s v="MIX"/>
    <x v="2"/>
    <x v="5"/>
    <n v="1.6199999999999999E-2"/>
    <d v="2022-06-28T00:00:00"/>
    <x v="1"/>
    <m/>
    <s v="Open Market"/>
    <s v="M"/>
    <s v=""/>
    <m/>
    <n v="0"/>
    <m/>
    <n v="0"/>
    <m/>
    <n v="0"/>
    <n v="3"/>
    <n v="2"/>
    <n v="3"/>
    <n v="0"/>
    <n v="-1"/>
    <n v="0"/>
    <n v="0"/>
    <n v="3"/>
    <n v="2"/>
    <n v="3"/>
    <n v="0"/>
    <n v="0"/>
    <n v="0"/>
    <n v="0"/>
    <n v="0"/>
    <n v="0"/>
    <n v="0"/>
    <n v="0"/>
    <n v="-1"/>
    <n v="0"/>
    <n v="0"/>
    <n v="0"/>
    <n v="0"/>
    <n v="0"/>
    <n v="0"/>
    <n v="0"/>
    <n v="0"/>
    <m/>
    <m/>
    <s v="Rest of Borough"/>
    <n v="13"/>
    <m/>
    <n v="7"/>
    <m/>
    <m/>
    <m/>
    <m/>
    <m/>
    <m/>
    <m/>
    <m/>
    <m/>
    <m/>
    <m/>
    <m/>
    <m/>
    <m/>
    <m/>
    <m/>
    <m/>
    <m/>
    <n v="7"/>
    <n v="7"/>
  </r>
  <r>
    <n v="2304"/>
    <x v="2"/>
    <s v="2015/5875"/>
    <s v="Chelsea Bridge Wharf (southern site), Queenstown Road (Phase 5, Residential Blocks F &amp; G (Lanson House &amp; Burnelli House))"/>
    <s v=""/>
    <n v="528666"/>
    <n v="177450"/>
    <s v="Battersea Park"/>
    <d v="2019-03-31T00:00:00"/>
    <m/>
    <n v="0"/>
    <n v="7"/>
    <n v="7"/>
    <n v="7"/>
    <n v="7"/>
    <m/>
    <s v="Change of use from &quot;flexible commercial space&quot; to provide 7 residential apartments with associated screening and landscaping"/>
    <s v="PFLA"/>
    <d v="2015-10-19T00:00:00"/>
    <d v="2016-04-05T00:00:00"/>
    <m/>
    <s v="Nil"/>
    <m/>
    <s v="BF"/>
    <s v="COU"/>
    <x v="2"/>
    <x v="6"/>
    <n v="5.8999999999999997E-2"/>
    <d v="2019-03-31T00:00:00"/>
    <x v="0"/>
    <m/>
    <s v="Open Market"/>
    <s v="M"/>
    <s v=""/>
    <m/>
    <n v="7"/>
    <m/>
    <n v="0"/>
    <m/>
    <n v="0"/>
    <n v="3"/>
    <n v="4"/>
    <n v="0"/>
    <n v="0"/>
    <n v="0"/>
    <n v="0"/>
    <n v="0"/>
    <n v="3"/>
    <n v="4"/>
    <n v="0"/>
    <n v="0"/>
    <n v="0"/>
    <n v="0"/>
    <n v="0"/>
    <n v="0"/>
    <n v="0"/>
    <n v="0"/>
    <n v="0"/>
    <n v="0"/>
    <n v="0"/>
    <n v="0"/>
    <n v="0"/>
    <n v="0"/>
    <n v="0"/>
    <n v="0"/>
    <n v="0"/>
    <n v="0"/>
    <m/>
    <s v="Y"/>
    <s v="Nine Elms Vauxhall Opportunity Area"/>
    <n v="13"/>
    <m/>
    <n v="7"/>
    <m/>
    <m/>
    <m/>
    <m/>
    <m/>
    <m/>
    <m/>
    <m/>
    <m/>
    <m/>
    <m/>
    <m/>
    <m/>
    <m/>
    <m/>
    <m/>
    <m/>
    <m/>
    <n v="7"/>
    <n v="7"/>
  </r>
  <r>
    <n v="6955"/>
    <x v="2"/>
    <s v="2019/2186"/>
    <s v="1 East Hill"/>
    <s v=""/>
    <n v="526542"/>
    <n v="174943"/>
    <s v="Wandsworth Town"/>
    <d v="2021-12-23T00:00:00"/>
    <m/>
    <n v="0"/>
    <n v="8"/>
    <n v="8"/>
    <n v="8"/>
    <n v="8"/>
    <m/>
    <s v="New 4 storey building with 2 new commercial units (Class A1, A2, A3 and B1) and 8 x residential self-contained flats (Class C3), comprising 2 x 1 bed units; and 5 x 2 bed units and 1 x 3 bed units."/>
    <s v="PF"/>
    <d v="2019-05-20T00:00:00"/>
    <d v="2019-08-23T00:00:00"/>
    <m/>
    <s v="Nil"/>
    <m/>
    <s v="BF"/>
    <s v="NB"/>
    <x v="2"/>
    <x v="1"/>
    <n v="2.5000000000000001E-2"/>
    <d v="2021-12-23T00:00:00"/>
    <x v="0"/>
    <m/>
    <s v="Open Market"/>
    <s v="M"/>
    <s v=""/>
    <m/>
    <n v="0"/>
    <m/>
    <n v="0"/>
    <m/>
    <n v="0"/>
    <n v="2"/>
    <n v="5"/>
    <n v="1"/>
    <n v="0"/>
    <n v="0"/>
    <n v="0"/>
    <n v="0"/>
    <n v="2"/>
    <n v="5"/>
    <n v="1"/>
    <n v="0"/>
    <n v="0"/>
    <n v="0"/>
    <n v="0"/>
    <n v="0"/>
    <n v="0"/>
    <n v="0"/>
    <n v="0"/>
    <n v="0"/>
    <n v="0"/>
    <n v="0"/>
    <n v="0"/>
    <n v="0"/>
    <n v="0"/>
    <n v="0"/>
    <n v="0"/>
    <n v="0"/>
    <m/>
    <m/>
    <s v="Rest of Borough"/>
    <n v="2"/>
    <m/>
    <m/>
    <n v="8"/>
    <m/>
    <m/>
    <m/>
    <m/>
    <m/>
    <m/>
    <m/>
    <m/>
    <m/>
    <m/>
    <m/>
    <m/>
    <m/>
    <m/>
    <m/>
    <m/>
    <m/>
    <n v="8"/>
    <n v="8"/>
  </r>
  <r>
    <n v="4474"/>
    <x v="2"/>
    <s v="2014/5383"/>
    <s v="19-21 Mitcham Road"/>
    <s v=""/>
    <n v="527533"/>
    <n v="171477"/>
    <s v="Tooting Broadway"/>
    <d v="2019-08-06T00:00:00"/>
    <m/>
    <n v="0"/>
    <n v="6"/>
    <n v="6"/>
    <n v="19"/>
    <n v="19"/>
    <s v="Y"/>
    <s v="Conversion of existing building at first, second, and third floor levels into 19 self contained apartments."/>
    <s v="PFLA"/>
    <d v="2014-09-09T00:00:00"/>
    <d v="2016-08-12T00:00:00"/>
    <m/>
    <s v="Nil"/>
    <m/>
    <s v="BF"/>
    <s v="COU"/>
    <x v="5"/>
    <x v="0"/>
    <n v="4.2999999999999997E-2"/>
    <d v="2019-08-06T00:00:00"/>
    <x v="0"/>
    <m/>
    <s v="Intermediate"/>
    <s v="IR"/>
    <s v="5.2"/>
    <m/>
    <n v="0"/>
    <m/>
    <n v="0"/>
    <m/>
    <n v="0"/>
    <n v="3"/>
    <n v="3"/>
    <n v="0"/>
    <n v="0"/>
    <n v="0"/>
    <n v="0"/>
    <n v="0"/>
    <n v="3"/>
    <n v="3"/>
    <n v="0"/>
    <n v="0"/>
    <n v="0"/>
    <n v="0"/>
    <n v="0"/>
    <n v="0"/>
    <n v="0"/>
    <n v="0"/>
    <n v="0"/>
    <n v="0"/>
    <n v="0"/>
    <n v="0"/>
    <n v="0"/>
    <n v="0"/>
    <n v="0"/>
    <n v="0"/>
    <n v="0"/>
    <n v="0"/>
    <s v="Tooting"/>
    <m/>
    <s v="Tooting"/>
    <n v="12"/>
    <m/>
    <n v="6"/>
    <m/>
    <m/>
    <m/>
    <m/>
    <m/>
    <m/>
    <m/>
    <m/>
    <m/>
    <m/>
    <m/>
    <m/>
    <m/>
    <m/>
    <m/>
    <m/>
    <m/>
    <m/>
    <n v="6"/>
    <n v="6"/>
  </r>
  <r>
    <n v="7364"/>
    <x v="2"/>
    <s v="2021/0408"/>
    <s v="5 Parma Crescent"/>
    <s v=""/>
    <n v="527592"/>
    <n v="175427"/>
    <s v="Lavender"/>
    <d v="2022-04-01T00:00:00"/>
    <m/>
    <n v="1"/>
    <n v="7"/>
    <n v="6"/>
    <n v="7"/>
    <n v="6"/>
    <m/>
    <s v="Demolition of existing building and erection of a part 2-storey, part 3-storey building (with basement) to provide 7 flats (2 x 3-bed, 4 x 2-bed, 1 x 1-bed flats) with associated refuse and cycle storage."/>
    <s v="PF"/>
    <d v="2021-01-29T00:00:00"/>
    <d v="2021-05-28T00:00:00"/>
    <m/>
    <s v="Nil"/>
    <m/>
    <s v="BF"/>
    <s v="NB"/>
    <x v="2"/>
    <x v="1"/>
    <n v="3.2000000000000001E-2"/>
    <d v="2022-04-01T00:00:00"/>
    <x v="1"/>
    <m/>
    <s v="Open Market"/>
    <s v="M"/>
    <s v=""/>
    <m/>
    <n v="0"/>
    <m/>
    <n v="0"/>
    <m/>
    <n v="0"/>
    <n v="1"/>
    <n v="4"/>
    <n v="1"/>
    <n v="0"/>
    <n v="0"/>
    <n v="0"/>
    <n v="0"/>
    <n v="1"/>
    <n v="4"/>
    <n v="2"/>
    <n v="0"/>
    <n v="0"/>
    <n v="0"/>
    <n v="0"/>
    <n v="0"/>
    <n v="0"/>
    <n v="-1"/>
    <n v="0"/>
    <n v="0"/>
    <n v="0"/>
    <n v="0"/>
    <n v="0"/>
    <n v="0"/>
    <n v="0"/>
    <n v="0"/>
    <n v="0"/>
    <n v="0"/>
    <m/>
    <m/>
    <s v="Clapham Junction Spatial Area Strategy"/>
    <n v="3"/>
    <m/>
    <n v="6"/>
    <m/>
    <m/>
    <m/>
    <m/>
    <m/>
    <m/>
    <m/>
    <m/>
    <m/>
    <m/>
    <m/>
    <m/>
    <m/>
    <m/>
    <m/>
    <m/>
    <m/>
    <m/>
    <n v="6"/>
    <n v="6"/>
  </r>
  <r>
    <n v="7299"/>
    <x v="2"/>
    <s v="2019/4665"/>
    <s v="2 Replingham Road"/>
    <s v=""/>
    <n v="524756"/>
    <n v="173258"/>
    <s v="Southfields"/>
    <d v="2020-11-11T00:00:00"/>
    <m/>
    <n v="0"/>
    <n v="5"/>
    <n v="5"/>
    <n v="5"/>
    <n v="5"/>
    <m/>
    <s v="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
    <s v="PF"/>
    <d v="2019-11-21T00:00:00"/>
    <d v="2020-04-28T00:00:00"/>
    <m/>
    <s v="Nil"/>
    <m/>
    <s v="BF"/>
    <s v="COU"/>
    <x v="2"/>
    <x v="6"/>
    <n v="1.4E-2"/>
    <d v="2020-11-11T00:00:00"/>
    <x v="0"/>
    <m/>
    <s v="Open Market"/>
    <s v="M"/>
    <s v=""/>
    <m/>
    <n v="0"/>
    <m/>
    <n v="0"/>
    <m/>
    <n v="1"/>
    <n v="1"/>
    <n v="2"/>
    <n v="1"/>
    <n v="0"/>
    <n v="0"/>
    <n v="0"/>
    <n v="1"/>
    <n v="1"/>
    <n v="2"/>
    <n v="1"/>
    <n v="0"/>
    <n v="0"/>
    <n v="0"/>
    <n v="0"/>
    <n v="0"/>
    <n v="0"/>
    <n v="0"/>
    <n v="0"/>
    <n v="0"/>
    <n v="0"/>
    <n v="0"/>
    <n v="0"/>
    <n v="0"/>
    <n v="0"/>
    <n v="0"/>
    <n v="0"/>
    <n v="0"/>
    <m/>
    <m/>
    <s v="Rest of Borough"/>
    <n v="13"/>
    <m/>
    <n v="5"/>
    <m/>
    <m/>
    <m/>
    <m/>
    <m/>
    <m/>
    <m/>
    <m/>
    <m/>
    <m/>
    <m/>
    <m/>
    <m/>
    <m/>
    <m/>
    <m/>
    <m/>
    <m/>
    <n v="5"/>
    <n v="5"/>
  </r>
  <r>
    <n v="3066"/>
    <x v="2"/>
    <s v="2021/2382"/>
    <s v="336 Upper Richmond Road"/>
    <s v=""/>
    <n v="523512"/>
    <n v="175269"/>
    <s v="West Putney"/>
    <d v="2022-03-31T00:00:00"/>
    <m/>
    <n v="2"/>
    <n v="7"/>
    <n v="5"/>
    <n v="7"/>
    <n v="5"/>
    <m/>
    <s v="Variation of condition 2 (Approved Drawings) and 13 (Unit mix) of planning permission dated 20/08/2020 ref 2020/1463 (Erection of replacement single-storey rear/side extensions, erection of dormer extension to main rear and side roof slopes, and formation of a basement with front and rear lightwells in connection with a change of use from Dental Surgery (Class D1) to residential (Class C3) to provide flats with associated amenity space, refuse and bicycle storage.) to allow the changes to the approved drawings to allow alterations to the fenestration; bridges over basement lightwell; door to flat 4; flank walls to lightwells; addition of two first floor balconies to flats 6 and 7 with obscured glazed screening; increase in ground floor extension height; new window on north flank at first floor level and roof light added in flat 5; change of unit mix to 3 x 1 bedroom  3 x 2 bedroom and 1 x 3 bedroom flats."/>
    <s v="PF"/>
    <d v="2021-06-15T00:00:00"/>
    <d v="2021-08-31T00:00:00"/>
    <m/>
    <s v="Nil"/>
    <m/>
    <s v="BF"/>
    <s v="MIX"/>
    <x v="2"/>
    <x v="3"/>
    <n v="6.6000000000000003E-2"/>
    <d v="2022-03-31T00:00:00"/>
    <x v="0"/>
    <m/>
    <s v="Open Market"/>
    <s v="M"/>
    <s v=""/>
    <m/>
    <n v="0"/>
    <m/>
    <n v="0"/>
    <m/>
    <n v="0"/>
    <n v="3"/>
    <n v="1"/>
    <n v="1"/>
    <n v="0"/>
    <n v="0"/>
    <n v="0"/>
    <n v="0"/>
    <n v="3"/>
    <n v="1"/>
    <n v="1"/>
    <n v="0"/>
    <n v="0"/>
    <n v="0"/>
    <n v="0"/>
    <n v="0"/>
    <n v="0"/>
    <n v="0"/>
    <n v="0"/>
    <n v="0"/>
    <n v="0"/>
    <n v="0"/>
    <n v="0"/>
    <n v="0"/>
    <n v="0"/>
    <n v="0"/>
    <n v="0"/>
    <n v="0"/>
    <m/>
    <m/>
    <s v="Rest of Borough"/>
    <n v="13"/>
    <m/>
    <n v="5"/>
    <m/>
    <m/>
    <m/>
    <m/>
    <m/>
    <m/>
    <m/>
    <m/>
    <m/>
    <m/>
    <m/>
    <m/>
    <m/>
    <m/>
    <m/>
    <m/>
    <m/>
    <m/>
    <n v="5"/>
    <n v="5"/>
  </r>
  <r>
    <n v="6188"/>
    <x v="2"/>
    <s v="2021/3023"/>
    <s v="Earlsfield House, 1 Swaffield Road"/>
    <s v=""/>
    <n v="525924"/>
    <n v="173800"/>
    <s v="Wandle"/>
    <d v="2022-03-31T00:00:00"/>
    <m/>
    <n v="0"/>
    <n v="5"/>
    <n v="5"/>
    <n v="5"/>
    <n v="5"/>
    <m/>
    <s v="Erection of a side extension with alterations as part of the change of use of Earlsfield House to provide 5 x 2-bedroom residential apartments."/>
    <s v="PF"/>
    <d v="2021-06-23T00:00:00"/>
    <d v="2021-08-31T00:00:00"/>
    <m/>
    <s v="Nil"/>
    <m/>
    <s v="BF"/>
    <s v="MIX"/>
    <x v="2"/>
    <x v="6"/>
    <n v="8.0000000000000002E-3"/>
    <d v="2022-03-31T00:00:00"/>
    <x v="0"/>
    <m/>
    <s v="Open Market"/>
    <s v="M"/>
    <s v=""/>
    <m/>
    <n v="0"/>
    <m/>
    <n v="0"/>
    <m/>
    <n v="0"/>
    <n v="1"/>
    <n v="4"/>
    <n v="0"/>
    <n v="0"/>
    <n v="0"/>
    <n v="0"/>
    <n v="0"/>
    <n v="1"/>
    <n v="4"/>
    <n v="0"/>
    <n v="0"/>
    <n v="0"/>
    <n v="0"/>
    <n v="0"/>
    <n v="0"/>
    <n v="0"/>
    <n v="0"/>
    <n v="0"/>
    <n v="0"/>
    <n v="0"/>
    <n v="0"/>
    <n v="0"/>
    <n v="0"/>
    <n v="0"/>
    <n v="0"/>
    <n v="0"/>
    <n v="0"/>
    <m/>
    <m/>
    <s v="The Wandle Valley"/>
    <n v="13"/>
    <m/>
    <n v="5"/>
    <m/>
    <m/>
    <m/>
    <m/>
    <m/>
    <m/>
    <m/>
    <m/>
    <m/>
    <m/>
    <m/>
    <m/>
    <m/>
    <m/>
    <m/>
    <m/>
    <m/>
    <m/>
    <n v="5"/>
    <n v="5"/>
  </r>
  <r>
    <n v="7653"/>
    <x v="2"/>
    <s v="2021/2344"/>
    <s v="Garages Rear of, 88 Longley Road"/>
    <s v=""/>
    <n v="527507"/>
    <n v="170721"/>
    <s v="Tooting Broadway"/>
    <d v="2022-07-01T00:00:00"/>
    <m/>
    <n v="0"/>
    <n v="5"/>
    <n v="5"/>
    <n v="5"/>
    <n v="5"/>
    <m/>
    <s v="Demolition of existing garage/storage facilities and erection of twostorey building to provide 3 x 1-bedroom and 2 x 2-bedroom flats with_x000a_associated terraces, provision of refuse and cycle storage."/>
    <s v="PF"/>
    <d v="2021-06-14T00:00:00"/>
    <d v="2021-11-23T00:00:00"/>
    <m/>
    <s v="Nil"/>
    <m/>
    <s v="BF"/>
    <s v="NB"/>
    <x v="2"/>
    <x v="1"/>
    <n v="1.4999999999999999E-2"/>
    <d v="2022-07-01T00:00:00"/>
    <x v="1"/>
    <m/>
    <s v="Open Market"/>
    <s v="M"/>
    <s v=""/>
    <m/>
    <n v="0"/>
    <m/>
    <n v="0"/>
    <m/>
    <n v="0"/>
    <n v="3"/>
    <n v="2"/>
    <n v="0"/>
    <n v="0"/>
    <n v="0"/>
    <n v="0"/>
    <n v="0"/>
    <n v="3"/>
    <n v="2"/>
    <n v="0"/>
    <n v="0"/>
    <n v="0"/>
    <n v="0"/>
    <n v="0"/>
    <n v="0"/>
    <n v="0"/>
    <n v="0"/>
    <n v="0"/>
    <n v="0"/>
    <n v="0"/>
    <n v="0"/>
    <n v="0"/>
    <n v="0"/>
    <n v="0"/>
    <n v="0"/>
    <n v="0"/>
    <n v="0"/>
    <m/>
    <m/>
    <s v="Rest of Borough"/>
    <n v="3"/>
    <m/>
    <n v="5"/>
    <m/>
    <m/>
    <m/>
    <m/>
    <m/>
    <m/>
    <m/>
    <m/>
    <m/>
    <m/>
    <m/>
    <m/>
    <m/>
    <m/>
    <m/>
    <m/>
    <m/>
    <m/>
    <n v="5"/>
    <n v="5"/>
  </r>
  <r>
    <n v="7679"/>
    <x v="2"/>
    <s v="2021/3012"/>
    <s v="82-84 Mitcham Lane"/>
    <s v=""/>
    <n v="529371"/>
    <n v="171218"/>
    <s v="Furzedown"/>
    <d v="2022-11-04T00:00:00"/>
    <m/>
    <n v="0"/>
    <n v="9"/>
    <n v="9"/>
    <n v="9"/>
    <n v="9"/>
    <m/>
    <s v="Determination as to whether prior approval is required for demolition of existing workshop and erection of part 2/part 4-storey building to provide 8 x 1-bedroom and 1 x 2-bedroom flats."/>
    <s v="PAG"/>
    <d v="2021-06-29T00:00:00"/>
    <d v="2021-09-08T00:00:00"/>
    <m/>
    <s v="Nil"/>
    <m/>
    <s v="BF"/>
    <s v="NB"/>
    <x v="2"/>
    <x v="1"/>
    <n v="1.6E-2"/>
    <d v="2022-11-04T00:00:00"/>
    <x v="1"/>
    <m/>
    <s v="Open Market"/>
    <s v="M"/>
    <s v=""/>
    <m/>
    <n v="0"/>
    <m/>
    <n v="0"/>
    <m/>
    <n v="0"/>
    <n v="8"/>
    <n v="1"/>
    <n v="0"/>
    <n v="0"/>
    <n v="0"/>
    <n v="0"/>
    <n v="0"/>
    <n v="8"/>
    <n v="1"/>
    <n v="0"/>
    <n v="0"/>
    <n v="0"/>
    <n v="0"/>
    <n v="0"/>
    <n v="0"/>
    <n v="0"/>
    <n v="0"/>
    <n v="0"/>
    <n v="0"/>
    <n v="0"/>
    <n v="0"/>
    <n v="0"/>
    <n v="0"/>
    <n v="0"/>
    <n v="0"/>
    <n v="0"/>
    <n v="0"/>
    <m/>
    <m/>
    <s v="Rest of Borough"/>
    <n v="4"/>
    <m/>
    <n v="4.5"/>
    <n v="4.5"/>
    <m/>
    <m/>
    <m/>
    <m/>
    <m/>
    <m/>
    <m/>
    <m/>
    <m/>
    <m/>
    <m/>
    <m/>
    <m/>
    <m/>
    <m/>
    <m/>
    <m/>
    <n v="9"/>
    <n v="9"/>
  </r>
  <r>
    <n v="6318"/>
    <x v="2"/>
    <s v="2017/3137"/>
    <s v="37 Oldridge Road"/>
    <s v=""/>
    <n v="528567"/>
    <n v="173770"/>
    <s v="Balham"/>
    <d v="2022-04-01T00:00:00"/>
    <m/>
    <n v="1"/>
    <n v="5"/>
    <n v="4"/>
    <n v="5"/>
    <n v="4"/>
    <m/>
    <s v="Demolition of existing building and erection of a four-storey building to provide 1 x studio, 1 x 1-bedroom and 2 x 2 bedroom flats, the erection of  a single-storey (plus basement) 1-bedroom house; associated cycle and refuse storage."/>
    <s v="PF"/>
    <d v="2017-06-05T00:00:00"/>
    <d v="2017-10-24T00:00:00"/>
    <m/>
    <s v="Nil"/>
    <m/>
    <s v="BF"/>
    <s v="NB"/>
    <x v="2"/>
    <x v="1"/>
    <n v="0.01"/>
    <d v="2022-04-01T00:00:00"/>
    <x v="1"/>
    <m/>
    <s v="Open Market"/>
    <s v="M"/>
    <s v=""/>
    <m/>
    <n v="0"/>
    <m/>
    <n v="0"/>
    <m/>
    <n v="1"/>
    <n v="2"/>
    <n v="1"/>
    <n v="0"/>
    <n v="0"/>
    <n v="0"/>
    <n v="0"/>
    <n v="1"/>
    <n v="1"/>
    <n v="2"/>
    <n v="0"/>
    <n v="0"/>
    <n v="0"/>
    <n v="0"/>
    <n v="0"/>
    <n v="1"/>
    <n v="-1"/>
    <n v="0"/>
    <n v="0"/>
    <n v="0"/>
    <n v="0"/>
    <n v="0"/>
    <n v="0"/>
    <n v="0"/>
    <n v="0"/>
    <n v="0"/>
    <n v="0"/>
    <n v="0"/>
    <m/>
    <m/>
    <s v="Rest of Borough"/>
    <n v="3"/>
    <m/>
    <n v="4"/>
    <m/>
    <m/>
    <m/>
    <m/>
    <m/>
    <m/>
    <m/>
    <m/>
    <m/>
    <m/>
    <m/>
    <m/>
    <m/>
    <m/>
    <m/>
    <m/>
    <m/>
    <m/>
    <n v="4"/>
    <n v="4"/>
  </r>
  <r>
    <n v="5142"/>
    <x v="2"/>
    <s v="2017/6879"/>
    <s v="5 Laitwood Road"/>
    <s v=""/>
    <n v="528703"/>
    <n v="173473"/>
    <s v="Balham"/>
    <d v="2022-04-01T00:00:00"/>
    <m/>
    <n v="1"/>
    <n v="5"/>
    <n v="4"/>
    <n v="5"/>
    <n v="4"/>
    <m/>
    <s v="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
    <s v="PF"/>
    <d v="2017-12-15T00:00:00"/>
    <d v="2018-02-09T00:00:00"/>
    <m/>
    <s v="Nil"/>
    <m/>
    <s v="BF"/>
    <s v="MIX"/>
    <x v="2"/>
    <x v="5"/>
    <n v="3.6999999999999998E-2"/>
    <d v="2022-04-01T00:00:00"/>
    <x v="1"/>
    <m/>
    <s v="Open Market"/>
    <s v="M"/>
    <s v=""/>
    <m/>
    <n v="0"/>
    <m/>
    <n v="0"/>
    <m/>
    <n v="0"/>
    <n v="1"/>
    <n v="2"/>
    <n v="2"/>
    <n v="0"/>
    <n v="-1"/>
    <n v="0"/>
    <n v="0"/>
    <n v="1"/>
    <n v="2"/>
    <n v="2"/>
    <n v="0"/>
    <n v="0"/>
    <n v="0"/>
    <n v="0"/>
    <n v="0"/>
    <n v="0"/>
    <n v="0"/>
    <n v="0"/>
    <n v="-1"/>
    <n v="0"/>
    <n v="0"/>
    <n v="0"/>
    <n v="0"/>
    <n v="0"/>
    <n v="0"/>
    <n v="0"/>
    <n v="0"/>
    <m/>
    <m/>
    <s v="Balham"/>
    <n v="13"/>
    <m/>
    <n v="4"/>
    <m/>
    <m/>
    <m/>
    <m/>
    <m/>
    <m/>
    <m/>
    <m/>
    <m/>
    <m/>
    <m/>
    <m/>
    <m/>
    <m/>
    <m/>
    <m/>
    <m/>
    <m/>
    <n v="4"/>
    <n v="4"/>
  </r>
  <r>
    <n v="7093"/>
    <x v="2"/>
    <s v="2020/3861"/>
    <s v="58 Selkirk Road"/>
    <s v=""/>
    <n v="527391"/>
    <n v="171716"/>
    <s v="Tooting Bec"/>
    <d v="2022-07-11T00:00:00"/>
    <m/>
    <n v="1"/>
    <n v="5"/>
    <n v="4"/>
    <n v="5"/>
    <n v="4"/>
    <m/>
    <s v="Demolition of existing building and erection of two-storey with roof addition and basement building to provide accommodation consisting of 2 x 3-bedroom self-contained flats with media rooms, 3 x 1-bedroom one person self-contained flats with associated refuse and cycle storage."/>
    <s v="PF"/>
    <d v="2020-10-13T00:00:00"/>
    <d v="2021-03-01T00:00:00"/>
    <m/>
    <s v="Nil"/>
    <m/>
    <s v="BF"/>
    <s v="NB"/>
    <x v="2"/>
    <x v="1"/>
    <n v="0.02"/>
    <d v="2022-07-11T00:00:00"/>
    <x v="1"/>
    <m/>
    <s v="Open Market"/>
    <s v="M"/>
    <s v=""/>
    <m/>
    <n v="0"/>
    <m/>
    <n v="0"/>
    <m/>
    <n v="0"/>
    <n v="3"/>
    <n v="0"/>
    <n v="2"/>
    <n v="-1"/>
    <n v="0"/>
    <n v="0"/>
    <n v="0"/>
    <n v="3"/>
    <n v="0"/>
    <n v="2"/>
    <n v="0"/>
    <n v="0"/>
    <n v="0"/>
    <n v="0"/>
    <n v="0"/>
    <n v="0"/>
    <n v="0"/>
    <n v="-1"/>
    <n v="0"/>
    <n v="0"/>
    <n v="0"/>
    <n v="0"/>
    <n v="0"/>
    <n v="0"/>
    <n v="0"/>
    <n v="0"/>
    <n v="0"/>
    <m/>
    <m/>
    <s v="Rest of Borough"/>
    <n v="3"/>
    <m/>
    <n v="4"/>
    <m/>
    <m/>
    <m/>
    <m/>
    <m/>
    <m/>
    <m/>
    <m/>
    <m/>
    <m/>
    <m/>
    <m/>
    <m/>
    <m/>
    <m/>
    <m/>
    <m/>
    <m/>
    <n v="4"/>
    <n v="4"/>
  </r>
  <r>
    <n v="7679"/>
    <x v="2"/>
    <s v="2022/0538"/>
    <s v="82-84 Mitcham Lane"/>
    <s v=""/>
    <n v="529371"/>
    <n v="171218"/>
    <s v="Furzedown"/>
    <d v="2022-11-04T00:00:00"/>
    <m/>
    <n v="0"/>
    <n v="8"/>
    <n v="8"/>
    <n v="8"/>
    <n v="8"/>
    <m/>
    <s v="Erection of four-storey side and rear extensions, conversion of rear part of ground floor to residential with retention of front part as commercial (Class E) use in connection with conversion of building into 8 residential units 1 x 3 bedroom, 6 x 2 bedroom and 1 x 1-bedroom units with associated bin and bike storage and landscaping."/>
    <s v="PF"/>
    <d v="2022-03-07T00:00:00"/>
    <d v="2022-06-30T00:00:00"/>
    <s v="Y"/>
    <s v="Nil"/>
    <m/>
    <s v="BF"/>
    <s v="MIX"/>
    <x v="2"/>
    <x v="4"/>
    <n v="1.7649999999999999E-2"/>
    <d v="2022-11-04T00:00:00"/>
    <x v="1"/>
    <m/>
    <s v="Open Market"/>
    <s v="M"/>
    <s v=""/>
    <m/>
    <n v="0"/>
    <m/>
    <n v="0"/>
    <m/>
    <n v="0"/>
    <n v="1"/>
    <n v="6"/>
    <n v="1"/>
    <n v="0"/>
    <n v="0"/>
    <n v="0"/>
    <n v="0"/>
    <n v="1"/>
    <n v="6"/>
    <n v="1"/>
    <n v="0"/>
    <n v="0"/>
    <n v="0"/>
    <n v="0"/>
    <n v="0"/>
    <n v="0"/>
    <n v="0"/>
    <n v="0"/>
    <n v="0"/>
    <n v="0"/>
    <n v="0"/>
    <n v="0"/>
    <n v="0"/>
    <n v="0"/>
    <n v="0"/>
    <n v="0"/>
    <n v="0"/>
    <m/>
    <m/>
    <s v="Rest of Borough"/>
    <n v="14"/>
    <m/>
    <n v="4"/>
    <n v="4"/>
    <m/>
    <m/>
    <m/>
    <m/>
    <m/>
    <m/>
    <m/>
    <m/>
    <m/>
    <m/>
    <m/>
    <m/>
    <m/>
    <m/>
    <m/>
    <m/>
    <m/>
    <n v="8"/>
    <n v="8"/>
  </r>
  <r>
    <n v="6317"/>
    <x v="2"/>
    <s v="2018/3122"/>
    <s v="Garages rear of 21, Granard Avenue"/>
    <s v=""/>
    <n v="522879"/>
    <n v="174549"/>
    <s v="West Putney"/>
    <d v="2021-09-13T00:00:00"/>
    <m/>
    <n v="0"/>
    <n v="4"/>
    <n v="4"/>
    <n v="4"/>
    <n v="4"/>
    <m/>
    <s v="Demolition of existing garages and construction of 4 x 2-bedroom houses ground and first floors with part basement."/>
    <s v="PF"/>
    <d v="2018-06-25T00:00:00"/>
    <d v="2018-10-23T00:00:00"/>
    <m/>
    <s v="Nil"/>
    <m/>
    <s v="BF"/>
    <s v="NB"/>
    <x v="2"/>
    <x v="1"/>
    <n v="5.6000000000000001E-2"/>
    <d v="2021-09-13T00:00:00"/>
    <x v="0"/>
    <m/>
    <s v="Open Market"/>
    <s v="M"/>
    <s v=""/>
    <m/>
    <n v="0"/>
    <m/>
    <n v="0"/>
    <m/>
    <n v="0"/>
    <n v="0"/>
    <n v="4"/>
    <n v="0"/>
    <n v="0"/>
    <n v="0"/>
    <n v="0"/>
    <n v="0"/>
    <n v="0"/>
    <n v="0"/>
    <n v="0"/>
    <n v="0"/>
    <n v="0"/>
    <n v="0"/>
    <n v="0"/>
    <n v="0"/>
    <n v="4"/>
    <n v="0"/>
    <n v="0"/>
    <n v="0"/>
    <n v="0"/>
    <n v="0"/>
    <n v="0"/>
    <n v="0"/>
    <n v="0"/>
    <n v="0"/>
    <n v="0"/>
    <n v="0"/>
    <m/>
    <m/>
    <s v="Rest of Borough"/>
    <n v="3"/>
    <m/>
    <n v="4"/>
    <m/>
    <m/>
    <m/>
    <m/>
    <m/>
    <m/>
    <m/>
    <m/>
    <m/>
    <m/>
    <m/>
    <m/>
    <m/>
    <m/>
    <m/>
    <m/>
    <m/>
    <m/>
    <n v="4"/>
    <n v="4"/>
  </r>
  <r>
    <n v="2154"/>
    <x v="2"/>
    <s v="2014/1622"/>
    <s v="Mission Church development site, 22-24 Kellino Street (Tooting Boys' Club)"/>
    <s v=""/>
    <n v="527691"/>
    <n v="171695"/>
    <s v="Tooting Bec"/>
    <d v="2017-09-11T00:00:00"/>
    <m/>
    <n v="0"/>
    <n v="4"/>
    <n v="4"/>
    <n v="4"/>
    <n v="4"/>
    <m/>
    <s v="Change of use of the existing building from former community building (Class D1) to create four self-contained residential units comprising internal and external alterations (including terraces) and extensions."/>
    <s v="PF"/>
    <d v="2014-05-06T00:00:00"/>
    <d v="2014-07-18T00:00:00"/>
    <m/>
    <s v="Nil"/>
    <m/>
    <s v="BF"/>
    <s v="MIX"/>
    <x v="2"/>
    <x v="1"/>
    <n v="1.9E-2"/>
    <d v="2017-09-11T00:00:00"/>
    <x v="0"/>
    <m/>
    <s v="Open Market"/>
    <s v="M"/>
    <s v=""/>
    <m/>
    <n v="0"/>
    <m/>
    <n v="0"/>
    <m/>
    <n v="0"/>
    <n v="0"/>
    <n v="2"/>
    <n v="2"/>
    <n v="0"/>
    <n v="0"/>
    <n v="0"/>
    <n v="0"/>
    <n v="0"/>
    <n v="2"/>
    <n v="2"/>
    <n v="0"/>
    <n v="0"/>
    <n v="0"/>
    <n v="0"/>
    <n v="0"/>
    <n v="0"/>
    <n v="0"/>
    <n v="0"/>
    <n v="0"/>
    <n v="0"/>
    <n v="0"/>
    <n v="0"/>
    <n v="0"/>
    <n v="0"/>
    <n v="0"/>
    <n v="0"/>
    <n v="0"/>
    <m/>
    <m/>
    <s v="Tooting"/>
    <n v="13"/>
    <m/>
    <n v="4"/>
    <m/>
    <m/>
    <m/>
    <m/>
    <m/>
    <m/>
    <m/>
    <m/>
    <m/>
    <m/>
    <m/>
    <m/>
    <m/>
    <m/>
    <m/>
    <m/>
    <m/>
    <m/>
    <n v="4"/>
    <n v="4"/>
  </r>
  <r>
    <n v="1188"/>
    <x v="2"/>
    <s v="2019/0014"/>
    <s v="113 St Johns Hill"/>
    <s v=""/>
    <n v="526940"/>
    <n v="175148"/>
    <s v="Wandsworth Town"/>
    <d v="2022-04-01T00:00:00"/>
    <m/>
    <n v="0"/>
    <n v="3"/>
    <n v="3"/>
    <n v="3"/>
    <n v="3"/>
    <m/>
    <s v="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
    <s v="PF"/>
    <d v="2019-01-03T00:00:00"/>
    <d v="2019-06-28T00:00:00"/>
    <m/>
    <s v="Nil"/>
    <m/>
    <s v="BF"/>
    <s v="MIX"/>
    <x v="2"/>
    <x v="1"/>
    <n v="7.0000000000000001E-3"/>
    <d v="2022-04-01T00:00:00"/>
    <x v="1"/>
    <m/>
    <s v="Open Market"/>
    <s v="M"/>
    <s v=""/>
    <m/>
    <n v="0"/>
    <m/>
    <n v="0"/>
    <m/>
    <n v="0"/>
    <n v="0"/>
    <n v="3"/>
    <n v="0"/>
    <n v="0"/>
    <n v="0"/>
    <n v="0"/>
    <n v="0"/>
    <n v="0"/>
    <n v="3"/>
    <n v="0"/>
    <n v="0"/>
    <n v="0"/>
    <n v="0"/>
    <n v="0"/>
    <n v="0"/>
    <n v="0"/>
    <n v="0"/>
    <n v="0"/>
    <n v="0"/>
    <n v="0"/>
    <n v="0"/>
    <n v="0"/>
    <n v="0"/>
    <n v="0"/>
    <n v="0"/>
    <n v="0"/>
    <n v="0"/>
    <m/>
    <m/>
    <s v="Rest of Borough"/>
    <n v="13"/>
    <m/>
    <n v="3"/>
    <m/>
    <m/>
    <m/>
    <m/>
    <m/>
    <m/>
    <m/>
    <m/>
    <m/>
    <m/>
    <m/>
    <m/>
    <m/>
    <m/>
    <m/>
    <m/>
    <m/>
    <m/>
    <n v="3"/>
    <n v="3"/>
  </r>
  <r>
    <n v="4260"/>
    <x v="2"/>
    <s v="2013/5264"/>
    <s v="155 Burntwood Lane"/>
    <s v=""/>
    <n v="526461"/>
    <n v="172543"/>
    <s v="Wandsworth Common"/>
    <d v="2018-03-31T00:00:00"/>
    <m/>
    <n v="0"/>
    <n v="3"/>
    <n v="3"/>
    <n v="3"/>
    <n v="3"/>
    <m/>
    <s v="Demolition of rear addition and alterations including erection of part single part two-storey front, side, rear extensions to rear addition, alterations to front and side ground floor elevations and enclosure of front and side forecourt in connection with use as three flats."/>
    <s v="PF"/>
    <d v="2013-10-21T00:00:00"/>
    <d v="2013-10-21T00:00:00"/>
    <m/>
    <s v="Nil"/>
    <m/>
    <s v="BF"/>
    <s v="MIX"/>
    <x v="2"/>
    <x v="4"/>
    <n v="3.4000000000000002E-2"/>
    <d v="2018-03-31T00:00:00"/>
    <x v="0"/>
    <m/>
    <s v="Open Market"/>
    <s v="M"/>
    <s v=""/>
    <m/>
    <n v="0"/>
    <m/>
    <n v="0"/>
    <m/>
    <n v="0"/>
    <n v="0"/>
    <n v="2"/>
    <n v="1"/>
    <n v="0"/>
    <n v="0"/>
    <n v="0"/>
    <n v="0"/>
    <n v="0"/>
    <n v="2"/>
    <n v="1"/>
    <n v="0"/>
    <n v="0"/>
    <n v="0"/>
    <n v="0"/>
    <n v="0"/>
    <n v="0"/>
    <n v="0"/>
    <n v="0"/>
    <n v="0"/>
    <n v="0"/>
    <n v="0"/>
    <n v="0"/>
    <n v="0"/>
    <n v="0"/>
    <n v="0"/>
    <n v="0"/>
    <n v="0"/>
    <m/>
    <m/>
    <s v="Rest of Borough"/>
    <n v="13"/>
    <m/>
    <n v="3"/>
    <m/>
    <m/>
    <m/>
    <m/>
    <m/>
    <m/>
    <m/>
    <m/>
    <m/>
    <m/>
    <m/>
    <m/>
    <m/>
    <m/>
    <m/>
    <m/>
    <m/>
    <m/>
    <n v="3"/>
    <n v="3"/>
  </r>
  <r>
    <n v="7781"/>
    <x v="2"/>
    <s v="2021/4551"/>
    <s v="178 Lavender Hill"/>
    <s v=""/>
    <n v="527713"/>
    <n v="175549"/>
    <s v="Shaftesbury &amp; Queenstown"/>
    <d v="2022-04-01T00:00:00"/>
    <m/>
    <n v="1"/>
    <n v="4"/>
    <n v="3"/>
    <n v="4"/>
    <n v="3"/>
    <m/>
    <s v="Alterations including erection of a dormer extension to side and rear roof; two-storey extension above two-storey back addition and part-single/part-two-storey rear extension to back-addition; Formation of a roof terraces/balconies at first, second, third and fourth floors; Partial change of use of basement and ground floor from commercial use class E to residential use class C3 in connection with the creation of 2 x 1 bedroom and 2 x 2 bedroom flats."/>
    <s v="PF"/>
    <d v="2021-10-25T00:00:00"/>
    <d v="2022-03-03T00:00:00"/>
    <m/>
    <s v="Nil"/>
    <m/>
    <s v="BF"/>
    <s v="MIX"/>
    <x v="2"/>
    <x v="9"/>
    <n v="5.3499999999999997E-3"/>
    <d v="2022-04-01T00:00:00"/>
    <x v="1"/>
    <m/>
    <s v="Open Market"/>
    <s v="M"/>
    <s v=""/>
    <m/>
    <n v="0"/>
    <m/>
    <n v="0"/>
    <m/>
    <n v="0"/>
    <n v="2"/>
    <n v="2"/>
    <n v="0"/>
    <n v="0"/>
    <n v="-1"/>
    <n v="0"/>
    <n v="0"/>
    <n v="2"/>
    <n v="2"/>
    <n v="0"/>
    <n v="0"/>
    <n v="-1"/>
    <n v="0"/>
    <n v="0"/>
    <n v="0"/>
    <n v="0"/>
    <n v="0"/>
    <n v="0"/>
    <n v="0"/>
    <n v="0"/>
    <n v="0"/>
    <n v="0"/>
    <n v="0"/>
    <n v="0"/>
    <n v="0"/>
    <n v="0"/>
    <n v="0"/>
    <s v="Clapham Junction"/>
    <m/>
    <s v="Clapham Junction Spatial Area Strategy"/>
    <n v="13"/>
    <m/>
    <n v="3"/>
    <m/>
    <m/>
    <m/>
    <m/>
    <m/>
    <m/>
    <m/>
    <m/>
    <m/>
    <m/>
    <m/>
    <m/>
    <m/>
    <m/>
    <m/>
    <m/>
    <m/>
    <m/>
    <n v="3"/>
    <n v="3"/>
  </r>
  <r>
    <n v="4693"/>
    <x v="2"/>
    <s v="2020/4959"/>
    <s v="22 Upper Richmond Road"/>
    <s v=""/>
    <n v="524887"/>
    <n v="174632"/>
    <s v="East Putney"/>
    <d v="2022-04-01T00:00:00"/>
    <m/>
    <n v="0"/>
    <n v="3"/>
    <n v="3"/>
    <n v="3"/>
    <n v="3"/>
    <m/>
    <s v="Alterations including erection of part single, part three-storey rear/side extension in connection with the creation of 1 x 1 bedroom flat and 2 x studio flats. Creation of roof-terrace at second floor level."/>
    <s v="PF"/>
    <d v="2020-12-21T00:00:00"/>
    <d v="2021-03-09T00:00:00"/>
    <m/>
    <s v="Nil"/>
    <m/>
    <s v="BF"/>
    <s v="MIX"/>
    <x v="2"/>
    <x v="1"/>
    <n v="5.0000000000000001E-3"/>
    <d v="2022-04-01T00:00:00"/>
    <x v="1"/>
    <m/>
    <s v="Open Market"/>
    <s v="M"/>
    <s v=""/>
    <m/>
    <n v="0"/>
    <m/>
    <n v="0"/>
    <m/>
    <n v="2"/>
    <n v="1"/>
    <n v="0"/>
    <n v="0"/>
    <n v="0"/>
    <n v="0"/>
    <n v="0"/>
    <n v="2"/>
    <n v="1"/>
    <n v="0"/>
    <n v="0"/>
    <n v="0"/>
    <n v="0"/>
    <n v="0"/>
    <n v="0"/>
    <n v="0"/>
    <n v="0"/>
    <n v="0"/>
    <n v="0"/>
    <n v="0"/>
    <n v="0"/>
    <n v="0"/>
    <n v="0"/>
    <n v="0"/>
    <n v="0"/>
    <n v="0"/>
    <n v="0"/>
    <n v="0"/>
    <m/>
    <m/>
    <s v="Rest of Borough"/>
    <n v="13"/>
    <m/>
    <n v="3"/>
    <m/>
    <m/>
    <m/>
    <m/>
    <m/>
    <m/>
    <m/>
    <m/>
    <m/>
    <m/>
    <m/>
    <m/>
    <m/>
    <m/>
    <m/>
    <m/>
    <m/>
    <m/>
    <n v="3"/>
    <n v="3"/>
  </r>
  <r>
    <n v="6767"/>
    <x v="2"/>
    <s v="2021/2952"/>
    <s v="24 Bellevue Road"/>
    <s v=""/>
    <n v="527493"/>
    <n v="173327"/>
    <s v="Trinity"/>
    <d v="2021-04-01T00:00:00"/>
    <m/>
    <n v="1"/>
    <n v="4"/>
    <n v="3"/>
    <n v="4"/>
    <n v="3"/>
    <m/>
    <s v="Excavation to create a basement including formation of front and rear lightwells, erection of dormer roof extensions to front and rear roof. Erection of part single/ part two-storey rear extension and single storey outbuilding  in connection with conversion of property to 2 x 3-bedroom, 1 x 2-bedroom and 1 x 1-bedroom flats with associated cycle and refuse storage."/>
    <s v="PF"/>
    <d v="2021-06-21T00:00:00"/>
    <d v="2022-07-01T00:00:00"/>
    <s v="Y"/>
    <s v="Nil"/>
    <m/>
    <s v="BF"/>
    <s v="MIX"/>
    <x v="2"/>
    <x v="2"/>
    <n v="7.0000000000000001E-3"/>
    <d v="2021-04-01T00:00:00"/>
    <x v="0"/>
    <m/>
    <s v="Open Market"/>
    <s v="M"/>
    <s v=""/>
    <m/>
    <n v="0"/>
    <m/>
    <n v="0"/>
    <m/>
    <n v="0"/>
    <n v="1"/>
    <n v="1"/>
    <n v="2"/>
    <n v="-1"/>
    <n v="0"/>
    <n v="0"/>
    <n v="0"/>
    <n v="1"/>
    <n v="1"/>
    <n v="2"/>
    <n v="0"/>
    <n v="0"/>
    <n v="0"/>
    <n v="0"/>
    <n v="0"/>
    <n v="0"/>
    <n v="0"/>
    <n v="-1"/>
    <n v="0"/>
    <n v="0"/>
    <n v="0"/>
    <n v="0"/>
    <n v="0"/>
    <n v="0"/>
    <n v="0"/>
    <n v="0"/>
    <n v="0"/>
    <m/>
    <m/>
    <s v="Rest of Borough"/>
    <n v="13"/>
    <m/>
    <n v="3"/>
    <m/>
    <m/>
    <m/>
    <m/>
    <m/>
    <m/>
    <m/>
    <m/>
    <m/>
    <m/>
    <m/>
    <m/>
    <m/>
    <m/>
    <m/>
    <m/>
    <m/>
    <m/>
    <n v="3"/>
    <n v="3"/>
  </r>
  <r>
    <n v="7593"/>
    <x v="2"/>
    <s v="2021/4567"/>
    <s v="285-287 Putney Bridge Road"/>
    <s v=""/>
    <n v="524313"/>
    <n v="175351"/>
    <s v="Thamesfield"/>
    <d v="2022-03-31T00:00:00"/>
    <m/>
    <n v="0"/>
    <n v="3"/>
    <n v="3"/>
    <n v="3"/>
    <n v="3"/>
    <m/>
    <s v="Change of use of the ground floor and basement levels from retail/restaurant (Class E)  into residential (Class C3) to provide 2 x 2-bedroom and 1 x 3-bedroom flats and formation of lightwells to rear and side. (Amendments to previous permission ref 2021/0535 dated 31/03/21 to amend the layouts of the flats)."/>
    <s v="PF"/>
    <d v="2021-10-05T00:00:00"/>
    <d v="2021-12-23T00:00:00"/>
    <m/>
    <s v="Nil"/>
    <m/>
    <s v="BF"/>
    <s v="MIX"/>
    <x v="2"/>
    <x v="4"/>
    <n v="2.8000000000000001E-2"/>
    <d v="2022-03-31T00:00:00"/>
    <x v="0"/>
    <m/>
    <s v="Open Market"/>
    <s v="M"/>
    <s v=""/>
    <m/>
    <n v="0"/>
    <m/>
    <n v="0"/>
    <m/>
    <n v="0"/>
    <n v="0"/>
    <n v="2"/>
    <n v="1"/>
    <n v="0"/>
    <n v="0"/>
    <n v="0"/>
    <n v="0"/>
    <n v="0"/>
    <n v="2"/>
    <n v="1"/>
    <n v="0"/>
    <n v="0"/>
    <n v="0"/>
    <n v="0"/>
    <n v="0"/>
    <n v="0"/>
    <n v="0"/>
    <n v="0"/>
    <n v="0"/>
    <n v="0"/>
    <n v="0"/>
    <n v="0"/>
    <n v="0"/>
    <n v="0"/>
    <n v="0"/>
    <n v="0"/>
    <n v="0"/>
    <m/>
    <m/>
    <s v="Rest of Borough"/>
    <n v="13"/>
    <m/>
    <n v="3"/>
    <m/>
    <m/>
    <m/>
    <m/>
    <m/>
    <m/>
    <m/>
    <m/>
    <m/>
    <m/>
    <m/>
    <m/>
    <m/>
    <m/>
    <m/>
    <m/>
    <m/>
    <m/>
    <n v="3"/>
    <n v="3"/>
  </r>
  <r>
    <n v="6305"/>
    <x v="2"/>
    <s v="2020/4436"/>
    <s v="29 Roehampton Lane"/>
    <s v=""/>
    <n v="522122"/>
    <n v="175335"/>
    <s v="Roehampton"/>
    <d v="2022-06-01T00:00:00"/>
    <m/>
    <n v="1"/>
    <n v="4"/>
    <n v="3"/>
    <n v="4"/>
    <n v="3"/>
    <m/>
    <s v="Alterations including installation of side dormer and rear dormer (with french doors and safety railing) and excavation to create basement with front and rear lightwells with grille over in connection with creation of 4 flats with associated bin and cycle storage."/>
    <s v="PF"/>
    <d v="2020-11-19T00:00:00"/>
    <d v="2021-02-01T00:00:00"/>
    <m/>
    <s v="Nil"/>
    <m/>
    <s v="BF"/>
    <s v="CON"/>
    <x v="2"/>
    <x v="5"/>
    <n v="4.3999999999999997E-2"/>
    <d v="2022-06-01T00:00:00"/>
    <x v="1"/>
    <m/>
    <s v="Open Market"/>
    <s v="M"/>
    <s v=""/>
    <m/>
    <n v="0"/>
    <m/>
    <n v="0"/>
    <m/>
    <n v="0"/>
    <n v="1"/>
    <n v="3"/>
    <n v="0"/>
    <n v="0"/>
    <n v="-1"/>
    <n v="0"/>
    <n v="0"/>
    <n v="1"/>
    <n v="3"/>
    <n v="0"/>
    <n v="0"/>
    <n v="0"/>
    <n v="0"/>
    <n v="0"/>
    <n v="0"/>
    <n v="0"/>
    <n v="0"/>
    <n v="0"/>
    <n v="-1"/>
    <n v="0"/>
    <n v="0"/>
    <n v="0"/>
    <n v="0"/>
    <n v="0"/>
    <n v="0"/>
    <n v="0"/>
    <n v="0"/>
    <m/>
    <m/>
    <s v="Rest of Borough"/>
    <n v="13"/>
    <m/>
    <n v="3"/>
    <m/>
    <m/>
    <m/>
    <m/>
    <m/>
    <m/>
    <m/>
    <m/>
    <m/>
    <m/>
    <m/>
    <m/>
    <m/>
    <m/>
    <m/>
    <m/>
    <m/>
    <m/>
    <n v="3"/>
    <n v="3"/>
  </r>
  <r>
    <n v="7733"/>
    <x v="2"/>
    <s v="2021/5139"/>
    <s v="43-45 Northcote Road"/>
    <s v=""/>
    <n v="527503"/>
    <n v="174993"/>
    <s v="Lavender"/>
    <d v="2022-04-01T00:00:00"/>
    <m/>
    <n v="2"/>
    <n v="5"/>
    <n v="3"/>
    <n v="5"/>
    <n v="3"/>
    <m/>
    <s v="Demolition of existing three storey building and erection of five storey building  to provide 5 residential units (1 x 1-bed, 3 x 2-bed and 1 x 3-bed units) and use of ground floor as Class E floorspace with associated access, cycle and refuse storage, private amenity space and plant enclosure to rear."/>
    <s v="PF"/>
    <d v="2021-11-09T00:00:00"/>
    <d v="2022-03-28T00:00:00"/>
    <m/>
    <s v="Nil"/>
    <m/>
    <s v="BF"/>
    <s v="NB"/>
    <x v="2"/>
    <x v="1"/>
    <n v="1.1730000000000001E-2"/>
    <d v="2022-04-01T00:00:00"/>
    <x v="1"/>
    <m/>
    <s v="Open Market"/>
    <s v="M"/>
    <s v=""/>
    <m/>
    <n v="0"/>
    <m/>
    <n v="0"/>
    <m/>
    <n v="0"/>
    <n v="1"/>
    <n v="3"/>
    <n v="-1"/>
    <n v="0"/>
    <n v="0"/>
    <n v="0"/>
    <n v="0"/>
    <n v="1"/>
    <n v="3"/>
    <n v="-1"/>
    <n v="0"/>
    <n v="0"/>
    <n v="0"/>
    <n v="0"/>
    <n v="0"/>
    <n v="0"/>
    <n v="0"/>
    <n v="0"/>
    <n v="0"/>
    <n v="0"/>
    <n v="0"/>
    <n v="0"/>
    <n v="0"/>
    <n v="0"/>
    <n v="0"/>
    <n v="0"/>
    <n v="0"/>
    <s v="Clapham Junction"/>
    <m/>
    <s v="Clapham Junction Spatial Area Strategy"/>
    <n v="3"/>
    <m/>
    <n v="3"/>
    <m/>
    <m/>
    <m/>
    <m/>
    <m/>
    <m/>
    <m/>
    <m/>
    <m/>
    <m/>
    <m/>
    <m/>
    <m/>
    <m/>
    <m/>
    <m/>
    <m/>
    <m/>
    <n v="3"/>
    <n v="3"/>
  </r>
  <r>
    <n v="7291"/>
    <x v="2"/>
    <s v="2020/5053"/>
    <s v="Bank House, 250 Wimbledon Park Road"/>
    <s v=""/>
    <n v="524705"/>
    <n v="173268"/>
    <s v="West Hill"/>
    <d v="2022-07-01T00:00:00"/>
    <m/>
    <n v="0"/>
    <n v="3"/>
    <n v="3"/>
    <n v="3"/>
    <n v="3"/>
    <m/>
    <s v="Alterations including erection of two storey rear and side extensions at the rear and side (plus roof), and alterations at second floor level fronting Augustus Road in connection with change of use of part of the first and second floors from office (Class E) to 3 x 1-bedroom flats (Class C3) with associated cycle and refuse storage"/>
    <s v="PF"/>
    <d v="2020-12-24T00:00:00"/>
    <d v="2021-03-15T00:00:00"/>
    <m/>
    <s v="Nil"/>
    <m/>
    <s v="BF"/>
    <s v="MIX"/>
    <x v="2"/>
    <x v="2"/>
    <n v="7.0000000000000001E-3"/>
    <d v="2022-07-01T00:00:00"/>
    <x v="1"/>
    <m/>
    <s v="Open Market"/>
    <s v="M"/>
    <s v=""/>
    <m/>
    <n v="0"/>
    <m/>
    <n v="0"/>
    <m/>
    <n v="0"/>
    <n v="3"/>
    <n v="0"/>
    <n v="0"/>
    <n v="0"/>
    <n v="0"/>
    <n v="0"/>
    <n v="0"/>
    <n v="3"/>
    <n v="0"/>
    <n v="0"/>
    <n v="0"/>
    <n v="0"/>
    <n v="0"/>
    <n v="0"/>
    <n v="0"/>
    <n v="0"/>
    <n v="0"/>
    <n v="0"/>
    <n v="0"/>
    <n v="0"/>
    <n v="0"/>
    <n v="0"/>
    <n v="0"/>
    <n v="0"/>
    <n v="0"/>
    <n v="0"/>
    <n v="0"/>
    <m/>
    <m/>
    <s v="Rest of Borough"/>
    <n v="13"/>
    <m/>
    <n v="3"/>
    <m/>
    <m/>
    <m/>
    <m/>
    <m/>
    <m/>
    <m/>
    <m/>
    <m/>
    <m/>
    <m/>
    <m/>
    <m/>
    <m/>
    <m/>
    <m/>
    <m/>
    <m/>
    <n v="3"/>
    <n v="3"/>
  </r>
  <r>
    <n v="7488"/>
    <x v="2"/>
    <s v="2020/4252"/>
    <s v="121 Earlsfield Road"/>
    <s v=""/>
    <n v="526356"/>
    <n v="173676"/>
    <s v="Wandle"/>
    <d v="2021-04-20T00:00:00"/>
    <m/>
    <n v="0"/>
    <n v="2"/>
    <n v="2"/>
    <n v="4"/>
    <n v="3"/>
    <m/>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m/>
    <s v="Nil"/>
    <m/>
    <s v="BF"/>
    <s v="CON"/>
    <x v="2"/>
    <x v="2"/>
    <n v="1.6E-2"/>
    <d v="2021-04-20T00:00:00"/>
    <x v="0"/>
    <m/>
    <s v="Open Market"/>
    <s v="M"/>
    <s v=""/>
    <m/>
    <n v="0"/>
    <m/>
    <n v="0"/>
    <m/>
    <n v="0"/>
    <n v="1"/>
    <n v="0"/>
    <n v="1"/>
    <n v="0"/>
    <n v="0"/>
    <n v="0"/>
    <n v="0"/>
    <n v="1"/>
    <n v="0"/>
    <n v="1"/>
    <n v="0"/>
    <n v="0"/>
    <n v="0"/>
    <n v="0"/>
    <n v="0"/>
    <n v="0"/>
    <n v="0"/>
    <n v="0"/>
    <n v="0"/>
    <n v="0"/>
    <n v="0"/>
    <n v="0"/>
    <n v="0"/>
    <n v="0"/>
    <n v="0"/>
    <n v="0"/>
    <n v="0"/>
    <m/>
    <m/>
    <s v="Rest of Borough"/>
    <n v="13"/>
    <m/>
    <n v="2"/>
    <m/>
    <m/>
    <m/>
    <m/>
    <m/>
    <m/>
    <m/>
    <m/>
    <m/>
    <m/>
    <m/>
    <m/>
    <m/>
    <m/>
    <m/>
    <m/>
    <m/>
    <m/>
    <n v="2"/>
    <n v="2"/>
  </r>
  <r>
    <n v="6490"/>
    <x v="2"/>
    <s v="2019/3275"/>
    <s v="153-159 Putney High Street"/>
    <s v=""/>
    <n v="523997"/>
    <n v="175115"/>
    <s v="Thamesfield"/>
    <d v="2021-03-08T00:00:00"/>
    <m/>
    <n v="0"/>
    <n v="2"/>
    <n v="2"/>
    <n v="9"/>
    <n v="9"/>
    <m/>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m/>
    <s v="Nil"/>
    <m/>
    <s v="BF"/>
    <s v="MIX"/>
    <x v="2"/>
    <x v="6"/>
    <n v="3.0000000000000001E-3"/>
    <d v="2021-03-08T00:00:00"/>
    <x v="0"/>
    <m/>
    <s v="Open Market"/>
    <s v="M"/>
    <s v=""/>
    <m/>
    <n v="0"/>
    <m/>
    <n v="0"/>
    <m/>
    <n v="0"/>
    <n v="2"/>
    <n v="0"/>
    <n v="0"/>
    <n v="0"/>
    <n v="0"/>
    <n v="0"/>
    <n v="0"/>
    <n v="2"/>
    <n v="0"/>
    <n v="0"/>
    <n v="0"/>
    <n v="0"/>
    <n v="0"/>
    <n v="0"/>
    <n v="0"/>
    <n v="0"/>
    <n v="0"/>
    <n v="0"/>
    <n v="0"/>
    <n v="0"/>
    <n v="0"/>
    <n v="0"/>
    <n v="0"/>
    <n v="0"/>
    <n v="0"/>
    <n v="0"/>
    <n v="0"/>
    <s v="Putney"/>
    <m/>
    <s v="Putney Town Centre"/>
    <n v="12"/>
    <m/>
    <n v="2"/>
    <m/>
    <m/>
    <m/>
    <m/>
    <m/>
    <m/>
    <m/>
    <m/>
    <m/>
    <m/>
    <m/>
    <m/>
    <m/>
    <m/>
    <m/>
    <m/>
    <m/>
    <m/>
    <n v="2"/>
    <n v="2"/>
  </r>
  <r>
    <n v="7693"/>
    <x v="2"/>
    <s v="2021/5482"/>
    <s v="17 Haldon Road"/>
    <s v=""/>
    <n v="524931"/>
    <n v="174479"/>
    <s v="East Putney"/>
    <d v="2022-03-31T00:00:00"/>
    <m/>
    <n v="1"/>
    <n v="3"/>
    <n v="2"/>
    <n v="3"/>
    <n v="2"/>
    <m/>
    <s v="Alterations including erection of hip to gable roof extension and rear mansard extension with rear dormer (with french doors and safety railings), erection of roof extension above part of two storey back addition, and single storey side and rear extension. Works in connection with conversion of dwellinghouse into 2 x 3-bedroom and 1 x 1-bedroom flats; refuse and cycle storage proposed for front garden."/>
    <s v="PF"/>
    <d v="2021-12-06T00:00:00"/>
    <d v="2022-01-31T00:00:00"/>
    <m/>
    <s v="Nil"/>
    <m/>
    <s v="BF"/>
    <s v="MIX"/>
    <x v="2"/>
    <x v="5"/>
    <n v="5.0000000000000001E-3"/>
    <d v="2022-03-31T00:00:00"/>
    <x v="0"/>
    <m/>
    <s v="Open Market"/>
    <s v="M"/>
    <s v=""/>
    <m/>
    <n v="0"/>
    <m/>
    <n v="0"/>
    <m/>
    <n v="0"/>
    <n v="1"/>
    <n v="0"/>
    <n v="2"/>
    <n v="0"/>
    <n v="-1"/>
    <n v="0"/>
    <n v="0"/>
    <n v="1"/>
    <n v="0"/>
    <n v="2"/>
    <n v="0"/>
    <n v="0"/>
    <n v="0"/>
    <n v="0"/>
    <n v="0"/>
    <n v="0"/>
    <n v="0"/>
    <n v="0"/>
    <n v="-1"/>
    <n v="0"/>
    <n v="0"/>
    <n v="0"/>
    <n v="0"/>
    <n v="0"/>
    <n v="0"/>
    <n v="0"/>
    <n v="0"/>
    <m/>
    <m/>
    <s v="Rest of Borough"/>
    <n v="13"/>
    <m/>
    <n v="2"/>
    <m/>
    <m/>
    <m/>
    <m/>
    <m/>
    <m/>
    <m/>
    <m/>
    <m/>
    <m/>
    <m/>
    <m/>
    <m/>
    <m/>
    <m/>
    <m/>
    <m/>
    <m/>
    <n v="2"/>
    <n v="2"/>
  </r>
  <r>
    <n v="7100"/>
    <x v="2"/>
    <s v="2021/0208"/>
    <s v="190-194 St Anns Hill"/>
    <s v=""/>
    <n v="525939"/>
    <n v="174515"/>
    <s v="Wandsworth Town"/>
    <d v="2020-12-10T00:00:00"/>
    <m/>
    <n v="0"/>
    <n v="2"/>
    <n v="2"/>
    <n v="22"/>
    <n v="22"/>
    <s v="Y"/>
    <s v="Erection of a four storey building at 190 - 192 (including the retention of the existing front facade and the rebuilding of the rear facade / boundary wall); the erection of a three-storey rear extension rear plus mansard to No 194; the erection of dormer roof to the front of No. 192; the provision of font and rear terraces at first and second floor levels. Works in association with the provision of 13 x 1-bedroom, 7 x 2-bedroom, 2 x 3-bedroom flats, with associated refuse and bicycle store"/>
    <s v="PFLA"/>
    <d v="2021-01-18T00:00:00"/>
    <d v="2021-10-26T00:00:00"/>
    <m/>
    <s v="Nil"/>
    <m/>
    <s v="BF"/>
    <s v="MIX"/>
    <x v="0"/>
    <x v="0"/>
    <n v="5.8999999999999999E-3"/>
    <d v="2020-12-10T00:00:00"/>
    <x v="0"/>
    <m/>
    <s v="Intermediate"/>
    <s v="ISL"/>
    <s v=""/>
    <m/>
    <n v="0"/>
    <m/>
    <n v="0"/>
    <m/>
    <n v="0"/>
    <n v="1"/>
    <n v="1"/>
    <n v="0"/>
    <n v="0"/>
    <n v="0"/>
    <n v="0"/>
    <n v="0"/>
    <n v="1"/>
    <n v="1"/>
    <n v="0"/>
    <n v="0"/>
    <n v="0"/>
    <n v="0"/>
    <n v="0"/>
    <n v="0"/>
    <n v="0"/>
    <n v="0"/>
    <n v="0"/>
    <n v="0"/>
    <n v="0"/>
    <n v="0"/>
    <n v="0"/>
    <n v="0"/>
    <n v="0"/>
    <n v="0"/>
    <n v="0"/>
    <n v="0"/>
    <m/>
    <m/>
    <s v="Wandsworth Town, including the Wandle Delta Masterplan Area"/>
    <n v="13"/>
    <m/>
    <n v="2"/>
    <m/>
    <m/>
    <m/>
    <m/>
    <m/>
    <m/>
    <m/>
    <m/>
    <m/>
    <m/>
    <m/>
    <m/>
    <m/>
    <m/>
    <m/>
    <m/>
    <m/>
    <m/>
    <n v="2"/>
    <n v="2"/>
  </r>
  <r>
    <n v="6032"/>
    <x v="2"/>
    <s v="2020/0614"/>
    <s v="259 Putney Bridge Road"/>
    <s v=""/>
    <n v="524386"/>
    <n v="175298"/>
    <s v="Thamesfield"/>
    <d v="2021-01-12T00:00:00"/>
    <m/>
    <n v="0"/>
    <n v="2"/>
    <n v="2"/>
    <n v="4"/>
    <n v="3"/>
    <m/>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m/>
    <s v="Nil"/>
    <m/>
    <s v="BF"/>
    <s v="COU"/>
    <x v="2"/>
    <x v="4"/>
    <n v="5.0000000000000001E-3"/>
    <d v="2021-01-12T00:00:00"/>
    <x v="0"/>
    <m/>
    <s v="Open Market"/>
    <s v="M"/>
    <s v=""/>
    <m/>
    <n v="0"/>
    <m/>
    <n v="0"/>
    <m/>
    <n v="1"/>
    <n v="1"/>
    <n v="0"/>
    <n v="0"/>
    <n v="0"/>
    <n v="0"/>
    <n v="0"/>
    <n v="1"/>
    <n v="1"/>
    <n v="0"/>
    <n v="0"/>
    <n v="0"/>
    <n v="0"/>
    <n v="0"/>
    <n v="0"/>
    <n v="0"/>
    <n v="0"/>
    <n v="0"/>
    <n v="0"/>
    <n v="0"/>
    <n v="0"/>
    <n v="0"/>
    <n v="0"/>
    <n v="0"/>
    <n v="0"/>
    <n v="0"/>
    <n v="0"/>
    <n v="0"/>
    <m/>
    <m/>
    <s v="Rest of Borough"/>
    <n v="13"/>
    <m/>
    <n v="2"/>
    <m/>
    <m/>
    <m/>
    <m/>
    <m/>
    <m/>
    <m/>
    <m/>
    <m/>
    <m/>
    <m/>
    <m/>
    <m/>
    <m/>
    <m/>
    <m/>
    <m/>
    <m/>
    <n v="2"/>
    <n v="2"/>
  </r>
  <r>
    <n v="5561"/>
    <x v="2"/>
    <s v="2018/0001"/>
    <s v="27 Sainfoin Road"/>
    <s v=""/>
    <n v="528467"/>
    <n v="172710"/>
    <s v="South Balham"/>
    <d v="2021-02-08T00:00:00"/>
    <m/>
    <n v="1"/>
    <n v="3"/>
    <n v="2"/>
    <n v="3"/>
    <n v="2"/>
    <m/>
    <s v="Erection of mansard extension to main rear roof (with French doors and safety railings) and single storey rear/side extension, in connection with conversion of property into 1 x 3-bedroom and 2 x 2-bedroom flats."/>
    <s v="PF"/>
    <d v="2018-01-02T00:00:00"/>
    <d v="2018-02-27T00:00:00"/>
    <m/>
    <s v="Nil"/>
    <m/>
    <s v="BF"/>
    <s v="MIX"/>
    <x v="2"/>
    <x v="5"/>
    <n v="1.7000000000000001E-2"/>
    <d v="2021-02-08T00:00:00"/>
    <x v="0"/>
    <m/>
    <s v="Open Market"/>
    <s v="M"/>
    <s v=""/>
    <m/>
    <n v="0"/>
    <m/>
    <n v="0"/>
    <m/>
    <n v="0"/>
    <n v="0"/>
    <n v="2"/>
    <n v="1"/>
    <n v="-1"/>
    <n v="0"/>
    <n v="0"/>
    <n v="0"/>
    <n v="0"/>
    <n v="2"/>
    <n v="1"/>
    <n v="0"/>
    <n v="0"/>
    <n v="0"/>
    <n v="0"/>
    <n v="0"/>
    <n v="0"/>
    <n v="0"/>
    <n v="-1"/>
    <n v="0"/>
    <n v="0"/>
    <n v="0"/>
    <n v="0"/>
    <n v="0"/>
    <n v="0"/>
    <n v="0"/>
    <n v="0"/>
    <n v="0"/>
    <m/>
    <m/>
    <s v="Rest of Borough"/>
    <n v="13"/>
    <m/>
    <n v="2"/>
    <m/>
    <m/>
    <m/>
    <m/>
    <m/>
    <m/>
    <m/>
    <m/>
    <m/>
    <m/>
    <m/>
    <m/>
    <m/>
    <m/>
    <m/>
    <m/>
    <m/>
    <m/>
    <n v="2"/>
    <n v="2"/>
  </r>
  <r>
    <n v="5377"/>
    <x v="2"/>
    <s v="2016/4349"/>
    <s v="28 Tooting Bec Road"/>
    <s v=""/>
    <n v="528146"/>
    <n v="172290"/>
    <s v="Tooting Bec"/>
    <d v="2018-03-31T00:00:00"/>
    <m/>
    <n v="1"/>
    <n v="3"/>
    <n v="2"/>
    <n v="3"/>
    <n v="2"/>
    <m/>
    <s v="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
    <s v="PF"/>
    <d v="2016-08-05T00:00:00"/>
    <d v="2016-10-24T00:00:00"/>
    <m/>
    <s v="Nil"/>
    <m/>
    <s v="BF"/>
    <s v="MIX"/>
    <x v="2"/>
    <x v="7"/>
    <n v="7.0000000000000001E-3"/>
    <d v="2018-03-31T00:00:00"/>
    <x v="0"/>
    <m/>
    <s v="Open Market"/>
    <s v="M"/>
    <s v=""/>
    <m/>
    <n v="0"/>
    <m/>
    <n v="0"/>
    <m/>
    <n v="0"/>
    <n v="2"/>
    <n v="1"/>
    <n v="-1"/>
    <n v="0"/>
    <n v="0"/>
    <n v="0"/>
    <n v="0"/>
    <n v="2"/>
    <n v="1"/>
    <n v="-1"/>
    <n v="0"/>
    <n v="0"/>
    <n v="0"/>
    <n v="0"/>
    <n v="0"/>
    <n v="0"/>
    <n v="0"/>
    <n v="0"/>
    <n v="0"/>
    <n v="0"/>
    <n v="0"/>
    <n v="0"/>
    <n v="0"/>
    <n v="0"/>
    <n v="0"/>
    <n v="0"/>
    <n v="0"/>
    <m/>
    <m/>
    <s v="Rest of Borough"/>
    <n v="13"/>
    <m/>
    <n v="2"/>
    <m/>
    <m/>
    <m/>
    <m/>
    <m/>
    <m/>
    <m/>
    <m/>
    <m/>
    <m/>
    <m/>
    <m/>
    <m/>
    <m/>
    <m/>
    <m/>
    <m/>
    <m/>
    <n v="2"/>
    <n v="2"/>
  </r>
  <r>
    <n v="7276"/>
    <x v="2"/>
    <s v="2020/1405"/>
    <s v="46 Longley Road"/>
    <s v=""/>
    <n v="527309"/>
    <n v="170807"/>
    <s v="Tooting Broadway"/>
    <d v="2023-02-22T00:00:00"/>
    <m/>
    <n v="1"/>
    <n v="5"/>
    <n v="4"/>
    <n v="5"/>
    <n v="4"/>
    <m/>
    <s v="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
    <s v="PF"/>
    <d v="2020-04-20T00:00:00"/>
    <d v="2020-08-14T00:00:00"/>
    <m/>
    <s v="Nil"/>
    <m/>
    <s v="BF"/>
    <s v="MIX"/>
    <x v="2"/>
    <x v="5"/>
    <n v="7.9000000000000001E-2"/>
    <d v="2023-02-22T00:00:00"/>
    <x v="1"/>
    <m/>
    <s v="Open Market"/>
    <s v="M"/>
    <s v=""/>
    <m/>
    <n v="0"/>
    <m/>
    <n v="0"/>
    <m/>
    <n v="0"/>
    <n v="1"/>
    <n v="2"/>
    <n v="2"/>
    <n v="-1"/>
    <n v="0"/>
    <n v="0"/>
    <n v="0"/>
    <n v="1"/>
    <n v="2"/>
    <n v="2"/>
    <n v="0"/>
    <n v="0"/>
    <n v="0"/>
    <n v="0"/>
    <n v="0"/>
    <n v="0"/>
    <n v="0"/>
    <n v="-1"/>
    <n v="0"/>
    <n v="0"/>
    <n v="0"/>
    <n v="0"/>
    <n v="0"/>
    <n v="0"/>
    <n v="0"/>
    <n v="0"/>
    <n v="0"/>
    <m/>
    <m/>
    <s v="Rest of Borough"/>
    <n v="14"/>
    <m/>
    <n v="2"/>
    <n v="2"/>
    <m/>
    <m/>
    <m/>
    <m/>
    <m/>
    <m/>
    <m/>
    <m/>
    <m/>
    <m/>
    <m/>
    <m/>
    <m/>
    <m/>
    <m/>
    <m/>
    <m/>
    <n v="4"/>
    <n v="4"/>
  </r>
  <r>
    <n v="7360"/>
    <x v="2"/>
    <s v="2020/0040"/>
    <s v="521-525 Battersea Park Road"/>
    <s v=""/>
    <n v="527443"/>
    <n v="176347"/>
    <s v="St Mary's"/>
    <d v="2021-06-21T00:00:00"/>
    <m/>
    <n v="0"/>
    <n v="2"/>
    <n v="2"/>
    <n v="2"/>
    <n v="2"/>
    <m/>
    <s v="Alterations including erection of part three-storey rear extension at rear in connection with the creation of 2 x 1-bedroom flats; formation of roof terraces on first floor level with 2m high screen surround. Relocation of 2 x air-conditioning units to rear first floor level."/>
    <s v="PF"/>
    <d v="2020-02-28T00:00:00"/>
    <d v="2020-09-17T00:00:00"/>
    <m/>
    <s v="Nil"/>
    <m/>
    <s v="BF"/>
    <s v="MIX"/>
    <x v="2"/>
    <x v="2"/>
    <n v="1.2E-2"/>
    <d v="2021-06-21T00:00:00"/>
    <x v="0"/>
    <m/>
    <s v="Open Market"/>
    <s v="M"/>
    <s v=""/>
    <m/>
    <n v="0"/>
    <m/>
    <n v="0"/>
    <m/>
    <n v="0"/>
    <n v="2"/>
    <n v="0"/>
    <n v="0"/>
    <n v="0"/>
    <n v="0"/>
    <n v="0"/>
    <n v="0"/>
    <n v="2"/>
    <n v="0"/>
    <n v="0"/>
    <n v="0"/>
    <n v="0"/>
    <n v="0"/>
    <n v="0"/>
    <n v="0"/>
    <n v="0"/>
    <n v="0"/>
    <n v="0"/>
    <n v="0"/>
    <n v="0"/>
    <n v="0"/>
    <n v="0"/>
    <n v="0"/>
    <n v="0"/>
    <n v="0"/>
    <n v="0"/>
    <n v="0"/>
    <m/>
    <m/>
    <s v="Rest of Borough"/>
    <n v="13"/>
    <m/>
    <n v="2"/>
    <m/>
    <m/>
    <m/>
    <m/>
    <m/>
    <m/>
    <m/>
    <m/>
    <m/>
    <m/>
    <m/>
    <m/>
    <m/>
    <m/>
    <m/>
    <m/>
    <m/>
    <m/>
    <n v="2"/>
    <n v="2"/>
  </r>
  <r>
    <n v="6812"/>
    <x v="2"/>
    <s v="2019/1043"/>
    <s v="61 Longfield Street"/>
    <s v=""/>
    <n v="525084"/>
    <n v="173575"/>
    <s v="Southfields"/>
    <d v="2022-04-04T00:00:00"/>
    <m/>
    <n v="1"/>
    <n v="3"/>
    <n v="2"/>
    <n v="3"/>
    <n v="2"/>
    <m/>
    <s v="Demolition of existing dwelling house and erection of a three-storey (plus basement) building to provide 2 x 1-bedroom and 1 x 3-bedroom flats(Use Class C3) together with associated landscaping, cycle and refuse storage."/>
    <s v="PF"/>
    <d v="2019-03-21T00:00:00"/>
    <d v="2019-10-29T00:00:00"/>
    <m/>
    <s v="Nil"/>
    <m/>
    <s v="BF"/>
    <s v="NB"/>
    <x v="2"/>
    <x v="1"/>
    <n v="1.0999999999999999E-2"/>
    <d v="2022-04-04T00:00:00"/>
    <x v="1"/>
    <m/>
    <s v="Open Market"/>
    <s v="M"/>
    <s v=""/>
    <m/>
    <n v="0"/>
    <m/>
    <n v="0"/>
    <m/>
    <n v="0"/>
    <n v="2"/>
    <n v="0"/>
    <n v="0"/>
    <n v="0"/>
    <n v="0"/>
    <n v="0"/>
    <n v="0"/>
    <n v="2"/>
    <n v="0"/>
    <n v="1"/>
    <n v="0"/>
    <n v="0"/>
    <n v="0"/>
    <n v="0"/>
    <n v="0"/>
    <n v="0"/>
    <n v="-1"/>
    <n v="0"/>
    <n v="0"/>
    <n v="0"/>
    <n v="0"/>
    <n v="0"/>
    <n v="0"/>
    <n v="0"/>
    <n v="0"/>
    <n v="0"/>
    <n v="0"/>
    <m/>
    <m/>
    <s v="Rest of Borough"/>
    <n v="3"/>
    <m/>
    <n v="2"/>
    <m/>
    <m/>
    <m/>
    <m/>
    <m/>
    <m/>
    <m/>
    <m/>
    <m/>
    <m/>
    <m/>
    <m/>
    <m/>
    <m/>
    <m/>
    <m/>
    <m/>
    <m/>
    <n v="2"/>
    <n v="2"/>
  </r>
  <r>
    <n v="6030"/>
    <x v="2"/>
    <s v="2017/1573"/>
    <s v="8 Akehurst Street"/>
    <s v=""/>
    <n v="522262"/>
    <n v="173980"/>
    <s v="Roehampton"/>
    <d v="2021-06-07T00:00:00"/>
    <m/>
    <n v="0"/>
    <n v="2"/>
    <n v="2"/>
    <n v="2"/>
    <n v="2"/>
    <m/>
    <s v="Erection of 2 x 5-bedroom three storey detached houses with associated landscaping, parking and cycle store."/>
    <s v="PF"/>
    <d v="2017-03-16T00:00:00"/>
    <d v="2018-06-27T00:00:00"/>
    <m/>
    <s v="Nil"/>
    <m/>
    <s v="BF"/>
    <s v="NB"/>
    <x v="2"/>
    <x v="1"/>
    <n v="6.8000000000000005E-2"/>
    <d v="2021-06-07T00:00:00"/>
    <x v="0"/>
    <m/>
    <s v="Open Market"/>
    <s v="M"/>
    <s v=""/>
    <m/>
    <n v="0"/>
    <m/>
    <n v="0"/>
    <m/>
    <n v="0"/>
    <n v="0"/>
    <n v="0"/>
    <n v="0"/>
    <n v="0"/>
    <n v="2"/>
    <n v="0"/>
    <n v="0"/>
    <n v="0"/>
    <n v="0"/>
    <n v="0"/>
    <n v="0"/>
    <n v="0"/>
    <n v="0"/>
    <n v="0"/>
    <n v="0"/>
    <n v="0"/>
    <n v="0"/>
    <n v="0"/>
    <n v="2"/>
    <n v="0"/>
    <n v="0"/>
    <n v="0"/>
    <n v="0"/>
    <n v="0"/>
    <n v="0"/>
    <n v="0"/>
    <n v="0"/>
    <m/>
    <m/>
    <s v="Rest of Borough"/>
    <n v="3"/>
    <m/>
    <n v="2"/>
    <m/>
    <m/>
    <m/>
    <m/>
    <m/>
    <m/>
    <m/>
    <m/>
    <m/>
    <m/>
    <m/>
    <m/>
    <m/>
    <m/>
    <m/>
    <m/>
    <m/>
    <m/>
    <n v="2"/>
    <n v="2"/>
  </r>
  <r>
    <n v="6969"/>
    <x v="2"/>
    <s v="2018/2554"/>
    <s v="Vehicle Repair Workshop Rear of, 7-9 Aldis Street"/>
    <s v=""/>
    <n v="527156"/>
    <n v="171085"/>
    <s v="Tooting Broadway"/>
    <d v="2022-04-01T00:00:00"/>
    <m/>
    <n v="0"/>
    <n v="2"/>
    <n v="2"/>
    <n v="2"/>
    <n v="2"/>
    <m/>
    <s v="Demolition of existing building and erection of two x 2-bedroom single storey houses with associated cycle and refuse storage."/>
    <s v="PF"/>
    <d v="2018-05-31T00:00:00"/>
    <d v="2018-09-03T00:00:00"/>
    <m/>
    <s v="Nil"/>
    <m/>
    <s v="BF"/>
    <s v="NB"/>
    <x v="2"/>
    <x v="1"/>
    <n v="2.8000000000000001E-2"/>
    <d v="2022-04-01T00:00:00"/>
    <x v="1"/>
    <m/>
    <s v="Open Market"/>
    <s v="M"/>
    <s v=""/>
    <m/>
    <n v="0"/>
    <m/>
    <n v="0"/>
    <m/>
    <n v="0"/>
    <n v="0"/>
    <n v="2"/>
    <n v="0"/>
    <n v="0"/>
    <n v="0"/>
    <n v="0"/>
    <n v="0"/>
    <n v="0"/>
    <n v="0"/>
    <n v="0"/>
    <n v="0"/>
    <n v="0"/>
    <n v="0"/>
    <n v="0"/>
    <n v="0"/>
    <n v="2"/>
    <n v="0"/>
    <n v="0"/>
    <n v="0"/>
    <n v="0"/>
    <n v="0"/>
    <n v="0"/>
    <n v="0"/>
    <n v="0"/>
    <n v="0"/>
    <n v="0"/>
    <n v="0"/>
    <m/>
    <m/>
    <s v="Tooting"/>
    <n v="3"/>
    <m/>
    <n v="2"/>
    <m/>
    <m/>
    <m/>
    <m/>
    <m/>
    <m/>
    <m/>
    <m/>
    <m/>
    <m/>
    <m/>
    <m/>
    <m/>
    <m/>
    <m/>
    <m/>
    <m/>
    <m/>
    <n v="2"/>
    <n v="2"/>
  </r>
  <r>
    <n v="6804"/>
    <x v="2"/>
    <s v="2021/2432"/>
    <s v="125 Lower Richmond Road"/>
    <s v=""/>
    <n v="523594"/>
    <n v="175801"/>
    <s v="Thamesfield"/>
    <d v="2023-03-31T00:00:00"/>
    <m/>
    <n v="2"/>
    <n v="5"/>
    <n v="3"/>
    <n v="5"/>
    <n v="3"/>
    <m/>
    <s v="Alterations including erection of part single, part two storey side and rear extensions with roof terraces at first and second floor levels; roof extension to main rear roof with  access to thisrd floor level terrace;  excavation to extend basement including formation of side/rear lightwell;  in connection with conversion to 4 x 1-bedroom and 1 x 3-bedroom flats.  Installation of replacement shopfront and change of use of existing A1/B2 ground floor shop unit to Class E."/>
    <s v="PF"/>
    <d v="2021-06-21T00:00:00"/>
    <d v="2021-11-19T00:00:00"/>
    <m/>
    <s v="Nil"/>
    <m/>
    <s v="BF"/>
    <s v="MIX"/>
    <x v="2"/>
    <x v="3"/>
    <n v="6.8275000000000002E-3"/>
    <d v="2023-03-31T00:00:00"/>
    <x v="1"/>
    <m/>
    <s v="Open Market"/>
    <s v="M"/>
    <s v=""/>
    <m/>
    <n v="0"/>
    <m/>
    <n v="0"/>
    <m/>
    <n v="0"/>
    <n v="2"/>
    <n v="0"/>
    <n v="1"/>
    <n v="0"/>
    <n v="0"/>
    <n v="0"/>
    <n v="0"/>
    <n v="2"/>
    <n v="0"/>
    <n v="1"/>
    <n v="0"/>
    <n v="0"/>
    <n v="0"/>
    <n v="0"/>
    <n v="0"/>
    <n v="0"/>
    <n v="0"/>
    <n v="0"/>
    <n v="0"/>
    <n v="0"/>
    <n v="0"/>
    <n v="0"/>
    <n v="0"/>
    <n v="0"/>
    <n v="0"/>
    <n v="0"/>
    <n v="0"/>
    <m/>
    <m/>
    <s v="Rest of Borough"/>
    <n v="14"/>
    <m/>
    <n v="1.5"/>
    <n v="1.5"/>
    <m/>
    <m/>
    <m/>
    <m/>
    <m/>
    <m/>
    <m/>
    <m/>
    <m/>
    <m/>
    <m/>
    <m/>
    <m/>
    <m/>
    <m/>
    <m/>
    <m/>
    <n v="3"/>
    <n v="3"/>
  </r>
  <r>
    <n v="7211"/>
    <x v="2"/>
    <s v="2020/3018"/>
    <s v="916 Garratt Lane"/>
    <s v=""/>
    <n v="527235"/>
    <n v="171597"/>
    <s v="Tooting Broadway"/>
    <d v="2023-02-07T00:00:00"/>
    <m/>
    <n v="1"/>
    <n v="4"/>
    <n v="3"/>
    <n v="4"/>
    <n v="3"/>
    <m/>
    <s v="Demolition of building and erection of a two-storey building with basement to form 1 x 3 bedroom ground floor flat, 1 x 2 bedroom first floor flat, 2 x 1 bedroom second and third floor flats."/>
    <s v="PF"/>
    <d v="2020-10-22T00:00:00"/>
    <d v="2020-10-30T00:00:00"/>
    <m/>
    <s v="Nil"/>
    <m/>
    <s v="BF"/>
    <s v="NB"/>
    <x v="2"/>
    <x v="1"/>
    <n v="0.02"/>
    <d v="2023-02-07T00:00:00"/>
    <x v="1"/>
    <m/>
    <s v="Open Market"/>
    <s v="M"/>
    <s v=""/>
    <m/>
    <n v="0"/>
    <m/>
    <n v="0"/>
    <m/>
    <n v="2"/>
    <n v="0"/>
    <n v="1"/>
    <n v="0"/>
    <n v="0"/>
    <n v="0"/>
    <n v="0"/>
    <n v="2"/>
    <n v="0"/>
    <n v="1"/>
    <n v="1"/>
    <n v="0"/>
    <n v="0"/>
    <n v="0"/>
    <n v="0"/>
    <n v="0"/>
    <n v="0"/>
    <n v="-1"/>
    <n v="0"/>
    <n v="0"/>
    <n v="0"/>
    <n v="0"/>
    <n v="0"/>
    <n v="0"/>
    <n v="0"/>
    <n v="0"/>
    <n v="0"/>
    <n v="0"/>
    <m/>
    <m/>
    <s v="Tooting"/>
    <n v="4"/>
    <m/>
    <n v="1.5"/>
    <n v="1.5"/>
    <m/>
    <m/>
    <m/>
    <m/>
    <m/>
    <m/>
    <m/>
    <m/>
    <m/>
    <m/>
    <m/>
    <m/>
    <m/>
    <m/>
    <m/>
    <m/>
    <m/>
    <n v="3"/>
    <n v="3"/>
  </r>
  <r>
    <n v="7361"/>
    <x v="2"/>
    <s v="2021/1302"/>
    <s v="1 Podmore Road"/>
    <s v=""/>
    <n v="526027"/>
    <n v="175089"/>
    <s v="Wandsworth Town"/>
    <d v="2022-07-15T00:00:00"/>
    <m/>
    <n v="0"/>
    <n v="1"/>
    <n v="1"/>
    <n v="1"/>
    <n v="1"/>
    <m/>
    <s v="Determination as to whether prior approval is required for change of use of office at ground floor level (Class E) to residential (Class C3) to provide 1 x 2-bedroom flat."/>
    <s v="PANR"/>
    <d v="2021-03-17T00:00:00"/>
    <d v="2021-05-11T00:00:00"/>
    <m/>
    <s v="Nil"/>
    <m/>
    <s v="BF"/>
    <s v="COU"/>
    <x v="2"/>
    <x v="6"/>
    <n v="6.0000000000000001E-3"/>
    <d v="2022-07-15T00:00:00"/>
    <x v="1"/>
    <m/>
    <s v="Open Market"/>
    <s v="M"/>
    <s v=""/>
    <m/>
    <n v="0"/>
    <m/>
    <n v="0"/>
    <m/>
    <n v="0"/>
    <n v="0"/>
    <n v="1"/>
    <n v="0"/>
    <n v="0"/>
    <n v="0"/>
    <n v="0"/>
    <n v="0"/>
    <n v="0"/>
    <n v="1"/>
    <n v="0"/>
    <n v="0"/>
    <n v="0"/>
    <n v="0"/>
    <n v="0"/>
    <n v="0"/>
    <n v="0"/>
    <n v="0"/>
    <n v="0"/>
    <n v="0"/>
    <n v="0"/>
    <n v="0"/>
    <n v="0"/>
    <n v="0"/>
    <n v="0"/>
    <n v="0"/>
    <n v="0"/>
    <n v="0"/>
    <m/>
    <m/>
    <s v="Wandsworth Town, including the Wandle Delta Masterplan Area"/>
    <n v="13"/>
    <m/>
    <n v="1"/>
    <m/>
    <m/>
    <m/>
    <m/>
    <m/>
    <m/>
    <m/>
    <m/>
    <m/>
    <m/>
    <m/>
    <m/>
    <m/>
    <m/>
    <m/>
    <m/>
    <m/>
    <m/>
    <n v="1"/>
    <n v="1"/>
  </r>
  <r>
    <n v="7361"/>
    <x v="2"/>
    <s v="2021/4589"/>
    <s v="1 Podmore Road"/>
    <s v=""/>
    <n v="526027"/>
    <n v="175089"/>
    <s v="Wandsworth Town"/>
    <d v="2022-07-15T00:00:00"/>
    <m/>
    <n v="1"/>
    <n v="2"/>
    <n v="1"/>
    <n v="2"/>
    <n v="1"/>
    <m/>
    <s v="Alterations including erection of front and rear roof extension to provide an additional floor of accommodation to create 1 x1 bedroom flat."/>
    <s v="PF"/>
    <d v="2021-10-06T00:00:00"/>
    <d v="2022-05-03T00:00:00"/>
    <s v="Y"/>
    <s v="Nil"/>
    <m/>
    <s v="BF"/>
    <s v="EXT"/>
    <x v="2"/>
    <x v="2"/>
    <n v="3.0000000000000001E-3"/>
    <d v="2022-07-15T00:00:00"/>
    <x v="1"/>
    <m/>
    <s v="Open Market"/>
    <s v="M"/>
    <s v=""/>
    <m/>
    <n v="0"/>
    <m/>
    <n v="0"/>
    <m/>
    <n v="0"/>
    <n v="1"/>
    <n v="0"/>
    <n v="0"/>
    <n v="0"/>
    <n v="0"/>
    <n v="0"/>
    <n v="0"/>
    <n v="1"/>
    <n v="0"/>
    <n v="0"/>
    <n v="0"/>
    <n v="0"/>
    <n v="0"/>
    <n v="0"/>
    <n v="0"/>
    <n v="0"/>
    <n v="0"/>
    <n v="0"/>
    <n v="0"/>
    <n v="0"/>
    <n v="0"/>
    <n v="0"/>
    <n v="0"/>
    <n v="0"/>
    <n v="0"/>
    <n v="0"/>
    <n v="0"/>
    <m/>
    <m/>
    <s v="Wandsworth Town, including the Wandle Delta Masterplan Area"/>
    <n v="13"/>
    <m/>
    <n v="1"/>
    <m/>
    <m/>
    <m/>
    <m/>
    <m/>
    <m/>
    <m/>
    <m/>
    <m/>
    <m/>
    <m/>
    <m/>
    <m/>
    <m/>
    <m/>
    <m/>
    <m/>
    <m/>
    <n v="1"/>
    <n v="1"/>
  </r>
  <r>
    <n v="4865"/>
    <x v="2"/>
    <s v="2016/5341"/>
    <s v="1 Withycombe Road"/>
    <s v=""/>
    <n v="523686"/>
    <n v="173656"/>
    <s v="West Hill"/>
    <d v="2020-03-31T00:00:00"/>
    <m/>
    <n v="1"/>
    <n v="2"/>
    <n v="1"/>
    <n v="2"/>
    <n v="1"/>
    <m/>
    <s v="Demolition of existing house and erection of two, two-storey (plus basement) 3 -bedroom semi-detached houses including new boundary treatment."/>
    <s v="PF"/>
    <d v="2016-09-13T00:00:00"/>
    <d v="2016-11-08T00:00:00"/>
    <m/>
    <s v="Nil"/>
    <m/>
    <s v="BF"/>
    <s v="NB"/>
    <x v="2"/>
    <x v="1"/>
    <n v="2.4E-2"/>
    <d v="2020-03-31T00:00:00"/>
    <x v="0"/>
    <m/>
    <s v="Open Market"/>
    <s v="M"/>
    <s v=""/>
    <m/>
    <n v="2"/>
    <m/>
    <n v="0"/>
    <m/>
    <n v="0"/>
    <n v="0"/>
    <n v="-1"/>
    <n v="2"/>
    <n v="0"/>
    <n v="0"/>
    <n v="0"/>
    <n v="0"/>
    <n v="0"/>
    <n v="0"/>
    <n v="0"/>
    <n v="0"/>
    <n v="0"/>
    <n v="0"/>
    <n v="0"/>
    <n v="0"/>
    <n v="-1"/>
    <n v="2"/>
    <n v="0"/>
    <n v="0"/>
    <n v="0"/>
    <n v="0"/>
    <n v="0"/>
    <n v="0"/>
    <n v="0"/>
    <n v="0"/>
    <n v="0"/>
    <n v="0"/>
    <m/>
    <m/>
    <s v="Rest of Borough"/>
    <n v="3"/>
    <m/>
    <n v="1"/>
    <m/>
    <m/>
    <m/>
    <m/>
    <m/>
    <m/>
    <m/>
    <m/>
    <m/>
    <m/>
    <m/>
    <m/>
    <m/>
    <m/>
    <m/>
    <m/>
    <m/>
    <m/>
    <n v="1"/>
    <n v="1"/>
  </r>
  <r>
    <n v="3571"/>
    <x v="2"/>
    <s v="2021/5565"/>
    <s v="12 Coverton Road"/>
    <s v=""/>
    <n v="527317"/>
    <n v="171389"/>
    <s v="Tooting Broadway"/>
    <d v="2022-12-21T00:00:00"/>
    <m/>
    <n v="2"/>
    <n v="4"/>
    <n v="2"/>
    <n v="4"/>
    <n v="2"/>
    <m/>
    <s v="Alterations including erection of a mansard roof extension to main rear roof (with French doors and safety railings) including raising ridge by 200mm and extension above the two storey back addition; Erection of single storey rear/side extension; Formation of second floor rear roof terrace with 1.7m glazed surround; In connection with creation of 1 x 3-bedroom, 1 x 2-bedroom and 1 x 1-bedroom and 1 x studio flats, with associated refuse storage to front garden and associate cycle storage."/>
    <s v="PF"/>
    <d v="2021-12-09T00:00:00"/>
    <d v="2022-02-08T00:00:00"/>
    <m/>
    <s v="Nil"/>
    <m/>
    <s v="BF"/>
    <s v="EXT"/>
    <x v="2"/>
    <x v="2"/>
    <n v="0.01"/>
    <d v="2022-12-21T00:00:00"/>
    <x v="1"/>
    <m/>
    <s v="Open Market"/>
    <s v="M"/>
    <s v=""/>
    <m/>
    <n v="0"/>
    <m/>
    <n v="0"/>
    <m/>
    <n v="1"/>
    <n v="1"/>
    <n v="0"/>
    <n v="0"/>
    <n v="0"/>
    <n v="0"/>
    <n v="0"/>
    <n v="1"/>
    <n v="1"/>
    <n v="0"/>
    <n v="0"/>
    <n v="0"/>
    <n v="0"/>
    <n v="0"/>
    <n v="0"/>
    <n v="0"/>
    <n v="0"/>
    <n v="0"/>
    <n v="0"/>
    <n v="0"/>
    <n v="0"/>
    <n v="0"/>
    <n v="0"/>
    <n v="0"/>
    <n v="0"/>
    <n v="0"/>
    <n v="0"/>
    <n v="0"/>
    <m/>
    <m/>
    <s v="Tooting"/>
    <n v="14"/>
    <m/>
    <n v="1"/>
    <n v="1"/>
    <m/>
    <m/>
    <m/>
    <m/>
    <m/>
    <m/>
    <m/>
    <m/>
    <m/>
    <m/>
    <m/>
    <m/>
    <m/>
    <m/>
    <m/>
    <m/>
    <m/>
    <n v="2"/>
    <n v="2"/>
  </r>
  <r>
    <n v="7488"/>
    <x v="2"/>
    <s v="2020/4252"/>
    <s v="121 Earlsfield Road"/>
    <s v=""/>
    <n v="526356"/>
    <n v="173676"/>
    <s v="Wandle"/>
    <d v="2021-04-20T00:00:00"/>
    <m/>
    <n v="1"/>
    <n v="2"/>
    <n v="1"/>
    <n v="4"/>
    <n v="3"/>
    <m/>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m/>
    <s v="Nil"/>
    <m/>
    <s v="BF"/>
    <s v="CON"/>
    <x v="2"/>
    <x v="5"/>
    <n v="1.6E-2"/>
    <d v="2021-04-20T00:00:00"/>
    <x v="0"/>
    <m/>
    <s v="Open Market"/>
    <s v="M"/>
    <s v=""/>
    <m/>
    <n v="0"/>
    <m/>
    <n v="0"/>
    <m/>
    <n v="0"/>
    <n v="0"/>
    <n v="1"/>
    <n v="1"/>
    <n v="0"/>
    <n v="-1"/>
    <n v="0"/>
    <n v="0"/>
    <n v="0"/>
    <n v="1"/>
    <n v="1"/>
    <n v="0"/>
    <n v="0"/>
    <n v="0"/>
    <n v="0"/>
    <n v="0"/>
    <n v="0"/>
    <n v="0"/>
    <n v="0"/>
    <n v="-1"/>
    <n v="0"/>
    <n v="0"/>
    <n v="0"/>
    <n v="0"/>
    <n v="0"/>
    <n v="0"/>
    <n v="0"/>
    <n v="0"/>
    <m/>
    <m/>
    <s v="Rest of Borough"/>
    <n v="13"/>
    <m/>
    <n v="1"/>
    <m/>
    <m/>
    <m/>
    <m/>
    <m/>
    <m/>
    <m/>
    <m/>
    <m/>
    <m/>
    <m/>
    <m/>
    <m/>
    <m/>
    <m/>
    <m/>
    <m/>
    <m/>
    <n v="1"/>
    <n v="1"/>
  </r>
  <r>
    <n v="7006"/>
    <x v="2"/>
    <s v="2018/4022"/>
    <s v="13 Rookstone Road"/>
    <s v=""/>
    <n v="527643"/>
    <n v="171169"/>
    <s v="Tooting Broadway"/>
    <d v="2021-09-01T00:00:00"/>
    <m/>
    <n v="1"/>
    <n v="2"/>
    <n v="1"/>
    <n v="2"/>
    <n v="1"/>
    <m/>
    <s v="Erection of mansard roof extension to main rear roof and extension above two-storey back addition; erection of single storey rear/side extension in connection with conversion of property from 2 x 2 bedroom flats to 1 x 2 bedroom and 2 x 1 bedroom flats."/>
    <s v="PF"/>
    <d v="2018-08-20T00:00:00"/>
    <d v="2018-10-15T00:00:00"/>
    <m/>
    <s v="Nil"/>
    <m/>
    <s v="BF"/>
    <s v="CON"/>
    <x v="2"/>
    <x v="7"/>
    <n v="8.0000000000000002E-3"/>
    <d v="2021-09-01T00:00:00"/>
    <x v="0"/>
    <m/>
    <s v="Open Market"/>
    <s v="M"/>
    <s v=""/>
    <m/>
    <n v="0"/>
    <m/>
    <n v="0"/>
    <m/>
    <n v="0"/>
    <n v="0"/>
    <n v="1"/>
    <n v="0"/>
    <n v="0"/>
    <n v="0"/>
    <n v="0"/>
    <n v="0"/>
    <n v="0"/>
    <n v="1"/>
    <n v="0"/>
    <n v="0"/>
    <n v="0"/>
    <n v="0"/>
    <n v="0"/>
    <n v="0"/>
    <n v="0"/>
    <n v="0"/>
    <n v="0"/>
    <n v="0"/>
    <n v="0"/>
    <n v="0"/>
    <n v="0"/>
    <n v="0"/>
    <n v="0"/>
    <n v="0"/>
    <n v="0"/>
    <n v="0"/>
    <m/>
    <m/>
    <s v="Tooting"/>
    <n v="13"/>
    <m/>
    <n v="1"/>
    <m/>
    <m/>
    <m/>
    <m/>
    <m/>
    <m/>
    <m/>
    <m/>
    <m/>
    <m/>
    <m/>
    <m/>
    <m/>
    <m/>
    <m/>
    <m/>
    <m/>
    <m/>
    <n v="1"/>
    <n v="1"/>
  </r>
  <r>
    <n v="6375"/>
    <x v="2"/>
    <s v="2016/4543"/>
    <s v="131 Lower Richmond Road"/>
    <s v=""/>
    <n v="523565"/>
    <n v="175816"/>
    <s v="Thamesfield"/>
    <d v="2017-09-05T00:00:00"/>
    <m/>
    <n v="1"/>
    <n v="2"/>
    <n v="1"/>
    <n v="2"/>
    <n v="1"/>
    <m/>
    <s v="Proposed use of the first and second floors as two residential flats."/>
    <s v="LDC Prop"/>
    <d v="2016-08-01T00:00:00"/>
    <d v="2016-10-17T00:00:00"/>
    <m/>
    <s v="Nil"/>
    <m/>
    <s v="BF"/>
    <s v="COU"/>
    <x v="2"/>
    <x v="11"/>
    <n v="7.0000000000000001E-3"/>
    <d v="2017-09-05T00:00:00"/>
    <x v="0"/>
    <m/>
    <s v="Open Market"/>
    <s v="M"/>
    <s v=""/>
    <m/>
    <n v="0"/>
    <m/>
    <n v="0"/>
    <m/>
    <n v="0"/>
    <n v="0"/>
    <n v="2"/>
    <n v="0"/>
    <n v="0"/>
    <n v="-1"/>
    <n v="0"/>
    <n v="0"/>
    <n v="0"/>
    <n v="2"/>
    <n v="0"/>
    <n v="0"/>
    <n v="-1"/>
    <n v="0"/>
    <n v="0"/>
    <n v="0"/>
    <n v="0"/>
    <n v="0"/>
    <n v="0"/>
    <n v="0"/>
    <n v="0"/>
    <n v="0"/>
    <n v="0"/>
    <n v="0"/>
    <n v="0"/>
    <n v="0"/>
    <n v="0"/>
    <n v="0"/>
    <m/>
    <m/>
    <s v="Rest of Borough"/>
    <n v="13"/>
    <m/>
    <n v="1"/>
    <m/>
    <m/>
    <m/>
    <m/>
    <m/>
    <m/>
    <m/>
    <m/>
    <m/>
    <m/>
    <m/>
    <m/>
    <m/>
    <m/>
    <m/>
    <m/>
    <m/>
    <m/>
    <n v="1"/>
    <n v="1"/>
  </r>
  <r>
    <n v="5514"/>
    <x v="2"/>
    <s v="2013/6430"/>
    <s v="15 Fernthorpe Road"/>
    <s v=""/>
    <n v="529246"/>
    <n v="170855"/>
    <s v="Furzedown"/>
    <d v="2017-04-01T00:00:00"/>
    <m/>
    <n v="0"/>
    <n v="1"/>
    <n v="1"/>
    <n v="1"/>
    <n v="1"/>
    <m/>
    <s v="Demolition of existing garage. Construction of three-storey side extension with rear roof extension and conversion into self contained two bedroomed dwelling. Installation of 6 solar panels to front roof slope."/>
    <s v="PF"/>
    <d v="2014-01-08T00:00:00"/>
    <d v="2015-04-13T00:00:00"/>
    <m/>
    <s v="Nil"/>
    <m/>
    <s v="BF"/>
    <s v="MIX"/>
    <x v="2"/>
    <x v="1"/>
    <n v="7.0000000000000001E-3"/>
    <d v="2017-04-01T00:00:00"/>
    <x v="0"/>
    <m/>
    <s v="Open Market"/>
    <s v="M"/>
    <s v=""/>
    <m/>
    <n v="1"/>
    <m/>
    <n v="0"/>
    <m/>
    <n v="0"/>
    <n v="0"/>
    <n v="1"/>
    <n v="0"/>
    <n v="0"/>
    <n v="0"/>
    <n v="0"/>
    <n v="0"/>
    <n v="0"/>
    <n v="0"/>
    <n v="0"/>
    <n v="0"/>
    <n v="0"/>
    <n v="0"/>
    <n v="0"/>
    <n v="0"/>
    <n v="1"/>
    <n v="0"/>
    <n v="0"/>
    <n v="0"/>
    <n v="0"/>
    <n v="0"/>
    <n v="0"/>
    <n v="0"/>
    <n v="0"/>
    <n v="0"/>
    <n v="0"/>
    <n v="0"/>
    <m/>
    <m/>
    <s v="Rest of Borough"/>
    <n v="13"/>
    <m/>
    <n v="1"/>
    <m/>
    <m/>
    <m/>
    <m/>
    <m/>
    <m/>
    <m/>
    <m/>
    <m/>
    <m/>
    <m/>
    <m/>
    <m/>
    <m/>
    <m/>
    <m/>
    <m/>
    <m/>
    <n v="1"/>
    <n v="1"/>
  </r>
  <r>
    <n v="3695"/>
    <x v="2"/>
    <s v="2022/0863"/>
    <s v="157-159 Wandsworth High Street"/>
    <s v=""/>
    <n v="525409"/>
    <n v="174671"/>
    <s v="Wandsworth Town"/>
    <d v="2022-09-15T00:00:00"/>
    <m/>
    <n v="0"/>
    <n v="1"/>
    <n v="1"/>
    <n v="1"/>
    <n v="1"/>
    <m/>
    <s v="Determination as to whether prior approval is required for change of use of office (Class E) at part of first floor level to a studio flat (Class C3)."/>
    <s v="PANR"/>
    <d v="2022-03-01T00:00:00"/>
    <d v="2022-04-25T00:00:00"/>
    <s v="Y"/>
    <s v="Nil"/>
    <m/>
    <s v="BF"/>
    <s v="COU"/>
    <x v="2"/>
    <x v="6"/>
    <n v="2E-3"/>
    <d v="2022-09-15T00:00:00"/>
    <x v="1"/>
    <m/>
    <s v="Open Market"/>
    <s v="M"/>
    <s v=""/>
    <m/>
    <n v="0"/>
    <m/>
    <n v="0"/>
    <m/>
    <n v="1"/>
    <n v="0"/>
    <n v="0"/>
    <n v="0"/>
    <n v="0"/>
    <n v="0"/>
    <n v="0"/>
    <n v="1"/>
    <n v="0"/>
    <n v="0"/>
    <n v="0"/>
    <n v="0"/>
    <n v="0"/>
    <n v="0"/>
    <n v="0"/>
    <n v="0"/>
    <n v="0"/>
    <n v="0"/>
    <n v="0"/>
    <n v="0"/>
    <n v="0"/>
    <n v="0"/>
    <n v="0"/>
    <n v="0"/>
    <n v="0"/>
    <n v="0"/>
    <n v="0"/>
    <n v="0"/>
    <s v="Wandsworth"/>
    <m/>
    <s v="Wandsworth Town, including the Wandle Delta Masterplan Area"/>
    <n v="13"/>
    <m/>
    <n v="1"/>
    <m/>
    <m/>
    <m/>
    <m/>
    <m/>
    <m/>
    <m/>
    <m/>
    <m/>
    <m/>
    <m/>
    <m/>
    <m/>
    <m/>
    <m/>
    <m/>
    <m/>
    <m/>
    <n v="1"/>
    <n v="1"/>
  </r>
  <r>
    <n v="3695"/>
    <x v="2"/>
    <s v="2022/0867"/>
    <s v="157-159 Wandsworth High Street"/>
    <s v=""/>
    <n v="525409"/>
    <n v="174671"/>
    <s v="Wandsworth Town"/>
    <d v="2022-09-15T00:00:00"/>
    <m/>
    <n v="0"/>
    <n v="1"/>
    <n v="1"/>
    <n v="1"/>
    <n v="1"/>
    <m/>
    <s v="Determination as to whether prior approval is required for change of use of part of first floor from Class E to 1 x 1-bedroom flat (Class C3)."/>
    <s v="PANR"/>
    <d v="2022-03-01T00:00:00"/>
    <d v="2022-04-25T00:00:00"/>
    <s v="Y"/>
    <s v="Nil"/>
    <m/>
    <s v="BF"/>
    <s v="COU"/>
    <x v="2"/>
    <x v="6"/>
    <n v="3.0000000000000001E-3"/>
    <d v="2022-09-15T00:00:00"/>
    <x v="1"/>
    <m/>
    <s v="Open Market"/>
    <s v="M"/>
    <s v=""/>
    <m/>
    <n v="0"/>
    <m/>
    <n v="0"/>
    <m/>
    <n v="0"/>
    <n v="1"/>
    <n v="0"/>
    <n v="0"/>
    <n v="0"/>
    <n v="0"/>
    <n v="0"/>
    <n v="0"/>
    <n v="1"/>
    <n v="0"/>
    <n v="0"/>
    <n v="0"/>
    <n v="0"/>
    <n v="0"/>
    <n v="0"/>
    <n v="0"/>
    <n v="0"/>
    <n v="0"/>
    <n v="0"/>
    <n v="0"/>
    <n v="0"/>
    <n v="0"/>
    <n v="0"/>
    <n v="0"/>
    <n v="0"/>
    <n v="0"/>
    <n v="0"/>
    <n v="0"/>
    <s v="Wandsworth"/>
    <m/>
    <s v="Wandsworth Town, including the Wandle Delta Masterplan Area"/>
    <n v="13"/>
    <m/>
    <n v="1"/>
    <m/>
    <m/>
    <m/>
    <m/>
    <m/>
    <m/>
    <m/>
    <m/>
    <m/>
    <m/>
    <m/>
    <m/>
    <m/>
    <m/>
    <m/>
    <m/>
    <m/>
    <m/>
    <n v="1"/>
    <n v="1"/>
  </r>
  <r>
    <n v="5298"/>
    <x v="2"/>
    <s v="2016/4655"/>
    <s v="16 Roehampton Gate"/>
    <s v=""/>
    <n v="521254"/>
    <n v="174526"/>
    <s v="Roehampton"/>
    <d v="2019-11-11T00:00:00"/>
    <m/>
    <n v="0"/>
    <n v="1"/>
    <n v="1"/>
    <n v="1"/>
    <n v="1"/>
    <m/>
    <s v="Demolition of existing building and erection of a two-storey (plus basement and roof levels) house."/>
    <s v="PF"/>
    <d v="2016-08-08T00:00:00"/>
    <d v="2016-11-17T00:00:00"/>
    <m/>
    <s v="Nil"/>
    <m/>
    <s v="BF"/>
    <s v="NB"/>
    <x v="2"/>
    <x v="1"/>
    <n v="0.108"/>
    <d v="2019-11-11T00:00:00"/>
    <x v="0"/>
    <m/>
    <s v="Open Market"/>
    <s v="M"/>
    <s v=""/>
    <m/>
    <n v="1"/>
    <m/>
    <n v="1"/>
    <m/>
    <n v="0"/>
    <n v="0"/>
    <n v="0"/>
    <n v="0"/>
    <n v="0"/>
    <n v="1"/>
    <n v="0"/>
    <n v="0"/>
    <n v="0"/>
    <n v="0"/>
    <n v="0"/>
    <n v="0"/>
    <n v="0"/>
    <n v="0"/>
    <n v="0"/>
    <n v="0"/>
    <n v="0"/>
    <n v="0"/>
    <n v="0"/>
    <n v="1"/>
    <n v="0"/>
    <n v="0"/>
    <n v="0"/>
    <n v="0"/>
    <n v="0"/>
    <n v="0"/>
    <n v="0"/>
    <n v="0"/>
    <m/>
    <m/>
    <s v="Rest of Borough"/>
    <n v="3"/>
    <m/>
    <n v="1"/>
    <m/>
    <m/>
    <m/>
    <m/>
    <m/>
    <m/>
    <m/>
    <m/>
    <m/>
    <m/>
    <m/>
    <m/>
    <m/>
    <m/>
    <m/>
    <m/>
    <m/>
    <m/>
    <n v="1"/>
    <n v="1"/>
  </r>
  <r>
    <n v="1882"/>
    <x v="2"/>
    <s v="2019/0799"/>
    <s v="175 Wandsworth High Street"/>
    <s v=""/>
    <n v="525371"/>
    <n v="174659"/>
    <s v="Wandsworth Town"/>
    <d v="2018-04-01T00:00:00"/>
    <m/>
    <n v="0"/>
    <n v="1"/>
    <n v="1"/>
    <n v="1"/>
    <n v="1"/>
    <m/>
    <s v="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
    <s v="S73"/>
    <d v="2019-03-12T00:00:00"/>
    <d v="2019-05-15T00:00:00"/>
    <m/>
    <s v="Nil"/>
    <m/>
    <s v="BF"/>
    <s v="COU"/>
    <x v="2"/>
    <x v="3"/>
    <n v="5.0000000000000001E-3"/>
    <d v="2018-04-01T00:00:00"/>
    <x v="0"/>
    <m/>
    <s v="Open Market"/>
    <s v="M"/>
    <s v=""/>
    <m/>
    <n v="0"/>
    <m/>
    <n v="0"/>
    <m/>
    <n v="0"/>
    <n v="1"/>
    <n v="0"/>
    <n v="0"/>
    <n v="0"/>
    <n v="0"/>
    <n v="0"/>
    <n v="0"/>
    <n v="1"/>
    <n v="0"/>
    <n v="0"/>
    <n v="0"/>
    <n v="0"/>
    <n v="0"/>
    <n v="0"/>
    <n v="0"/>
    <n v="0"/>
    <n v="0"/>
    <n v="0"/>
    <n v="0"/>
    <n v="0"/>
    <n v="0"/>
    <n v="0"/>
    <n v="0"/>
    <n v="0"/>
    <n v="0"/>
    <n v="0"/>
    <n v="0"/>
    <s v="Wandsworth"/>
    <m/>
    <s v="Wandsworth Town, including the Wandle Delta Masterplan Area"/>
    <n v="13"/>
    <m/>
    <n v="1"/>
    <m/>
    <m/>
    <m/>
    <m/>
    <m/>
    <m/>
    <m/>
    <m/>
    <m/>
    <m/>
    <m/>
    <m/>
    <m/>
    <m/>
    <m/>
    <m/>
    <m/>
    <m/>
    <n v="1"/>
    <n v="1"/>
  </r>
  <r>
    <n v="6381"/>
    <x v="2"/>
    <s v="2021/3335"/>
    <s v="189b Balham High Road"/>
    <s v=""/>
    <n v="528420"/>
    <n v="173036"/>
    <s v="South Balham"/>
    <d v="2022-07-31T00:00:00"/>
    <m/>
    <n v="0"/>
    <n v="1"/>
    <n v="1"/>
    <n v="1"/>
    <n v="1"/>
    <m/>
    <s v="Change of use from storage facility (Class B8) to a single family dwelling house (Class C3) including external alterations."/>
    <s v="PF"/>
    <d v="2021-08-25T00:00:00"/>
    <d v="2022-01-17T00:00:00"/>
    <m/>
    <s v="Nil"/>
    <m/>
    <s v="BF"/>
    <s v="COU"/>
    <x v="2"/>
    <x v="3"/>
    <n v="6.0000000000000001E-3"/>
    <d v="2022-07-31T00:00:00"/>
    <x v="1"/>
    <m/>
    <s v="Open Market"/>
    <s v="M"/>
    <s v=""/>
    <m/>
    <n v="0"/>
    <m/>
    <n v="0"/>
    <m/>
    <n v="0"/>
    <n v="0"/>
    <n v="0"/>
    <n v="1"/>
    <n v="0"/>
    <n v="0"/>
    <n v="0"/>
    <n v="0"/>
    <n v="0"/>
    <n v="0"/>
    <n v="0"/>
    <n v="0"/>
    <n v="0"/>
    <n v="0"/>
    <n v="0"/>
    <n v="0"/>
    <n v="0"/>
    <n v="1"/>
    <n v="0"/>
    <n v="0"/>
    <n v="0"/>
    <n v="0"/>
    <n v="0"/>
    <n v="0"/>
    <n v="0"/>
    <n v="0"/>
    <n v="0"/>
    <n v="0"/>
    <m/>
    <m/>
    <s v="Rest of Borough"/>
    <n v="13"/>
    <m/>
    <n v="1"/>
    <m/>
    <m/>
    <m/>
    <m/>
    <m/>
    <m/>
    <m/>
    <m/>
    <m/>
    <m/>
    <m/>
    <m/>
    <m/>
    <m/>
    <m/>
    <m/>
    <m/>
    <m/>
    <n v="1"/>
    <n v="1"/>
  </r>
  <r>
    <n v="7027"/>
    <x v="2"/>
    <s v="2018/4665"/>
    <s v="190a Tooting High Street"/>
    <s v=""/>
    <n v="527173"/>
    <n v="171043"/>
    <s v="Tooting Broadway"/>
    <d v="2021-04-01T00:00:00"/>
    <m/>
    <n v="0"/>
    <n v="1"/>
    <n v="1"/>
    <n v="1"/>
    <n v="1"/>
    <m/>
    <s v="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
    <s v="PF"/>
    <d v="2018-10-01T00:00:00"/>
    <d v="2019-01-23T00:00:00"/>
    <m/>
    <s v="Nil"/>
    <m/>
    <s v="BF"/>
    <s v="MIX"/>
    <x v="2"/>
    <x v="2"/>
    <n v="5.3E-3"/>
    <d v="2021-04-01T00:00:00"/>
    <x v="0"/>
    <m/>
    <s v="Open Market"/>
    <s v="M"/>
    <s v=""/>
    <m/>
    <n v="0"/>
    <m/>
    <n v="0"/>
    <m/>
    <n v="0"/>
    <n v="1"/>
    <n v="0"/>
    <n v="0"/>
    <n v="0"/>
    <n v="0"/>
    <n v="0"/>
    <n v="0"/>
    <n v="1"/>
    <n v="0"/>
    <n v="0"/>
    <n v="0"/>
    <n v="0"/>
    <n v="0"/>
    <n v="0"/>
    <n v="0"/>
    <n v="0"/>
    <n v="0"/>
    <n v="0"/>
    <n v="0"/>
    <n v="0"/>
    <n v="0"/>
    <n v="0"/>
    <n v="0"/>
    <n v="0"/>
    <n v="0"/>
    <n v="0"/>
    <n v="0"/>
    <m/>
    <m/>
    <s v="Tooting"/>
    <n v="13"/>
    <m/>
    <n v="1"/>
    <m/>
    <m/>
    <m/>
    <m/>
    <m/>
    <m/>
    <m/>
    <m/>
    <m/>
    <m/>
    <m/>
    <m/>
    <m/>
    <m/>
    <m/>
    <m/>
    <m/>
    <m/>
    <n v="1"/>
    <n v="1"/>
  </r>
  <r>
    <n v="4735"/>
    <x v="2"/>
    <s v="2019/2735"/>
    <s v="2 Penwortham Road"/>
    <s v=""/>
    <n v="529233"/>
    <n v="171130"/>
    <s v="Furzedown"/>
    <d v="2020-02-11T00:00:00"/>
    <m/>
    <n v="0"/>
    <n v="1"/>
    <n v="1"/>
    <n v="1"/>
    <n v="1"/>
    <m/>
    <s v="Alterations including excavation works in connection with change of use from Office/Business (Class A2) to residential (Class C3) to provide 1 x 1 bedroom unit with roof terrace."/>
    <s v="PF"/>
    <d v="2019-07-15T00:00:00"/>
    <d v="2019-08-19T00:00:00"/>
    <m/>
    <s v="Nil"/>
    <m/>
    <s v="BF"/>
    <s v="COU"/>
    <x v="2"/>
    <x v="6"/>
    <n v="2E-3"/>
    <d v="2020-02-11T00:00:00"/>
    <x v="0"/>
    <m/>
    <s v="Open Market"/>
    <s v="M"/>
    <s v=""/>
    <m/>
    <n v="0"/>
    <m/>
    <n v="0"/>
    <m/>
    <n v="0"/>
    <n v="1"/>
    <n v="0"/>
    <n v="0"/>
    <n v="0"/>
    <n v="0"/>
    <n v="0"/>
    <n v="0"/>
    <n v="0"/>
    <n v="0"/>
    <n v="0"/>
    <n v="0"/>
    <n v="0"/>
    <n v="0"/>
    <n v="0"/>
    <n v="1"/>
    <n v="0"/>
    <n v="0"/>
    <n v="0"/>
    <n v="0"/>
    <n v="0"/>
    <n v="0"/>
    <n v="0"/>
    <n v="0"/>
    <n v="0"/>
    <n v="0"/>
    <n v="0"/>
    <n v="0"/>
    <m/>
    <m/>
    <s v="Rest of Borough"/>
    <n v="13"/>
    <m/>
    <n v="1"/>
    <m/>
    <m/>
    <m/>
    <m/>
    <m/>
    <m/>
    <m/>
    <m/>
    <m/>
    <m/>
    <m/>
    <m/>
    <m/>
    <m/>
    <m/>
    <m/>
    <m/>
    <m/>
    <n v="1"/>
    <n v="1"/>
  </r>
  <r>
    <n v="4084"/>
    <x v="2"/>
    <s v="2018/0195"/>
    <s v="22 Trinity Road"/>
    <s v=""/>
    <n v="527971"/>
    <n v="172408"/>
    <s v="Trinity"/>
    <d v="2018-04-20T00:00:00"/>
    <m/>
    <n v="0"/>
    <n v="1"/>
    <n v="1"/>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x v="2"/>
    <x v="1"/>
    <n v="3.0000000000000001E-3"/>
    <d v="2018-04-20T00:00:00"/>
    <x v="0"/>
    <m/>
    <s v="Open Market"/>
    <s v="M"/>
    <s v=""/>
    <m/>
    <n v="0"/>
    <m/>
    <n v="0"/>
    <m/>
    <n v="1"/>
    <n v="0"/>
    <n v="0"/>
    <n v="0"/>
    <n v="0"/>
    <n v="0"/>
    <n v="0"/>
    <n v="1"/>
    <n v="0"/>
    <n v="0"/>
    <n v="0"/>
    <n v="0"/>
    <n v="0"/>
    <n v="0"/>
    <n v="0"/>
    <n v="0"/>
    <n v="0"/>
    <n v="0"/>
    <n v="0"/>
    <n v="0"/>
    <n v="0"/>
    <n v="0"/>
    <n v="0"/>
    <n v="0"/>
    <n v="0"/>
    <n v="0"/>
    <n v="0"/>
    <n v="0"/>
    <m/>
    <m/>
    <s v="Rest of Borough"/>
    <n v="13"/>
    <m/>
    <n v="1"/>
    <m/>
    <m/>
    <m/>
    <m/>
    <m/>
    <m/>
    <m/>
    <m/>
    <m/>
    <m/>
    <m/>
    <m/>
    <m/>
    <m/>
    <m/>
    <m/>
    <m/>
    <m/>
    <n v="1"/>
    <n v="1"/>
  </r>
  <r>
    <n v="4084"/>
    <x v="2"/>
    <s v="2018/0195"/>
    <s v="22 Trinity Road"/>
    <s v=""/>
    <n v="527971"/>
    <n v="172408"/>
    <s v="Trinity"/>
    <d v="2018-04-20T00:00:00"/>
    <m/>
    <n v="0"/>
    <n v="1"/>
    <n v="1"/>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x v="2"/>
    <x v="4"/>
    <n v="3.0000000000000001E-3"/>
    <d v="2018-04-20T00:00:00"/>
    <x v="0"/>
    <m/>
    <s v="Open Market"/>
    <s v="M"/>
    <s v=""/>
    <m/>
    <n v="0"/>
    <m/>
    <n v="0"/>
    <n v="1"/>
    <n v="0"/>
    <n v="1"/>
    <n v="0"/>
    <n v="0"/>
    <n v="0"/>
    <n v="0"/>
    <n v="0"/>
    <n v="0"/>
    <n v="1"/>
    <n v="0"/>
    <n v="0"/>
    <n v="0"/>
    <n v="0"/>
    <n v="0"/>
    <n v="0"/>
    <n v="0"/>
    <n v="0"/>
    <n v="0"/>
    <n v="0"/>
    <n v="0"/>
    <n v="0"/>
    <n v="0"/>
    <n v="0"/>
    <n v="0"/>
    <n v="0"/>
    <n v="0"/>
    <n v="0"/>
    <n v="0"/>
    <m/>
    <m/>
    <s v="Rest of Borough"/>
    <n v="13"/>
    <m/>
    <n v="1"/>
    <m/>
    <m/>
    <m/>
    <m/>
    <m/>
    <m/>
    <m/>
    <m/>
    <m/>
    <m/>
    <m/>
    <m/>
    <m/>
    <m/>
    <m/>
    <m/>
    <m/>
    <m/>
    <n v="1"/>
    <n v="1"/>
  </r>
  <r>
    <n v="6032"/>
    <x v="2"/>
    <s v="2020/0614"/>
    <s v="259 Putney Bridge Road"/>
    <s v=""/>
    <n v="524386"/>
    <n v="175298"/>
    <s v="Thamesfield"/>
    <d v="2021-01-12T00:00:00"/>
    <m/>
    <n v="1"/>
    <n v="2"/>
    <n v="1"/>
    <n v="4"/>
    <n v="3"/>
    <m/>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m/>
    <s v="Nil"/>
    <m/>
    <s v="BF"/>
    <s v="COU"/>
    <x v="2"/>
    <x v="7"/>
    <n v="6.0000000000000001E-3"/>
    <d v="2021-01-12T00:00:00"/>
    <x v="0"/>
    <m/>
    <s v="Open Market"/>
    <s v="M"/>
    <s v=""/>
    <m/>
    <n v="0"/>
    <m/>
    <n v="0"/>
    <m/>
    <n v="0"/>
    <n v="1"/>
    <n v="1"/>
    <n v="0"/>
    <n v="0"/>
    <n v="-1"/>
    <n v="0"/>
    <n v="0"/>
    <n v="1"/>
    <n v="1"/>
    <n v="0"/>
    <n v="0"/>
    <n v="-1"/>
    <n v="0"/>
    <n v="0"/>
    <n v="0"/>
    <n v="0"/>
    <n v="0"/>
    <n v="0"/>
    <n v="0"/>
    <n v="0"/>
    <n v="0"/>
    <n v="0"/>
    <n v="0"/>
    <n v="0"/>
    <n v="0"/>
    <n v="0"/>
    <n v="0"/>
    <m/>
    <m/>
    <s v="Rest of Borough"/>
    <n v="13"/>
    <m/>
    <n v="1"/>
    <m/>
    <m/>
    <m/>
    <m/>
    <m/>
    <m/>
    <m/>
    <m/>
    <m/>
    <m/>
    <m/>
    <m/>
    <m/>
    <m/>
    <m/>
    <m/>
    <m/>
    <m/>
    <n v="1"/>
    <n v="1"/>
  </r>
  <r>
    <n v="6032"/>
    <x v="2"/>
    <s v="2021/1586"/>
    <s v="259 Putney Bridge Road"/>
    <s v=""/>
    <n v="524386"/>
    <n v="175298"/>
    <s v="Thamesfield"/>
    <d v="2021-08-03T00:00:00"/>
    <m/>
    <n v="0"/>
    <n v="1"/>
    <n v="1"/>
    <n v="1"/>
    <n v="1"/>
    <m/>
    <s v="Alterations including erection of front and rear roof extension to main roof (with French doors and safety railings to front elevation), extension above three-storey back addition to provide 1 x 1 bedroom flat with front roof terrace."/>
    <s v="PF"/>
    <d v="2021-04-02T00:00:00"/>
    <d v="2021-07-20T00:00:00"/>
    <m/>
    <s v="Nil"/>
    <m/>
    <s v="BF"/>
    <s v="EXT"/>
    <x v="2"/>
    <x v="2"/>
    <n v="5.4000000000000003E-3"/>
    <d v="2021-08-03T00:00:00"/>
    <x v="0"/>
    <m/>
    <s v="Open Market"/>
    <s v="MR"/>
    <s v=""/>
    <m/>
    <n v="0"/>
    <m/>
    <n v="0"/>
    <m/>
    <n v="0"/>
    <n v="1"/>
    <n v="0"/>
    <n v="0"/>
    <n v="0"/>
    <n v="0"/>
    <n v="0"/>
    <n v="0"/>
    <n v="1"/>
    <n v="0"/>
    <n v="0"/>
    <n v="0"/>
    <n v="0"/>
    <n v="0"/>
    <n v="0"/>
    <n v="0"/>
    <n v="0"/>
    <n v="0"/>
    <n v="0"/>
    <n v="0"/>
    <n v="0"/>
    <n v="0"/>
    <n v="0"/>
    <n v="0"/>
    <n v="0"/>
    <n v="0"/>
    <n v="0"/>
    <n v="0"/>
    <m/>
    <m/>
    <s v="Rest of Borough"/>
    <n v="13"/>
    <m/>
    <n v="1"/>
    <m/>
    <m/>
    <m/>
    <m/>
    <m/>
    <m/>
    <m/>
    <m/>
    <m/>
    <m/>
    <m/>
    <m/>
    <m/>
    <m/>
    <m/>
    <m/>
    <m/>
    <m/>
    <n v="1"/>
    <n v="1"/>
  </r>
  <r>
    <n v="2933"/>
    <x v="2"/>
    <s v="2019/1498"/>
    <s v="26 Upper Richmond Road"/>
    <s v=""/>
    <n v="524876"/>
    <n v="174632"/>
    <s v="East Putney"/>
    <d v="2022-01-24T00:00:00"/>
    <m/>
    <n v="0"/>
    <n v="1"/>
    <n v="1"/>
    <n v="1"/>
    <n v="1"/>
    <m/>
    <s v="Change of use from Restaurants and Cafes/ Drinking Establishments (A3/A4) to residential (Class C3) to provide 1 x 1-bedroom flat."/>
    <s v="PF"/>
    <d v="2019-04-04T00:00:00"/>
    <d v="2019-05-30T00:00:00"/>
    <m/>
    <s v="Nil"/>
    <m/>
    <s v="BF"/>
    <s v="COU"/>
    <x v="2"/>
    <x v="3"/>
    <n v="4.0000000000000001E-3"/>
    <d v="2022-01-24T00:00:00"/>
    <x v="0"/>
    <m/>
    <s v="Open Market"/>
    <s v="M"/>
    <s v=""/>
    <m/>
    <n v="0"/>
    <m/>
    <n v="0"/>
    <m/>
    <n v="0"/>
    <n v="1"/>
    <n v="0"/>
    <n v="0"/>
    <n v="0"/>
    <n v="0"/>
    <n v="0"/>
    <n v="0"/>
    <n v="1"/>
    <n v="0"/>
    <n v="0"/>
    <n v="0"/>
    <n v="0"/>
    <n v="0"/>
    <n v="0"/>
    <n v="0"/>
    <n v="0"/>
    <n v="0"/>
    <n v="0"/>
    <n v="0"/>
    <n v="0"/>
    <n v="0"/>
    <n v="0"/>
    <n v="0"/>
    <n v="0"/>
    <n v="0"/>
    <n v="0"/>
    <n v="0"/>
    <m/>
    <m/>
    <s v="Rest of Borough"/>
    <n v="13"/>
    <m/>
    <n v="1"/>
    <m/>
    <m/>
    <m/>
    <m/>
    <m/>
    <m/>
    <m/>
    <m/>
    <m/>
    <m/>
    <m/>
    <m/>
    <m/>
    <m/>
    <m/>
    <m/>
    <m/>
    <m/>
    <n v="1"/>
    <n v="1"/>
  </r>
  <r>
    <n v="6922"/>
    <x v="2"/>
    <s v="2016/4769"/>
    <s v="30 Nimrod Road"/>
    <s v=""/>
    <n v="529004"/>
    <n v="171330"/>
    <s v="Furzedown"/>
    <d v="2018-11-07T00:00:00"/>
    <m/>
    <n v="0"/>
    <n v="1"/>
    <n v="1"/>
    <n v="1"/>
    <n v="1"/>
    <m/>
    <s v="Alterations including erection of hip to gable side roof extensions, rear mansard roof extension, and extension above two storey back addition. Erection of single-storey side/rear extension. Erection of self-contained annexe to the rear garden with basement level."/>
    <s v="PF"/>
    <d v="2016-09-02T00:00:00"/>
    <d v="2016-10-13T00:00:00"/>
    <m/>
    <s v="Nil"/>
    <m/>
    <s v="BF"/>
    <s v="NB"/>
    <x v="2"/>
    <x v="1"/>
    <n v="8.0000000000000002E-3"/>
    <d v="2018-11-07T00:00:00"/>
    <x v="0"/>
    <m/>
    <s v="Open Market"/>
    <s v="M"/>
    <s v=""/>
    <m/>
    <n v="0"/>
    <m/>
    <n v="0"/>
    <m/>
    <n v="0"/>
    <n v="1"/>
    <n v="0"/>
    <n v="0"/>
    <n v="0"/>
    <n v="0"/>
    <n v="0"/>
    <n v="0"/>
    <n v="1"/>
    <n v="0"/>
    <n v="0"/>
    <n v="0"/>
    <n v="0"/>
    <n v="0"/>
    <n v="0"/>
    <n v="0"/>
    <n v="0"/>
    <n v="0"/>
    <n v="0"/>
    <n v="0"/>
    <n v="0"/>
    <n v="0"/>
    <n v="0"/>
    <n v="0"/>
    <n v="0"/>
    <n v="0"/>
    <n v="0"/>
    <n v="0"/>
    <m/>
    <m/>
    <s v="Rest of Borough"/>
    <n v="3"/>
    <m/>
    <n v="1"/>
    <m/>
    <m/>
    <m/>
    <m/>
    <m/>
    <m/>
    <m/>
    <m/>
    <m/>
    <m/>
    <m/>
    <m/>
    <m/>
    <m/>
    <m/>
    <m/>
    <m/>
    <m/>
    <n v="1"/>
    <n v="1"/>
  </r>
  <r>
    <n v="7495"/>
    <x v="2"/>
    <s v="2020/4494"/>
    <s v="30a Fountain Road"/>
    <s v=""/>
    <n v="526948"/>
    <n v="171621"/>
    <s v="Tooting Broadway"/>
    <d v="2022-08-18T00:00:00"/>
    <m/>
    <n v="0"/>
    <n v="1"/>
    <n v="1"/>
    <n v="1"/>
    <n v="1"/>
    <m/>
    <s v="Alterations including raising ridge height by 300mm, erection of a mansard roof extension on the main rear roof slope and above part of two-storey rear addition to form new 1-bedroom flat with the formation of a roof terrace with 1.7m obscured glazed screen."/>
    <s v="PF"/>
    <d v="2020-11-23T00:00:00"/>
    <d v="2021-02-15T00:00:00"/>
    <m/>
    <s v="Nil"/>
    <m/>
    <s v="BF"/>
    <s v="MIX"/>
    <x v="2"/>
    <x v="2"/>
    <n v="3.0000000000000001E-3"/>
    <d v="2022-08-18T00:00:00"/>
    <x v="1"/>
    <m/>
    <s v="Open Market"/>
    <s v="M"/>
    <s v=""/>
    <m/>
    <n v="0"/>
    <m/>
    <n v="0"/>
    <m/>
    <n v="0"/>
    <n v="1"/>
    <n v="0"/>
    <n v="0"/>
    <n v="0"/>
    <n v="0"/>
    <n v="0"/>
    <n v="0"/>
    <n v="1"/>
    <n v="0"/>
    <n v="0"/>
    <n v="0"/>
    <n v="0"/>
    <n v="0"/>
    <n v="0"/>
    <n v="0"/>
    <n v="0"/>
    <n v="0"/>
    <n v="0"/>
    <n v="0"/>
    <n v="0"/>
    <n v="0"/>
    <n v="0"/>
    <n v="0"/>
    <n v="0"/>
    <n v="0"/>
    <n v="0"/>
    <n v="0"/>
    <m/>
    <m/>
    <s v="Rest of Borough"/>
    <n v="13"/>
    <m/>
    <n v="1"/>
    <m/>
    <m/>
    <m/>
    <m/>
    <m/>
    <m/>
    <m/>
    <m/>
    <m/>
    <m/>
    <m/>
    <m/>
    <m/>
    <m/>
    <m/>
    <m/>
    <m/>
    <m/>
    <n v="1"/>
    <n v="1"/>
  </r>
  <r>
    <n v="7273"/>
    <x v="2"/>
    <s v="2019/4158"/>
    <s v="335a Garratt Lane"/>
    <s v=""/>
    <n v="525942"/>
    <n v="173479"/>
    <s v="Wandle"/>
    <d v="2021-02-15T00:00:00"/>
    <m/>
    <n v="1"/>
    <n v="2"/>
    <n v="1"/>
    <n v="2"/>
    <n v="1"/>
    <m/>
    <s v="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
    <s v="PF"/>
    <d v="2019-10-24T00:00:00"/>
    <d v="2019-12-10T00:00:00"/>
    <m/>
    <s v="Nil"/>
    <m/>
    <s v="BF"/>
    <s v="CON"/>
    <x v="2"/>
    <x v="7"/>
    <n v="7.0000000000000001E-3"/>
    <d v="2021-02-15T00:00:00"/>
    <x v="0"/>
    <m/>
    <s v="Open Market"/>
    <s v="M"/>
    <s v=""/>
    <m/>
    <n v="0"/>
    <m/>
    <n v="0"/>
    <m/>
    <n v="0"/>
    <n v="2"/>
    <n v="-1"/>
    <n v="0"/>
    <n v="0"/>
    <n v="0"/>
    <n v="0"/>
    <n v="0"/>
    <n v="2"/>
    <n v="-1"/>
    <n v="0"/>
    <n v="0"/>
    <n v="0"/>
    <n v="0"/>
    <n v="0"/>
    <n v="0"/>
    <n v="0"/>
    <n v="0"/>
    <n v="0"/>
    <n v="0"/>
    <n v="0"/>
    <n v="0"/>
    <n v="0"/>
    <n v="0"/>
    <n v="0"/>
    <n v="0"/>
    <n v="0"/>
    <n v="0"/>
    <m/>
    <m/>
    <s v="The Wandle Valley"/>
    <n v="13"/>
    <m/>
    <n v="1"/>
    <m/>
    <m/>
    <m/>
    <m/>
    <m/>
    <m/>
    <m/>
    <m/>
    <m/>
    <m/>
    <m/>
    <m/>
    <m/>
    <m/>
    <m/>
    <m/>
    <m/>
    <m/>
    <n v="1"/>
    <n v="1"/>
  </r>
  <r>
    <n v="7763"/>
    <x v="2"/>
    <s v="2022/0172"/>
    <s v="34 Roehampton High Street"/>
    <s v=""/>
    <n v="522433"/>
    <n v="173822"/>
    <s v="Roehampton"/>
    <d v="2022-05-16T00:00:00"/>
    <m/>
    <n v="1"/>
    <n v="2"/>
    <n v="1"/>
    <n v="2"/>
    <n v="1"/>
    <m/>
    <s v="Alterations to include the erection of two-storey rear extension, formation of a roof terrace above with opague balustrade. Change of use of part of lower and ground floor commercial space (Class Use E/A3) to form a 2-bedroom flat (Class Use C3)"/>
    <s v="PF"/>
    <d v="2022-02-02T00:00:00"/>
    <d v="2022-03-29T00:00:00"/>
    <m/>
    <s v="Nil"/>
    <m/>
    <s v="BF"/>
    <s v="MIX"/>
    <x v="2"/>
    <x v="3"/>
    <n v="8.6999999999999994E-3"/>
    <d v="2022-05-16T00:00:00"/>
    <x v="1"/>
    <m/>
    <s v="Open Market"/>
    <s v="MR"/>
    <s v=""/>
    <m/>
    <n v="0"/>
    <m/>
    <n v="0"/>
    <m/>
    <n v="0"/>
    <n v="0"/>
    <n v="1"/>
    <n v="0"/>
    <n v="0"/>
    <n v="0"/>
    <n v="0"/>
    <n v="0"/>
    <n v="0"/>
    <n v="1"/>
    <n v="0"/>
    <n v="0"/>
    <n v="0"/>
    <n v="0"/>
    <n v="0"/>
    <n v="0"/>
    <n v="0"/>
    <n v="0"/>
    <n v="0"/>
    <n v="0"/>
    <n v="0"/>
    <n v="0"/>
    <n v="0"/>
    <n v="0"/>
    <n v="0"/>
    <n v="0"/>
    <n v="0"/>
    <n v="0"/>
    <m/>
    <m/>
    <s v="Roehampton Regeneration Area"/>
    <n v="13"/>
    <m/>
    <n v="1"/>
    <m/>
    <m/>
    <m/>
    <m/>
    <m/>
    <m/>
    <m/>
    <m/>
    <m/>
    <m/>
    <m/>
    <m/>
    <m/>
    <m/>
    <m/>
    <m/>
    <m/>
    <m/>
    <n v="1"/>
    <n v="1"/>
  </r>
  <r>
    <n v="182"/>
    <x v="2"/>
    <s v="2019/3692"/>
    <s v="376-378 Garratt Lane"/>
    <s v=""/>
    <n v="526066"/>
    <n v="172919"/>
    <s v="Wandsworth Common"/>
    <d v="2023-03-31T00:00:00"/>
    <m/>
    <n v="1"/>
    <n v="3"/>
    <n v="2"/>
    <n v="4"/>
    <n v="3"/>
    <m/>
    <s v="Alterations in connection with conversion of existing flat and  office (B1) to 4 x two-bedroom flats with associated bin and cycle storage."/>
    <s v="PF"/>
    <d v="2019-09-11T00:00:00"/>
    <d v="2019-11-18T00:00:00"/>
    <m/>
    <s v="Nil"/>
    <m/>
    <s v="BF"/>
    <s v="MIX"/>
    <x v="2"/>
    <x v="7"/>
    <n v="2.1999999999999999E-2"/>
    <d v="2023-03-31T00:00:00"/>
    <x v="1"/>
    <m/>
    <s v="Open Market"/>
    <s v="M"/>
    <s v=""/>
    <m/>
    <n v="0"/>
    <m/>
    <n v="0"/>
    <m/>
    <n v="0"/>
    <n v="0"/>
    <n v="3"/>
    <n v="0"/>
    <n v="-1"/>
    <n v="0"/>
    <n v="0"/>
    <n v="0"/>
    <n v="0"/>
    <n v="3"/>
    <n v="0"/>
    <n v="-1"/>
    <n v="0"/>
    <n v="0"/>
    <n v="0"/>
    <n v="0"/>
    <n v="0"/>
    <n v="0"/>
    <n v="0"/>
    <n v="0"/>
    <n v="0"/>
    <n v="0"/>
    <n v="0"/>
    <n v="0"/>
    <n v="0"/>
    <n v="0"/>
    <n v="0"/>
    <n v="0"/>
    <m/>
    <m/>
    <s v="The Wandle Valley"/>
    <n v="14"/>
    <m/>
    <n v="1"/>
    <n v="1"/>
    <m/>
    <m/>
    <m/>
    <m/>
    <m/>
    <m/>
    <m/>
    <m/>
    <m/>
    <m/>
    <m/>
    <m/>
    <m/>
    <m/>
    <m/>
    <m/>
    <m/>
    <n v="2"/>
    <n v="2"/>
  </r>
  <r>
    <n v="7335"/>
    <x v="2"/>
    <s v="2021/3897"/>
    <s v="463 Garratt Lane"/>
    <s v=""/>
    <n v="525930"/>
    <n v="173172"/>
    <s v="Wandle"/>
    <d v="2023-03-31T00:00:00"/>
    <m/>
    <n v="1"/>
    <n v="3"/>
    <n v="2"/>
    <n v="3"/>
    <n v="2"/>
    <m/>
    <s v="Alterations including replacement ground floor front elevation and erection of single-storey rear/side extension in connection with change of use of ground floor from retail (Class E) to residential (Class C3) and provision of 3 x1 bedroom flats with refuse and cycle storage at rear."/>
    <s v="PF"/>
    <d v="2021-08-18T00:00:00"/>
    <d v="2021-10-18T00:00:00"/>
    <m/>
    <s v="Nil"/>
    <m/>
    <s v="BF"/>
    <s v="EXT"/>
    <x v="2"/>
    <x v="2"/>
    <n v="4.0000000000000001E-3"/>
    <d v="2023-03-31T00:00:00"/>
    <x v="1"/>
    <m/>
    <s v="Open Market"/>
    <s v="M"/>
    <s v=""/>
    <m/>
    <n v="0"/>
    <m/>
    <n v="0"/>
    <m/>
    <n v="0"/>
    <n v="3"/>
    <n v="0"/>
    <n v="0"/>
    <n v="0"/>
    <n v="-1"/>
    <n v="0"/>
    <n v="0"/>
    <n v="3"/>
    <n v="0"/>
    <n v="0"/>
    <n v="0"/>
    <n v="-1"/>
    <n v="0"/>
    <n v="0"/>
    <n v="0"/>
    <n v="0"/>
    <n v="0"/>
    <n v="0"/>
    <n v="0"/>
    <n v="0"/>
    <n v="0"/>
    <n v="0"/>
    <n v="0"/>
    <n v="0"/>
    <n v="0"/>
    <n v="0"/>
    <n v="0"/>
    <m/>
    <m/>
    <s v="The Wandle Valley"/>
    <n v="14"/>
    <m/>
    <n v="1"/>
    <n v="1"/>
    <m/>
    <m/>
    <m/>
    <m/>
    <m/>
    <m/>
    <m/>
    <m/>
    <m/>
    <m/>
    <m/>
    <m/>
    <m/>
    <m/>
    <m/>
    <m/>
    <m/>
    <n v="2"/>
    <n v="2"/>
  </r>
  <r>
    <n v="7654"/>
    <x v="2"/>
    <s v="2021/5066"/>
    <s v="468 Garratt Lane"/>
    <s v=""/>
    <n v="526105"/>
    <n v="172633"/>
    <s v="Wandsworth Common"/>
    <d v="2023-03-31T00:00:00"/>
    <m/>
    <n v="1"/>
    <n v="3"/>
    <n v="2"/>
    <n v="3"/>
    <n v="2"/>
    <m/>
    <s v="Alterations including erection of rear extensions at ground, first and second floor levels including raising the main ridge of the roof by 300mm; F ormation of roof terrace at rear first floor and provision of refuse and cycle storage at rear in connection with use of the rear part of the gorund floor and upper floors as  3 x 1-bedroom flats."/>
    <s v="PF"/>
    <d v="2021-11-04T00:00:00"/>
    <d v="2021-12-30T00:00:00"/>
    <m/>
    <s v="Nil"/>
    <m/>
    <s v="BF"/>
    <s v="CON"/>
    <x v="2"/>
    <x v="7"/>
    <n v="3.6075E-3"/>
    <d v="2023-03-31T00:00:00"/>
    <x v="1"/>
    <m/>
    <s v="Open Market"/>
    <s v="M"/>
    <s v=""/>
    <m/>
    <n v="0"/>
    <m/>
    <n v="0"/>
    <m/>
    <n v="0"/>
    <n v="3"/>
    <n v="-1"/>
    <n v="0"/>
    <n v="0"/>
    <n v="0"/>
    <n v="0"/>
    <n v="0"/>
    <n v="3"/>
    <n v="-1"/>
    <n v="0"/>
    <n v="0"/>
    <n v="0"/>
    <n v="0"/>
    <n v="0"/>
    <n v="0"/>
    <n v="0"/>
    <n v="0"/>
    <n v="0"/>
    <n v="0"/>
    <n v="0"/>
    <n v="0"/>
    <n v="0"/>
    <n v="0"/>
    <n v="0"/>
    <n v="0"/>
    <n v="0"/>
    <n v="0"/>
    <m/>
    <m/>
    <s v="The Wandle Valley"/>
    <n v="14"/>
    <m/>
    <n v="1"/>
    <n v="1"/>
    <m/>
    <m/>
    <m/>
    <m/>
    <m/>
    <m/>
    <m/>
    <m/>
    <m/>
    <m/>
    <m/>
    <m/>
    <m/>
    <m/>
    <m/>
    <m/>
    <m/>
    <n v="2"/>
    <n v="2"/>
  </r>
  <r>
    <n v="7338"/>
    <x v="2"/>
    <s v="2020/1033"/>
    <s v="51-53 Northcote Road"/>
    <s v=""/>
    <n v="527505"/>
    <n v="174973"/>
    <s v="Lavender"/>
    <d v="2021-08-23T00:00:00"/>
    <m/>
    <n v="0"/>
    <n v="1"/>
    <n v="1"/>
    <n v="1"/>
    <n v="1"/>
    <m/>
    <s v="Alterations to rear block facing Shelgate Road including erection of roof extension to create additional storey in connection with creation of 1 x 1-bedroom flat."/>
    <s v="PF"/>
    <d v="2020-04-30T00:00:00"/>
    <d v="2020-07-29T00:00:00"/>
    <m/>
    <s v="Nil"/>
    <m/>
    <s v="BF"/>
    <s v="EXT"/>
    <x v="2"/>
    <x v="2"/>
    <n v="4.0000000000000001E-3"/>
    <d v="2021-08-23T00:00:00"/>
    <x v="0"/>
    <m/>
    <s v="Open Market"/>
    <s v="M"/>
    <s v=""/>
    <m/>
    <n v="0"/>
    <m/>
    <n v="0"/>
    <m/>
    <n v="0"/>
    <n v="1"/>
    <n v="0"/>
    <n v="0"/>
    <n v="0"/>
    <n v="0"/>
    <n v="0"/>
    <n v="0"/>
    <n v="1"/>
    <n v="0"/>
    <n v="0"/>
    <n v="0"/>
    <n v="0"/>
    <n v="0"/>
    <n v="0"/>
    <n v="0"/>
    <n v="0"/>
    <n v="0"/>
    <n v="0"/>
    <n v="0"/>
    <n v="0"/>
    <n v="0"/>
    <n v="0"/>
    <n v="0"/>
    <n v="0"/>
    <n v="0"/>
    <n v="0"/>
    <n v="0"/>
    <s v="Clapham Junction"/>
    <m/>
    <s v="Clapham Junction Spatial Area Strategy"/>
    <n v="13"/>
    <m/>
    <n v="1"/>
    <m/>
    <m/>
    <m/>
    <m/>
    <m/>
    <m/>
    <m/>
    <m/>
    <m/>
    <m/>
    <m/>
    <m/>
    <m/>
    <m/>
    <m/>
    <m/>
    <m/>
    <m/>
    <n v="1"/>
    <n v="1"/>
  </r>
  <r>
    <n v="7338"/>
    <x v="2"/>
    <s v="2020/1371"/>
    <s v="51-53 Northcote Road"/>
    <s v=""/>
    <n v="527505"/>
    <n v="174973"/>
    <s v="Lavender"/>
    <d v="2021-08-23T00:00:00"/>
    <m/>
    <n v="0"/>
    <n v="1"/>
    <n v="1"/>
    <n v="1"/>
    <n v="1"/>
    <m/>
    <s v="Alterations including erection of mansard roof extension to front and rear roof of No. 51 and rear dormer extension to the rear of No. 53 in connection with creation of 1 x 1-bedroom flat."/>
    <s v="PF"/>
    <d v="2020-04-27T00:00:00"/>
    <d v="2020-06-22T00:00:00"/>
    <m/>
    <s v="Nil"/>
    <m/>
    <s v="BF"/>
    <s v="EXT"/>
    <x v="2"/>
    <x v="2"/>
    <n v="4.0000000000000001E-3"/>
    <d v="2021-08-23T00:00:00"/>
    <x v="0"/>
    <m/>
    <s v="Open Market"/>
    <s v="M"/>
    <s v=""/>
    <m/>
    <n v="0"/>
    <m/>
    <n v="0"/>
    <m/>
    <n v="0"/>
    <n v="1"/>
    <n v="0"/>
    <n v="0"/>
    <n v="0"/>
    <n v="0"/>
    <n v="0"/>
    <n v="0"/>
    <n v="1"/>
    <n v="0"/>
    <n v="0"/>
    <n v="0"/>
    <n v="0"/>
    <n v="0"/>
    <n v="0"/>
    <n v="0"/>
    <n v="0"/>
    <n v="0"/>
    <n v="0"/>
    <n v="0"/>
    <n v="0"/>
    <n v="0"/>
    <n v="0"/>
    <n v="0"/>
    <n v="0"/>
    <n v="0"/>
    <n v="0"/>
    <n v="0"/>
    <s v="Clapham Junction"/>
    <m/>
    <s v="Clapham Junction Spatial Area Strategy"/>
    <n v="13"/>
    <m/>
    <n v="1"/>
    <m/>
    <m/>
    <m/>
    <m/>
    <m/>
    <m/>
    <m/>
    <m/>
    <m/>
    <m/>
    <m/>
    <m/>
    <m/>
    <m/>
    <m/>
    <m/>
    <m/>
    <m/>
    <n v="1"/>
    <n v="1"/>
  </r>
  <r>
    <n v="7689"/>
    <x v="2"/>
    <s v="2021/4782"/>
    <s v="547 Old York Road"/>
    <s v=""/>
    <n v="525880"/>
    <n v="174953"/>
    <s v="Wandsworth Town"/>
    <d v="2022-12-19T00:00:00"/>
    <m/>
    <n v="1"/>
    <n v="3"/>
    <n v="2"/>
    <n v="3"/>
    <n v="2"/>
    <m/>
    <s v="Alterations including erection of a front dormer and a rear mansard roof extension (with French doors and safety railing) to main roof; extension above part of the two-storey back addition; erection of a single storey rear/side extension and formation of a first floor rear roof terrace with glazed screen; removal of window and installation of French doors and safety railing to first floor rear elevation; installation of a new shopfront and front access to upper floors; associated refuse and cycle storage, in connection with use of upper floors as 2 x 2- bed and 1 x 1-bed flats plus 1 x commercial unit (Class E) on part of the ground floor and basement levels."/>
    <s v="PF"/>
    <d v="2021-10-18T00:00:00"/>
    <d v="2021-12-13T00:00:00"/>
    <m/>
    <s v="Nil"/>
    <m/>
    <s v="BF"/>
    <s v="COU"/>
    <x v="2"/>
    <x v="2"/>
    <n v="7.0000000000000001E-3"/>
    <d v="2022-12-19T00:00:00"/>
    <x v="1"/>
    <m/>
    <s v="Open Market"/>
    <s v="M"/>
    <s v=""/>
    <m/>
    <n v="0"/>
    <m/>
    <n v="0"/>
    <m/>
    <n v="0"/>
    <n v="1"/>
    <n v="2"/>
    <n v="-1"/>
    <n v="0"/>
    <n v="0"/>
    <n v="0"/>
    <n v="0"/>
    <n v="1"/>
    <n v="2"/>
    <n v="0"/>
    <n v="0"/>
    <n v="0"/>
    <n v="0"/>
    <n v="0"/>
    <n v="0"/>
    <n v="0"/>
    <n v="-1"/>
    <n v="0"/>
    <n v="0"/>
    <n v="0"/>
    <n v="0"/>
    <n v="0"/>
    <n v="0"/>
    <n v="0"/>
    <n v="0"/>
    <n v="0"/>
    <n v="0"/>
    <m/>
    <m/>
    <s v="Wandsworth Town, including the Wandle Delta Masterplan Area"/>
    <n v="14"/>
    <m/>
    <n v="1"/>
    <n v="1"/>
    <m/>
    <m/>
    <m/>
    <m/>
    <m/>
    <m/>
    <m/>
    <m/>
    <m/>
    <m/>
    <m/>
    <m/>
    <m/>
    <m/>
    <m/>
    <m/>
    <m/>
    <n v="2"/>
    <n v="2"/>
  </r>
  <r>
    <n v="1962"/>
    <x v="2"/>
    <s v="2019/2135"/>
    <s v="65a Bramfield Road (145a Northcote Road)"/>
    <s v=""/>
    <n v="527618"/>
    <n v="174574"/>
    <s v="Northcote"/>
    <d v="2022-08-01T00:00:00"/>
    <m/>
    <n v="0"/>
    <n v="1"/>
    <n v="1"/>
    <n v="1"/>
    <n v="1"/>
    <m/>
    <s v="Demolition of single storey building and erection of two-storey 1-bedroom house."/>
    <s v="PF"/>
    <d v="2019-05-16T00:00:00"/>
    <d v="2019-09-23T00:00:00"/>
    <m/>
    <s v="Nil"/>
    <m/>
    <s v="BF"/>
    <s v="NB"/>
    <x v="2"/>
    <x v="1"/>
    <n v="8.0000000000000002E-3"/>
    <d v="2022-08-01T00:00:00"/>
    <x v="1"/>
    <m/>
    <s v="Open Market"/>
    <s v="M"/>
    <s v=""/>
    <m/>
    <n v="0"/>
    <m/>
    <n v="0"/>
    <m/>
    <n v="0"/>
    <n v="1"/>
    <n v="0"/>
    <n v="0"/>
    <n v="0"/>
    <n v="0"/>
    <n v="0"/>
    <n v="0"/>
    <n v="0"/>
    <n v="0"/>
    <n v="0"/>
    <n v="0"/>
    <n v="0"/>
    <n v="0"/>
    <n v="0"/>
    <n v="1"/>
    <n v="0"/>
    <n v="0"/>
    <n v="0"/>
    <n v="0"/>
    <n v="0"/>
    <n v="0"/>
    <n v="0"/>
    <n v="0"/>
    <n v="0"/>
    <n v="0"/>
    <n v="0"/>
    <n v="0"/>
    <m/>
    <m/>
    <s v="Rest of Borough"/>
    <n v="3"/>
    <m/>
    <n v="1"/>
    <m/>
    <m/>
    <m/>
    <m/>
    <m/>
    <m/>
    <m/>
    <m/>
    <m/>
    <m/>
    <m/>
    <m/>
    <m/>
    <m/>
    <m/>
    <m/>
    <m/>
    <m/>
    <n v="1"/>
    <n v="1"/>
  </r>
  <r>
    <n v="7740"/>
    <x v="2"/>
    <s v="2021/3121"/>
    <s v="7 Fairlight Road"/>
    <s v=""/>
    <n v="526967"/>
    <n v="171687"/>
    <s v="Tooting Broadway"/>
    <d v="2022-03-31T00:00:00"/>
    <m/>
    <n v="1"/>
    <n v="2"/>
    <n v="1"/>
    <n v="2"/>
    <n v="1"/>
    <m/>
    <s v="Alterations including erection of mansard roof extension to main rear roof including raising ridge by 300mm, erection of roof extension and formation of roof terrace with 1.7m glazed safety surround above two storey rear addition in connection with creation of 1 x 1-bedroom flat."/>
    <s v="PF"/>
    <d v="2021-07-08T00:00:00"/>
    <d v="2021-09-02T00:00:00"/>
    <m/>
    <s v="Nil"/>
    <m/>
    <s v="BF"/>
    <s v="EXT"/>
    <x v="2"/>
    <x v="2"/>
    <n v="5.0000000000000001E-3"/>
    <d v="2022-03-31T00:00:00"/>
    <x v="0"/>
    <m/>
    <s v="Open Market"/>
    <s v="M"/>
    <s v=""/>
    <m/>
    <n v="0"/>
    <m/>
    <n v="0"/>
    <m/>
    <n v="0"/>
    <n v="1"/>
    <n v="0"/>
    <n v="0"/>
    <n v="0"/>
    <n v="0"/>
    <n v="0"/>
    <n v="0"/>
    <n v="1"/>
    <n v="0"/>
    <n v="0"/>
    <n v="0"/>
    <n v="0"/>
    <n v="0"/>
    <n v="0"/>
    <n v="0"/>
    <n v="0"/>
    <n v="0"/>
    <n v="0"/>
    <n v="0"/>
    <n v="0"/>
    <n v="0"/>
    <n v="0"/>
    <n v="0"/>
    <n v="0"/>
    <n v="0"/>
    <n v="0"/>
    <n v="0"/>
    <m/>
    <m/>
    <s v="Rest of Borough"/>
    <n v="13"/>
    <m/>
    <n v="1"/>
    <m/>
    <m/>
    <m/>
    <m/>
    <m/>
    <m/>
    <m/>
    <m/>
    <m/>
    <m/>
    <m/>
    <m/>
    <m/>
    <m/>
    <m/>
    <m/>
    <m/>
    <m/>
    <n v="1"/>
    <n v="1"/>
  </r>
  <r>
    <n v="7886"/>
    <x v="2"/>
    <s v="2022/4648"/>
    <s v="80 Taybridge Road"/>
    <s v=""/>
    <n v="528462"/>
    <n v="175439"/>
    <s v="Lavender"/>
    <d v="2023-03-31T00:00:00"/>
    <m/>
    <n v="1"/>
    <n v="3"/>
    <n v="2"/>
    <n v="3"/>
    <n v="2"/>
    <m/>
    <s v="Alterations including erection of dormer roof extensions to side roof slope, extension to roof at rear incuding increase ridge, erection of ground floor extension and replacement of shop frontage and lowering/replacement of windows in connection with the conversion of the commercial unit and dwelling into into 3 self-contained residential units (1 x 1 bedroom, and 2 x 2 bedroom units); provision cycle storage and waste storage."/>
    <s v="PF"/>
    <d v="2022-11-14T00:00:00"/>
    <d v="2023-01-11T00:00:00"/>
    <s v="Y"/>
    <s v="Nil"/>
    <m/>
    <s v="BF"/>
    <s v="CON"/>
    <x v="2"/>
    <x v="7"/>
    <n v="0.06"/>
    <d v="2023-03-31T00:00:00"/>
    <x v="1"/>
    <m/>
    <s v="Open Market"/>
    <s v="M"/>
    <s v=""/>
    <m/>
    <n v="0"/>
    <m/>
    <n v="0"/>
    <m/>
    <n v="0"/>
    <n v="1"/>
    <n v="2"/>
    <n v="0"/>
    <n v="-1"/>
    <n v="0"/>
    <n v="0"/>
    <n v="0"/>
    <n v="1"/>
    <n v="2"/>
    <n v="0"/>
    <n v="-1"/>
    <n v="0"/>
    <n v="0"/>
    <n v="0"/>
    <n v="0"/>
    <n v="0"/>
    <n v="0"/>
    <n v="0"/>
    <n v="0"/>
    <n v="0"/>
    <n v="0"/>
    <n v="0"/>
    <n v="0"/>
    <n v="0"/>
    <n v="0"/>
    <n v="0"/>
    <n v="0"/>
    <m/>
    <m/>
    <s v="Rest of Borough"/>
    <n v="14"/>
    <m/>
    <n v="1"/>
    <n v="1"/>
    <m/>
    <m/>
    <m/>
    <m/>
    <m/>
    <m/>
    <m/>
    <m/>
    <m/>
    <m/>
    <m/>
    <m/>
    <m/>
    <m/>
    <m/>
    <m/>
    <m/>
    <n v="2"/>
    <n v="2"/>
  </r>
  <r>
    <n v="7039"/>
    <x v="2"/>
    <s v="2020/2195"/>
    <s v="842 Garratt Lane"/>
    <s v=""/>
    <n v="526973"/>
    <n v="171725"/>
    <s v="Tooting Broadway"/>
    <d v="2022-03-31T00:00:00"/>
    <m/>
    <n v="1"/>
    <n v="2"/>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m/>
    <s v="Nil"/>
    <m/>
    <s v="BF"/>
    <s v="MIX"/>
    <x v="2"/>
    <x v="7"/>
    <n v="4.0000000000000001E-3"/>
    <d v="2022-03-31T00:00:00"/>
    <x v="0"/>
    <m/>
    <s v="Open Market"/>
    <s v="M"/>
    <s v=""/>
    <m/>
    <n v="0"/>
    <m/>
    <n v="0"/>
    <m/>
    <n v="0"/>
    <n v="2"/>
    <n v="-1"/>
    <n v="0"/>
    <n v="0"/>
    <n v="0"/>
    <n v="0"/>
    <n v="0"/>
    <n v="2"/>
    <n v="-1"/>
    <n v="0"/>
    <n v="0"/>
    <n v="0"/>
    <n v="0"/>
    <n v="0"/>
    <n v="0"/>
    <n v="0"/>
    <n v="0"/>
    <n v="0"/>
    <n v="0"/>
    <n v="0"/>
    <n v="0"/>
    <n v="0"/>
    <n v="0"/>
    <n v="0"/>
    <n v="0"/>
    <n v="0"/>
    <n v="0"/>
    <m/>
    <m/>
    <s v="Rest of Borough"/>
    <n v="13"/>
    <m/>
    <n v="1"/>
    <m/>
    <m/>
    <m/>
    <m/>
    <m/>
    <m/>
    <m/>
    <m/>
    <m/>
    <m/>
    <m/>
    <m/>
    <m/>
    <m/>
    <m/>
    <m/>
    <m/>
    <m/>
    <n v="1"/>
    <n v="1"/>
  </r>
  <r>
    <n v="7039"/>
    <x v="2"/>
    <s v="2020/2195"/>
    <s v="842 Garratt Lane"/>
    <s v=""/>
    <n v="526973"/>
    <n v="171725"/>
    <s v="Tooting Broadway"/>
    <d v="2022-03-31T00:00:00"/>
    <m/>
    <n v="0"/>
    <n v="1"/>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m/>
    <s v="Nil"/>
    <m/>
    <s v="BF"/>
    <s v="MIX"/>
    <x v="2"/>
    <x v="6"/>
    <n v="3.0000000000000001E-3"/>
    <d v="2022-03-31T00:00:00"/>
    <x v="0"/>
    <m/>
    <s v="Open Market"/>
    <s v="M"/>
    <s v=""/>
    <m/>
    <n v="0"/>
    <m/>
    <n v="0"/>
    <m/>
    <n v="0"/>
    <n v="1"/>
    <n v="0"/>
    <n v="0"/>
    <n v="0"/>
    <n v="0"/>
    <n v="0"/>
    <n v="0"/>
    <n v="1"/>
    <n v="0"/>
    <n v="0"/>
    <n v="0"/>
    <n v="0"/>
    <n v="0"/>
    <n v="0"/>
    <n v="0"/>
    <n v="0"/>
    <n v="0"/>
    <n v="0"/>
    <n v="0"/>
    <n v="0"/>
    <n v="0"/>
    <n v="0"/>
    <n v="0"/>
    <n v="0"/>
    <n v="0"/>
    <n v="0"/>
    <n v="0"/>
    <m/>
    <m/>
    <s v="Rest of Borough"/>
    <n v="13"/>
    <m/>
    <n v="1"/>
    <m/>
    <m/>
    <m/>
    <m/>
    <m/>
    <m/>
    <m/>
    <m/>
    <m/>
    <m/>
    <m/>
    <m/>
    <m/>
    <m/>
    <m/>
    <m/>
    <m/>
    <m/>
    <n v="1"/>
    <n v="1"/>
  </r>
  <r>
    <n v="7039"/>
    <x v="2"/>
    <s v="2020/2195"/>
    <s v="842 Garratt Lane"/>
    <s v=""/>
    <n v="526973"/>
    <n v="171725"/>
    <s v="Tooting Broadway"/>
    <d v="2022-03-31T00:00:00"/>
    <m/>
    <n v="0"/>
    <n v="1"/>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m/>
    <s v="Nil"/>
    <m/>
    <s v="BF"/>
    <s v="MIX"/>
    <x v="2"/>
    <x v="2"/>
    <n v="2E-3"/>
    <d v="2022-03-31T00:00:00"/>
    <x v="0"/>
    <m/>
    <s v="Open Market"/>
    <s v="M"/>
    <s v=""/>
    <m/>
    <n v="0"/>
    <m/>
    <n v="0"/>
    <m/>
    <n v="0"/>
    <n v="1"/>
    <n v="0"/>
    <n v="0"/>
    <n v="0"/>
    <n v="0"/>
    <n v="0"/>
    <n v="0"/>
    <n v="1"/>
    <n v="0"/>
    <n v="0"/>
    <n v="0"/>
    <n v="0"/>
    <n v="0"/>
    <n v="0"/>
    <n v="0"/>
    <n v="0"/>
    <n v="0"/>
    <n v="0"/>
    <n v="0"/>
    <n v="0"/>
    <n v="0"/>
    <n v="0"/>
    <n v="0"/>
    <n v="0"/>
    <n v="0"/>
    <n v="0"/>
    <n v="0"/>
    <m/>
    <m/>
    <s v="Rest of Borough"/>
    <n v="13"/>
    <m/>
    <n v="1"/>
    <m/>
    <m/>
    <m/>
    <m/>
    <m/>
    <m/>
    <m/>
    <m/>
    <m/>
    <m/>
    <m/>
    <m/>
    <m/>
    <m/>
    <m/>
    <m/>
    <m/>
    <m/>
    <n v="1"/>
    <n v="1"/>
  </r>
  <r>
    <n v="7442"/>
    <x v="2"/>
    <s v="2020/2606"/>
    <s v="88 Grayshott Road"/>
    <s v=""/>
    <n v="528026"/>
    <n v="175977"/>
    <s v="Shaftesbury &amp; Queenstown"/>
    <d v="2022-09-01T00:00:00"/>
    <m/>
    <n v="0"/>
    <n v="1"/>
    <n v="1"/>
    <n v="1"/>
    <n v="1"/>
    <m/>
    <s v="Determination as to whether prior approval is required for change of use of office at ground floor and lower ground floor (Class B1a) to residential (Class C3) to provide 1 x 1-bedroom flat."/>
    <s v="PAG"/>
    <d v="2020-07-20T00:00:00"/>
    <d v="2020-09-10T00:00:00"/>
    <m/>
    <s v="Nil"/>
    <m/>
    <s v="BF"/>
    <s v="COU"/>
    <x v="2"/>
    <x v="6"/>
    <n v="5.0000000000000001E-3"/>
    <d v="2022-09-01T00:00:00"/>
    <x v="1"/>
    <m/>
    <s v="Open Market"/>
    <s v="M"/>
    <s v=""/>
    <m/>
    <n v="0"/>
    <m/>
    <n v="0"/>
    <m/>
    <n v="0"/>
    <n v="1"/>
    <n v="0"/>
    <n v="0"/>
    <n v="0"/>
    <n v="0"/>
    <n v="0"/>
    <n v="0"/>
    <n v="1"/>
    <n v="0"/>
    <n v="0"/>
    <n v="0"/>
    <n v="0"/>
    <n v="0"/>
    <n v="0"/>
    <n v="0"/>
    <n v="0"/>
    <n v="0"/>
    <n v="0"/>
    <n v="0"/>
    <n v="0"/>
    <n v="0"/>
    <n v="0"/>
    <n v="0"/>
    <n v="0"/>
    <n v="0"/>
    <n v="0"/>
    <n v="0"/>
    <m/>
    <m/>
    <s v="Rest of Borough"/>
    <n v="13"/>
    <m/>
    <n v="1"/>
    <m/>
    <m/>
    <m/>
    <m/>
    <m/>
    <m/>
    <m/>
    <m/>
    <m/>
    <m/>
    <m/>
    <m/>
    <m/>
    <m/>
    <m/>
    <m/>
    <m/>
    <m/>
    <n v="1"/>
    <n v="1"/>
  </r>
  <r>
    <n v="7751"/>
    <x v="2"/>
    <s v="2021/5596"/>
    <s v="93 Tooting Bec Road"/>
    <s v=""/>
    <n v="528291"/>
    <n v="172218"/>
    <s v="South Balham"/>
    <d v="2023-03-31T00:00:00"/>
    <m/>
    <n v="1"/>
    <n v="3"/>
    <n v="2"/>
    <n v="3"/>
    <n v="2"/>
    <m/>
    <s v="Alterations including erection of mansard roof extension to main rear roof, formation of roof terrace above two-storey back addition with 1.7m high screen surround, and  single-storey rear/side extension, in connection with conversion of property into  1 x 3-bedroom, 1 x 2-bedroom and 1 x 1-bedroom flats."/>
    <s v="PF"/>
    <d v="2021-12-21T00:00:00"/>
    <d v="2022-02-15T00:00:00"/>
    <m/>
    <s v="Nil"/>
    <m/>
    <s v="BF"/>
    <s v="MIX"/>
    <x v="2"/>
    <x v="5"/>
    <n v="6.0000000000000001E-3"/>
    <d v="2023-03-31T00:00:00"/>
    <x v="1"/>
    <m/>
    <s v="Open Market"/>
    <s v="M"/>
    <s v=""/>
    <m/>
    <n v="0"/>
    <m/>
    <n v="0"/>
    <m/>
    <n v="0"/>
    <n v="1"/>
    <n v="1"/>
    <n v="1"/>
    <n v="0"/>
    <n v="-1"/>
    <n v="0"/>
    <n v="0"/>
    <n v="1"/>
    <n v="1"/>
    <n v="1"/>
    <n v="0"/>
    <n v="0"/>
    <n v="0"/>
    <n v="0"/>
    <n v="0"/>
    <n v="0"/>
    <n v="0"/>
    <n v="0"/>
    <n v="-1"/>
    <n v="0"/>
    <n v="0"/>
    <n v="0"/>
    <n v="0"/>
    <n v="0"/>
    <n v="0"/>
    <n v="0"/>
    <n v="0"/>
    <m/>
    <m/>
    <s v="Rest of Borough"/>
    <n v="14"/>
    <m/>
    <n v="1"/>
    <n v="1"/>
    <m/>
    <m/>
    <m/>
    <m/>
    <m/>
    <m/>
    <m/>
    <m/>
    <m/>
    <m/>
    <m/>
    <m/>
    <m/>
    <m/>
    <m/>
    <m/>
    <m/>
    <n v="2"/>
    <n v="2"/>
  </r>
  <r>
    <n v="7912"/>
    <x v="2"/>
    <s v="2022/4396"/>
    <s v="952 Garratt Lane"/>
    <s v=""/>
    <n v="527318"/>
    <n v="171548"/>
    <s v="Tooting Broadway"/>
    <d v="2023-03-31T00:00:00"/>
    <m/>
    <n v="1"/>
    <n v="3"/>
    <n v="2"/>
    <n v="3"/>
    <n v="2"/>
    <m/>
    <s v="Alterations including raising of ridge by 300mm, replacement rear mansard dormer and insertion of french doors and safety railings, erection of roof extension above two storey back addition with roof terrace (plus 1.7m high screening above) and erection of replacement single storey rear and side extension. Extensions and alterations in connection with conversion of property into three flats (1x3 bedroom, 1x2 bedroom and 1x1 bedroom flats). Provision of bin and cycle stores within front garden."/>
    <s v="PF"/>
    <d v="2022-10-21T00:00:00"/>
    <d v="2023-01-10T00:00:00"/>
    <s v="Y"/>
    <s v="Nil"/>
    <m/>
    <s v="BF"/>
    <s v="MIX"/>
    <x v="2"/>
    <x v="5"/>
    <n v="5.8333329999999996E-3"/>
    <d v="2023-03-31T00:00:00"/>
    <x v="1"/>
    <m/>
    <s v="Open Market"/>
    <s v="M"/>
    <s v=""/>
    <m/>
    <n v="0"/>
    <m/>
    <n v="0"/>
    <m/>
    <n v="0"/>
    <n v="1"/>
    <n v="1"/>
    <n v="1"/>
    <n v="0"/>
    <n v="-1"/>
    <n v="0"/>
    <n v="0"/>
    <n v="1"/>
    <n v="1"/>
    <n v="1"/>
    <n v="0"/>
    <n v="0"/>
    <n v="0"/>
    <n v="0"/>
    <n v="0"/>
    <n v="0"/>
    <n v="0"/>
    <n v="0"/>
    <n v="-1"/>
    <n v="0"/>
    <n v="0"/>
    <n v="0"/>
    <n v="0"/>
    <n v="0"/>
    <n v="0"/>
    <n v="0"/>
    <n v="0"/>
    <m/>
    <m/>
    <s v="Tooting"/>
    <n v="14"/>
    <m/>
    <n v="1"/>
    <n v="1"/>
    <m/>
    <m/>
    <m/>
    <m/>
    <m/>
    <m/>
    <m/>
    <m/>
    <m/>
    <m/>
    <m/>
    <m/>
    <m/>
    <m/>
    <m/>
    <m/>
    <m/>
    <n v="2"/>
    <n v="2"/>
  </r>
  <r>
    <n v="7730"/>
    <x v="2"/>
    <s v="2021/4534"/>
    <s v="99 Lacy Road (Guildford House)"/>
    <s v=""/>
    <n v="523735"/>
    <n v="175468"/>
    <s v="Thamesfield"/>
    <d v="2022-09-05T00:00:00"/>
    <m/>
    <n v="0"/>
    <n v="1"/>
    <n v="1"/>
    <n v="1"/>
    <n v="1"/>
    <m/>
    <s v="Formation of a new 2-bedroom dwelling at lower ground floor level."/>
    <s v="PF"/>
    <d v="2021-10-04T00:00:00"/>
    <d v="2022-02-23T00:00:00"/>
    <m/>
    <s v="Nil"/>
    <m/>
    <s v="BF"/>
    <s v="CON"/>
    <x v="2"/>
    <x v="3"/>
    <n v="6.0000000000000001E-3"/>
    <d v="2022-09-05T00:00:00"/>
    <x v="1"/>
    <m/>
    <s v="Open Market"/>
    <s v="M"/>
    <s v=""/>
    <m/>
    <n v="0"/>
    <m/>
    <n v="0"/>
    <m/>
    <n v="0"/>
    <n v="0"/>
    <n v="1"/>
    <n v="0"/>
    <n v="0"/>
    <n v="0"/>
    <n v="0"/>
    <n v="0"/>
    <n v="0"/>
    <n v="1"/>
    <n v="0"/>
    <n v="0"/>
    <n v="0"/>
    <n v="0"/>
    <n v="0"/>
    <n v="0"/>
    <n v="0"/>
    <n v="0"/>
    <n v="0"/>
    <n v="0"/>
    <n v="0"/>
    <n v="0"/>
    <n v="0"/>
    <n v="0"/>
    <n v="0"/>
    <n v="0"/>
    <n v="0"/>
    <n v="0"/>
    <m/>
    <m/>
    <s v="Rest of Borough"/>
    <n v="13"/>
    <m/>
    <n v="1"/>
    <m/>
    <m/>
    <m/>
    <m/>
    <m/>
    <m/>
    <m/>
    <m/>
    <m/>
    <m/>
    <m/>
    <m/>
    <m/>
    <m/>
    <m/>
    <m/>
    <m/>
    <m/>
    <n v="1"/>
    <n v="1"/>
  </r>
  <r>
    <n v="4762"/>
    <x v="2"/>
    <s v="2020/4967"/>
    <s v="and 182A, 182 Mitcham Road"/>
    <s v=""/>
    <n v="527890"/>
    <n v="170978"/>
    <s v="Tooting Broadway"/>
    <d v="2022-04-10T00:00:00"/>
    <m/>
    <n v="0"/>
    <n v="1"/>
    <n v="1"/>
    <n v="1"/>
    <n v="1"/>
    <m/>
    <s v="Alterations to existing single storey rear/side extension and replacement rear boundary treatment, in connection with the conversion of the rear part of the ground floor into one-bedroom studio flat."/>
    <s v="PF"/>
    <d v="2020-12-21T00:00:00"/>
    <d v="2021-09-14T00:00:00"/>
    <m/>
    <s v="Nil"/>
    <m/>
    <s v="BF"/>
    <s v="CON"/>
    <x v="2"/>
    <x v="6"/>
    <n v="4.4000000000000003E-3"/>
    <d v="2022-04-10T00:00:00"/>
    <x v="1"/>
    <m/>
    <s v="Open Market"/>
    <s v="M"/>
    <s v=""/>
    <m/>
    <n v="0"/>
    <m/>
    <n v="0"/>
    <m/>
    <n v="0"/>
    <n v="1"/>
    <n v="0"/>
    <n v="0"/>
    <n v="0"/>
    <n v="0"/>
    <n v="0"/>
    <n v="0"/>
    <n v="1"/>
    <n v="0"/>
    <n v="0"/>
    <n v="0"/>
    <n v="0"/>
    <n v="0"/>
    <n v="0"/>
    <n v="0"/>
    <n v="0"/>
    <n v="0"/>
    <n v="0"/>
    <n v="0"/>
    <n v="0"/>
    <n v="0"/>
    <n v="0"/>
    <n v="0"/>
    <n v="0"/>
    <n v="0"/>
    <n v="0"/>
    <n v="0"/>
    <m/>
    <m/>
    <s v="Tooting"/>
    <n v="13"/>
    <m/>
    <n v="1"/>
    <m/>
    <m/>
    <m/>
    <m/>
    <m/>
    <m/>
    <m/>
    <m/>
    <m/>
    <m/>
    <m/>
    <m/>
    <m/>
    <m/>
    <m/>
    <m/>
    <m/>
    <m/>
    <n v="1"/>
    <n v="1"/>
  </r>
  <r>
    <n v="6669"/>
    <x v="2"/>
    <s v="2018/4639"/>
    <s v="Car storage site rear of, 1 Kenlor Road"/>
    <s v=""/>
    <n v="527101"/>
    <n v="170989"/>
    <s v="Tooting Broadway"/>
    <d v="2022-01-18T00:00:00"/>
    <m/>
    <n v="0"/>
    <n v="1"/>
    <n v="1"/>
    <n v="1"/>
    <n v="1"/>
    <m/>
    <s v="Demolition of existing single storey building and the erection of a single-storey one bedroom detached house with associated cycle and refuse storage and landscaping."/>
    <s v="PF"/>
    <d v="2018-10-01T00:00:00"/>
    <d v="2018-11-26T00:00:00"/>
    <m/>
    <s v="Nil"/>
    <m/>
    <s v="BF"/>
    <s v="NB"/>
    <x v="2"/>
    <x v="1"/>
    <n v="7.0000000000000001E-3"/>
    <d v="2022-01-18T00:00:00"/>
    <x v="0"/>
    <m/>
    <s v="Open Market"/>
    <s v="M"/>
    <s v=""/>
    <m/>
    <n v="0"/>
    <m/>
    <n v="0"/>
    <m/>
    <n v="0"/>
    <n v="1"/>
    <n v="0"/>
    <n v="0"/>
    <n v="0"/>
    <n v="0"/>
    <n v="0"/>
    <n v="0"/>
    <n v="0"/>
    <n v="0"/>
    <n v="0"/>
    <n v="0"/>
    <n v="0"/>
    <n v="0"/>
    <n v="0"/>
    <n v="1"/>
    <n v="0"/>
    <n v="0"/>
    <n v="0"/>
    <n v="0"/>
    <n v="0"/>
    <n v="0"/>
    <n v="0"/>
    <n v="0"/>
    <n v="0"/>
    <n v="0"/>
    <n v="0"/>
    <n v="0"/>
    <m/>
    <m/>
    <s v="Tooting"/>
    <n v="3"/>
    <m/>
    <n v="1"/>
    <m/>
    <m/>
    <m/>
    <m/>
    <m/>
    <m/>
    <m/>
    <m/>
    <m/>
    <m/>
    <m/>
    <m/>
    <m/>
    <m/>
    <m/>
    <m/>
    <m/>
    <m/>
    <n v="1"/>
    <n v="1"/>
  </r>
  <r>
    <n v="2410"/>
    <x v="2"/>
    <s v="2022/4305"/>
    <s v="Coach House adjoining 83, Mallinson Road"/>
    <s v=""/>
    <n v="527525"/>
    <n v="174930"/>
    <s v="Northcote"/>
    <d v="2022-04-01T00:00:00"/>
    <m/>
    <n v="0"/>
    <n v="1"/>
    <n v="1"/>
    <n v="1"/>
    <n v="1"/>
    <m/>
    <s v="Erection of a detached house with basement and roof terraces to front, rear and above roof."/>
    <s v="PF"/>
    <d v="2022-10-20T00:00:00"/>
    <d v="2022-12-20T00:00:00"/>
    <s v="Y"/>
    <s v="Nil"/>
    <m/>
    <s v="BF"/>
    <s v="NB"/>
    <x v="2"/>
    <x v="1"/>
    <n v="0.01"/>
    <d v="2022-04-01T00:00:00"/>
    <x v="1"/>
    <m/>
    <s v="Open Market"/>
    <s v="M"/>
    <s v=""/>
    <m/>
    <n v="0"/>
    <m/>
    <n v="0"/>
    <m/>
    <n v="0"/>
    <n v="0"/>
    <n v="0"/>
    <n v="0"/>
    <n v="1"/>
    <n v="0"/>
    <n v="0"/>
    <n v="0"/>
    <n v="0"/>
    <n v="0"/>
    <n v="0"/>
    <n v="0"/>
    <n v="0"/>
    <n v="0"/>
    <n v="0"/>
    <n v="0"/>
    <n v="0"/>
    <n v="0"/>
    <n v="1"/>
    <n v="0"/>
    <n v="0"/>
    <n v="0"/>
    <n v="0"/>
    <n v="0"/>
    <n v="0"/>
    <n v="0"/>
    <n v="0"/>
    <n v="0"/>
    <s v="Clapham Junction"/>
    <m/>
    <s v="Clapham Junction Spatial Area Strategy"/>
    <n v="3"/>
    <m/>
    <n v="1"/>
    <m/>
    <m/>
    <m/>
    <m/>
    <m/>
    <m/>
    <m/>
    <m/>
    <m/>
    <m/>
    <m/>
    <m/>
    <m/>
    <m/>
    <m/>
    <m/>
    <m/>
    <m/>
    <n v="1"/>
    <n v="1"/>
  </r>
  <r>
    <n v="6167"/>
    <x v="2"/>
    <s v="2018/5658"/>
    <s v="Garages between 23 &amp; 25, Darley Road"/>
    <s v=""/>
    <n v="527551"/>
    <n v="174388"/>
    <s v="Northcote"/>
    <d v="2022-04-01T00:00:00"/>
    <m/>
    <n v="0"/>
    <n v="1"/>
    <n v="1"/>
    <n v="1"/>
    <n v="1"/>
    <m/>
    <s v="Demolition of existing garages and erection of two-storey(plus basement) 4-bedroom house with associated refuse and cycle storage."/>
    <s v="PF"/>
    <d v="2018-12-05T00:00:00"/>
    <d v="2019-05-02T00:00:00"/>
    <m/>
    <s v="Nil"/>
    <m/>
    <s v="BF"/>
    <s v="NB"/>
    <x v="2"/>
    <x v="1"/>
    <n v="1.7999999999999999E-2"/>
    <d v="2022-04-01T00:00:00"/>
    <x v="1"/>
    <m/>
    <s v="Open Market"/>
    <s v="M"/>
    <s v=""/>
    <m/>
    <n v="0"/>
    <m/>
    <n v="0"/>
    <m/>
    <n v="0"/>
    <n v="0"/>
    <n v="0"/>
    <n v="0"/>
    <n v="1"/>
    <n v="0"/>
    <n v="0"/>
    <n v="0"/>
    <n v="0"/>
    <n v="0"/>
    <n v="0"/>
    <n v="0"/>
    <n v="0"/>
    <n v="0"/>
    <n v="0"/>
    <n v="0"/>
    <n v="0"/>
    <n v="0"/>
    <n v="1"/>
    <n v="0"/>
    <n v="0"/>
    <n v="0"/>
    <n v="0"/>
    <n v="0"/>
    <n v="0"/>
    <n v="0"/>
    <n v="0"/>
    <n v="0"/>
    <m/>
    <m/>
    <s v="Rest of Borough"/>
    <n v="3"/>
    <m/>
    <n v="1"/>
    <m/>
    <m/>
    <m/>
    <m/>
    <m/>
    <m/>
    <m/>
    <m/>
    <m/>
    <m/>
    <m/>
    <m/>
    <m/>
    <m/>
    <m/>
    <m/>
    <m/>
    <m/>
    <n v="1"/>
    <n v="1"/>
  </r>
  <r>
    <n v="6660"/>
    <x v="2"/>
    <s v="2019/0762"/>
    <s v="garages north of 8, 8 Buckmaster Road"/>
    <s v=""/>
    <n v="527260"/>
    <n v="175041"/>
    <s v="Lavender"/>
    <d v="2022-04-01T00:00:00"/>
    <m/>
    <n v="0"/>
    <n v="1"/>
    <n v="1"/>
    <n v="1"/>
    <n v="1"/>
    <m/>
    <s v="Demolition of existing single-storey vehicle garages and the erection of a two-storey plus basement 2 x bedroom dwellinghouse (Class C3)."/>
    <s v="PF"/>
    <d v="2019-03-19T00:00:00"/>
    <d v="2019-05-24T00:00:00"/>
    <m/>
    <s v="Nil"/>
    <m/>
    <s v="BF"/>
    <s v="NB"/>
    <x v="2"/>
    <x v="1"/>
    <n v="7.0000000000000001E-3"/>
    <d v="2022-04-01T00:00:00"/>
    <x v="1"/>
    <m/>
    <s v="Open Market"/>
    <s v="M"/>
    <s v=""/>
    <m/>
    <n v="0"/>
    <m/>
    <n v="0"/>
    <m/>
    <n v="0"/>
    <n v="0"/>
    <n v="1"/>
    <n v="0"/>
    <n v="0"/>
    <n v="0"/>
    <n v="0"/>
    <n v="0"/>
    <n v="0"/>
    <n v="0"/>
    <n v="0"/>
    <n v="0"/>
    <n v="0"/>
    <n v="0"/>
    <n v="0"/>
    <n v="0"/>
    <n v="1"/>
    <n v="0"/>
    <n v="0"/>
    <n v="0"/>
    <n v="0"/>
    <n v="0"/>
    <n v="0"/>
    <n v="0"/>
    <n v="0"/>
    <n v="0"/>
    <n v="0"/>
    <n v="0"/>
    <m/>
    <m/>
    <s v="Clapham Junction Spatial Area Strategy"/>
    <n v="3"/>
    <m/>
    <n v="1"/>
    <m/>
    <m/>
    <m/>
    <m/>
    <m/>
    <m/>
    <m/>
    <m/>
    <m/>
    <m/>
    <m/>
    <m/>
    <m/>
    <m/>
    <m/>
    <m/>
    <m/>
    <m/>
    <n v="1"/>
    <n v="1"/>
  </r>
  <r>
    <n v="2708"/>
    <x v="2"/>
    <s v="2021/3346"/>
    <s v="Garages rear of 194, Bedford Hill"/>
    <s v=""/>
    <n v="528946"/>
    <n v="172480"/>
    <s v="South Balham"/>
    <d v="2020-09-01T00:00:00"/>
    <m/>
    <n v="0"/>
    <n v="1"/>
    <n v="1"/>
    <n v="1"/>
    <n v="1"/>
    <m/>
    <s v="Demolition of existing garages and erection of single storey (plus twostorey basement) 2-bedroom house including alterations to boundary_x000a_walls"/>
    <s v="PF"/>
    <d v="2021-07-21T00:00:00"/>
    <d v="2021-11-12T00:00:00"/>
    <m/>
    <s v="Nil"/>
    <m/>
    <s v="BF"/>
    <s v="NB"/>
    <x v="2"/>
    <x v="1"/>
    <n v="4.73333E-3"/>
    <d v="2020-09-01T00:00:00"/>
    <x v="0"/>
    <m/>
    <s v="Open Market"/>
    <s v="M"/>
    <s v=""/>
    <m/>
    <n v="0"/>
    <m/>
    <n v="0"/>
    <m/>
    <n v="0"/>
    <n v="0"/>
    <n v="1"/>
    <n v="0"/>
    <n v="0"/>
    <n v="0"/>
    <n v="0"/>
    <n v="0"/>
    <n v="0"/>
    <n v="0"/>
    <n v="0"/>
    <n v="0"/>
    <n v="0"/>
    <n v="0"/>
    <n v="0"/>
    <n v="0"/>
    <n v="1"/>
    <n v="0"/>
    <n v="0"/>
    <n v="0"/>
    <n v="0"/>
    <n v="0"/>
    <n v="0"/>
    <n v="0"/>
    <n v="0"/>
    <n v="0"/>
    <n v="0"/>
    <n v="0"/>
    <m/>
    <m/>
    <s v="Rest of Borough"/>
    <n v="3"/>
    <m/>
    <n v="1"/>
    <m/>
    <m/>
    <m/>
    <m/>
    <m/>
    <m/>
    <m/>
    <m/>
    <m/>
    <m/>
    <m/>
    <m/>
    <m/>
    <m/>
    <m/>
    <m/>
    <m/>
    <m/>
    <n v="1"/>
    <n v="1"/>
  </r>
  <r>
    <n v="5376"/>
    <x v="2"/>
    <s v="2017/2024"/>
    <s v="land adjacent to 72, 72A Bedford Hill"/>
    <s v=""/>
    <n v="528703"/>
    <n v="173099"/>
    <s v="South Balham"/>
    <d v="2017-11-06T00:00:00"/>
    <m/>
    <n v="0"/>
    <n v="1"/>
    <n v="1"/>
    <n v="2"/>
    <n v="2"/>
    <m/>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m/>
    <s v="Nil"/>
    <m/>
    <s v="BF"/>
    <s v="EXT"/>
    <x v="2"/>
    <x v="2"/>
    <n v="4.0000000000000001E-3"/>
    <d v="2017-11-06T00:00:00"/>
    <x v="0"/>
    <m/>
    <s v="Open Market"/>
    <s v="M"/>
    <s v=""/>
    <m/>
    <n v="0"/>
    <m/>
    <n v="0"/>
    <m/>
    <n v="1"/>
    <n v="0"/>
    <n v="0"/>
    <n v="0"/>
    <n v="0"/>
    <n v="0"/>
    <n v="0"/>
    <n v="1"/>
    <n v="0"/>
    <n v="0"/>
    <n v="0"/>
    <n v="0"/>
    <n v="0"/>
    <n v="0"/>
    <n v="0"/>
    <n v="0"/>
    <n v="0"/>
    <n v="0"/>
    <n v="0"/>
    <n v="0"/>
    <n v="0"/>
    <n v="0"/>
    <n v="0"/>
    <n v="0"/>
    <n v="0"/>
    <n v="0"/>
    <n v="0"/>
    <n v="0"/>
    <m/>
    <m/>
    <s v="Balham"/>
    <n v="13"/>
    <m/>
    <n v="1"/>
    <m/>
    <m/>
    <m/>
    <m/>
    <m/>
    <m/>
    <m/>
    <m/>
    <m/>
    <m/>
    <m/>
    <m/>
    <m/>
    <m/>
    <m/>
    <m/>
    <m/>
    <m/>
    <n v="1"/>
    <n v="1"/>
  </r>
  <r>
    <n v="5376"/>
    <x v="2"/>
    <s v="2017/2024"/>
    <s v="land adjacent to 72, 72A Bedford Hill"/>
    <s v=""/>
    <n v="528703"/>
    <n v="173099"/>
    <s v="South Balham"/>
    <d v="2017-11-06T00:00:00"/>
    <m/>
    <n v="0"/>
    <n v="1"/>
    <n v="1"/>
    <n v="2"/>
    <n v="2"/>
    <m/>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m/>
    <s v="Nil"/>
    <m/>
    <s v="BF"/>
    <s v="EXT"/>
    <x v="2"/>
    <x v="1"/>
    <n v="6.0000000000000001E-3"/>
    <d v="2017-11-06T00:00:00"/>
    <x v="0"/>
    <m/>
    <s v="Open Market"/>
    <s v="M"/>
    <s v=""/>
    <m/>
    <n v="0"/>
    <m/>
    <n v="0"/>
    <m/>
    <n v="0"/>
    <n v="0"/>
    <n v="1"/>
    <n v="0"/>
    <n v="0"/>
    <n v="0"/>
    <n v="0"/>
    <n v="0"/>
    <n v="0"/>
    <n v="1"/>
    <n v="0"/>
    <n v="0"/>
    <n v="0"/>
    <n v="0"/>
    <n v="0"/>
    <n v="0"/>
    <n v="0"/>
    <n v="0"/>
    <n v="0"/>
    <n v="0"/>
    <n v="0"/>
    <n v="0"/>
    <n v="0"/>
    <n v="0"/>
    <n v="0"/>
    <n v="0"/>
    <n v="0"/>
    <n v="0"/>
    <m/>
    <m/>
    <s v="Balham"/>
    <n v="13"/>
    <m/>
    <n v="1"/>
    <m/>
    <m/>
    <m/>
    <m/>
    <m/>
    <m/>
    <m/>
    <m/>
    <m/>
    <m/>
    <m/>
    <m/>
    <m/>
    <m/>
    <m/>
    <m/>
    <m/>
    <m/>
    <n v="1"/>
    <n v="1"/>
  </r>
  <r>
    <n v="6196"/>
    <x v="2"/>
    <s v="2018/0917"/>
    <s v="Land adjacent, 80 Manville Road"/>
    <s v=""/>
    <n v="528701"/>
    <n v="172342"/>
    <s v="South Balham"/>
    <d v="2021-04-01T00:00:00"/>
    <m/>
    <n v="0"/>
    <n v="1"/>
    <n v="1"/>
    <n v="1"/>
    <n v="1"/>
    <m/>
    <s v="Demolition of existing garage and erection of part single, part two-storey (plus basement) 3-bedroom detached house with associated landscaping, boundary treatment, cycle, refuse storage and car parking."/>
    <s v="PF"/>
    <d v="2018-03-06T00:00:00"/>
    <d v="2018-05-30T00:00:00"/>
    <m/>
    <s v="Nil"/>
    <m/>
    <s v="BF"/>
    <s v="NB"/>
    <x v="2"/>
    <x v="1"/>
    <n v="8.9999999999999993E-3"/>
    <d v="2021-04-01T00:00:00"/>
    <x v="0"/>
    <m/>
    <s v="Open Market"/>
    <s v="M"/>
    <s v=""/>
    <m/>
    <n v="0"/>
    <m/>
    <n v="0"/>
    <m/>
    <n v="0"/>
    <n v="0"/>
    <n v="0"/>
    <n v="1"/>
    <n v="0"/>
    <n v="0"/>
    <n v="0"/>
    <n v="0"/>
    <n v="0"/>
    <n v="0"/>
    <n v="0"/>
    <n v="0"/>
    <n v="0"/>
    <n v="0"/>
    <n v="0"/>
    <n v="0"/>
    <n v="0"/>
    <n v="1"/>
    <n v="0"/>
    <n v="0"/>
    <n v="0"/>
    <n v="0"/>
    <n v="0"/>
    <n v="0"/>
    <n v="0"/>
    <n v="0"/>
    <n v="0"/>
    <n v="0"/>
    <m/>
    <m/>
    <s v="Rest of Borough"/>
    <n v="3"/>
    <m/>
    <n v="1"/>
    <m/>
    <m/>
    <m/>
    <m/>
    <m/>
    <m/>
    <m/>
    <m/>
    <m/>
    <m/>
    <m/>
    <m/>
    <m/>
    <m/>
    <m/>
    <m/>
    <m/>
    <m/>
    <n v="1"/>
    <n v="1"/>
  </r>
  <r>
    <n v="5775"/>
    <x v="2"/>
    <s v="2014/6325"/>
    <s v="Land rear of, 13 Thurleigh Road"/>
    <s v=""/>
    <n v="527719"/>
    <n v="174043"/>
    <s v="Northcote"/>
    <d v="2017-07-05T00:00:00"/>
    <m/>
    <n v="0"/>
    <n v="1"/>
    <n v="1"/>
    <n v="1"/>
    <n v="1"/>
    <m/>
    <s v="Demolition of existing garages, erection of a single-storey plus basement attached self-contained dwelling fronting Blenkame Road with boundary treatment and associated landscaping."/>
    <s v="PF"/>
    <d v="2014-11-06T00:00:00"/>
    <d v="2015-02-27T00:00:00"/>
    <m/>
    <s v="Nil"/>
    <m/>
    <s v="BF"/>
    <s v="NB"/>
    <x v="2"/>
    <x v="1"/>
    <n v="8.9999999999999993E-3"/>
    <d v="2017-07-05T00:00:00"/>
    <x v="0"/>
    <m/>
    <s v="Open Market"/>
    <s v="M"/>
    <s v=""/>
    <m/>
    <n v="0"/>
    <m/>
    <n v="0"/>
    <m/>
    <n v="0"/>
    <n v="0"/>
    <n v="1"/>
    <n v="0"/>
    <n v="0"/>
    <n v="0"/>
    <n v="0"/>
    <n v="0"/>
    <n v="0"/>
    <n v="0"/>
    <n v="0"/>
    <n v="0"/>
    <n v="0"/>
    <n v="0"/>
    <n v="0"/>
    <n v="0"/>
    <n v="1"/>
    <n v="0"/>
    <n v="0"/>
    <n v="0"/>
    <n v="0"/>
    <n v="0"/>
    <n v="0"/>
    <n v="0"/>
    <n v="0"/>
    <n v="0"/>
    <n v="0"/>
    <n v="0"/>
    <m/>
    <m/>
    <s v="Rest of Borough"/>
    <n v="3"/>
    <m/>
    <n v="1"/>
    <m/>
    <m/>
    <m/>
    <m/>
    <m/>
    <m/>
    <m/>
    <m/>
    <m/>
    <m/>
    <m/>
    <m/>
    <m/>
    <m/>
    <m/>
    <m/>
    <m/>
    <m/>
    <n v="1"/>
    <n v="1"/>
  </r>
  <r>
    <n v="5398"/>
    <x v="2"/>
    <s v="2022/1057"/>
    <s v="Land rear of, 143 St Johns Hill"/>
    <s v=""/>
    <n v="526797"/>
    <n v="175059"/>
    <s v="Wandsworth Town"/>
    <d v="2023-02-01T00:00:00"/>
    <m/>
    <n v="0"/>
    <n v="2"/>
    <n v="2"/>
    <n v="2"/>
    <n v="2"/>
    <m/>
    <s v="Erection of two-storey building to provide one  x 2-bedroom and one x 1-bedroom flats with associated refuse and cycle storage."/>
    <s v="PF"/>
    <d v="2022-03-23T00:00:00"/>
    <d v="2022-05-27T00:00:00"/>
    <s v="Y"/>
    <s v="Nil"/>
    <m/>
    <s v="BF"/>
    <s v="NB"/>
    <x v="2"/>
    <x v="1"/>
    <n v="6.0000000000000001E-3"/>
    <d v="2023-02-01T00:00:00"/>
    <x v="1"/>
    <m/>
    <s v="Open Market"/>
    <s v="M"/>
    <s v=""/>
    <m/>
    <n v="0"/>
    <m/>
    <n v="0"/>
    <m/>
    <n v="0"/>
    <n v="1"/>
    <n v="1"/>
    <n v="0"/>
    <n v="0"/>
    <n v="0"/>
    <n v="0"/>
    <n v="0"/>
    <n v="1"/>
    <n v="1"/>
    <n v="0"/>
    <n v="0"/>
    <n v="0"/>
    <n v="0"/>
    <n v="0"/>
    <n v="0"/>
    <n v="0"/>
    <n v="0"/>
    <n v="0"/>
    <n v="0"/>
    <n v="0"/>
    <n v="0"/>
    <n v="0"/>
    <n v="0"/>
    <n v="0"/>
    <n v="0"/>
    <n v="0"/>
    <n v="0"/>
    <m/>
    <m/>
    <s v="Rest of Borough"/>
    <n v="4"/>
    <m/>
    <n v="1"/>
    <n v="1"/>
    <m/>
    <m/>
    <m/>
    <m/>
    <m/>
    <m/>
    <m/>
    <m/>
    <m/>
    <m/>
    <m/>
    <m/>
    <m/>
    <m/>
    <m/>
    <m/>
    <m/>
    <n v="2"/>
    <n v="2"/>
  </r>
  <r>
    <n v="6854"/>
    <x v="2"/>
    <s v="2021/3247"/>
    <s v="Stroud Crescent (Open space adjacent to 178-204)"/>
    <s v=""/>
    <n v="522206"/>
    <n v="172346"/>
    <s v="Roehampton"/>
    <d v="2022-12-09T00:00:00"/>
    <m/>
    <n v="0"/>
    <n v="14"/>
    <n v="14"/>
    <n v="14"/>
    <n v="14"/>
    <s v="Y"/>
    <s v="Erection of three/four storey building to provide 14 x flats (4 x 1-bedroom, 6 x 2-bedroom and 4 x 3-bedroom) each with a balcony with metal rails and with associated landscaping, 6 parking spaces, 2 of which are disability spaces, erection of new refuse and cycle storage."/>
    <s v="PFLA"/>
    <d v="2021-07-13T00:00:00"/>
    <d v="2022-03-16T00:00:00"/>
    <m/>
    <s v="Nil"/>
    <m/>
    <s v="BF"/>
    <s v="NB"/>
    <x v="0"/>
    <x v="0"/>
    <n v="2.5000000000000001E-2"/>
    <d v="2022-12-09T00:00:00"/>
    <x v="1"/>
    <m/>
    <s v="Social/Affordable Rent"/>
    <s v="AA"/>
    <s v=""/>
    <m/>
    <n v="0"/>
    <m/>
    <n v="0"/>
    <n v="2"/>
    <n v="0"/>
    <n v="4"/>
    <n v="6"/>
    <n v="4"/>
    <n v="0"/>
    <n v="0"/>
    <n v="0"/>
    <n v="0"/>
    <n v="4"/>
    <n v="6"/>
    <n v="4"/>
    <n v="0"/>
    <n v="0"/>
    <n v="0"/>
    <n v="0"/>
    <n v="0"/>
    <n v="0"/>
    <n v="0"/>
    <n v="0"/>
    <n v="0"/>
    <n v="0"/>
    <n v="0"/>
    <n v="0"/>
    <n v="0"/>
    <n v="0"/>
    <n v="0"/>
    <n v="0"/>
    <n v="0"/>
    <m/>
    <m/>
    <s v="Rest of Borough"/>
    <n v="2"/>
    <m/>
    <m/>
    <m/>
    <n v="14"/>
    <m/>
    <m/>
    <m/>
    <m/>
    <m/>
    <m/>
    <m/>
    <m/>
    <m/>
    <m/>
    <m/>
    <m/>
    <m/>
    <m/>
    <m/>
    <m/>
    <n v="14"/>
    <n v="14"/>
  </r>
  <r>
    <n v="7066"/>
    <x v="2"/>
    <s v="2018/5918"/>
    <s v="Rear of, 631 Garratt Lane"/>
    <s v=""/>
    <n v="526155"/>
    <n v="172567"/>
    <s v="Wandsworth Common"/>
    <d v="2022-05-05T00:00:00"/>
    <m/>
    <n v="0"/>
    <n v="1"/>
    <n v="1"/>
    <n v="1"/>
    <n v="1"/>
    <m/>
    <s v="Erection of two storey 1-bedroom house with first floor terraces with 1.7m high screen and access from Quinton Street."/>
    <s v="PF"/>
    <d v="2018-12-14T00:00:00"/>
    <d v="2019-05-22T00:00:00"/>
    <m/>
    <s v="Nil"/>
    <m/>
    <s v="BF"/>
    <s v="NB"/>
    <x v="2"/>
    <x v="1"/>
    <n v="8.0000000000000002E-3"/>
    <d v="2022-05-05T00:00:00"/>
    <x v="1"/>
    <m/>
    <s v="Open Market"/>
    <s v="M"/>
    <s v=""/>
    <m/>
    <n v="0"/>
    <n v="1"/>
    <n v="0"/>
    <m/>
    <n v="0"/>
    <n v="1"/>
    <n v="0"/>
    <n v="0"/>
    <n v="0"/>
    <n v="0"/>
    <n v="0"/>
    <n v="0"/>
    <n v="0"/>
    <n v="0"/>
    <n v="0"/>
    <n v="0"/>
    <n v="0"/>
    <n v="0"/>
    <n v="0"/>
    <n v="1"/>
    <n v="0"/>
    <n v="0"/>
    <n v="0"/>
    <n v="0"/>
    <n v="0"/>
    <n v="0"/>
    <n v="0"/>
    <n v="0"/>
    <n v="0"/>
    <n v="0"/>
    <n v="0"/>
    <n v="0"/>
    <m/>
    <m/>
    <s v="The Wandle Valley"/>
    <n v="3"/>
    <m/>
    <n v="1"/>
    <m/>
    <m/>
    <m/>
    <m/>
    <m/>
    <m/>
    <m/>
    <m/>
    <m/>
    <m/>
    <m/>
    <m/>
    <m/>
    <m/>
    <m/>
    <m/>
    <m/>
    <m/>
    <n v="1"/>
    <n v="1"/>
  </r>
  <r>
    <n v="6704"/>
    <x v="2"/>
    <s v="2019/0435"/>
    <s v="Ross Court, 81 Putney Hill"/>
    <s v=""/>
    <n v="523738"/>
    <n v="173863"/>
    <s v="East Putney"/>
    <d v="2021-06-16T00:00:00"/>
    <m/>
    <n v="0"/>
    <n v="1"/>
    <n v="1"/>
    <n v="1"/>
    <n v="1"/>
    <m/>
    <s v="Determination as to whether prior approval is required for change of use from storage (Class B8) to residential (Class C3) to provide 1 x 1-bed flat."/>
    <s v="PAG"/>
    <d v="2019-02-06T00:00:00"/>
    <d v="2019-03-29T00:00:00"/>
    <m/>
    <s v="Nil"/>
    <m/>
    <s v="BF"/>
    <s v="COU"/>
    <x v="2"/>
    <x v="3"/>
    <n v="8.9999999999999993E-3"/>
    <d v="2021-06-16T00:00:00"/>
    <x v="0"/>
    <m/>
    <s v="Open Market"/>
    <s v="M"/>
    <s v=""/>
    <m/>
    <n v="0"/>
    <m/>
    <n v="0"/>
    <m/>
    <n v="0"/>
    <n v="1"/>
    <n v="0"/>
    <n v="0"/>
    <n v="0"/>
    <n v="0"/>
    <n v="0"/>
    <n v="0"/>
    <n v="1"/>
    <n v="0"/>
    <n v="0"/>
    <n v="0"/>
    <n v="0"/>
    <n v="0"/>
    <n v="0"/>
    <n v="0"/>
    <n v="0"/>
    <n v="0"/>
    <n v="0"/>
    <n v="0"/>
    <n v="0"/>
    <n v="0"/>
    <n v="0"/>
    <n v="0"/>
    <n v="0"/>
    <n v="0"/>
    <n v="0"/>
    <n v="0"/>
    <m/>
    <m/>
    <s v="Rest of Borough"/>
    <n v="13"/>
    <m/>
    <n v="1"/>
    <m/>
    <m/>
    <m/>
    <m/>
    <m/>
    <m/>
    <m/>
    <m/>
    <m/>
    <m/>
    <m/>
    <m/>
    <m/>
    <m/>
    <m/>
    <m/>
    <m/>
    <m/>
    <n v="1"/>
    <n v="1"/>
  </r>
  <r>
    <n v="2784"/>
    <x v="2"/>
    <s v="2020/0184"/>
    <s v="Sterling House, Burston Road (Former garage site)"/>
    <s v=""/>
    <n v="523820"/>
    <n v="175047"/>
    <s v="West Putney"/>
    <d v="2022-04-01T00:00:00"/>
    <m/>
    <n v="0"/>
    <n v="1"/>
    <n v="1"/>
    <n v="1"/>
    <n v="1"/>
    <m/>
    <s v="Erection of roof extension to provide an additional floor of accommodation to accomodate 1x3 bedroom flat."/>
    <s v="PF"/>
    <d v="2020-01-29T00:00:00"/>
    <d v="2020-05-27T00:00:00"/>
    <m/>
    <s v="Nil"/>
    <m/>
    <s v="BF"/>
    <s v="EXT"/>
    <x v="2"/>
    <x v="2"/>
    <n v="6.0000000000000001E-3"/>
    <d v="2022-04-01T00:00:00"/>
    <x v="1"/>
    <m/>
    <s v="Open Market"/>
    <s v="M"/>
    <s v=""/>
    <m/>
    <n v="0"/>
    <m/>
    <n v="0"/>
    <m/>
    <n v="0"/>
    <n v="0"/>
    <n v="0"/>
    <n v="1"/>
    <n v="0"/>
    <n v="0"/>
    <n v="0"/>
    <n v="0"/>
    <n v="0"/>
    <n v="0"/>
    <n v="1"/>
    <n v="0"/>
    <n v="0"/>
    <n v="0"/>
    <n v="0"/>
    <n v="0"/>
    <n v="0"/>
    <n v="0"/>
    <n v="0"/>
    <n v="0"/>
    <n v="0"/>
    <n v="0"/>
    <n v="0"/>
    <n v="0"/>
    <n v="0"/>
    <n v="0"/>
    <n v="0"/>
    <n v="0"/>
    <m/>
    <m/>
    <s v="Putney Town Centre"/>
    <n v="13"/>
    <m/>
    <n v="1"/>
    <m/>
    <m/>
    <m/>
    <m/>
    <m/>
    <m/>
    <m/>
    <m/>
    <m/>
    <m/>
    <m/>
    <m/>
    <m/>
    <m/>
    <m/>
    <m/>
    <m/>
    <m/>
    <n v="1"/>
    <n v="1"/>
  </r>
  <r>
    <n v="7362"/>
    <x v="2"/>
    <s v="2020/0797"/>
    <s v="The Studio, 1c Moring Road"/>
    <s v=""/>
    <n v="528273"/>
    <n v="171722"/>
    <s v="Tooting Bec"/>
    <d v="2022-04-01T00:00:00"/>
    <m/>
    <n v="0"/>
    <n v="1"/>
    <n v="1"/>
    <n v="1"/>
    <n v="1"/>
    <m/>
    <s v="Alterations in connection with change of use from office (Class B1) to residential (Class C3) to provide studio flat with associated refuse storage."/>
    <s v="PF"/>
    <d v="2020-03-02T00:00:00"/>
    <d v="2020-04-27T00:00:00"/>
    <m/>
    <s v="Nil"/>
    <m/>
    <s v="BF"/>
    <s v="COU"/>
    <x v="2"/>
    <x v="6"/>
    <n v="5.0000000000000001E-3"/>
    <d v="2022-04-01T00:00:00"/>
    <x v="1"/>
    <m/>
    <s v="Open Market"/>
    <s v="M"/>
    <s v=""/>
    <m/>
    <n v="0"/>
    <m/>
    <n v="0"/>
    <m/>
    <n v="1"/>
    <n v="0"/>
    <n v="0"/>
    <n v="0"/>
    <n v="0"/>
    <n v="0"/>
    <n v="0"/>
    <n v="1"/>
    <n v="0"/>
    <n v="0"/>
    <n v="0"/>
    <n v="0"/>
    <n v="0"/>
    <n v="0"/>
    <n v="0"/>
    <n v="0"/>
    <n v="0"/>
    <n v="0"/>
    <n v="0"/>
    <n v="0"/>
    <n v="0"/>
    <n v="0"/>
    <n v="0"/>
    <n v="0"/>
    <n v="0"/>
    <n v="0"/>
    <n v="0"/>
    <n v="0"/>
    <m/>
    <m/>
    <s v="Rest of Borough"/>
    <n v="13"/>
    <m/>
    <n v="1"/>
    <m/>
    <m/>
    <m/>
    <m/>
    <m/>
    <m/>
    <m/>
    <m/>
    <m/>
    <m/>
    <m/>
    <m/>
    <m/>
    <m/>
    <m/>
    <m/>
    <m/>
    <m/>
    <n v="1"/>
    <n v="1"/>
  </r>
  <r>
    <n v="6815"/>
    <x v="2"/>
    <s v="2018/0585"/>
    <s v="The Surgery, Claudia Place"/>
    <s v=""/>
    <n v="524144"/>
    <n v="173132"/>
    <s v="West Hill"/>
    <d v="2020-03-25T00:00:00"/>
    <m/>
    <n v="0"/>
    <n v="1"/>
    <n v="1"/>
    <n v="1"/>
    <n v="1"/>
    <m/>
    <s v="Demolition of existing building and erection of a part-single, part four-storey 3-bedroomed dwellinghouse including roof terrace, with one off-street parking space."/>
    <s v="PF"/>
    <d v="2018-02-15T00:00:00"/>
    <d v="2018-07-23T00:00:00"/>
    <m/>
    <s v="Nil"/>
    <m/>
    <s v="BF"/>
    <s v="NB"/>
    <x v="2"/>
    <x v="1"/>
    <n v="7.0000000000000001E-3"/>
    <d v="2020-03-25T00:00:00"/>
    <x v="0"/>
    <m/>
    <s v="Open Market"/>
    <s v="M"/>
    <s v=""/>
    <m/>
    <n v="0"/>
    <m/>
    <n v="0"/>
    <m/>
    <n v="0"/>
    <n v="0"/>
    <n v="0"/>
    <n v="1"/>
    <n v="0"/>
    <n v="0"/>
    <n v="0"/>
    <n v="0"/>
    <n v="0"/>
    <n v="0"/>
    <n v="0"/>
    <n v="0"/>
    <n v="0"/>
    <n v="0"/>
    <n v="0"/>
    <n v="0"/>
    <n v="0"/>
    <n v="1"/>
    <n v="0"/>
    <n v="0"/>
    <n v="0"/>
    <n v="0"/>
    <n v="0"/>
    <n v="0"/>
    <n v="0"/>
    <n v="0"/>
    <n v="0"/>
    <n v="0"/>
    <m/>
    <m/>
    <s v="Rest of Borough"/>
    <n v="3"/>
    <m/>
    <n v="1"/>
    <m/>
    <m/>
    <m/>
    <m/>
    <m/>
    <m/>
    <m/>
    <m/>
    <m/>
    <m/>
    <m/>
    <m/>
    <m/>
    <m/>
    <m/>
    <m/>
    <m/>
    <m/>
    <n v="1"/>
    <n v="1"/>
  </r>
  <r>
    <n v="5029"/>
    <x v="2"/>
    <s v="2021/1399"/>
    <s v="272-274 Battersea Park road"/>
    <s v=""/>
    <n v="527404"/>
    <n v="176366"/>
    <s v="St Mary's"/>
    <d v="2023-02-01T00:00:00"/>
    <m/>
    <n v="0"/>
    <n v="1"/>
    <n v="1"/>
    <n v="1"/>
    <n v="1"/>
    <m/>
    <s v="Alterations including erection of dormer roof extension to the rear and creation of roof terrace at third floor level with 1.7m glazed safety screen surround in connection with formation of new 1 x 2-bedroom flat; and insertion of rooflights into the front roofslope."/>
    <s v="PF"/>
    <d v="2021-03-24T00:00:00"/>
    <d v="2021-05-17T00:00:00"/>
    <m/>
    <s v="Nil"/>
    <m/>
    <s v="BF"/>
    <s v="MIX"/>
    <x v="2"/>
    <x v="2"/>
    <n v="7.0000000000000001E-3"/>
    <d v="2023-02-01T00:00:00"/>
    <x v="1"/>
    <m/>
    <s v="Open Market"/>
    <s v="M"/>
    <s v=""/>
    <m/>
    <n v="0"/>
    <m/>
    <n v="0"/>
    <m/>
    <n v="0"/>
    <n v="0"/>
    <n v="1"/>
    <n v="0"/>
    <n v="0"/>
    <n v="0"/>
    <n v="0"/>
    <n v="0"/>
    <n v="0"/>
    <n v="1"/>
    <n v="0"/>
    <n v="0"/>
    <n v="0"/>
    <n v="0"/>
    <n v="0"/>
    <n v="0"/>
    <n v="0"/>
    <n v="0"/>
    <n v="0"/>
    <n v="0"/>
    <n v="0"/>
    <n v="0"/>
    <n v="0"/>
    <n v="0"/>
    <n v="0"/>
    <n v="0"/>
    <n v="0"/>
    <n v="0"/>
    <m/>
    <m/>
    <s v="Rest of Borough"/>
    <n v="14"/>
    <m/>
    <n v="0.5"/>
    <n v="0.5"/>
    <m/>
    <m/>
    <m/>
    <m/>
    <m/>
    <m/>
    <m/>
    <m/>
    <m/>
    <m/>
    <m/>
    <m/>
    <m/>
    <m/>
    <m/>
    <m/>
    <m/>
    <n v="1"/>
    <n v="1"/>
  </r>
  <r>
    <n v="4396"/>
    <x v="2"/>
    <s v="2021/4566"/>
    <s v="314 Garratt Lane"/>
    <s v=""/>
    <n v="525854"/>
    <n v="173217"/>
    <s v="Wandle"/>
    <d v="2022-12-08T00:00:00"/>
    <m/>
    <n v="1"/>
    <n v="2"/>
    <n v="1"/>
    <n v="2"/>
    <n v="1"/>
    <m/>
    <s v="Alterations including erection of a roof extension to main rear roof, raising the main roof ridge height by 300mm, and extension above part of the two-storey back addition, in connection with conversion from 1 x 3-bed flat to 2 x 1-bed flats with associated refuse and cycle storage. (Amended drawings received.)"/>
    <s v="PF"/>
    <d v="2021-11-08T00:00:00"/>
    <d v="2022-03-04T00:00:00"/>
    <m/>
    <s v="Nil"/>
    <m/>
    <s v="BF"/>
    <s v="MIX"/>
    <x v="2"/>
    <x v="2"/>
    <n v="3.0000000000000001E-3"/>
    <d v="2022-12-08T00:00:00"/>
    <x v="1"/>
    <m/>
    <s v="Open Market"/>
    <s v="M"/>
    <s v=""/>
    <m/>
    <n v="0"/>
    <m/>
    <n v="0"/>
    <m/>
    <n v="0"/>
    <n v="2"/>
    <n v="0"/>
    <n v="-1"/>
    <n v="0"/>
    <n v="0"/>
    <n v="0"/>
    <n v="0"/>
    <n v="2"/>
    <n v="0"/>
    <n v="-1"/>
    <n v="0"/>
    <n v="0"/>
    <n v="0"/>
    <n v="0"/>
    <n v="0"/>
    <n v="0"/>
    <n v="0"/>
    <n v="0"/>
    <n v="0"/>
    <n v="0"/>
    <n v="0"/>
    <n v="0"/>
    <n v="0"/>
    <n v="0"/>
    <n v="0"/>
    <n v="0"/>
    <n v="0"/>
    <m/>
    <m/>
    <s v="The Wandle Valley"/>
    <n v="14"/>
    <m/>
    <n v="0.5"/>
    <n v="0.5"/>
    <m/>
    <m/>
    <m/>
    <m/>
    <m/>
    <m/>
    <m/>
    <m/>
    <m/>
    <m/>
    <m/>
    <m/>
    <m/>
    <m/>
    <m/>
    <m/>
    <m/>
    <n v="1"/>
    <n v="1"/>
  </r>
  <r>
    <n v="182"/>
    <x v="2"/>
    <s v="2019/3692"/>
    <s v="376-378 Garratt Lane"/>
    <s v=""/>
    <n v="526066"/>
    <n v="172919"/>
    <s v="Wandsworth Common"/>
    <d v="2023-03-31T00:00:00"/>
    <m/>
    <n v="0"/>
    <n v="1"/>
    <n v="1"/>
    <n v="4"/>
    <n v="3"/>
    <m/>
    <s v="Alterations in connection with conversion of existing flat and  office (B1) to 4 x two-bedroom flats with associated bin and cycle storage."/>
    <s v="PF"/>
    <d v="2019-09-11T00:00:00"/>
    <d v="2019-11-18T00:00:00"/>
    <m/>
    <s v="Nil"/>
    <m/>
    <s v="BF"/>
    <s v="MIX"/>
    <x v="2"/>
    <x v="6"/>
    <n v="7.0000000000000001E-3"/>
    <d v="2023-03-31T00:00:00"/>
    <x v="1"/>
    <m/>
    <s v="Open Market"/>
    <s v="M"/>
    <s v=""/>
    <m/>
    <n v="0"/>
    <m/>
    <n v="0"/>
    <m/>
    <n v="0"/>
    <n v="0"/>
    <n v="1"/>
    <n v="0"/>
    <n v="0"/>
    <n v="0"/>
    <n v="0"/>
    <n v="0"/>
    <n v="0"/>
    <n v="1"/>
    <n v="0"/>
    <n v="0"/>
    <n v="0"/>
    <n v="0"/>
    <n v="0"/>
    <n v="0"/>
    <n v="0"/>
    <n v="0"/>
    <n v="0"/>
    <n v="0"/>
    <n v="0"/>
    <n v="0"/>
    <n v="0"/>
    <n v="0"/>
    <n v="0"/>
    <n v="0"/>
    <n v="0"/>
    <n v="0"/>
    <m/>
    <m/>
    <s v="The Wandle Valley"/>
    <n v="14"/>
    <m/>
    <n v="0.5"/>
    <n v="0.5"/>
    <m/>
    <m/>
    <m/>
    <m/>
    <m/>
    <m/>
    <m/>
    <m/>
    <m/>
    <m/>
    <m/>
    <m/>
    <m/>
    <m/>
    <m/>
    <m/>
    <m/>
    <n v="1"/>
    <n v="1"/>
  </r>
  <r>
    <n v="5680"/>
    <x v="2"/>
    <s v="2022/0732"/>
    <s v="575 Battersea Park Road"/>
    <s v=""/>
    <n v="527140"/>
    <n v="176148"/>
    <s v="Falconbrook"/>
    <d v="2023-03-31T00:00:00"/>
    <m/>
    <n v="1"/>
    <n v="2"/>
    <n v="1"/>
    <n v="2"/>
    <n v="1"/>
    <m/>
    <s v="Alterations including erection of roof extensions to main rear roof and above two storey back addition, formation of first floor roof terrace with screen surround in connection with conversion of existing flat into 1 x 1-bedroom and 1 x studio flats."/>
    <s v="PF"/>
    <d v="2022-02-21T00:00:00"/>
    <d v="2022-07-13T00:00:00"/>
    <s v="Y"/>
    <s v="Nil"/>
    <m/>
    <s v="BF"/>
    <s v="MIX"/>
    <x v="2"/>
    <x v="2"/>
    <n v="6.0000000000000001E-3"/>
    <d v="2023-03-31T00:00:00"/>
    <x v="1"/>
    <m/>
    <s v="Open Market"/>
    <s v="MR"/>
    <s v=""/>
    <m/>
    <n v="0"/>
    <m/>
    <n v="0"/>
    <m/>
    <n v="1"/>
    <n v="1"/>
    <n v="-1"/>
    <n v="0"/>
    <n v="0"/>
    <n v="0"/>
    <n v="0"/>
    <n v="1"/>
    <n v="1"/>
    <n v="-1"/>
    <n v="0"/>
    <n v="0"/>
    <n v="0"/>
    <n v="0"/>
    <n v="0"/>
    <n v="0"/>
    <n v="0"/>
    <n v="0"/>
    <n v="0"/>
    <n v="0"/>
    <n v="0"/>
    <n v="0"/>
    <n v="0"/>
    <n v="0"/>
    <n v="0"/>
    <n v="0"/>
    <n v="0"/>
    <n v="0"/>
    <m/>
    <m/>
    <s v="Rest of Borough"/>
    <n v="14"/>
    <m/>
    <n v="0.5"/>
    <n v="0.5"/>
    <m/>
    <m/>
    <m/>
    <m/>
    <m/>
    <m/>
    <m/>
    <m/>
    <m/>
    <m/>
    <m/>
    <m/>
    <m/>
    <m/>
    <m/>
    <m/>
    <m/>
    <n v="1"/>
    <n v="1"/>
  </r>
  <r>
    <n v="7233"/>
    <x v="2"/>
    <s v="2019/3388"/>
    <s v="77 Broomwood Road"/>
    <s v=""/>
    <n v="527787"/>
    <n v="174343"/>
    <s v="Northcote"/>
    <d v="2023-03-31T00:00:00"/>
    <m/>
    <n v="0"/>
    <n v="1"/>
    <n v="1"/>
    <n v="4"/>
    <n v="1"/>
    <m/>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m/>
    <s v="Nil"/>
    <m/>
    <s v="BF"/>
    <s v="MIX"/>
    <x v="2"/>
    <x v="7"/>
    <n v="5.0000000000000001E-3"/>
    <d v="2023-03-31T00:00:00"/>
    <x v="1"/>
    <m/>
    <s v="Open Market"/>
    <s v="M"/>
    <s v=""/>
    <m/>
    <n v="0"/>
    <m/>
    <n v="0"/>
    <m/>
    <n v="0"/>
    <n v="0"/>
    <n v="1"/>
    <n v="0"/>
    <n v="0"/>
    <n v="0"/>
    <n v="0"/>
    <n v="0"/>
    <n v="0"/>
    <n v="1"/>
    <n v="0"/>
    <n v="0"/>
    <n v="0"/>
    <n v="0"/>
    <n v="0"/>
    <n v="0"/>
    <n v="0"/>
    <n v="0"/>
    <n v="0"/>
    <n v="0"/>
    <n v="0"/>
    <n v="0"/>
    <n v="0"/>
    <n v="0"/>
    <n v="0"/>
    <n v="0"/>
    <n v="0"/>
    <n v="0"/>
    <m/>
    <m/>
    <s v="Rest of Borough"/>
    <n v="14"/>
    <m/>
    <n v="0.5"/>
    <n v="0.5"/>
    <m/>
    <m/>
    <m/>
    <m/>
    <m/>
    <m/>
    <m/>
    <m/>
    <m/>
    <m/>
    <m/>
    <m/>
    <m/>
    <m/>
    <m/>
    <m/>
    <m/>
    <n v="1"/>
    <n v="1"/>
  </r>
  <r>
    <n v="7930"/>
    <x v="2"/>
    <s v="2022/5140"/>
    <s v="8 Southcroft Road"/>
    <s v=""/>
    <n v="528073"/>
    <n v="170895"/>
    <s v="Furzedown"/>
    <d v="2023-03-31T00:00:00"/>
    <m/>
    <n v="0"/>
    <n v="1"/>
    <n v="1"/>
    <n v="1"/>
    <n v="1"/>
    <m/>
    <s v="Alterations including erection of mansard roof extension to main rear roof and extension above part of the two-storey back addition, and formation of roof terrace above two-storey back addition with 1.7m high screen surround in connection with creation of 1 x 1 bedroom flat. Installation of glazed doors and external stairs at first floor rear elevation to rear garden."/>
    <s v="PF"/>
    <d v="2022-12-15T00:00:00"/>
    <d v="2023-02-16T00:00:00"/>
    <s v="Y"/>
    <s v="Nil"/>
    <m/>
    <s v="BF"/>
    <s v="EXT"/>
    <x v="2"/>
    <x v="2"/>
    <n v="3.8999999999999998E-3"/>
    <d v="2023-03-31T00:00:00"/>
    <x v="1"/>
    <m/>
    <s v="Open Market"/>
    <s v="M"/>
    <s v=""/>
    <m/>
    <n v="0"/>
    <m/>
    <n v="0"/>
    <m/>
    <n v="0"/>
    <n v="1"/>
    <n v="0"/>
    <n v="0"/>
    <n v="0"/>
    <n v="0"/>
    <n v="0"/>
    <n v="0"/>
    <n v="1"/>
    <n v="0"/>
    <n v="0"/>
    <n v="0"/>
    <n v="0"/>
    <n v="0"/>
    <n v="0"/>
    <n v="0"/>
    <n v="0"/>
    <n v="0"/>
    <n v="0"/>
    <n v="0"/>
    <n v="0"/>
    <n v="0"/>
    <n v="0"/>
    <n v="0"/>
    <n v="0"/>
    <n v="0"/>
    <n v="0"/>
    <n v="0"/>
    <m/>
    <m/>
    <s v="Rest of Borough"/>
    <n v="14"/>
    <m/>
    <n v="0.5"/>
    <n v="0.5"/>
    <m/>
    <m/>
    <m/>
    <m/>
    <m/>
    <m/>
    <m/>
    <m/>
    <m/>
    <m/>
    <m/>
    <m/>
    <m/>
    <m/>
    <m/>
    <m/>
    <m/>
    <n v="1"/>
    <n v="1"/>
  </r>
  <r>
    <n v="7211"/>
    <x v="2"/>
    <s v="2019/5582"/>
    <s v="916 Garratt Lane"/>
    <s v=""/>
    <n v="527235"/>
    <n v="171597"/>
    <s v="Tooting Broadway"/>
    <d v="2023-02-07T00:00:00"/>
    <m/>
    <n v="0"/>
    <n v="1"/>
    <n v="1"/>
    <n v="1"/>
    <n v="1"/>
    <m/>
    <s v="Demolition of existing buildings and erection of single-storey building plus basement to form 1x2-bedroom flat"/>
    <s v="PF"/>
    <d v="2020-01-21T00:00:00"/>
    <d v="2020-02-21T00:00:00"/>
    <m/>
    <s v="Nil"/>
    <m/>
    <s v="BF"/>
    <s v="NB"/>
    <x v="2"/>
    <x v="1"/>
    <n v="8.9999999999999993E-3"/>
    <d v="2023-02-07T00:00:00"/>
    <x v="1"/>
    <m/>
    <s v="Open Market"/>
    <s v="M"/>
    <s v=""/>
    <m/>
    <n v="0"/>
    <m/>
    <n v="0"/>
    <m/>
    <n v="0"/>
    <n v="0"/>
    <n v="1"/>
    <n v="0"/>
    <n v="0"/>
    <n v="0"/>
    <n v="0"/>
    <n v="0"/>
    <n v="0"/>
    <n v="1"/>
    <n v="0"/>
    <n v="0"/>
    <n v="0"/>
    <n v="0"/>
    <n v="0"/>
    <n v="0"/>
    <n v="0"/>
    <n v="0"/>
    <n v="0"/>
    <n v="0"/>
    <n v="0"/>
    <n v="0"/>
    <n v="0"/>
    <n v="0"/>
    <n v="0"/>
    <n v="0"/>
    <n v="0"/>
    <n v="0"/>
    <m/>
    <m/>
    <s v="Tooting"/>
    <n v="4"/>
    <m/>
    <n v="0.5"/>
    <n v="0.5"/>
    <m/>
    <m/>
    <m/>
    <m/>
    <m/>
    <m/>
    <m/>
    <m/>
    <m/>
    <m/>
    <m/>
    <m/>
    <m/>
    <m/>
    <m/>
    <m/>
    <m/>
    <n v="1"/>
    <n v="1"/>
  </r>
  <r>
    <n v="6662"/>
    <x v="2"/>
    <s v="2019/3065"/>
    <s v="Ground Floor, 231 Merton Road"/>
    <s v=""/>
    <n v="525227"/>
    <n v="173755"/>
    <s v="Southfields"/>
    <d v="2023-03-31T00:00:00"/>
    <m/>
    <n v="0"/>
    <n v="1"/>
    <n v="1"/>
    <n v="1"/>
    <n v="1"/>
    <m/>
    <s v="Alterations in connection with change of use from office (Class A2) to residential (Class C3) to provide 1 x 2-bedroom flat."/>
    <s v="PF"/>
    <d v="2019-08-01T00:00:00"/>
    <d v="2019-09-09T00:00:00"/>
    <m/>
    <s v="Nil"/>
    <m/>
    <s v="BF"/>
    <s v="COU"/>
    <x v="2"/>
    <x v="6"/>
    <n v="5.0000000000000001E-3"/>
    <d v="2023-03-31T00:00:00"/>
    <x v="1"/>
    <m/>
    <s v="Open Market"/>
    <s v="M"/>
    <s v=""/>
    <m/>
    <n v="0"/>
    <m/>
    <n v="0"/>
    <m/>
    <n v="0"/>
    <n v="0"/>
    <n v="1"/>
    <n v="0"/>
    <n v="0"/>
    <n v="0"/>
    <n v="0"/>
    <n v="0"/>
    <n v="0"/>
    <n v="1"/>
    <n v="0"/>
    <n v="0"/>
    <n v="0"/>
    <n v="0"/>
    <n v="0"/>
    <n v="0"/>
    <n v="0"/>
    <n v="0"/>
    <n v="0"/>
    <n v="0"/>
    <n v="0"/>
    <n v="0"/>
    <n v="0"/>
    <n v="0"/>
    <n v="0"/>
    <n v="0"/>
    <n v="0"/>
    <n v="0"/>
    <m/>
    <m/>
    <s v="The Wandle Valley"/>
    <n v="14"/>
    <m/>
    <n v="0.5"/>
    <n v="0.5"/>
    <m/>
    <m/>
    <m/>
    <m/>
    <m/>
    <m/>
    <m/>
    <m/>
    <m/>
    <m/>
    <m/>
    <m/>
    <m/>
    <m/>
    <m/>
    <m/>
    <m/>
    <n v="1"/>
    <n v="1"/>
  </r>
  <r>
    <n v="3240"/>
    <x v="2"/>
    <s v="2022/0779"/>
    <s v="Land rear of and, 165 Battersea High Street"/>
    <s v=""/>
    <n v="527072"/>
    <n v="176221"/>
    <s v="St Mary's"/>
    <d v="2023-03-31T00:00:00"/>
    <m/>
    <n v="0"/>
    <n v="1"/>
    <n v="1"/>
    <n v="1"/>
    <n v="1"/>
    <m/>
    <s v="Change of use of ground floor from Class E (Commercial) to Class C3 (Dwellinghouse) 1-bedroom flat, together with associated external alterations including replacement frontage."/>
    <s v="PF"/>
    <d v="2022-02-24T00:00:00"/>
    <d v="2022-04-21T00:00:00"/>
    <s v="Y"/>
    <s v="Nil"/>
    <m/>
    <s v="BF"/>
    <s v="CON"/>
    <x v="2"/>
    <x v="4"/>
    <n v="5.0000000000000001E-3"/>
    <d v="2023-03-31T00:00:00"/>
    <x v="1"/>
    <m/>
    <s v="Open Market"/>
    <s v="M"/>
    <s v=""/>
    <m/>
    <n v="0"/>
    <m/>
    <n v="0"/>
    <m/>
    <n v="0"/>
    <n v="1"/>
    <n v="0"/>
    <n v="0"/>
    <n v="0"/>
    <n v="0"/>
    <n v="0"/>
    <n v="0"/>
    <n v="1"/>
    <n v="0"/>
    <n v="0"/>
    <n v="0"/>
    <n v="0"/>
    <n v="0"/>
    <n v="0"/>
    <n v="0"/>
    <n v="0"/>
    <n v="0"/>
    <n v="0"/>
    <n v="0"/>
    <n v="0"/>
    <n v="0"/>
    <n v="0"/>
    <n v="0"/>
    <n v="0"/>
    <n v="0"/>
    <n v="0"/>
    <n v="0"/>
    <m/>
    <m/>
    <s v="Rest of Borough"/>
    <n v="14"/>
    <m/>
    <n v="0.5"/>
    <n v="0.5"/>
    <m/>
    <m/>
    <m/>
    <m/>
    <m/>
    <m/>
    <m/>
    <m/>
    <m/>
    <m/>
    <m/>
    <m/>
    <m/>
    <m/>
    <m/>
    <m/>
    <m/>
    <n v="1"/>
    <n v="1"/>
  </r>
  <r>
    <n v="6825"/>
    <x v="2"/>
    <s v="2018/0816"/>
    <s v="Unit 11-12 Ransomes Dock Business Centre, 35-37 Parkgate Road (Ransomes Dock Business Centre)"/>
    <s v=""/>
    <n v="527310"/>
    <n v="177159"/>
    <s v="Battersea Park"/>
    <d v="2023-03-31T00:00:00"/>
    <m/>
    <n v="0"/>
    <n v="1"/>
    <n v="1"/>
    <n v="1"/>
    <n v="1"/>
    <m/>
    <s v="Determination as to whether prior approval is required for change of use of office at second floor level (Use Class B1(a) to residential (Use Class 3) to provide 1 x 2 bedroom flat."/>
    <s v="PANR"/>
    <d v="2018-02-20T00:00:00"/>
    <d v="2018-04-05T00:00:00"/>
    <m/>
    <s v="Nil"/>
    <m/>
    <s v="BF"/>
    <s v="COU"/>
    <x v="2"/>
    <x v="6"/>
    <n v="1.0999999999999999E-2"/>
    <d v="2023-03-31T00:00:00"/>
    <x v="1"/>
    <m/>
    <s v="Open Market"/>
    <s v="M"/>
    <s v=""/>
    <m/>
    <n v="0"/>
    <m/>
    <n v="0"/>
    <m/>
    <n v="0"/>
    <n v="0"/>
    <n v="1"/>
    <n v="0"/>
    <n v="0"/>
    <n v="0"/>
    <n v="0"/>
    <n v="0"/>
    <n v="0"/>
    <n v="1"/>
    <n v="0"/>
    <n v="0"/>
    <n v="0"/>
    <n v="0"/>
    <n v="0"/>
    <n v="0"/>
    <n v="0"/>
    <n v="0"/>
    <n v="0"/>
    <n v="0"/>
    <n v="0"/>
    <n v="0"/>
    <n v="0"/>
    <n v="0"/>
    <n v="0"/>
    <n v="0"/>
    <n v="0"/>
    <n v="0"/>
    <m/>
    <m/>
    <s v="Wandsworth riverside"/>
    <n v="14"/>
    <m/>
    <n v="0.5"/>
    <n v="0.5"/>
    <m/>
    <m/>
    <m/>
    <m/>
    <m/>
    <m/>
    <m/>
    <m/>
    <m/>
    <m/>
    <m/>
    <m/>
    <m/>
    <m/>
    <m/>
    <m/>
    <m/>
    <n v="1"/>
    <n v="1"/>
  </r>
  <r>
    <n v="7794"/>
    <x v="2"/>
    <s v="2022/0128"/>
    <s v="Upper Floors, 6a York Road"/>
    <s v=""/>
    <n v="527039"/>
    <n v="176160"/>
    <s v="St Mary's"/>
    <d v="2023-01-20T00:00:00"/>
    <m/>
    <n v="1"/>
    <n v="2"/>
    <n v="1"/>
    <n v="2"/>
    <n v="1"/>
    <m/>
    <s v="Alterations including erection of roof extension to create additional floor of accommodation; formation of roof terrace above two-storey back addition with screen surround and conversion of the upper floor flat into 1 x 2-bedroom and 1 x 1-bedroom  flat."/>
    <s v="PF"/>
    <d v="2022-03-04T00:00:00"/>
    <d v="2022-06-22T00:00:00"/>
    <s v="Y"/>
    <s v="Nil"/>
    <m/>
    <s v="BF"/>
    <s v="MIX"/>
    <x v="2"/>
    <x v="7"/>
    <n v="4.7000000000000002E-3"/>
    <d v="2023-01-20T00:00:00"/>
    <x v="1"/>
    <m/>
    <s v="Open Market"/>
    <s v="M"/>
    <s v=""/>
    <m/>
    <n v="0"/>
    <m/>
    <n v="0"/>
    <m/>
    <n v="0"/>
    <n v="1"/>
    <n v="1"/>
    <n v="0"/>
    <n v="-1"/>
    <n v="0"/>
    <n v="0"/>
    <n v="0"/>
    <n v="1"/>
    <n v="1"/>
    <n v="0"/>
    <n v="-1"/>
    <n v="0"/>
    <n v="0"/>
    <n v="0"/>
    <n v="0"/>
    <n v="0"/>
    <n v="0"/>
    <n v="0"/>
    <n v="0"/>
    <n v="0"/>
    <n v="0"/>
    <n v="0"/>
    <n v="0"/>
    <n v="0"/>
    <n v="0"/>
    <n v="0"/>
    <n v="0"/>
    <m/>
    <m/>
    <s v="Rest of Borough"/>
    <n v="14"/>
    <m/>
    <n v="0.5"/>
    <n v="0.5"/>
    <m/>
    <m/>
    <m/>
    <m/>
    <m/>
    <m/>
    <m/>
    <m/>
    <m/>
    <m/>
    <m/>
    <m/>
    <m/>
    <m/>
    <m/>
    <m/>
    <m/>
    <n v="1"/>
    <n v="1"/>
  </r>
  <r>
    <n v="7631"/>
    <x v="2"/>
    <s v="2021/1530"/>
    <s v="104 Eswyn Road"/>
    <s v=""/>
    <n v="527889"/>
    <n v="171463"/>
    <s v="Tooting Bec"/>
    <d v="2021-11-10T00:00:00"/>
    <m/>
    <n v="1"/>
    <n v="1"/>
    <n v="0"/>
    <n v="1"/>
    <n v="0"/>
    <m/>
    <s v="Alterations including erection of dormer roof extension to main rear roof and roof extension above two storey back addition in connection with conversion of dwelling house (Class C3) into house of multiple occupation (Class C4)."/>
    <s v="LDC Prop"/>
    <d v="2021-03-31T00:00:00"/>
    <d v="2021-05-25T00:00:00"/>
    <m/>
    <s v="Nil"/>
    <m/>
    <s v="BF"/>
    <s v="CON"/>
    <x v="2"/>
    <x v="5"/>
    <n v="3.4659999999999999E-3"/>
    <d v="2021-11-10T00:00:00"/>
    <x v="0"/>
    <m/>
    <s v="Open Market"/>
    <s v="MR"/>
    <s v=""/>
    <m/>
    <n v="0"/>
    <m/>
    <n v="0"/>
    <m/>
    <n v="0"/>
    <n v="0"/>
    <n v="0"/>
    <n v="0"/>
    <n v="-1"/>
    <n v="1"/>
    <n v="0"/>
    <n v="0"/>
    <n v="0"/>
    <n v="0"/>
    <n v="0"/>
    <n v="0"/>
    <n v="0"/>
    <n v="0"/>
    <n v="0"/>
    <n v="0"/>
    <n v="0"/>
    <n v="0"/>
    <n v="-1"/>
    <n v="1"/>
    <n v="0"/>
    <n v="0"/>
    <n v="0"/>
    <n v="0"/>
    <n v="0"/>
    <n v="0"/>
    <n v="0"/>
    <n v="0"/>
    <m/>
    <m/>
    <s v="Rest of Borough"/>
    <n v="13"/>
    <m/>
    <n v="0"/>
    <m/>
    <m/>
    <m/>
    <m/>
    <m/>
    <m/>
    <m/>
    <m/>
    <m/>
    <m/>
    <m/>
    <m/>
    <m/>
    <m/>
    <m/>
    <m/>
    <m/>
    <m/>
    <n v="0"/>
    <n v="0"/>
  </r>
  <r>
    <n v="6667"/>
    <x v="2"/>
    <s v="2017/4326"/>
    <s v="14 Valonia Gardens"/>
    <s v=""/>
    <n v="524795"/>
    <n v="174423"/>
    <s v="East Putney"/>
    <d v="2021-05-18T00:00:00"/>
    <m/>
    <n v="1"/>
    <n v="1"/>
    <n v="0"/>
    <n v="1"/>
    <n v="0"/>
    <m/>
    <s v="Demolition of existing detached dwellinghouse and the erection of a replacement two-storey (plus roof accomodation) 4-bedroom detached dwellinghouse."/>
    <s v="PF"/>
    <d v="2017-08-02T00:00:00"/>
    <d v="2017-11-24T00:00:00"/>
    <m/>
    <s v="Nil"/>
    <m/>
    <s v="BF"/>
    <s v="NB"/>
    <x v="2"/>
    <x v="1"/>
    <n v="4.2999999999999997E-2"/>
    <d v="2021-05-18T00:00:00"/>
    <x v="0"/>
    <m/>
    <s v="Open Market"/>
    <s v="M"/>
    <s v=""/>
    <m/>
    <n v="0"/>
    <m/>
    <n v="0"/>
    <m/>
    <n v="0"/>
    <n v="0"/>
    <n v="0"/>
    <n v="0"/>
    <n v="1"/>
    <n v="-1"/>
    <n v="0"/>
    <n v="0"/>
    <n v="0"/>
    <n v="0"/>
    <n v="0"/>
    <n v="0"/>
    <n v="0"/>
    <n v="0"/>
    <n v="0"/>
    <n v="0"/>
    <n v="0"/>
    <n v="0"/>
    <n v="1"/>
    <n v="-1"/>
    <n v="0"/>
    <n v="0"/>
    <n v="0"/>
    <n v="0"/>
    <n v="0"/>
    <n v="0"/>
    <n v="0"/>
    <n v="0"/>
    <m/>
    <m/>
    <s v="Rest of Borough"/>
    <n v="3"/>
    <m/>
    <n v="0"/>
    <m/>
    <m/>
    <m/>
    <m/>
    <m/>
    <m/>
    <m/>
    <m/>
    <m/>
    <m/>
    <m/>
    <m/>
    <m/>
    <m/>
    <m/>
    <m/>
    <m/>
    <m/>
    <n v="0"/>
    <n v="0"/>
  </r>
  <r>
    <n v="7212"/>
    <x v="2"/>
    <s v="2020/5042"/>
    <s v="19 Roedean Crescent"/>
    <s v=""/>
    <n v="521190"/>
    <n v="174507"/>
    <s v="Roehampton"/>
    <d v="2022-06-06T00:00:00"/>
    <m/>
    <n v="1"/>
    <n v="1"/>
    <n v="0"/>
    <n v="1"/>
    <n v="0"/>
    <m/>
    <s v="Demolition of existing building and single storey outbuilding in rear garden and erection of a two-storey (plus basement and roof levels) 6-bedroom detached house with rear first floor terrace."/>
    <s v="PF"/>
    <d v="2020-12-24T00:00:00"/>
    <d v="2021-02-18T00:00:00"/>
    <m/>
    <s v="Nil"/>
    <m/>
    <s v="BF"/>
    <s v="NB"/>
    <x v="2"/>
    <x v="1"/>
    <n v="0.126"/>
    <d v="2022-06-06T00:00:00"/>
    <x v="1"/>
    <m/>
    <s v="Open Market"/>
    <s v="M"/>
    <s v=""/>
    <m/>
    <n v="0"/>
    <m/>
    <n v="0"/>
    <m/>
    <n v="0"/>
    <n v="0"/>
    <n v="0"/>
    <n v="0"/>
    <n v="0"/>
    <n v="0"/>
    <n v="0"/>
    <n v="0"/>
    <n v="0"/>
    <n v="0"/>
    <n v="0"/>
    <n v="0"/>
    <n v="0"/>
    <n v="0"/>
    <n v="0"/>
    <n v="0"/>
    <n v="0"/>
    <n v="0"/>
    <n v="0"/>
    <n v="0"/>
    <n v="0"/>
    <n v="0"/>
    <n v="0"/>
    <n v="0"/>
    <n v="0"/>
    <n v="0"/>
    <n v="0"/>
    <n v="0"/>
    <m/>
    <m/>
    <s v="Rest of Borough"/>
    <n v="3"/>
    <m/>
    <n v="0"/>
    <m/>
    <m/>
    <m/>
    <m/>
    <m/>
    <m/>
    <m/>
    <m/>
    <m/>
    <m/>
    <m/>
    <m/>
    <m/>
    <m/>
    <m/>
    <m/>
    <m/>
    <m/>
    <n v="0"/>
    <n v="0"/>
  </r>
  <r>
    <n v="4944"/>
    <x v="2"/>
    <s v="2021/2720"/>
    <s v="1A Dinsmore Road"/>
    <s v=""/>
    <n v="528817"/>
    <n v="173818"/>
    <s v="Balham"/>
    <d v="2022-03-31T00:00:00"/>
    <m/>
    <n v="1"/>
    <n v="1"/>
    <n v="0"/>
    <n v="1"/>
    <n v="0"/>
    <m/>
    <s v="Alterations in connection with conversion of shop (Class E) to residential (Class C3) and amalgamation with first floor flat to provide 1 x 2-bedroom house. Alteration to ground floor frontage."/>
    <s v="PF"/>
    <d v="2021-06-21T00:00:00"/>
    <d v="2021-08-16T00:00:00"/>
    <m/>
    <s v="Nil"/>
    <m/>
    <s v="BF"/>
    <s v="MIX"/>
    <x v="2"/>
    <x v="4"/>
    <n v="3.0000000000000001E-3"/>
    <d v="2022-03-31T00:00:00"/>
    <x v="0"/>
    <m/>
    <s v="Open Market"/>
    <s v="M"/>
    <s v=""/>
    <m/>
    <n v="0"/>
    <m/>
    <n v="0"/>
    <m/>
    <n v="0"/>
    <n v="-1"/>
    <n v="1"/>
    <n v="0"/>
    <n v="0"/>
    <n v="0"/>
    <n v="0"/>
    <n v="0"/>
    <n v="-1"/>
    <n v="1"/>
    <n v="0"/>
    <n v="0"/>
    <n v="0"/>
    <n v="0"/>
    <n v="0"/>
    <n v="0"/>
    <n v="0"/>
    <n v="0"/>
    <n v="0"/>
    <n v="0"/>
    <n v="0"/>
    <n v="0"/>
    <n v="0"/>
    <n v="0"/>
    <n v="0"/>
    <n v="0"/>
    <n v="0"/>
    <n v="0"/>
    <m/>
    <m/>
    <s v="Rest of Borough"/>
    <n v="13"/>
    <m/>
    <n v="0"/>
    <m/>
    <m/>
    <m/>
    <m/>
    <m/>
    <m/>
    <m/>
    <m/>
    <m/>
    <m/>
    <m/>
    <m/>
    <m/>
    <m/>
    <m/>
    <m/>
    <m/>
    <m/>
    <n v="0"/>
    <n v="0"/>
  </r>
  <r>
    <n v="4084"/>
    <x v="2"/>
    <s v="2018/0195"/>
    <s v="22 Trinity Road"/>
    <s v=""/>
    <n v="527971"/>
    <n v="172408"/>
    <s v="Trinity"/>
    <d v="2018-04-20T00:00:00"/>
    <m/>
    <n v="1"/>
    <n v="1"/>
    <n v="0"/>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x v="2"/>
    <x v="7"/>
    <n v="3.0000000000000001E-3"/>
    <d v="2018-04-20T00:00:00"/>
    <x v="0"/>
    <m/>
    <s v="Open Market"/>
    <s v="M"/>
    <s v=""/>
    <m/>
    <n v="0"/>
    <m/>
    <n v="0"/>
    <m/>
    <n v="-1"/>
    <n v="1"/>
    <n v="0"/>
    <n v="0"/>
    <n v="0"/>
    <n v="0"/>
    <n v="0"/>
    <n v="-1"/>
    <n v="1"/>
    <n v="0"/>
    <n v="0"/>
    <n v="0"/>
    <n v="0"/>
    <n v="0"/>
    <n v="0"/>
    <n v="0"/>
    <n v="0"/>
    <n v="0"/>
    <n v="0"/>
    <n v="0"/>
    <n v="0"/>
    <n v="0"/>
    <n v="0"/>
    <n v="0"/>
    <n v="0"/>
    <n v="0"/>
    <n v="0"/>
    <n v="0"/>
    <m/>
    <m/>
    <s v="Rest of Borough"/>
    <n v="13"/>
    <m/>
    <n v="0"/>
    <m/>
    <m/>
    <m/>
    <m/>
    <m/>
    <m/>
    <m/>
    <m/>
    <m/>
    <m/>
    <m/>
    <m/>
    <m/>
    <m/>
    <m/>
    <m/>
    <m/>
    <m/>
    <n v="0"/>
    <n v="0"/>
  </r>
  <r>
    <n v="7737"/>
    <x v="2"/>
    <s v="2021/3419"/>
    <s v="23 Henning Street"/>
    <s v=""/>
    <n v="527150"/>
    <n v="176534"/>
    <s v="St Mary's"/>
    <d v="2023-03-31T00:00:00"/>
    <m/>
    <n v="1"/>
    <n v="1"/>
    <n v="0"/>
    <n v="1"/>
    <n v="0"/>
    <m/>
    <s v="Alterations including demolition of existing house, retention of existing front facade and erection of two storey (plus roof and basement)  3-bedroom house."/>
    <s v="PF"/>
    <d v="2021-07-27T00:00:00"/>
    <d v="2022-03-01T00:00:00"/>
    <m/>
    <s v="Nil"/>
    <m/>
    <s v="BF"/>
    <s v="NB"/>
    <x v="2"/>
    <x v="1"/>
    <n v="8.9999999999999993E-3"/>
    <d v="2023-03-31T00:00:00"/>
    <x v="1"/>
    <m/>
    <s v="Open Market"/>
    <s v="M"/>
    <s v=""/>
    <m/>
    <n v="0"/>
    <m/>
    <n v="0"/>
    <m/>
    <n v="0"/>
    <n v="0"/>
    <n v="0"/>
    <n v="0"/>
    <n v="0"/>
    <n v="0"/>
    <n v="0"/>
    <n v="0"/>
    <n v="0"/>
    <n v="0"/>
    <n v="0"/>
    <n v="0"/>
    <n v="0"/>
    <n v="0"/>
    <n v="0"/>
    <n v="0"/>
    <n v="0"/>
    <n v="0"/>
    <n v="0"/>
    <n v="0"/>
    <n v="0"/>
    <n v="0"/>
    <n v="0"/>
    <n v="0"/>
    <n v="0"/>
    <n v="0"/>
    <n v="0"/>
    <n v="0"/>
    <m/>
    <m/>
    <s v="Rest of Borough"/>
    <n v="4"/>
    <m/>
    <n v="0"/>
    <n v="0"/>
    <m/>
    <m/>
    <m/>
    <m/>
    <m/>
    <m/>
    <m/>
    <m/>
    <m/>
    <m/>
    <m/>
    <m/>
    <m/>
    <m/>
    <m/>
    <m/>
    <m/>
    <n v="0"/>
    <n v="0"/>
  </r>
  <r>
    <n v="7432"/>
    <x v="2"/>
    <s v="2020/2849"/>
    <s v="24 Granard Avenue"/>
    <s v=""/>
    <n v="522788"/>
    <n v="174649"/>
    <s v="West Putney"/>
    <d v="2021-03-31T00:00:00"/>
    <m/>
    <n v="1"/>
    <n v="1"/>
    <n v="0"/>
    <n v="1"/>
    <n v="0"/>
    <m/>
    <s v="Demolition of existing building and erection of a two-storey (plus roof levels) 5-bedroom house."/>
    <s v="PF"/>
    <d v="2020-08-04T00:00:00"/>
    <d v="2020-10-19T00:00:00"/>
    <m/>
    <s v="Nil"/>
    <m/>
    <s v="BF"/>
    <s v="NB"/>
    <x v="2"/>
    <x v="1"/>
    <n v="5.0999999999999997E-2"/>
    <d v="2021-03-31T00:00:00"/>
    <x v="0"/>
    <m/>
    <s v="Open Market"/>
    <s v="M"/>
    <s v=""/>
    <m/>
    <n v="0"/>
    <m/>
    <n v="0"/>
    <m/>
    <n v="0"/>
    <n v="0"/>
    <n v="0"/>
    <n v="0"/>
    <n v="-1"/>
    <n v="1"/>
    <n v="0"/>
    <n v="0"/>
    <n v="0"/>
    <n v="0"/>
    <n v="0"/>
    <n v="0"/>
    <n v="0"/>
    <n v="0"/>
    <n v="0"/>
    <n v="0"/>
    <n v="0"/>
    <n v="0"/>
    <n v="-1"/>
    <n v="1"/>
    <n v="0"/>
    <n v="0"/>
    <n v="0"/>
    <n v="0"/>
    <n v="0"/>
    <n v="0"/>
    <n v="0"/>
    <n v="0"/>
    <m/>
    <m/>
    <s v="Rest of Borough"/>
    <n v="3"/>
    <m/>
    <n v="0"/>
    <m/>
    <m/>
    <m/>
    <m/>
    <m/>
    <m/>
    <m/>
    <m/>
    <m/>
    <m/>
    <m/>
    <m/>
    <m/>
    <m/>
    <m/>
    <m/>
    <m/>
    <m/>
    <n v="0"/>
    <n v="0"/>
  </r>
  <r>
    <n v="7755"/>
    <x v="2"/>
    <s v="2022/1173"/>
    <s v="28 Muncaster Road"/>
    <s v=""/>
    <n v="527982"/>
    <n v="174908"/>
    <s v="Northcote"/>
    <d v="2022-12-31T00:00:00"/>
    <m/>
    <n v="1"/>
    <n v="1"/>
    <n v="0"/>
    <n v="1"/>
    <n v="0"/>
    <m/>
    <s v="Alterations including demolition of building with exception of front facade. Erection of two-storey dwelling plus enlarged basement (plus front lightwell) and accommodation at roof level, with dormer extension (including French doors and safety railings plu solar panels to roof). Erection of part single/part three storey rear extension"/>
    <s v="PF"/>
    <d v="2022-03-18T00:00:00"/>
    <d v="2022-05-13T00:00:00"/>
    <s v="Y"/>
    <s v="Nil"/>
    <m/>
    <s v="BF"/>
    <s v="NB"/>
    <x v="2"/>
    <x v="1"/>
    <n v="8.0000000000000002E-3"/>
    <d v="2022-12-31T00:00:00"/>
    <x v="1"/>
    <m/>
    <s v="Open Market"/>
    <s v="M"/>
    <s v=""/>
    <m/>
    <n v="0"/>
    <m/>
    <n v="0"/>
    <m/>
    <n v="0"/>
    <n v="0"/>
    <n v="-1"/>
    <n v="0"/>
    <n v="1"/>
    <n v="0"/>
    <n v="0"/>
    <n v="0"/>
    <n v="0"/>
    <n v="0"/>
    <n v="0"/>
    <n v="0"/>
    <n v="0"/>
    <n v="0"/>
    <n v="0"/>
    <n v="0"/>
    <n v="-1"/>
    <n v="0"/>
    <n v="1"/>
    <n v="0"/>
    <n v="0"/>
    <n v="0"/>
    <n v="0"/>
    <n v="0"/>
    <n v="0"/>
    <n v="0"/>
    <n v="0"/>
    <n v="0"/>
    <m/>
    <m/>
    <s v="Rest of Borough"/>
    <n v="4"/>
    <m/>
    <n v="0"/>
    <n v="0"/>
    <m/>
    <m/>
    <m/>
    <m/>
    <m/>
    <m/>
    <m/>
    <m/>
    <m/>
    <m/>
    <m/>
    <m/>
    <m/>
    <m/>
    <m/>
    <m/>
    <m/>
    <n v="0"/>
    <n v="0"/>
  </r>
  <r>
    <n v="6772"/>
    <x v="2"/>
    <s v="2022/0056"/>
    <s v="30 Bramcote Road"/>
    <s v=""/>
    <n v="522806"/>
    <n v="175115"/>
    <s v="West Putney"/>
    <d v="2022-03-15T00:00:00"/>
    <m/>
    <n v="1"/>
    <n v="1"/>
    <n v="0"/>
    <n v="1"/>
    <n v="0"/>
    <m/>
    <s v="Non-material amendment to planning permission dated 05/04/2019 ref_x000a_ 2018/4926 (Demolition of existing building and erection of a two-storey _x000a_(plus basement and roof levels) 5-bedroom detached house.) to allow _x000a_the basement to be omitted"/>
    <s v="S96A"/>
    <d v="2022-01-07T00:00:00"/>
    <d v="2022-02-24T00:00:00"/>
    <m/>
    <s v="Nil"/>
    <m/>
    <s v="BF"/>
    <s v="NB"/>
    <x v="2"/>
    <x v="1"/>
    <n v="2.7199999999999998E-2"/>
    <d v="2022-03-15T00:00:00"/>
    <x v="0"/>
    <m/>
    <s v="Open Market"/>
    <s v="M"/>
    <s v=""/>
    <m/>
    <n v="0"/>
    <m/>
    <n v="0"/>
    <m/>
    <n v="0"/>
    <n v="0"/>
    <n v="-1"/>
    <n v="0"/>
    <n v="0"/>
    <n v="1"/>
    <n v="0"/>
    <n v="0"/>
    <n v="0"/>
    <n v="0"/>
    <n v="0"/>
    <n v="0"/>
    <n v="0"/>
    <n v="0"/>
    <n v="0"/>
    <n v="0"/>
    <n v="-1"/>
    <n v="0"/>
    <n v="0"/>
    <n v="1"/>
    <n v="0"/>
    <n v="0"/>
    <n v="0"/>
    <n v="0"/>
    <n v="0"/>
    <n v="0"/>
    <n v="0"/>
    <n v="0"/>
    <m/>
    <m/>
    <s v="Rest of Borough"/>
    <n v="3"/>
    <m/>
    <n v="0"/>
    <m/>
    <m/>
    <m/>
    <m/>
    <m/>
    <m/>
    <m/>
    <m/>
    <m/>
    <m/>
    <m/>
    <m/>
    <m/>
    <m/>
    <m/>
    <m/>
    <m/>
    <m/>
    <n v="0"/>
    <n v="0"/>
  </r>
  <r>
    <n v="7327"/>
    <x v="2"/>
    <s v="2021/3791"/>
    <s v="44 and 46, Alfriston Road"/>
    <s v=""/>
    <n v="527931"/>
    <n v="174869"/>
    <s v="Northcote"/>
    <d v="2022-01-10T00:00:00"/>
    <m/>
    <n v="2"/>
    <n v="2"/>
    <n v="0"/>
    <n v="2"/>
    <n v="0"/>
    <m/>
    <s v="Demolition of existing houses and erection of 2 x three-storey (plus basement) terraced houses and associated single-storey outbuildings, landscaping and boundary treatment."/>
    <s v="PF"/>
    <d v="2021-08-11T00:00:00"/>
    <d v="2021-11-23T00:00:00"/>
    <m/>
    <s v="Nil"/>
    <m/>
    <s v="BF"/>
    <s v="NB"/>
    <x v="2"/>
    <x v="1"/>
    <n v="1.4999999999999999E-2"/>
    <d v="2022-01-10T00:00:00"/>
    <x v="0"/>
    <m/>
    <s v="Open Market"/>
    <s v="M"/>
    <s v=""/>
    <m/>
    <n v="0"/>
    <m/>
    <n v="0"/>
    <m/>
    <n v="0"/>
    <n v="0"/>
    <n v="-2"/>
    <n v="0"/>
    <n v="2"/>
    <n v="0"/>
    <n v="0"/>
    <n v="0"/>
    <n v="0"/>
    <n v="-2"/>
    <n v="0"/>
    <n v="2"/>
    <n v="0"/>
    <n v="0"/>
    <n v="0"/>
    <n v="0"/>
    <n v="0"/>
    <n v="0"/>
    <n v="0"/>
    <n v="0"/>
    <n v="0"/>
    <n v="0"/>
    <n v="0"/>
    <n v="0"/>
    <n v="0"/>
    <n v="0"/>
    <n v="0"/>
    <n v="0"/>
    <m/>
    <m/>
    <s v="Rest of Borough"/>
    <n v="3"/>
    <m/>
    <n v="0"/>
    <m/>
    <m/>
    <m/>
    <m/>
    <m/>
    <m/>
    <m/>
    <m/>
    <m/>
    <m/>
    <m/>
    <m/>
    <m/>
    <m/>
    <m/>
    <m/>
    <m/>
    <m/>
    <n v="0"/>
    <n v="0"/>
  </r>
  <r>
    <n v="4999"/>
    <x v="2"/>
    <s v="2020/3284"/>
    <s v="44 Bolingbroke Grove"/>
    <s v=""/>
    <n v="527475"/>
    <n v="174306"/>
    <s v="Northcote"/>
    <d v="2022-07-01T00:00:00"/>
    <m/>
    <n v="2"/>
    <n v="2"/>
    <n v="0"/>
    <n v="2"/>
    <n v="0"/>
    <m/>
    <s v="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
    <s v="PF"/>
    <d v="2020-09-18T00:00:00"/>
    <d v="2020-11-13T00:00:00"/>
    <m/>
    <s v="Nil"/>
    <m/>
    <s v="BF"/>
    <s v="MIX"/>
    <x v="2"/>
    <x v="2"/>
    <n v="1.2E-2"/>
    <d v="2022-07-01T00:00:00"/>
    <x v="1"/>
    <m/>
    <s v="Open Market"/>
    <s v="M"/>
    <s v=""/>
    <m/>
    <n v="0"/>
    <m/>
    <n v="0"/>
    <m/>
    <n v="-1"/>
    <n v="-1"/>
    <n v="1"/>
    <n v="1"/>
    <n v="0"/>
    <n v="0"/>
    <n v="0"/>
    <n v="-1"/>
    <n v="-1"/>
    <n v="1"/>
    <n v="1"/>
    <n v="0"/>
    <n v="0"/>
    <n v="0"/>
    <n v="0"/>
    <n v="0"/>
    <n v="0"/>
    <n v="0"/>
    <n v="0"/>
    <n v="0"/>
    <n v="0"/>
    <n v="0"/>
    <n v="0"/>
    <n v="0"/>
    <n v="0"/>
    <n v="0"/>
    <n v="0"/>
    <n v="0"/>
    <m/>
    <m/>
    <s v="Rest of Borough"/>
    <n v="13"/>
    <m/>
    <n v="0"/>
    <m/>
    <m/>
    <m/>
    <m/>
    <m/>
    <m/>
    <m/>
    <m/>
    <m/>
    <m/>
    <m/>
    <m/>
    <m/>
    <m/>
    <m/>
    <m/>
    <m/>
    <m/>
    <n v="0"/>
    <n v="0"/>
  </r>
  <r>
    <n v="7338"/>
    <x v="2"/>
    <s v="2020/1358"/>
    <s v="51-53 Northcote Road"/>
    <s v=""/>
    <n v="527505"/>
    <n v="174973"/>
    <s v="Lavender"/>
    <d v="2021-08-21T00:00:00"/>
    <m/>
    <n v="2"/>
    <n v="2"/>
    <n v="0"/>
    <n v="3"/>
    <n v="1"/>
    <m/>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m/>
    <s v="Nil"/>
    <m/>
    <s v="BF"/>
    <s v="MIX"/>
    <x v="2"/>
    <x v="7"/>
    <n v="1.2E-2"/>
    <d v="2021-08-21T00:00:00"/>
    <x v="0"/>
    <m/>
    <s v="Open Market"/>
    <s v="M"/>
    <s v=""/>
    <m/>
    <n v="0"/>
    <m/>
    <n v="0"/>
    <m/>
    <n v="0"/>
    <n v="0"/>
    <n v="1"/>
    <n v="-1"/>
    <n v="0"/>
    <n v="0"/>
    <n v="0"/>
    <n v="0"/>
    <n v="0"/>
    <n v="1"/>
    <n v="-1"/>
    <n v="0"/>
    <n v="0"/>
    <n v="0"/>
    <n v="0"/>
    <n v="0"/>
    <n v="0"/>
    <n v="0"/>
    <n v="0"/>
    <n v="0"/>
    <n v="0"/>
    <n v="0"/>
    <n v="0"/>
    <n v="0"/>
    <n v="0"/>
    <n v="0"/>
    <n v="0"/>
    <n v="0"/>
    <s v="Clapham Junction"/>
    <m/>
    <s v="Clapham Junction Spatial Area Strategy"/>
    <n v="13"/>
    <m/>
    <n v="0"/>
    <m/>
    <m/>
    <m/>
    <m/>
    <m/>
    <m/>
    <m/>
    <m/>
    <m/>
    <m/>
    <m/>
    <m/>
    <m/>
    <m/>
    <m/>
    <m/>
    <m/>
    <m/>
    <n v="0"/>
    <n v="0"/>
  </r>
  <r>
    <n v="7841"/>
    <x v="2"/>
    <s v="2022/1787"/>
    <s v="59 Howards Lane"/>
    <s v=""/>
    <n v="523247"/>
    <n v="175077"/>
    <s v="West Putney"/>
    <d v="2023-01-30T00:00:00"/>
    <m/>
    <n v="1"/>
    <n v="1"/>
    <n v="0"/>
    <n v="1"/>
    <n v="0"/>
    <m/>
    <s v="Alterations including erection of side and rear dormers and single storey rear/side extension in connection with use of property as a single dwelling."/>
    <s v="PF"/>
    <d v="2022-05-25T00:00:00"/>
    <d v="2022-08-10T00:00:00"/>
    <s v="Y"/>
    <s v="Nil"/>
    <m/>
    <s v="BF"/>
    <s v="CON"/>
    <x v="2"/>
    <x v="8"/>
    <n v="7.0000000000000001E-3"/>
    <d v="2023-01-30T00:00:00"/>
    <x v="1"/>
    <m/>
    <s v="Open Market"/>
    <s v="M"/>
    <s v=""/>
    <m/>
    <n v="0"/>
    <m/>
    <n v="0"/>
    <m/>
    <n v="0"/>
    <n v="0"/>
    <n v="-1"/>
    <n v="0"/>
    <n v="1"/>
    <n v="0"/>
    <n v="0"/>
    <n v="0"/>
    <n v="0"/>
    <n v="-1"/>
    <n v="0"/>
    <n v="0"/>
    <n v="0"/>
    <n v="0"/>
    <n v="0"/>
    <n v="0"/>
    <n v="0"/>
    <n v="0"/>
    <n v="1"/>
    <n v="0"/>
    <n v="0"/>
    <n v="0"/>
    <n v="0"/>
    <n v="0"/>
    <n v="0"/>
    <n v="0"/>
    <n v="0"/>
    <n v="0"/>
    <m/>
    <m/>
    <s v="Rest of Borough"/>
    <n v="14"/>
    <m/>
    <n v="0"/>
    <n v="0"/>
    <m/>
    <m/>
    <m/>
    <m/>
    <m/>
    <m/>
    <m/>
    <m/>
    <m/>
    <m/>
    <m/>
    <m/>
    <m/>
    <m/>
    <m/>
    <m/>
    <m/>
    <n v="0"/>
    <n v="0"/>
  </r>
  <r>
    <n v="6525"/>
    <x v="2"/>
    <s v="2017/1159"/>
    <s v="6 Leacroft Avenue"/>
    <s v=""/>
    <n v="527828"/>
    <n v="173720"/>
    <s v="Balham"/>
    <d v="2018-05-07T00:00:00"/>
    <m/>
    <n v="1"/>
    <n v="1"/>
    <n v="0"/>
    <n v="1"/>
    <n v="0"/>
    <m/>
    <s v="Demolition of existing building and erection of a three storey (plus basement with rear lightwell) 5-bedroom detached house."/>
    <s v="PF"/>
    <d v="2017-02-27T00:00:00"/>
    <d v="2017-07-03T00:00:00"/>
    <m/>
    <s v="Nil"/>
    <m/>
    <s v="BF"/>
    <s v="NB"/>
    <x v="2"/>
    <x v="1"/>
    <n v="4.02E-2"/>
    <d v="2018-05-07T00:00:00"/>
    <x v="0"/>
    <m/>
    <s v="Open Market"/>
    <s v="M"/>
    <s v=""/>
    <m/>
    <n v="0"/>
    <m/>
    <n v="0"/>
    <m/>
    <n v="0"/>
    <n v="0"/>
    <n v="0"/>
    <n v="-1"/>
    <n v="0"/>
    <n v="1"/>
    <n v="0"/>
    <n v="0"/>
    <n v="0"/>
    <n v="0"/>
    <n v="0"/>
    <n v="0"/>
    <n v="0"/>
    <n v="0"/>
    <n v="0"/>
    <n v="0"/>
    <n v="0"/>
    <n v="-1"/>
    <n v="0"/>
    <n v="1"/>
    <n v="0"/>
    <n v="0"/>
    <n v="0"/>
    <n v="0"/>
    <n v="0"/>
    <n v="0"/>
    <n v="0"/>
    <n v="0"/>
    <m/>
    <m/>
    <s v="Rest of Borough"/>
    <n v="3"/>
    <m/>
    <n v="0"/>
    <m/>
    <m/>
    <m/>
    <m/>
    <m/>
    <m/>
    <m/>
    <m/>
    <m/>
    <m/>
    <m/>
    <m/>
    <m/>
    <m/>
    <m/>
    <m/>
    <m/>
    <m/>
    <n v="0"/>
    <n v="0"/>
  </r>
  <r>
    <n v="7233"/>
    <x v="2"/>
    <s v="2019/3388"/>
    <s v="77 Broomwood Road"/>
    <s v=""/>
    <n v="527787"/>
    <n v="174343"/>
    <s v="Northcote"/>
    <d v="2023-03-31T00:00:00"/>
    <m/>
    <n v="3"/>
    <n v="3"/>
    <n v="0"/>
    <n v="4"/>
    <n v="1"/>
    <m/>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m/>
    <s v="Nil"/>
    <m/>
    <s v="BF"/>
    <s v="MIX"/>
    <x v="2"/>
    <x v="2"/>
    <n v="2.3E-2"/>
    <d v="2023-03-31T00:00:00"/>
    <x v="1"/>
    <m/>
    <s v="Open Market"/>
    <s v="M"/>
    <s v=""/>
    <m/>
    <n v="0"/>
    <m/>
    <n v="0"/>
    <m/>
    <n v="0"/>
    <n v="-2"/>
    <n v="3"/>
    <n v="-1"/>
    <n v="0"/>
    <n v="0"/>
    <n v="0"/>
    <n v="0"/>
    <n v="-2"/>
    <n v="3"/>
    <n v="-1"/>
    <n v="0"/>
    <n v="0"/>
    <n v="0"/>
    <n v="0"/>
    <n v="0"/>
    <n v="0"/>
    <n v="0"/>
    <n v="0"/>
    <n v="0"/>
    <n v="0"/>
    <n v="0"/>
    <n v="0"/>
    <n v="0"/>
    <n v="0"/>
    <n v="0"/>
    <n v="0"/>
    <n v="0"/>
    <m/>
    <m/>
    <s v="Rest of Borough"/>
    <n v="14"/>
    <m/>
    <n v="0"/>
    <n v="0"/>
    <m/>
    <m/>
    <m/>
    <m/>
    <m/>
    <m/>
    <m/>
    <m/>
    <m/>
    <m/>
    <m/>
    <m/>
    <m/>
    <m/>
    <m/>
    <m/>
    <m/>
    <n v="0"/>
    <n v="0"/>
  </r>
  <r>
    <n v="5554"/>
    <x v="2"/>
    <s v="2015/0277"/>
    <s v="Kerry Cottage, 1A Cambalt Road"/>
    <s v=""/>
    <n v="523841"/>
    <n v="174804"/>
    <s v="West Putney"/>
    <d v="2017-07-21T00:00:00"/>
    <m/>
    <n v="1"/>
    <n v="1"/>
    <n v="0"/>
    <n v="1"/>
    <n v="0"/>
    <m/>
    <s v="Demolition of existing building and erection of detached 2-storey house with accommodation at basement level; erection of east brick boundary wall."/>
    <s v="PF"/>
    <d v="2015-01-20T00:00:00"/>
    <d v="2015-03-17T00:00:00"/>
    <m/>
    <s v="Nil"/>
    <m/>
    <s v="BF"/>
    <s v="NB"/>
    <x v="2"/>
    <x v="1"/>
    <n v="2.3E-2"/>
    <d v="2017-07-21T00:00:00"/>
    <x v="0"/>
    <m/>
    <s v="Open Market"/>
    <s v="M"/>
    <s v=""/>
    <m/>
    <n v="0"/>
    <m/>
    <n v="0"/>
    <m/>
    <n v="0"/>
    <n v="0"/>
    <n v="0"/>
    <n v="-1"/>
    <n v="1"/>
    <n v="0"/>
    <n v="0"/>
    <n v="0"/>
    <n v="0"/>
    <n v="0"/>
    <n v="0"/>
    <n v="0"/>
    <n v="0"/>
    <n v="0"/>
    <n v="0"/>
    <n v="0"/>
    <n v="0"/>
    <n v="-1"/>
    <n v="1"/>
    <n v="0"/>
    <n v="0"/>
    <n v="0"/>
    <n v="0"/>
    <n v="0"/>
    <n v="0"/>
    <n v="0"/>
    <n v="0"/>
    <n v="0"/>
    <m/>
    <m/>
    <s v="Rest of Borough"/>
    <n v="3"/>
    <m/>
    <n v="0"/>
    <m/>
    <m/>
    <m/>
    <m/>
    <m/>
    <m/>
    <m/>
    <m/>
    <m/>
    <m/>
    <m/>
    <m/>
    <m/>
    <m/>
    <m/>
    <m/>
    <m/>
    <m/>
    <n v="0"/>
    <n v="0"/>
  </r>
  <r>
    <n v="7808"/>
    <x v="2"/>
    <s v="2022/0721"/>
    <s v="132 Earlsfield Road"/>
    <s v=""/>
    <n v="526318"/>
    <n v="173718"/>
    <s v="Wandle"/>
    <d v="2022-10-13T00:00:00"/>
    <m/>
    <n v="2"/>
    <n v="1"/>
    <n v="-1"/>
    <n v="1"/>
    <n v="-1"/>
    <m/>
    <s v="Alterations including erection of single-storey side/rear extension in connection with deconversion of two flats into a single dwelling house."/>
    <s v="PF"/>
    <d v="2022-02-15T00:00:00"/>
    <d v="2022-04-22T00:00:00"/>
    <s v="Y"/>
    <s v="Nil"/>
    <m/>
    <s v="BF"/>
    <s v="CON"/>
    <x v="2"/>
    <x v="8"/>
    <n v="8.0000000000000002E-3"/>
    <d v="2022-10-13T00:00:00"/>
    <x v="1"/>
    <m/>
    <s v="Open Market"/>
    <s v="M"/>
    <s v=""/>
    <m/>
    <n v="0"/>
    <m/>
    <n v="0"/>
    <m/>
    <n v="0"/>
    <n v="-1"/>
    <n v="0"/>
    <n v="-1"/>
    <n v="0"/>
    <n v="1"/>
    <n v="0"/>
    <n v="0"/>
    <n v="-1"/>
    <n v="0"/>
    <n v="-1"/>
    <n v="0"/>
    <n v="0"/>
    <n v="0"/>
    <n v="0"/>
    <n v="0"/>
    <n v="0"/>
    <n v="0"/>
    <n v="0"/>
    <n v="1"/>
    <n v="0"/>
    <n v="0"/>
    <n v="0"/>
    <n v="0"/>
    <n v="0"/>
    <n v="0"/>
    <n v="0"/>
    <n v="0"/>
    <m/>
    <m/>
    <s v="Rest of Borough"/>
    <n v="14"/>
    <m/>
    <n v="-0.5"/>
    <n v="-0.5"/>
    <m/>
    <m/>
    <m/>
    <m/>
    <m/>
    <m/>
    <m/>
    <m/>
    <m/>
    <m/>
    <m/>
    <m/>
    <m/>
    <m/>
    <m/>
    <m/>
    <m/>
    <n v="-1"/>
    <n v="-1"/>
  </r>
  <r>
    <n v="7317"/>
    <x v="2"/>
    <s v="2019/5000"/>
    <s v="252-254 Upper Tooting Road"/>
    <s v=""/>
    <n v="527570"/>
    <n v="171707"/>
    <s v="Tooting Bec"/>
    <d v="2022-11-11T00:00:00"/>
    <m/>
    <n v="1"/>
    <n v="0"/>
    <n v="-1"/>
    <n v="0"/>
    <n v="-1"/>
    <m/>
    <s v="Erection a four-storey rear extension (approximately 12m in height). Change of use from a 1 x House of Multiple Occupation (HMO - 6 rooms) in to 1x HMO (18 rooms), while existing flats (1x studio, 1 x 1-bedroom flat and 2 x 2-bedroom flats) are to be retained."/>
    <s v="PF"/>
    <d v="2019-12-05T00:00:00"/>
    <d v="2020-02-18T00:00:00"/>
    <m/>
    <s v="Nil"/>
    <m/>
    <s v="BF"/>
    <s v="MIX"/>
    <x v="2"/>
    <x v="12"/>
    <n v="0.10100000000000001"/>
    <d v="2022-11-11T00:00:00"/>
    <x v="1"/>
    <m/>
    <s v="Open Market"/>
    <s v="M"/>
    <s v=""/>
    <m/>
    <n v="0"/>
    <m/>
    <n v="0"/>
    <m/>
    <n v="0"/>
    <n v="0"/>
    <n v="0"/>
    <n v="0"/>
    <n v="0"/>
    <n v="-1"/>
    <n v="0"/>
    <n v="0"/>
    <n v="0"/>
    <n v="0"/>
    <n v="0"/>
    <n v="0"/>
    <n v="-1"/>
    <n v="0"/>
    <n v="0"/>
    <n v="0"/>
    <n v="0"/>
    <n v="0"/>
    <n v="0"/>
    <n v="0"/>
    <n v="0"/>
    <n v="0"/>
    <n v="0"/>
    <n v="0"/>
    <n v="0"/>
    <n v="0"/>
    <n v="0"/>
    <n v="0"/>
    <s v="Tooting"/>
    <m/>
    <s v="Tooting"/>
    <n v="14"/>
    <m/>
    <n v="-0.5"/>
    <n v="-0.5"/>
    <m/>
    <m/>
    <m/>
    <m/>
    <m/>
    <m/>
    <m/>
    <m/>
    <m/>
    <m/>
    <m/>
    <m/>
    <m/>
    <m/>
    <m/>
    <m/>
    <m/>
    <n v="-1"/>
    <n v="-1"/>
  </r>
  <r>
    <n v="7624"/>
    <x v="2"/>
    <s v="2021/3621"/>
    <s v="26 Dalebury Road"/>
    <s v=""/>
    <n v="527535"/>
    <n v="172689"/>
    <s v="Trinity"/>
    <d v="2023-03-31T00:00:00"/>
    <m/>
    <n v="2"/>
    <n v="1"/>
    <n v="-1"/>
    <n v="1"/>
    <n v="-1"/>
    <m/>
    <s v="Conversion of two flats into single dwelling house."/>
    <s v="PF"/>
    <d v="2021-08-02T00:00:00"/>
    <d v="2021-12-15T00:00:00"/>
    <m/>
    <s v="Nil"/>
    <m/>
    <s v="BF"/>
    <s v="CON"/>
    <x v="2"/>
    <x v="8"/>
    <n v="8.7226600000000001E-3"/>
    <d v="2023-03-31T00:00:00"/>
    <x v="1"/>
    <m/>
    <s v="Unknown"/>
    <s v="U"/>
    <s v=""/>
    <m/>
    <n v="0"/>
    <m/>
    <n v="0"/>
    <m/>
    <n v="0"/>
    <n v="0"/>
    <n v="-1"/>
    <n v="0"/>
    <n v="0"/>
    <n v="0"/>
    <n v="0"/>
    <n v="0"/>
    <n v="0"/>
    <n v="-1"/>
    <n v="0"/>
    <n v="0"/>
    <n v="-1"/>
    <n v="0"/>
    <n v="0"/>
    <n v="0"/>
    <n v="0"/>
    <n v="0"/>
    <n v="0"/>
    <n v="1"/>
    <n v="0"/>
    <n v="0"/>
    <n v="0"/>
    <n v="0"/>
    <n v="0"/>
    <n v="0"/>
    <n v="0"/>
    <n v="0"/>
    <m/>
    <m/>
    <s v="Rest of Borough"/>
    <n v="14"/>
    <m/>
    <n v="-0.5"/>
    <n v="-0.5"/>
    <m/>
    <m/>
    <m/>
    <m/>
    <m/>
    <m/>
    <m/>
    <m/>
    <m/>
    <m/>
    <m/>
    <m/>
    <m/>
    <m/>
    <m/>
    <m/>
    <m/>
    <n v="-1"/>
    <n v="-1"/>
  </r>
  <r>
    <n v="4793"/>
    <x v="2"/>
    <s v="2020/4678"/>
    <s v="75 Clapham Common North Side"/>
    <s v=""/>
    <n v="528375"/>
    <n v="175229"/>
    <s v="Lavender"/>
    <d v="2023-03-31T00:00:00"/>
    <m/>
    <n v="2"/>
    <n v="1"/>
    <n v="-1"/>
    <n v="1"/>
    <n v="-1"/>
    <m/>
    <s v="Conversion of the property from two flats into a 6-bedroom single dwellinghouse."/>
    <s v="PF"/>
    <d v="2020-12-02T00:00:00"/>
    <d v="2021-02-19T00:00:00"/>
    <m/>
    <s v="Nil"/>
    <m/>
    <s v="BF"/>
    <s v="CON"/>
    <x v="2"/>
    <x v="8"/>
    <n v="0.02"/>
    <d v="2023-03-31T00:00:00"/>
    <x v="1"/>
    <m/>
    <s v="Open Market"/>
    <s v="M"/>
    <s v=""/>
    <m/>
    <n v="0"/>
    <m/>
    <n v="0"/>
    <m/>
    <n v="0"/>
    <n v="-1"/>
    <n v="0"/>
    <n v="0"/>
    <n v="0"/>
    <n v="0"/>
    <n v="0"/>
    <n v="0"/>
    <n v="-1"/>
    <n v="0"/>
    <n v="0"/>
    <n v="0"/>
    <n v="-1"/>
    <n v="0"/>
    <n v="0"/>
    <n v="0"/>
    <n v="0"/>
    <n v="0"/>
    <n v="0"/>
    <n v="1"/>
    <n v="0"/>
    <n v="0"/>
    <n v="0"/>
    <n v="0"/>
    <n v="0"/>
    <n v="0"/>
    <n v="0"/>
    <n v="0"/>
    <m/>
    <m/>
    <s v="Rest of Borough"/>
    <n v="14"/>
    <m/>
    <n v="-0.5"/>
    <n v="-0.5"/>
    <m/>
    <m/>
    <m/>
    <m/>
    <m/>
    <m/>
    <m/>
    <m/>
    <m/>
    <m/>
    <m/>
    <m/>
    <m/>
    <m/>
    <m/>
    <m/>
    <m/>
    <n v="-1"/>
    <n v="-1"/>
  </r>
  <r>
    <n v="7807"/>
    <x v="2"/>
    <s v="2022/0157"/>
    <s v="Cyril Mansions, 8 &amp; 8a Prince of Wales Drive"/>
    <s v=""/>
    <n v="527872"/>
    <n v="176682"/>
    <s v="Battersea Park"/>
    <d v="2022-10-13T00:00:00"/>
    <m/>
    <n v="2"/>
    <n v="1"/>
    <n v="-1"/>
    <n v="1"/>
    <n v="-1"/>
    <m/>
    <s v="Alterations to convert 1-bedrom flat and studio flat into a 2-bedroom flat."/>
    <s v="PF"/>
    <d v="2022-06-16T00:00:00"/>
    <d v="2022-08-11T00:00:00"/>
    <s v="Y"/>
    <s v="Nil"/>
    <m/>
    <s v="BF"/>
    <s v="CON"/>
    <x v="2"/>
    <x v="9"/>
    <n v="0.01"/>
    <d v="2022-10-13T00:00:00"/>
    <x v="1"/>
    <m/>
    <s v="Open Market"/>
    <s v="M"/>
    <s v=""/>
    <m/>
    <n v="0"/>
    <m/>
    <n v="0"/>
    <m/>
    <n v="-1"/>
    <n v="-1"/>
    <n v="1"/>
    <n v="0"/>
    <n v="0"/>
    <n v="0"/>
    <n v="0"/>
    <n v="-1"/>
    <n v="-1"/>
    <n v="1"/>
    <n v="0"/>
    <n v="0"/>
    <n v="0"/>
    <n v="0"/>
    <n v="0"/>
    <n v="0"/>
    <n v="0"/>
    <n v="0"/>
    <n v="0"/>
    <n v="0"/>
    <n v="0"/>
    <n v="0"/>
    <n v="0"/>
    <n v="0"/>
    <n v="0"/>
    <n v="0"/>
    <n v="0"/>
    <n v="0"/>
    <m/>
    <m/>
    <s v="Wandsworth riverside"/>
    <n v="14"/>
    <m/>
    <n v="-0.5"/>
    <n v="-0.5"/>
    <m/>
    <m/>
    <m/>
    <m/>
    <m/>
    <m/>
    <m/>
    <m/>
    <m/>
    <m/>
    <m/>
    <m/>
    <m/>
    <m/>
    <m/>
    <m/>
    <m/>
    <n v="-1"/>
    <n v="-1"/>
  </r>
  <r>
    <n v="7626"/>
    <x v="2"/>
    <s v="2021/4938"/>
    <s v="11 Spencer Park"/>
    <s v=""/>
    <n v="526794"/>
    <n v="174584"/>
    <s v="Wandsworth Town"/>
    <d v="2022-05-26T00:00:00"/>
    <m/>
    <n v="2"/>
    <n v="1"/>
    <n v="-1"/>
    <n v="1"/>
    <n v="-1"/>
    <m/>
    <s v="Change of use of property from a basement flat and maisonette to a single dwelling house (Use Class C3)."/>
    <s v="PF"/>
    <d v="2021-11-12T00:00:00"/>
    <d v="2022-01-07T00:00:00"/>
    <m/>
    <s v="Nil"/>
    <m/>
    <s v="BF"/>
    <s v="CON"/>
    <x v="2"/>
    <x v="8"/>
    <n v="2E-3"/>
    <d v="2022-05-26T00:00:00"/>
    <x v="1"/>
    <m/>
    <s v="Open Market"/>
    <s v="M"/>
    <s v=""/>
    <m/>
    <n v="0"/>
    <m/>
    <n v="0"/>
    <m/>
    <n v="0"/>
    <n v="-1"/>
    <n v="0"/>
    <n v="0"/>
    <n v="0"/>
    <n v="0"/>
    <n v="0"/>
    <n v="0"/>
    <n v="-1"/>
    <n v="0"/>
    <n v="0"/>
    <n v="0"/>
    <n v="-1"/>
    <n v="0"/>
    <n v="0"/>
    <n v="0"/>
    <n v="0"/>
    <n v="0"/>
    <n v="0"/>
    <n v="1"/>
    <n v="0"/>
    <n v="0"/>
    <n v="0"/>
    <n v="0"/>
    <n v="0"/>
    <n v="0"/>
    <n v="0"/>
    <n v="0"/>
    <m/>
    <m/>
    <s v="Rest of Borough"/>
    <n v="13"/>
    <m/>
    <n v="-1"/>
    <m/>
    <m/>
    <m/>
    <m/>
    <m/>
    <m/>
    <m/>
    <m/>
    <m/>
    <m/>
    <m/>
    <m/>
    <m/>
    <m/>
    <m/>
    <m/>
    <m/>
    <m/>
    <n v="-1"/>
    <n v="-1"/>
  </r>
  <r>
    <n v="7848"/>
    <x v="2"/>
    <s v="2022/3863"/>
    <s v="302 Trinity Road"/>
    <s v=""/>
    <n v="527025"/>
    <n v="173893"/>
    <s v="Wandsworth Common"/>
    <d v="2023-03-31T00:00:00"/>
    <m/>
    <n v="3"/>
    <n v="1"/>
    <n v="-2"/>
    <n v="1"/>
    <n v="-2"/>
    <m/>
    <s v="Conversion of property into a 4-bedroom house."/>
    <s v="PF"/>
    <d v="2022-10-08T00:00:00"/>
    <d v="2022-12-01T00:00:00"/>
    <s v="Y"/>
    <s v="Nil"/>
    <m/>
    <s v="BF"/>
    <s v="CON"/>
    <x v="2"/>
    <x v="8"/>
    <n v="6.8999999999999999E-3"/>
    <d v="2023-03-31T00:00:00"/>
    <x v="1"/>
    <m/>
    <s v="Open Market"/>
    <s v="M"/>
    <s v=""/>
    <m/>
    <n v="0"/>
    <m/>
    <n v="0"/>
    <m/>
    <n v="0"/>
    <n v="-3"/>
    <n v="0"/>
    <n v="0"/>
    <n v="1"/>
    <n v="0"/>
    <n v="0"/>
    <n v="0"/>
    <n v="-3"/>
    <n v="0"/>
    <n v="0"/>
    <n v="0"/>
    <n v="0"/>
    <n v="0"/>
    <n v="0"/>
    <n v="0"/>
    <n v="0"/>
    <n v="0"/>
    <n v="1"/>
    <n v="0"/>
    <n v="0"/>
    <n v="0"/>
    <n v="0"/>
    <n v="0"/>
    <n v="0"/>
    <n v="0"/>
    <n v="0"/>
    <n v="0"/>
    <m/>
    <m/>
    <s v="Rest of Borough"/>
    <n v="14"/>
    <m/>
    <n v="-1"/>
    <n v="-1"/>
    <m/>
    <m/>
    <m/>
    <m/>
    <m/>
    <m/>
    <m/>
    <m/>
    <m/>
    <m/>
    <m/>
    <m/>
    <m/>
    <m/>
    <m/>
    <m/>
    <m/>
    <n v="-2"/>
    <n v="-2"/>
  </r>
  <r>
    <n v="5875"/>
    <x v="2"/>
    <s v="2015/0599"/>
    <s v="31 &amp; 32 Centurion Building, 376 Queenstown Road (Chelsea Bridge Wharf)"/>
    <s v=""/>
    <n v="528631"/>
    <n v="177662"/>
    <s v="Battersea Park"/>
    <d v="2019-03-21T00:00:00"/>
    <m/>
    <n v="2"/>
    <n v="1"/>
    <n v="-1"/>
    <n v="1"/>
    <n v="-1"/>
    <m/>
    <s v="Internal alterations to convert apartments 31 and 32 into one self contained unit (Class Use C3)."/>
    <s v="PF"/>
    <d v="2015-02-18T00:00:00"/>
    <d v="2015-03-25T00:00:00"/>
    <m/>
    <s v="Nil"/>
    <m/>
    <s v="BF"/>
    <s v="CON"/>
    <x v="2"/>
    <x v="9"/>
    <n v="1.6E-2"/>
    <d v="2019-03-21T00:00:00"/>
    <x v="0"/>
    <m/>
    <s v="Open Market"/>
    <s v="M"/>
    <s v=""/>
    <m/>
    <n v="0"/>
    <m/>
    <n v="0"/>
    <m/>
    <n v="0"/>
    <n v="0"/>
    <n v="-2"/>
    <n v="1"/>
    <n v="0"/>
    <n v="0"/>
    <n v="0"/>
    <n v="0"/>
    <n v="0"/>
    <n v="-2"/>
    <n v="1"/>
    <n v="0"/>
    <n v="0"/>
    <n v="0"/>
    <n v="0"/>
    <n v="0"/>
    <n v="0"/>
    <n v="0"/>
    <n v="0"/>
    <n v="0"/>
    <n v="0"/>
    <n v="0"/>
    <n v="0"/>
    <n v="0"/>
    <n v="0"/>
    <n v="0"/>
    <n v="0"/>
    <n v="0"/>
    <m/>
    <s v="Y"/>
    <s v="Nine Elms Vauxhall Opportunity Area"/>
    <n v="13"/>
    <m/>
    <n v="-1"/>
    <m/>
    <m/>
    <m/>
    <m/>
    <m/>
    <m/>
    <m/>
    <m/>
    <m/>
    <m/>
    <m/>
    <m/>
    <m/>
    <m/>
    <m/>
    <m/>
    <m/>
    <m/>
    <n v="-1"/>
    <n v="-1"/>
  </r>
  <r>
    <n v="6794"/>
    <x v="2"/>
    <s v="2021/0769"/>
    <s v="35 Fullerton Road"/>
    <s v=""/>
    <n v="526068"/>
    <n v="174820"/>
    <s v="Wandsworth Town"/>
    <d v="2022-03-01T00:00:00"/>
    <m/>
    <n v="2"/>
    <n v="1"/>
    <n v="-1"/>
    <n v="1"/>
    <n v="-1"/>
    <m/>
    <s v="Alterations including erection of a mansard roof extension to main rear roof including raising the ridge by 160mm, and extension above part of the two storey back addition; Erection of a part single/part two-storey rear and side addition; Increase to height of flank wall; Installation of a new front entrance door including associated relocation of front bay window at ground floor, and ground floor side entrance door to be replaced by window; In association with conversion of 2 x flats back to a single dwelling."/>
    <s v="PF"/>
    <d v="2021-03-19T00:00:00"/>
    <d v="2021-05-12T00:00:00"/>
    <m/>
    <s v="Nil"/>
    <m/>
    <s v="BF"/>
    <s v="CON"/>
    <x v="2"/>
    <x v="8"/>
    <n v="1.2999999999999999E-2"/>
    <d v="2022-03-01T00:00:00"/>
    <x v="0"/>
    <m/>
    <s v="Open Market"/>
    <s v="M"/>
    <s v=""/>
    <m/>
    <n v="0"/>
    <m/>
    <n v="0"/>
    <m/>
    <n v="0"/>
    <n v="-2"/>
    <n v="0"/>
    <n v="0"/>
    <n v="1"/>
    <n v="0"/>
    <n v="0"/>
    <n v="0"/>
    <n v="-2"/>
    <n v="0"/>
    <n v="0"/>
    <n v="0"/>
    <n v="0"/>
    <n v="0"/>
    <n v="0"/>
    <n v="0"/>
    <n v="0"/>
    <n v="0"/>
    <n v="1"/>
    <n v="0"/>
    <n v="0"/>
    <n v="0"/>
    <n v="0"/>
    <n v="0"/>
    <n v="0"/>
    <n v="0"/>
    <n v="0"/>
    <n v="0"/>
    <m/>
    <m/>
    <s v="Rest of Borough"/>
    <n v="13"/>
    <m/>
    <n v="-1"/>
    <m/>
    <m/>
    <m/>
    <m/>
    <m/>
    <m/>
    <m/>
    <m/>
    <m/>
    <m/>
    <m/>
    <m/>
    <m/>
    <m/>
    <m/>
    <m/>
    <m/>
    <m/>
    <n v="-1"/>
    <n v="-1"/>
  </r>
  <r>
    <n v="6153"/>
    <x v="2"/>
    <s v="2021/2524"/>
    <s v="58 Rowfant Road"/>
    <s v=""/>
    <n v="528193"/>
    <n v="172920"/>
    <s v="Trinity"/>
    <d v="2021-03-31T00:00:00"/>
    <m/>
    <n v="2"/>
    <n v="1"/>
    <n v="-1"/>
    <n v="1"/>
    <n v="-1"/>
    <m/>
    <s v="Change of use from two flats into a single family dwelling"/>
    <s v="PF"/>
    <d v="2021-06-11T00:00:00"/>
    <d v="2021-08-06T00:00:00"/>
    <m/>
    <s v="Nil"/>
    <m/>
    <s v="BF"/>
    <s v="CON"/>
    <x v="2"/>
    <x v="8"/>
    <n v="5.1166600000000003E-3"/>
    <d v="2021-03-31T00:00:00"/>
    <x v="0"/>
    <m/>
    <s v="Open Market"/>
    <s v="MR"/>
    <s v=""/>
    <m/>
    <n v="0"/>
    <m/>
    <n v="0"/>
    <m/>
    <n v="0"/>
    <n v="-1"/>
    <n v="0"/>
    <n v="-1"/>
    <n v="1"/>
    <n v="0"/>
    <n v="0"/>
    <n v="0"/>
    <n v="-1"/>
    <n v="0"/>
    <n v="-1"/>
    <n v="0"/>
    <n v="0"/>
    <n v="0"/>
    <n v="0"/>
    <n v="0"/>
    <n v="0"/>
    <n v="0"/>
    <n v="1"/>
    <n v="0"/>
    <n v="0"/>
    <n v="0"/>
    <n v="0"/>
    <n v="0"/>
    <n v="0"/>
    <n v="0"/>
    <n v="0"/>
    <n v="0"/>
    <m/>
    <m/>
    <s v="Rest of Borough"/>
    <n v="13"/>
    <m/>
    <n v="-1"/>
    <m/>
    <m/>
    <m/>
    <m/>
    <m/>
    <m/>
    <m/>
    <m/>
    <m/>
    <m/>
    <m/>
    <m/>
    <m/>
    <m/>
    <m/>
    <m/>
    <m/>
    <m/>
    <n v="-1"/>
    <n v="-1"/>
  </r>
  <r>
    <n v="4686"/>
    <x v="2"/>
    <s v="2020/4633"/>
    <s v="75 Bennerley Road"/>
    <s v=""/>
    <n v="527471"/>
    <n v="174831"/>
    <s v="Northcote"/>
    <d v="2023-03-31T00:00:00"/>
    <m/>
    <n v="2"/>
    <n v="1"/>
    <n v="-1"/>
    <n v="1"/>
    <n v="-1"/>
    <m/>
    <s v="Change of use of basement and upper floor flat into a single dwelling"/>
    <s v="PF"/>
    <d v="2021-01-12T00:00:00"/>
    <d v="2021-03-09T00:00:00"/>
    <m/>
    <s v="Nil"/>
    <m/>
    <s v="BF"/>
    <s v="CON"/>
    <x v="2"/>
    <x v="8"/>
    <n v="1.2E-2"/>
    <d v="2023-03-31T00:00:00"/>
    <x v="1"/>
    <m/>
    <s v="Open Market"/>
    <s v="M"/>
    <s v=""/>
    <m/>
    <n v="0"/>
    <m/>
    <n v="0"/>
    <m/>
    <n v="0"/>
    <n v="-1"/>
    <n v="0"/>
    <n v="0"/>
    <n v="-1"/>
    <n v="1"/>
    <n v="0"/>
    <n v="0"/>
    <n v="-1"/>
    <n v="0"/>
    <n v="0"/>
    <n v="-1"/>
    <n v="0"/>
    <n v="0"/>
    <n v="0"/>
    <n v="0"/>
    <n v="0"/>
    <n v="0"/>
    <n v="0"/>
    <n v="1"/>
    <n v="0"/>
    <n v="0"/>
    <n v="0"/>
    <n v="0"/>
    <n v="0"/>
    <n v="0"/>
    <n v="0"/>
    <n v="0"/>
    <m/>
    <m/>
    <s v="Clapham Junction Spatial Area Strategy"/>
    <n v="5"/>
    <m/>
    <n v="-1"/>
    <m/>
    <m/>
    <m/>
    <m/>
    <m/>
    <m/>
    <m/>
    <m/>
    <m/>
    <m/>
    <m/>
    <m/>
    <m/>
    <m/>
    <m/>
    <m/>
    <m/>
    <m/>
    <n v="-1"/>
    <n v="-1"/>
  </r>
  <r>
    <n v="7005"/>
    <x v="2"/>
    <s v="2018/3634"/>
    <s v="26 Drakefield Road"/>
    <s v=""/>
    <n v="528240"/>
    <n v="172415"/>
    <s v="South Balham"/>
    <d v="2021-04-01T00:00:00"/>
    <m/>
    <n v="3"/>
    <n v="1"/>
    <n v="-2"/>
    <n v="1"/>
    <n v="-2"/>
    <m/>
    <s v="Alterations including the erection of a single storey side and rear extension; conversion of building from 1 x 1 bedroom and 2 x 2 bedroom flats into a single dwellinghouse."/>
    <s v="PF"/>
    <d v="2018-08-13T00:00:00"/>
    <d v="2018-10-05T00:00:00"/>
    <m/>
    <s v="Nil"/>
    <m/>
    <s v="BF"/>
    <s v="MIX"/>
    <x v="2"/>
    <x v="8"/>
    <n v="2.3E-2"/>
    <d v="2021-04-01T00:00:00"/>
    <x v="0"/>
    <m/>
    <s v="Open Market"/>
    <s v="M"/>
    <s v=""/>
    <m/>
    <n v="0"/>
    <m/>
    <n v="0"/>
    <m/>
    <n v="0"/>
    <n v="-1"/>
    <n v="-2"/>
    <n v="0"/>
    <n v="1"/>
    <n v="0"/>
    <n v="0"/>
    <n v="0"/>
    <n v="-1"/>
    <n v="-2"/>
    <n v="0"/>
    <n v="0"/>
    <n v="0"/>
    <n v="0"/>
    <n v="0"/>
    <n v="0"/>
    <n v="0"/>
    <n v="0"/>
    <n v="1"/>
    <n v="0"/>
    <n v="0"/>
    <n v="0"/>
    <n v="0"/>
    <n v="0"/>
    <n v="0"/>
    <n v="0"/>
    <n v="0"/>
    <n v="0"/>
    <m/>
    <m/>
    <s v="Rest of Borough"/>
    <n v="13"/>
    <m/>
    <n v="-2"/>
    <m/>
    <m/>
    <m/>
    <m/>
    <m/>
    <m/>
    <m/>
    <m/>
    <m/>
    <m/>
    <m/>
    <m/>
    <m/>
    <m/>
    <m/>
    <m/>
    <m/>
    <m/>
    <n v="-2"/>
    <n v="-2"/>
  </r>
  <r>
    <n v="7673"/>
    <x v="2"/>
    <s v="2021/2779"/>
    <s v="307 Trinity Road"/>
    <s v=""/>
    <n v="527055"/>
    <n v="173767"/>
    <s v="Wandsworth Common"/>
    <d v="2022-04-01T00:00:00"/>
    <m/>
    <n v="3"/>
    <n v="1"/>
    <n v="-2"/>
    <n v="1"/>
    <n v="-2"/>
    <m/>
    <s v="Alterations including erection of roof extension with side and rear dormers, erection of part single part two storey rear extension with first floor rear roof-terrace, excavation to enlarge basement, formation of vehicle crossover and formation of hardstanding in front garden and erection of single storey outbuilding in rear garden in connection with conversion of existing flats into single dwelling house."/>
    <s v="PF"/>
    <d v="2021-06-24T00:00:00"/>
    <d v="2021-12-22T00:00:00"/>
    <m/>
    <s v="Nil"/>
    <m/>
    <s v="BF"/>
    <s v="MIX"/>
    <x v="2"/>
    <x v="8"/>
    <n v="8.0000000000000002E-3"/>
    <d v="2022-04-01T00:00:00"/>
    <x v="1"/>
    <m/>
    <s v="Open Market"/>
    <s v="M"/>
    <s v=""/>
    <m/>
    <n v="0"/>
    <m/>
    <n v="0"/>
    <m/>
    <n v="0"/>
    <n v="-2"/>
    <n v="-1"/>
    <n v="0"/>
    <n v="0"/>
    <n v="1"/>
    <n v="0"/>
    <n v="0"/>
    <n v="-2"/>
    <n v="-1"/>
    <n v="0"/>
    <n v="0"/>
    <n v="0"/>
    <n v="0"/>
    <n v="0"/>
    <n v="0"/>
    <n v="0"/>
    <n v="0"/>
    <n v="0"/>
    <n v="1"/>
    <n v="0"/>
    <n v="0"/>
    <n v="0"/>
    <n v="0"/>
    <n v="0"/>
    <n v="0"/>
    <n v="0"/>
    <n v="0"/>
    <m/>
    <m/>
    <s v="Rest of Borough"/>
    <n v="13"/>
    <m/>
    <n v="-2"/>
    <m/>
    <m/>
    <m/>
    <m/>
    <m/>
    <m/>
    <m/>
    <m/>
    <m/>
    <m/>
    <m/>
    <m/>
    <m/>
    <m/>
    <m/>
    <m/>
    <m/>
    <m/>
    <n v="-2"/>
    <n v="-2"/>
  </r>
  <r>
    <n v="4257"/>
    <x v="2"/>
    <s v="2021/4289"/>
    <s v="50-52 Upper Tooting Road"/>
    <s v=""/>
    <n v="527846"/>
    <n v="172221"/>
    <s v="Tooting Bec"/>
    <d v="2022-03-31T00:00:00"/>
    <m/>
    <n v="2"/>
    <n v="0"/>
    <n v="-2"/>
    <n v="0"/>
    <n v="-2"/>
    <m/>
    <s v="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
    <s v="PF"/>
    <d v="2021-10-08T00:00:00"/>
    <d v="2022-02-03T00:00:00"/>
    <m/>
    <s v="Nil"/>
    <m/>
    <s v="BF"/>
    <s v="MIX"/>
    <x v="2"/>
    <x v="2"/>
    <n v="0"/>
    <d v="2022-03-31T00:00:00"/>
    <x v="0"/>
    <m/>
    <s v="Open Market"/>
    <s v="MR"/>
    <s v=""/>
    <m/>
    <n v="0"/>
    <m/>
    <n v="0"/>
    <m/>
    <n v="0"/>
    <n v="0"/>
    <n v="0"/>
    <n v="0"/>
    <n v="0"/>
    <n v="-2"/>
    <n v="0"/>
    <n v="0"/>
    <n v="0"/>
    <n v="0"/>
    <n v="0"/>
    <n v="0"/>
    <n v="-2"/>
    <n v="0"/>
    <n v="0"/>
    <n v="0"/>
    <n v="0"/>
    <n v="0"/>
    <n v="0"/>
    <n v="0"/>
    <n v="0"/>
    <n v="0"/>
    <n v="0"/>
    <n v="0"/>
    <n v="0"/>
    <n v="0"/>
    <n v="0"/>
    <n v="0"/>
    <m/>
    <m/>
    <s v="Rest of Borough"/>
    <n v="13"/>
    <m/>
    <n v="-2"/>
    <m/>
    <m/>
    <m/>
    <m/>
    <m/>
    <m/>
    <m/>
    <m/>
    <m/>
    <m/>
    <m/>
    <m/>
    <m/>
    <m/>
    <m/>
    <m/>
    <m/>
    <m/>
    <n v="-2"/>
    <n v="-2"/>
  </r>
  <r>
    <n v="7235"/>
    <x v="2"/>
    <s v="2019/3539"/>
    <s v="95-97 Putney High Street"/>
    <s v=""/>
    <n v="524049"/>
    <n v="175301"/>
    <s v="Thamesfield"/>
    <d v="2022-01-17T00:00:00"/>
    <m/>
    <n v="2"/>
    <n v="0"/>
    <n v="-2"/>
    <n v="0"/>
    <n v="-2"/>
    <m/>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m/>
    <s v="Nil"/>
    <m/>
    <s v="BF"/>
    <s v="MIX"/>
    <x v="2"/>
    <x v="12"/>
    <n v="1.9E-2"/>
    <d v="2022-01-17T00:00:00"/>
    <x v="0"/>
    <m/>
    <s v="Open Market"/>
    <s v="M"/>
    <s v=""/>
    <m/>
    <n v="0"/>
    <m/>
    <n v="0"/>
    <m/>
    <n v="0"/>
    <n v="0"/>
    <n v="0"/>
    <n v="0"/>
    <n v="-2"/>
    <n v="0"/>
    <n v="0"/>
    <n v="0"/>
    <n v="0"/>
    <n v="0"/>
    <n v="0"/>
    <n v="-2"/>
    <n v="0"/>
    <n v="0"/>
    <n v="0"/>
    <n v="0"/>
    <n v="0"/>
    <n v="0"/>
    <n v="0"/>
    <n v="0"/>
    <n v="0"/>
    <n v="0"/>
    <n v="0"/>
    <n v="0"/>
    <n v="0"/>
    <n v="0"/>
    <n v="0"/>
    <n v="0"/>
    <s v="Putney"/>
    <m/>
    <s v="Putney Town Centre"/>
    <n v="13"/>
    <m/>
    <n v="-2"/>
    <m/>
    <m/>
    <m/>
    <m/>
    <m/>
    <m/>
    <m/>
    <m/>
    <m/>
    <m/>
    <m/>
    <m/>
    <m/>
    <m/>
    <m/>
    <m/>
    <m/>
    <m/>
    <n v="-2"/>
    <n v="-2"/>
  </r>
  <r>
    <n v="6311"/>
    <x v="2"/>
    <s v="2016/6287"/>
    <s v="25 Crockerton Road"/>
    <s v=""/>
    <n v="527604"/>
    <n v="172607"/>
    <s v="Trinity"/>
    <d v="2017-11-08T00:00:00"/>
    <m/>
    <n v="4"/>
    <n v="1"/>
    <n v="-3"/>
    <n v="1"/>
    <n v="-3"/>
    <m/>
    <s v="Alterations in connection with the conversion of the property from four flats (2 x 1-bedroom and 2 x 2-bedroom) to a single dwellinghouse (seven-bedroom). Formation of rear roof terrace at main roof level with 1.1m high balustrade."/>
    <s v="PF"/>
    <d v="2016-10-27T00:00:00"/>
    <d v="2016-12-21T00:00:00"/>
    <m/>
    <s v="Nil"/>
    <m/>
    <s v="BF"/>
    <s v="CON"/>
    <x v="2"/>
    <x v="8"/>
    <n v="2.8000000000000001E-2"/>
    <d v="2017-11-08T00:00:00"/>
    <x v="0"/>
    <m/>
    <s v="Open Market"/>
    <s v="M"/>
    <s v=""/>
    <m/>
    <n v="0"/>
    <m/>
    <n v="0"/>
    <m/>
    <n v="0"/>
    <n v="-2"/>
    <n v="-2"/>
    <n v="0"/>
    <n v="0"/>
    <n v="1"/>
    <n v="0"/>
    <n v="0"/>
    <n v="-2"/>
    <n v="-2"/>
    <n v="0"/>
    <n v="0"/>
    <n v="0"/>
    <n v="0"/>
    <n v="0"/>
    <n v="0"/>
    <n v="0"/>
    <n v="0"/>
    <n v="0"/>
    <n v="1"/>
    <n v="0"/>
    <n v="0"/>
    <n v="0"/>
    <n v="0"/>
    <n v="0"/>
    <n v="0"/>
    <n v="0"/>
    <n v="0"/>
    <m/>
    <m/>
    <s v="Rest of Borough"/>
    <n v="13"/>
    <m/>
    <n v="-3"/>
    <m/>
    <m/>
    <m/>
    <m/>
    <m/>
    <m/>
    <m/>
    <m/>
    <m/>
    <m/>
    <m/>
    <m/>
    <m/>
    <m/>
    <m/>
    <m/>
    <m/>
    <m/>
    <n v="-3"/>
    <n v="-3"/>
  </r>
  <r>
    <n v="3046"/>
    <x v="2"/>
    <s v="2021/2164"/>
    <s v="55 Brodrick Road"/>
    <s v=""/>
    <n v="527378"/>
    <n v="172911"/>
    <s v="Trinity"/>
    <d v="2022-06-28T00:00:00"/>
    <m/>
    <n v="5"/>
    <n v="1"/>
    <n v="-4"/>
    <n v="1"/>
    <n v="-4"/>
    <m/>
    <s v="Alterations including erection of dormer roof extension to side roof, single storey rear and side extension, first floor rear extension and installation of replacement fenestration in connection with conversion of 5 flats into single dwellinghouse."/>
    <s v="PF"/>
    <d v="2021-05-06T00:00:00"/>
    <d v="2021-08-09T00:00:00"/>
    <m/>
    <s v="Nil"/>
    <m/>
    <s v="BF"/>
    <s v="MIX"/>
    <x v="2"/>
    <x v="8"/>
    <n v="6.4749999999999999E-3"/>
    <d v="2022-06-28T00:00:00"/>
    <x v="1"/>
    <m/>
    <s v="Open Market"/>
    <s v="M"/>
    <s v=""/>
    <m/>
    <n v="0"/>
    <m/>
    <n v="0"/>
    <m/>
    <n v="-4"/>
    <n v="-1"/>
    <n v="0"/>
    <n v="0"/>
    <n v="0"/>
    <n v="1"/>
    <n v="0"/>
    <n v="-4"/>
    <n v="-1"/>
    <n v="0"/>
    <n v="0"/>
    <n v="0"/>
    <n v="0"/>
    <n v="0"/>
    <n v="0"/>
    <n v="0"/>
    <n v="0"/>
    <n v="0"/>
    <n v="0"/>
    <n v="1"/>
    <n v="0"/>
    <n v="0"/>
    <n v="0"/>
    <n v="0"/>
    <n v="0"/>
    <n v="0"/>
    <n v="0"/>
    <n v="0"/>
    <m/>
    <m/>
    <s v="Rest of Borough"/>
    <n v="13"/>
    <m/>
    <n v="-4"/>
    <m/>
    <m/>
    <m/>
    <m/>
    <m/>
    <m/>
    <m/>
    <m/>
    <m/>
    <m/>
    <m/>
    <m/>
    <m/>
    <m/>
    <m/>
    <m/>
    <m/>
    <m/>
    <n v="-4"/>
    <n v="-4"/>
  </r>
  <r>
    <n v="536"/>
    <x v="2"/>
    <s v="2021/4727"/>
    <s v="Argylle House, 1a All Saints Passage"/>
    <s v="1 x 3 unit @ g/f rear of commercial"/>
    <n v="525441"/>
    <n v="174750"/>
    <s v="Wandsworth Town"/>
    <d v="2022-02-03T00:00:00"/>
    <m/>
    <n v="0"/>
    <n v="1"/>
    <n v="1"/>
    <n v="17"/>
    <n v="13"/>
    <s v="Y"/>
    <s v="Variation of conditions 2 (in accordance with drawings) and 3 (materials) pursuant to planning permission dated 30/01/2020 ref 2016/7216 (Demolition of the existing building and construction of a part 4 part 5 storey building providing 17 residential units and 106sqm flexible B1 commercial floorspace with communal external amenity space at fourth floor level) to allow minor changes to the appearance of the building, layout of commercial waste and cycle stores and to change the wording of Condition 3 to include compliance trigger instead of pre-commencement."/>
    <s v="PFLA"/>
    <d v="2021-10-14T00:00:00"/>
    <d v="2022-06-21T00:00:00"/>
    <s v="Y"/>
    <s v="Nil"/>
    <m/>
    <s v="BF"/>
    <s v="NB"/>
    <x v="0"/>
    <x v="0"/>
    <n v="3.0000000000000001E-3"/>
    <d v="2022-02-03T00:00:00"/>
    <x v="0"/>
    <m/>
    <s v="Open Market"/>
    <s v="M"/>
    <s v=""/>
    <m/>
    <n v="1"/>
    <m/>
    <n v="0"/>
    <m/>
    <n v="0"/>
    <n v="0"/>
    <n v="0"/>
    <n v="1"/>
    <n v="0"/>
    <n v="0"/>
    <n v="0"/>
    <n v="0"/>
    <n v="0"/>
    <n v="0"/>
    <n v="1"/>
    <n v="0"/>
    <n v="0"/>
    <n v="0"/>
    <n v="0"/>
    <n v="0"/>
    <n v="0"/>
    <n v="0"/>
    <n v="0"/>
    <n v="0"/>
    <n v="0"/>
    <n v="0"/>
    <n v="0"/>
    <n v="0"/>
    <n v="0"/>
    <n v="0"/>
    <n v="0"/>
    <n v="0"/>
    <s v="Wandsworth"/>
    <m/>
    <s v="Wandsworth Town, including the Wandle Delta Masterplan Area"/>
    <n v="2"/>
    <m/>
    <n v="1"/>
    <m/>
    <m/>
    <m/>
    <m/>
    <m/>
    <m/>
    <m/>
    <m/>
    <m/>
    <m/>
    <m/>
    <m/>
    <m/>
    <m/>
    <m/>
    <m/>
    <m/>
    <m/>
    <n v="1"/>
    <n v="1"/>
  </r>
  <r>
    <n v="5381"/>
    <x v="2"/>
    <s v="2020/2369"/>
    <s v="Battersea Bar/The Chopper, 58-70 York Road"/>
    <s v="ISL UC"/>
    <n v="526820"/>
    <n v="176155"/>
    <s v="St Mary's"/>
    <d v="2018-11-26T00:00:00"/>
    <m/>
    <n v="0"/>
    <n v="11"/>
    <n v="1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m/>
    <s v="Nil"/>
    <m/>
    <s v="BF"/>
    <s v="NB"/>
    <x v="0"/>
    <x v="0"/>
    <n v="0.01"/>
    <d v="2018-11-26T00:00:00"/>
    <x v="0"/>
    <m/>
    <s v="Intermediate"/>
    <s v="ISL"/>
    <s v="10.14"/>
    <m/>
    <n v="0"/>
    <m/>
    <n v="0"/>
    <m/>
    <n v="0"/>
    <n v="5"/>
    <n v="6"/>
    <n v="0"/>
    <n v="0"/>
    <n v="0"/>
    <n v="0"/>
    <n v="0"/>
    <n v="5"/>
    <n v="6"/>
    <n v="0"/>
    <n v="0"/>
    <n v="0"/>
    <n v="0"/>
    <n v="0"/>
    <n v="0"/>
    <n v="0"/>
    <n v="0"/>
    <n v="0"/>
    <n v="0"/>
    <n v="0"/>
    <n v="0"/>
    <n v="0"/>
    <n v="0"/>
    <n v="0"/>
    <n v="0"/>
    <n v="0"/>
    <n v="0"/>
    <m/>
    <m/>
    <s v="Wandsworth riverside"/>
    <n v="5"/>
    <m/>
    <n v="11"/>
    <m/>
    <m/>
    <m/>
    <m/>
    <m/>
    <m/>
    <m/>
    <m/>
    <m/>
    <m/>
    <m/>
    <m/>
    <m/>
    <m/>
    <m/>
    <m/>
    <m/>
    <m/>
    <n v="11"/>
    <n v="11"/>
  </r>
  <r>
    <n v="7456"/>
    <x v="2"/>
    <s v="2020/2995"/>
    <s v="402-404 Merton Road"/>
    <s v="402"/>
    <n v="525327"/>
    <n v="173104"/>
    <s v="Southfields"/>
    <d v="2021-02-01T00:00:00"/>
    <m/>
    <n v="1"/>
    <n v="1"/>
    <n v="0"/>
    <n v="2"/>
    <n v="0"/>
    <m/>
    <s v="Demolition of existing buildings and erection of 2 x three-storey 5/6 x bedroom dwellings, with associated off street parking to the front and new boundary walls and gates."/>
    <s v="PF"/>
    <d v="2020-08-12T00:00:00"/>
    <d v="2020-10-13T00:00:00"/>
    <m/>
    <s v="Nil"/>
    <m/>
    <s v="BF"/>
    <s v="NB"/>
    <x v="2"/>
    <x v="1"/>
    <n v="4.5999999999999999E-2"/>
    <d v="2021-02-01T00:00:00"/>
    <x v="0"/>
    <m/>
    <s v="Open Market"/>
    <s v="M"/>
    <s v=""/>
    <m/>
    <n v="0"/>
    <m/>
    <n v="0"/>
    <m/>
    <n v="0"/>
    <n v="0"/>
    <n v="0"/>
    <n v="0"/>
    <n v="-1"/>
    <n v="1"/>
    <n v="0"/>
    <n v="0"/>
    <n v="0"/>
    <n v="0"/>
    <n v="0"/>
    <n v="0"/>
    <n v="0"/>
    <n v="0"/>
    <n v="0"/>
    <n v="0"/>
    <n v="0"/>
    <n v="0"/>
    <n v="-1"/>
    <n v="1"/>
    <n v="0"/>
    <n v="0"/>
    <n v="0"/>
    <n v="0"/>
    <n v="0"/>
    <n v="0"/>
    <n v="0"/>
    <n v="0"/>
    <m/>
    <m/>
    <s v="The Wandle Valley"/>
    <n v="3"/>
    <m/>
    <n v="0"/>
    <m/>
    <m/>
    <m/>
    <m/>
    <m/>
    <m/>
    <m/>
    <m/>
    <m/>
    <m/>
    <m/>
    <m/>
    <m/>
    <m/>
    <m/>
    <m/>
    <m/>
    <m/>
    <n v="0"/>
    <n v="0"/>
  </r>
  <r>
    <n v="7456"/>
    <x v="2"/>
    <s v="2020/2995"/>
    <s v="402-404 Merton Road"/>
    <s v="404"/>
    <n v="525327"/>
    <n v="173104"/>
    <s v="Southfields"/>
    <d v="2021-02-01T00:00:00"/>
    <m/>
    <n v="1"/>
    <n v="1"/>
    <n v="0"/>
    <n v="2"/>
    <n v="0"/>
    <m/>
    <s v="Demolition of existing buildings and erection of 2 x three-storey 5/6 x bedroom dwellings, with associated off street parking to the front and new boundary walls and gates."/>
    <s v="PF"/>
    <d v="2020-08-12T00:00:00"/>
    <d v="2020-10-13T00:00:00"/>
    <m/>
    <s v="Nil"/>
    <m/>
    <s v="BF"/>
    <s v="NB"/>
    <x v="2"/>
    <x v="1"/>
    <n v="4.5999999999999999E-2"/>
    <d v="2021-02-01T00:00:00"/>
    <x v="0"/>
    <m/>
    <s v="Open Market"/>
    <s v="M"/>
    <s v=""/>
    <m/>
    <n v="0"/>
    <m/>
    <n v="0"/>
    <m/>
    <n v="0"/>
    <n v="0"/>
    <n v="0"/>
    <n v="0"/>
    <n v="-1"/>
    <n v="1"/>
    <n v="0"/>
    <n v="0"/>
    <n v="0"/>
    <n v="0"/>
    <n v="0"/>
    <n v="0"/>
    <n v="0"/>
    <n v="0"/>
    <n v="0"/>
    <n v="0"/>
    <n v="0"/>
    <n v="0"/>
    <n v="-1"/>
    <n v="1"/>
    <n v="0"/>
    <n v="0"/>
    <n v="0"/>
    <n v="0"/>
    <n v="0"/>
    <n v="0"/>
    <n v="0"/>
    <n v="0"/>
    <m/>
    <m/>
    <s v="The Wandle Valley"/>
    <n v="3"/>
    <m/>
    <n v="0"/>
    <m/>
    <m/>
    <m/>
    <m/>
    <m/>
    <m/>
    <m/>
    <m/>
    <m/>
    <m/>
    <m/>
    <m/>
    <m/>
    <m/>
    <m/>
    <m/>
    <m/>
    <m/>
    <n v="0"/>
    <n v="0"/>
  </r>
  <r>
    <n v="7347"/>
    <x v="2"/>
    <s v="2021/4626"/>
    <s v="157 Fallsbrook Road"/>
    <s v="affordable"/>
    <n v="529142"/>
    <n v="170477"/>
    <s v="Furzedown"/>
    <d v="2022-03-31T00:00:00"/>
    <m/>
    <n v="0"/>
    <n v="6"/>
    <n v="6"/>
    <n v="29"/>
    <n v="29"/>
    <s v="Y"/>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9T00:00:00"/>
    <m/>
    <s v="Nil"/>
    <m/>
    <s v="BF"/>
    <s v="NB"/>
    <x v="0"/>
    <x v="0"/>
    <n v="4.4172000000000003E-2"/>
    <d v="2022-04-01T00:00:00"/>
    <x v="1"/>
    <m/>
    <s v="Intermediate"/>
    <s v="ISO"/>
    <s v=""/>
    <m/>
    <n v="0"/>
    <m/>
    <n v="0"/>
    <m/>
    <n v="1"/>
    <n v="1"/>
    <n v="3"/>
    <n v="1"/>
    <n v="0"/>
    <n v="0"/>
    <n v="0"/>
    <n v="1"/>
    <n v="1"/>
    <n v="3"/>
    <n v="1"/>
    <n v="0"/>
    <n v="0"/>
    <n v="0"/>
    <n v="0"/>
    <n v="0"/>
    <n v="0"/>
    <n v="0"/>
    <n v="0"/>
    <n v="0"/>
    <n v="0"/>
    <n v="0"/>
    <n v="0"/>
    <n v="0"/>
    <n v="0"/>
    <n v="0"/>
    <n v="0"/>
    <n v="0"/>
    <m/>
    <m/>
    <s v="Rest of Borough"/>
    <n v="6"/>
    <m/>
    <m/>
    <n v="1.5"/>
    <n v="1.5"/>
    <n v="1.5"/>
    <n v="1.5"/>
    <m/>
    <m/>
    <m/>
    <m/>
    <m/>
    <m/>
    <m/>
    <m/>
    <m/>
    <m/>
    <m/>
    <m/>
    <m/>
    <m/>
    <n v="6"/>
    <n v="6"/>
  </r>
  <r>
    <n v="7101"/>
    <x v="2"/>
    <s v="2022/0354"/>
    <s v="Site of York Road, Winstanley Road (Part of Estate, York Gardens and Winstanley Estate)"/>
    <s v="Block 5A"/>
    <n v="526922"/>
    <n v="175807"/>
    <s v="Falconbrook"/>
    <d v="2022-02-17T00:00:00"/>
    <m/>
    <n v="0"/>
    <n v="47"/>
    <n v="47"/>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PFLA"/>
    <d v="2022-01-31T00:00:00"/>
    <d v="2022-04-22T00:00:00"/>
    <s v="Y"/>
    <s v="Nil"/>
    <m/>
    <s v="BF"/>
    <s v="NB"/>
    <x v="0"/>
    <x v="0"/>
    <n v="0"/>
    <d v="2022-02-17T00:00:00"/>
    <x v="0"/>
    <m/>
    <s v="Social/Affordable Rent"/>
    <s v="AS"/>
    <s v=""/>
    <m/>
    <n v="0"/>
    <m/>
    <n v="0"/>
    <m/>
    <n v="0"/>
    <n v="18"/>
    <n v="10"/>
    <n v="14"/>
    <n v="5"/>
    <n v="0"/>
    <n v="0"/>
    <n v="0"/>
    <n v="18"/>
    <n v="10"/>
    <n v="14"/>
    <n v="5"/>
    <n v="0"/>
    <n v="0"/>
    <n v="0"/>
    <n v="0"/>
    <n v="0"/>
    <n v="0"/>
    <n v="0"/>
    <n v="0"/>
    <n v="0"/>
    <n v="0"/>
    <n v="0"/>
    <n v="0"/>
    <n v="0"/>
    <n v="0"/>
    <n v="0"/>
    <n v="0"/>
    <m/>
    <m/>
    <s v="Clapham Junction Spatial Area Strategy"/>
    <n v="5"/>
    <m/>
    <m/>
    <n v="47"/>
    <m/>
    <m/>
    <m/>
    <m/>
    <m/>
    <m/>
    <m/>
    <m/>
    <m/>
    <m/>
    <m/>
    <m/>
    <m/>
    <m/>
    <m/>
    <m/>
    <m/>
    <n v="47"/>
    <n v="47"/>
  </r>
  <r>
    <n v="7101"/>
    <x v="2"/>
    <s v="2022/0354"/>
    <s v="Site of York Road, Winstanley Road (Part of Estate, York Gardens and Winstanley Estate)"/>
    <s v="Block 5A"/>
    <n v="526922"/>
    <n v="175807"/>
    <s v="Falconbrook"/>
    <d v="2022-02-17T00:00:00"/>
    <m/>
    <n v="0"/>
    <n v="8"/>
    <n v="8"/>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PFLA"/>
    <d v="2022-01-31T00:00:00"/>
    <d v="2022-04-22T00:00:00"/>
    <s v="Y"/>
    <s v="Nil"/>
    <m/>
    <s v="BF"/>
    <s v="NB"/>
    <x v="0"/>
    <x v="0"/>
    <n v="0"/>
    <d v="2022-02-17T00:00:00"/>
    <x v="0"/>
    <m/>
    <s v="Intermediate"/>
    <s v="ISE"/>
    <s v=""/>
    <m/>
    <n v="0"/>
    <m/>
    <n v="0"/>
    <m/>
    <n v="0"/>
    <n v="1"/>
    <n v="7"/>
    <n v="0"/>
    <n v="0"/>
    <n v="0"/>
    <n v="0"/>
    <n v="0"/>
    <n v="1"/>
    <n v="7"/>
    <n v="0"/>
    <n v="0"/>
    <n v="0"/>
    <n v="0"/>
    <n v="0"/>
    <n v="0"/>
    <n v="0"/>
    <n v="0"/>
    <n v="0"/>
    <n v="0"/>
    <n v="0"/>
    <n v="0"/>
    <n v="0"/>
    <n v="0"/>
    <n v="0"/>
    <n v="0"/>
    <n v="0"/>
    <n v="0"/>
    <m/>
    <m/>
    <s v="Clapham Junction Spatial Area Strategy"/>
    <n v="5"/>
    <m/>
    <m/>
    <n v="8"/>
    <m/>
    <m/>
    <m/>
    <m/>
    <m/>
    <m/>
    <m/>
    <m/>
    <m/>
    <m/>
    <m/>
    <m/>
    <m/>
    <m/>
    <m/>
    <m/>
    <m/>
    <n v="8"/>
    <n v="8"/>
  </r>
  <r>
    <n v="7101"/>
    <x v="2"/>
    <s v="2022/0354"/>
    <s v="Site of York Road, Winstanley Road (Part of Estate, York Gardens and Winstanley Estate)"/>
    <s v="Block 5B"/>
    <n v="526922"/>
    <n v="175807"/>
    <s v="Falconbrook"/>
    <d v="2022-02-17T00:00:00"/>
    <m/>
    <n v="0"/>
    <n v="15"/>
    <n v="15"/>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PFLA"/>
    <d v="2022-01-31T00:00:00"/>
    <d v="2022-04-22T00:00:00"/>
    <s v="Y"/>
    <s v="Nil"/>
    <m/>
    <s v="BF"/>
    <s v="NB"/>
    <x v="0"/>
    <x v="0"/>
    <n v="0"/>
    <d v="2022-02-17T00:00:00"/>
    <x v="0"/>
    <m/>
    <s v="Social/Affordable Rent"/>
    <s v="AS"/>
    <s v=""/>
    <m/>
    <n v="0"/>
    <m/>
    <n v="0"/>
    <m/>
    <n v="0"/>
    <n v="0"/>
    <n v="2"/>
    <n v="8"/>
    <n v="3"/>
    <n v="2"/>
    <n v="0"/>
    <n v="0"/>
    <n v="0"/>
    <n v="2"/>
    <n v="8"/>
    <n v="3"/>
    <n v="2"/>
    <n v="0"/>
    <n v="0"/>
    <n v="0"/>
    <n v="0"/>
    <n v="0"/>
    <n v="0"/>
    <n v="0"/>
    <n v="0"/>
    <n v="0"/>
    <n v="0"/>
    <n v="0"/>
    <n v="0"/>
    <n v="0"/>
    <n v="0"/>
    <n v="0"/>
    <m/>
    <m/>
    <s v="Clapham Junction Spatial Area Strategy"/>
    <n v="5"/>
    <m/>
    <m/>
    <n v="15"/>
    <m/>
    <m/>
    <m/>
    <m/>
    <m/>
    <m/>
    <m/>
    <m/>
    <m/>
    <m/>
    <m/>
    <m/>
    <m/>
    <m/>
    <m/>
    <m/>
    <m/>
    <n v="15"/>
    <n v="15"/>
  </r>
  <r>
    <n v="7101"/>
    <x v="2"/>
    <s v="2022/0354"/>
    <s v="Site of York Road, Winstanley Road (Part of Estate, York Gardens and Winstanley Estate)"/>
    <s v="Block 5B"/>
    <n v="526922"/>
    <n v="175807"/>
    <s v="Falconbrook"/>
    <d v="2022-02-17T00:00:00"/>
    <m/>
    <n v="0"/>
    <n v="6"/>
    <n v="6"/>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PFLA"/>
    <d v="2022-01-31T00:00:00"/>
    <d v="2022-04-22T00:00:00"/>
    <s v="Y"/>
    <s v="Nil"/>
    <m/>
    <s v="BF"/>
    <s v="NB"/>
    <x v="0"/>
    <x v="0"/>
    <n v="0"/>
    <d v="2022-02-17T00:00:00"/>
    <x v="0"/>
    <m/>
    <s v="Intermediate"/>
    <s v="ISE"/>
    <s v=""/>
    <m/>
    <n v="0"/>
    <m/>
    <n v="0"/>
    <m/>
    <n v="0"/>
    <n v="0"/>
    <n v="2"/>
    <n v="0"/>
    <n v="4"/>
    <n v="0"/>
    <n v="0"/>
    <n v="0"/>
    <n v="0"/>
    <n v="2"/>
    <n v="0"/>
    <n v="4"/>
    <n v="0"/>
    <n v="0"/>
    <n v="0"/>
    <n v="0"/>
    <n v="0"/>
    <n v="0"/>
    <n v="0"/>
    <n v="0"/>
    <n v="0"/>
    <n v="0"/>
    <n v="0"/>
    <n v="0"/>
    <n v="0"/>
    <n v="0"/>
    <n v="0"/>
    <n v="0"/>
    <m/>
    <m/>
    <s v="Clapham Junction Spatial Area Strategy"/>
    <n v="5"/>
    <m/>
    <m/>
    <n v="6"/>
    <m/>
    <m/>
    <m/>
    <m/>
    <m/>
    <m/>
    <m/>
    <m/>
    <m/>
    <m/>
    <m/>
    <m/>
    <m/>
    <m/>
    <m/>
    <m/>
    <m/>
    <n v="6"/>
    <n v="6"/>
  </r>
  <r>
    <n v="7101"/>
    <x v="2"/>
    <s v="2022/0354"/>
    <s v="Site of York Road, Winstanley Road (Part of Estate, York Gardens and Winstanley Estate)"/>
    <s v="Block 5C"/>
    <n v="526922"/>
    <n v="175807"/>
    <s v="Falconbrook"/>
    <d v="2022-02-17T00:00:00"/>
    <m/>
    <n v="0"/>
    <n v="40"/>
    <n v="40"/>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PFLA"/>
    <d v="2022-01-31T00:00:00"/>
    <d v="2022-04-22T00:00:00"/>
    <s v="Y"/>
    <s v="Nil"/>
    <m/>
    <s v="BF"/>
    <s v="NB"/>
    <x v="0"/>
    <x v="0"/>
    <n v="0"/>
    <d v="2022-02-17T00:00:00"/>
    <x v="0"/>
    <m/>
    <s v="Social/Affordable Rent"/>
    <s v="AS"/>
    <s v=""/>
    <m/>
    <n v="0"/>
    <m/>
    <n v="0"/>
    <m/>
    <n v="0"/>
    <n v="7"/>
    <n v="15"/>
    <n v="14"/>
    <n v="3"/>
    <n v="1"/>
    <n v="0"/>
    <n v="0"/>
    <n v="7"/>
    <n v="15"/>
    <n v="14"/>
    <n v="3"/>
    <n v="1"/>
    <n v="0"/>
    <n v="0"/>
    <n v="0"/>
    <n v="0"/>
    <n v="0"/>
    <n v="0"/>
    <n v="0"/>
    <n v="0"/>
    <n v="0"/>
    <n v="0"/>
    <n v="0"/>
    <n v="0"/>
    <n v="0"/>
    <n v="0"/>
    <n v="0"/>
    <m/>
    <m/>
    <s v="Clapham Junction Spatial Area Strategy"/>
    <n v="5"/>
    <m/>
    <m/>
    <n v="40"/>
    <m/>
    <m/>
    <m/>
    <m/>
    <m/>
    <m/>
    <m/>
    <m/>
    <m/>
    <m/>
    <m/>
    <m/>
    <m/>
    <m/>
    <m/>
    <m/>
    <m/>
    <n v="40"/>
    <n v="40"/>
  </r>
  <r>
    <n v="7101"/>
    <x v="2"/>
    <s v="2022/0354"/>
    <s v="Site of York Road, Winstanley Road (Part of Estate, York Gardens and Winstanley Estate)"/>
    <s v="Block 5C"/>
    <n v="526922"/>
    <n v="175807"/>
    <s v="Falconbrook"/>
    <d v="2022-02-17T00:00:00"/>
    <m/>
    <n v="0"/>
    <n v="10"/>
    <n v="10"/>
    <n v="126"/>
    <n v="126"/>
    <s v="Y"/>
    <s v="Non Material Amendment under Section 96a of the Town and County Planning Act (1990) to planning permission dated 29th January 2021 planning reference 2019/0024 for the &quot;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above ground level including leisure centre, health, flexible commercial uses (retail, financial and professional services, café / restaurants, drinking establishments, hot food takeaways, business, non residential institutions and assembly and leisure), park, landscaping, public realm, energy centres, car/cycle parking and new vehicle accesses. All matters reserved except for phased construction of Block 1 (two residential towers comprising private sale units and new leisure/community centre including a gym, swimming pool and library, commercial uses), Block 5 (comprising affordable units and commercial units) and Block 6 (private sale units and affordable units) together with a new Park and associated works.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quot;"/>
    <s v="PFLA"/>
    <d v="2022-01-31T00:00:00"/>
    <d v="2022-04-22T00:00:00"/>
    <s v="Y"/>
    <s v="Nil"/>
    <m/>
    <s v="BF"/>
    <s v="NB"/>
    <x v="0"/>
    <x v="0"/>
    <n v="0"/>
    <d v="2022-02-17T00:00:00"/>
    <x v="0"/>
    <m/>
    <s v="Intermediate"/>
    <s v="ISE"/>
    <s v=""/>
    <m/>
    <n v="0"/>
    <m/>
    <n v="0"/>
    <m/>
    <n v="0"/>
    <n v="4"/>
    <n v="6"/>
    <n v="0"/>
    <n v="0"/>
    <n v="0"/>
    <n v="0"/>
    <n v="0"/>
    <n v="4"/>
    <n v="6"/>
    <n v="0"/>
    <n v="0"/>
    <n v="0"/>
    <n v="0"/>
    <n v="0"/>
    <n v="0"/>
    <n v="0"/>
    <n v="0"/>
    <n v="0"/>
    <n v="0"/>
    <n v="0"/>
    <n v="0"/>
    <n v="0"/>
    <n v="0"/>
    <n v="0"/>
    <n v="0"/>
    <n v="0"/>
    <n v="0"/>
    <m/>
    <m/>
    <s v="Clapham Junction Spatial Area Strategy"/>
    <n v="5"/>
    <m/>
    <m/>
    <n v="10"/>
    <m/>
    <m/>
    <m/>
    <m/>
    <m/>
    <m/>
    <m/>
    <m/>
    <m/>
    <m/>
    <m/>
    <m/>
    <m/>
    <m/>
    <m/>
    <m/>
    <m/>
    <n v="10"/>
    <n v="10"/>
  </r>
  <r>
    <n v="3514"/>
    <x v="2"/>
    <s v="2020/3867"/>
    <s v="Battersea Gasholder, 101 Prince of Wales Drive"/>
    <s v="Block A"/>
    <n v="528809"/>
    <n v="177181"/>
    <s v="Nine Elms"/>
    <d v="2016-10-19T00:00:00"/>
    <m/>
    <n v="0"/>
    <n v="46"/>
    <n v="46"/>
    <n v="233"/>
    <n v="233"/>
    <s v="Y"/>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m/>
    <s v="Nil"/>
    <m/>
    <s v="BF"/>
    <s v="NB"/>
    <x v="0"/>
    <x v="0"/>
    <n v="7.9000000000000001E-2"/>
    <d v="2022-03-31T00:00:00"/>
    <x v="0"/>
    <m/>
    <s v="Open Market"/>
    <s v="M"/>
    <s v="2.1.4"/>
    <m/>
    <n v="46"/>
    <m/>
    <n v="4"/>
    <m/>
    <n v="0"/>
    <n v="0"/>
    <n v="42"/>
    <n v="4"/>
    <n v="0"/>
    <n v="0"/>
    <n v="0"/>
    <n v="0"/>
    <n v="0"/>
    <n v="42"/>
    <n v="4"/>
    <n v="0"/>
    <n v="0"/>
    <n v="0"/>
    <n v="0"/>
    <n v="0"/>
    <n v="0"/>
    <n v="0"/>
    <n v="0"/>
    <n v="0"/>
    <n v="0"/>
    <n v="0"/>
    <n v="0"/>
    <n v="0"/>
    <n v="0"/>
    <n v="0"/>
    <n v="0"/>
    <n v="0"/>
    <m/>
    <s v="Y"/>
    <s v="Nine Elms Vauxhall Opportunity Area"/>
    <n v="2"/>
    <m/>
    <n v="46"/>
    <m/>
    <m/>
    <m/>
    <m/>
    <m/>
    <m/>
    <m/>
    <m/>
    <m/>
    <m/>
    <m/>
    <m/>
    <m/>
    <m/>
    <m/>
    <m/>
    <m/>
    <m/>
    <n v="46"/>
    <n v="46"/>
  </r>
  <r>
    <n v="3745"/>
    <x v="2"/>
    <s v="2018/0210"/>
    <s v="Land rear of 4-24, Thrale Road (Land rear of Mitcham Lane)"/>
    <s v="Block A"/>
    <n v="529291"/>
    <n v="171210"/>
    <s v="Furzedown"/>
    <d v="2020-11-01T00:00:00"/>
    <m/>
    <n v="0"/>
    <n v="6"/>
    <n v="6"/>
    <n v="22"/>
    <n v="22"/>
    <s v="Y"/>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m/>
    <s v="Nil"/>
    <m/>
    <s v="BF"/>
    <s v="NB"/>
    <x v="0"/>
    <x v="0"/>
    <n v="4.7E-2"/>
    <d v="2020-11-01T00:00:00"/>
    <x v="0"/>
    <m/>
    <s v="Intermediate"/>
    <s v="ISO"/>
    <s v=""/>
    <m/>
    <n v="0"/>
    <m/>
    <n v="0"/>
    <n v="1"/>
    <n v="0"/>
    <n v="2"/>
    <n v="4"/>
    <n v="0"/>
    <n v="0"/>
    <n v="0"/>
    <n v="0"/>
    <n v="0"/>
    <n v="2"/>
    <n v="4"/>
    <n v="0"/>
    <n v="0"/>
    <n v="0"/>
    <n v="0"/>
    <n v="0"/>
    <n v="0"/>
    <n v="0"/>
    <n v="0"/>
    <n v="0"/>
    <n v="0"/>
    <n v="0"/>
    <n v="0"/>
    <n v="0"/>
    <n v="0"/>
    <n v="0"/>
    <n v="0"/>
    <n v="0"/>
    <n v="0"/>
    <m/>
    <m/>
    <s v="Rest of Borough"/>
    <n v="5"/>
    <m/>
    <n v="6"/>
    <m/>
    <m/>
    <m/>
    <m/>
    <m/>
    <m/>
    <m/>
    <m/>
    <m/>
    <m/>
    <m/>
    <m/>
    <m/>
    <m/>
    <m/>
    <m/>
    <m/>
    <m/>
    <n v="6"/>
    <n v="6"/>
  </r>
  <r>
    <n v="6852"/>
    <x v="2"/>
    <s v="2018/5553"/>
    <s v="Kersfield Estate, Lytton Grove"/>
    <s v="Block A"/>
    <n v="524063"/>
    <n v="174446"/>
    <s v="East Putney"/>
    <d v="2021-05-26T00:00:00"/>
    <m/>
    <n v="0"/>
    <n v="4"/>
    <n v="4"/>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0"/>
    <x v="0"/>
    <n v="5.6000000000000001E-2"/>
    <d v="2021-05-26T00:00:00"/>
    <x v="0"/>
    <m/>
    <s v="Open Market"/>
    <s v="M"/>
    <s v=""/>
    <m/>
    <n v="0"/>
    <m/>
    <n v="0"/>
    <m/>
    <n v="0"/>
    <n v="1"/>
    <n v="3"/>
    <n v="0"/>
    <n v="0"/>
    <n v="0"/>
    <n v="0"/>
    <n v="0"/>
    <n v="1"/>
    <n v="3"/>
    <n v="0"/>
    <n v="0"/>
    <n v="0"/>
    <n v="0"/>
    <n v="0"/>
    <n v="0"/>
    <n v="0"/>
    <n v="0"/>
    <n v="0"/>
    <n v="0"/>
    <n v="0"/>
    <n v="0"/>
    <n v="0"/>
    <n v="0"/>
    <n v="0"/>
    <n v="0"/>
    <n v="0"/>
    <n v="0"/>
    <m/>
    <m/>
    <s v="Rest of Borough"/>
    <n v="5"/>
    <m/>
    <n v="4"/>
    <m/>
    <m/>
    <m/>
    <m/>
    <m/>
    <m/>
    <m/>
    <m/>
    <m/>
    <m/>
    <m/>
    <m/>
    <m/>
    <m/>
    <m/>
    <m/>
    <m/>
    <m/>
    <n v="4"/>
    <n v="4"/>
  </r>
  <r>
    <n v="6853"/>
    <x v="2"/>
    <s v="2020/0636"/>
    <s v="The Patmore Centre, Patmore Street"/>
    <s v="Block A (London Shared Ownership)"/>
    <n v="529335"/>
    <n v="176880"/>
    <s v="Shaftesbury &amp; Queenstown"/>
    <d v="2022-11-08T00:00:00"/>
    <m/>
    <n v="0"/>
    <n v="18"/>
    <n v="18"/>
    <n v="57"/>
    <n v="57"/>
    <s v="Y"/>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m/>
    <s v="Nil"/>
    <m/>
    <s v="BF"/>
    <s v="NB"/>
    <x v="0"/>
    <x v="0"/>
    <n v="3.5000000000000003E-2"/>
    <d v="2022-11-08T00:00:00"/>
    <x v="1"/>
    <m/>
    <s v="Intermediate"/>
    <s v="ISL"/>
    <s v=""/>
    <m/>
    <n v="0"/>
    <m/>
    <n v="0"/>
    <m/>
    <n v="0"/>
    <n v="9"/>
    <n v="9"/>
    <n v="0"/>
    <n v="0"/>
    <n v="0"/>
    <n v="0"/>
    <n v="0"/>
    <n v="9"/>
    <n v="9"/>
    <n v="0"/>
    <n v="0"/>
    <n v="0"/>
    <n v="0"/>
    <n v="0"/>
    <n v="0"/>
    <n v="0"/>
    <n v="0"/>
    <n v="0"/>
    <n v="0"/>
    <n v="0"/>
    <n v="0"/>
    <n v="0"/>
    <n v="0"/>
    <n v="0"/>
    <n v="0"/>
    <n v="0"/>
    <n v="0"/>
    <m/>
    <s v="Y"/>
    <s v="Nine Elms Vauxhall Opportunity Area"/>
    <n v="5"/>
    <m/>
    <m/>
    <n v="18"/>
    <m/>
    <m/>
    <m/>
    <m/>
    <m/>
    <m/>
    <m/>
    <m/>
    <m/>
    <m/>
    <m/>
    <m/>
    <m/>
    <m/>
    <m/>
    <m/>
    <m/>
    <n v="18"/>
    <n v="18"/>
  </r>
  <r>
    <n v="3522"/>
    <x v="2"/>
    <s v="2020/0011"/>
    <s v="Homebase, Swandon Way"/>
    <s v="Block A (Market)"/>
    <n v="525912"/>
    <n v="175143"/>
    <s v="St Mary's"/>
    <d v="2020-04-01T00:00:00"/>
    <m/>
    <n v="0"/>
    <n v="128"/>
    <n v="128"/>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m/>
    <s v="Nil"/>
    <m/>
    <s v="BF"/>
    <s v="NB"/>
    <x v="0"/>
    <x v="0"/>
    <n v="0.127"/>
    <d v="2022-04-01T00:00:00"/>
    <x v="1"/>
    <m/>
    <s v="Open Market"/>
    <s v="M"/>
    <s v="3.6"/>
    <m/>
    <n v="0"/>
    <m/>
    <n v="0"/>
    <n v="0"/>
    <n v="0"/>
    <n v="64"/>
    <n v="64"/>
    <n v="0"/>
    <n v="0"/>
    <n v="0"/>
    <n v="0"/>
    <n v="0"/>
    <n v="64"/>
    <n v="64"/>
    <n v="0"/>
    <n v="0"/>
    <n v="0"/>
    <n v="0"/>
    <n v="0"/>
    <n v="0"/>
    <n v="0"/>
    <n v="0"/>
    <n v="0"/>
    <n v="0"/>
    <n v="0"/>
    <n v="0"/>
    <n v="0"/>
    <n v="0"/>
    <n v="0"/>
    <n v="0"/>
    <n v="0"/>
    <n v="0"/>
    <m/>
    <m/>
    <s v="Wandsworth Town, including the Wandle Delta Masterplan Area"/>
    <n v="5"/>
    <m/>
    <m/>
    <n v="128"/>
    <m/>
    <m/>
    <m/>
    <m/>
    <m/>
    <m/>
    <m/>
    <m/>
    <m/>
    <m/>
    <m/>
    <m/>
    <m/>
    <m/>
    <m/>
    <m/>
    <m/>
    <n v="128"/>
    <n v="128"/>
  </r>
  <r>
    <n v="3519"/>
    <x v="2"/>
    <s v="2019/4583"/>
    <s v="B and Q Depot, Smugglers Way"/>
    <s v="BLOCK A1"/>
    <n v="525782"/>
    <n v="175172"/>
    <s v="St Mary's"/>
    <d v="2020-01-18T00:00:00"/>
    <m/>
    <n v="0"/>
    <n v="56"/>
    <n v="56"/>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m/>
    <s v="Nil"/>
    <m/>
    <s v="BF"/>
    <s v="NB"/>
    <x v="0"/>
    <x v="0"/>
    <n v="0.09"/>
    <d v="2021-08-01T00:00:00"/>
    <x v="0"/>
    <m/>
    <s v="Open Market"/>
    <s v="M"/>
    <s v="3.7"/>
    <m/>
    <n v="0"/>
    <m/>
    <n v="0"/>
    <n v="20"/>
    <n v="0"/>
    <n v="0"/>
    <n v="54"/>
    <n v="2"/>
    <n v="0"/>
    <n v="0"/>
    <n v="0"/>
    <n v="0"/>
    <n v="0"/>
    <n v="54"/>
    <n v="2"/>
    <n v="0"/>
    <n v="0"/>
    <n v="0"/>
    <n v="0"/>
    <n v="0"/>
    <n v="0"/>
    <n v="0"/>
    <n v="0"/>
    <n v="0"/>
    <n v="0"/>
    <n v="0"/>
    <n v="0"/>
    <n v="0"/>
    <n v="0"/>
    <n v="0"/>
    <n v="0"/>
    <n v="0"/>
    <m/>
    <m/>
    <s v="Wandsworth Town, including the Wandle Delta Masterplan Area"/>
    <n v="5"/>
    <m/>
    <n v="56"/>
    <m/>
    <m/>
    <m/>
    <m/>
    <m/>
    <m/>
    <m/>
    <m/>
    <m/>
    <m/>
    <m/>
    <m/>
    <m/>
    <m/>
    <m/>
    <m/>
    <m/>
    <m/>
    <n v="56"/>
    <n v="56"/>
  </r>
  <r>
    <n v="7385"/>
    <x v="2"/>
    <s v="2020/0635"/>
    <s v="Randall Close Day Centre and car park, 2 Randall Close (Surrey Lane Estate)"/>
    <s v="BLOCK A1 - RANDALL CLOSE"/>
    <n v="527211"/>
    <n v="176872"/>
    <s v="Battersea Park"/>
    <d v="2022-09-21T00:00:00"/>
    <m/>
    <n v="0"/>
    <n v="27"/>
    <n v="27"/>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m/>
    <s v="Nil"/>
    <m/>
    <s v="BF"/>
    <s v="NB"/>
    <x v="0"/>
    <x v="0"/>
    <n v="0.16"/>
    <d v="2023-03-09T00:00:00"/>
    <x v="1"/>
    <m/>
    <s v="Social/Affordable Rent"/>
    <s v="AL"/>
    <s v=""/>
    <m/>
    <n v="0"/>
    <n v="16"/>
    <n v="0"/>
    <n v="11"/>
    <n v="0"/>
    <n v="4"/>
    <n v="17"/>
    <n v="4"/>
    <n v="2"/>
    <n v="0"/>
    <n v="0"/>
    <n v="0"/>
    <n v="4"/>
    <n v="17"/>
    <n v="4"/>
    <n v="2"/>
    <n v="0"/>
    <n v="0"/>
    <n v="0"/>
    <n v="0"/>
    <n v="0"/>
    <n v="0"/>
    <n v="0"/>
    <n v="0"/>
    <n v="0"/>
    <n v="0"/>
    <n v="0"/>
    <n v="0"/>
    <n v="0"/>
    <n v="0"/>
    <n v="0"/>
    <n v="0"/>
    <m/>
    <m/>
    <s v="Rest of Borough"/>
    <n v="5"/>
    <m/>
    <m/>
    <n v="27"/>
    <m/>
    <m/>
    <m/>
    <m/>
    <m/>
    <m/>
    <m/>
    <m/>
    <m/>
    <m/>
    <m/>
    <m/>
    <m/>
    <m/>
    <m/>
    <m/>
    <m/>
    <n v="27"/>
    <n v="27"/>
  </r>
  <r>
    <n v="3519"/>
    <x v="2"/>
    <s v="2019/4583"/>
    <s v="B and Q Depot, Smugglers Way"/>
    <s v="BLOCK A2"/>
    <n v="525782"/>
    <n v="175172"/>
    <s v="St Mary's"/>
    <d v="2020-01-18T00:00:00"/>
    <m/>
    <n v="0"/>
    <n v="38"/>
    <n v="38"/>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m/>
    <s v="Nil"/>
    <m/>
    <s v="BF"/>
    <s v="NB"/>
    <x v="0"/>
    <x v="0"/>
    <n v="6.0999999999999999E-2"/>
    <d v="2021-08-01T00:00:00"/>
    <x v="0"/>
    <m/>
    <s v="Open Market"/>
    <s v="M"/>
    <s v="3.7"/>
    <m/>
    <n v="0"/>
    <m/>
    <n v="0"/>
    <m/>
    <n v="0"/>
    <n v="18"/>
    <n v="18"/>
    <n v="2"/>
    <n v="0"/>
    <n v="0"/>
    <n v="0"/>
    <n v="0"/>
    <n v="18"/>
    <n v="18"/>
    <n v="2"/>
    <n v="0"/>
    <n v="0"/>
    <n v="0"/>
    <n v="0"/>
    <n v="0"/>
    <n v="0"/>
    <n v="0"/>
    <n v="0"/>
    <n v="0"/>
    <n v="0"/>
    <n v="0"/>
    <n v="0"/>
    <n v="0"/>
    <n v="0"/>
    <n v="0"/>
    <n v="0"/>
    <n v="0"/>
    <m/>
    <m/>
    <s v="Wandsworth Town, including the Wandle Delta Masterplan Area"/>
    <n v="5"/>
    <m/>
    <n v="38"/>
    <m/>
    <m/>
    <m/>
    <m/>
    <m/>
    <m/>
    <m/>
    <m/>
    <m/>
    <m/>
    <m/>
    <m/>
    <m/>
    <m/>
    <m/>
    <m/>
    <m/>
    <m/>
    <n v="38"/>
    <n v="38"/>
  </r>
  <r>
    <n v="7385"/>
    <x v="2"/>
    <s v="2020/0635"/>
    <s v="Randall Close Day Centre and car park, 2 Randall Close (Surrey Lane Estate)"/>
    <s v="BLOCK A2 - RANDALL CLOSE"/>
    <n v="527211"/>
    <n v="176872"/>
    <s v="Battersea Park"/>
    <d v="2022-09-21T00:00:00"/>
    <m/>
    <n v="0"/>
    <n v="22"/>
    <n v="22"/>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m/>
    <s v="Nil"/>
    <m/>
    <s v="BF"/>
    <s v="NB"/>
    <x v="0"/>
    <x v="0"/>
    <n v="0.13"/>
    <d v="2023-03-09T00:00:00"/>
    <x v="1"/>
    <m/>
    <s v="Intermediate"/>
    <s v="ISL"/>
    <s v=""/>
    <m/>
    <n v="0"/>
    <n v="22"/>
    <n v="0"/>
    <n v="0"/>
    <n v="22"/>
    <n v="0"/>
    <n v="0"/>
    <n v="0"/>
    <n v="0"/>
    <n v="0"/>
    <n v="0"/>
    <n v="22"/>
    <n v="0"/>
    <n v="0"/>
    <n v="0"/>
    <n v="0"/>
    <n v="0"/>
    <n v="0"/>
    <n v="0"/>
    <n v="0"/>
    <n v="0"/>
    <n v="0"/>
    <n v="0"/>
    <n v="0"/>
    <n v="0"/>
    <n v="0"/>
    <n v="0"/>
    <n v="0"/>
    <n v="0"/>
    <n v="0"/>
    <n v="0"/>
    <n v="0"/>
    <m/>
    <m/>
    <s v="Rest of Borough"/>
    <n v="5"/>
    <m/>
    <m/>
    <n v="22"/>
    <m/>
    <m/>
    <m/>
    <m/>
    <m/>
    <m/>
    <m/>
    <m/>
    <m/>
    <m/>
    <m/>
    <m/>
    <m/>
    <m/>
    <m/>
    <m/>
    <m/>
    <n v="22"/>
    <n v="22"/>
  </r>
  <r>
    <n v="7385"/>
    <x v="2"/>
    <s v="2020/0635"/>
    <s v="Randall Close Day Centre and car park, 2 Randall Close (Surrey Lane Estate)"/>
    <s v="BLOCK A2 - RANDALL CLOSE"/>
    <n v="527211"/>
    <n v="176872"/>
    <s v="Battersea Park"/>
    <d v="2022-09-21T00:00:00"/>
    <m/>
    <n v="0"/>
    <n v="8"/>
    <n v="8"/>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m/>
    <s v="Nil"/>
    <m/>
    <s v="BF"/>
    <s v="NB"/>
    <x v="0"/>
    <x v="0"/>
    <n v="4.7E-2"/>
    <d v="2023-03-09T00:00:00"/>
    <x v="1"/>
    <m/>
    <s v="Open Market"/>
    <s v="M"/>
    <s v=""/>
    <m/>
    <n v="0"/>
    <n v="8"/>
    <n v="0"/>
    <n v="0"/>
    <n v="0"/>
    <n v="0"/>
    <n v="8"/>
    <n v="0"/>
    <n v="0"/>
    <n v="0"/>
    <n v="0"/>
    <n v="0"/>
    <n v="0"/>
    <n v="8"/>
    <n v="0"/>
    <n v="0"/>
    <n v="0"/>
    <n v="0"/>
    <n v="0"/>
    <n v="0"/>
    <n v="0"/>
    <n v="0"/>
    <n v="0"/>
    <n v="0"/>
    <n v="0"/>
    <n v="0"/>
    <n v="0"/>
    <n v="0"/>
    <n v="0"/>
    <n v="0"/>
    <n v="0"/>
    <n v="0"/>
    <m/>
    <m/>
    <s v="Rest of Borough"/>
    <n v="5"/>
    <m/>
    <m/>
    <n v="8"/>
    <m/>
    <m/>
    <m/>
    <m/>
    <m/>
    <m/>
    <m/>
    <m/>
    <m/>
    <m/>
    <m/>
    <m/>
    <m/>
    <m/>
    <m/>
    <m/>
    <m/>
    <n v="8"/>
    <n v="8"/>
  </r>
  <r>
    <n v="3519"/>
    <x v="2"/>
    <s v="2019/4583"/>
    <s v="B and Q Depot, Smugglers Way"/>
    <s v="BLOCK A3"/>
    <n v="525782"/>
    <n v="175172"/>
    <s v="St Mary's"/>
    <d v="2020-01-18T00:00:00"/>
    <m/>
    <n v="0"/>
    <n v="49"/>
    <n v="49"/>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m/>
    <s v="Nil"/>
    <m/>
    <s v="BF"/>
    <s v="NB"/>
    <x v="0"/>
    <x v="0"/>
    <n v="7.8E-2"/>
    <d v="2021-08-01T00:00:00"/>
    <x v="0"/>
    <m/>
    <s v="Open Market"/>
    <s v="M"/>
    <s v="3.7"/>
    <m/>
    <n v="0"/>
    <m/>
    <n v="0"/>
    <m/>
    <n v="0"/>
    <n v="23"/>
    <n v="24"/>
    <n v="2"/>
    <n v="0"/>
    <n v="0"/>
    <n v="0"/>
    <n v="0"/>
    <n v="23"/>
    <n v="24"/>
    <n v="2"/>
    <n v="0"/>
    <n v="0"/>
    <n v="0"/>
    <n v="0"/>
    <n v="0"/>
    <n v="0"/>
    <n v="0"/>
    <n v="0"/>
    <n v="0"/>
    <n v="0"/>
    <n v="0"/>
    <n v="0"/>
    <n v="0"/>
    <n v="0"/>
    <n v="0"/>
    <n v="0"/>
    <n v="0"/>
    <m/>
    <m/>
    <s v="Wandsworth Town, including the Wandle Delta Masterplan Area"/>
    <n v="5"/>
    <m/>
    <n v="49"/>
    <m/>
    <m/>
    <m/>
    <m/>
    <m/>
    <m/>
    <m/>
    <m/>
    <m/>
    <m/>
    <m/>
    <m/>
    <m/>
    <m/>
    <m/>
    <m/>
    <m/>
    <m/>
    <n v="49"/>
    <n v="49"/>
  </r>
  <r>
    <n v="3519"/>
    <x v="2"/>
    <s v="2019/4583"/>
    <s v="B and Q Depot, Smugglers Way"/>
    <s v="BLOCK A4"/>
    <n v="525782"/>
    <n v="175172"/>
    <s v="St Mary's"/>
    <d v="2020-01-18T00:00:00"/>
    <m/>
    <n v="0"/>
    <n v="42"/>
    <n v="4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m/>
    <s v="Nil"/>
    <m/>
    <s v="BF"/>
    <s v="NB"/>
    <x v="0"/>
    <x v="0"/>
    <n v="6.7000000000000004E-2"/>
    <d v="2021-08-01T00:00:00"/>
    <x v="0"/>
    <m/>
    <s v="Open Market"/>
    <s v="M"/>
    <s v="3.7"/>
    <m/>
    <n v="0"/>
    <m/>
    <n v="0"/>
    <m/>
    <n v="0"/>
    <n v="0"/>
    <n v="40"/>
    <n v="2"/>
    <n v="0"/>
    <n v="0"/>
    <n v="0"/>
    <n v="0"/>
    <n v="0"/>
    <n v="40"/>
    <n v="2"/>
    <n v="0"/>
    <n v="0"/>
    <n v="0"/>
    <n v="0"/>
    <n v="0"/>
    <n v="0"/>
    <n v="0"/>
    <n v="0"/>
    <n v="0"/>
    <n v="0"/>
    <n v="0"/>
    <n v="0"/>
    <n v="0"/>
    <n v="0"/>
    <n v="0"/>
    <n v="0"/>
    <n v="0"/>
    <m/>
    <m/>
    <s v="Wandsworth Town, including the Wandle Delta Masterplan Area"/>
    <n v="5"/>
    <m/>
    <n v="42"/>
    <m/>
    <m/>
    <m/>
    <m/>
    <m/>
    <m/>
    <m/>
    <m/>
    <m/>
    <m/>
    <m/>
    <m/>
    <m/>
    <m/>
    <m/>
    <m/>
    <m/>
    <m/>
    <n v="42"/>
    <n v="42"/>
  </r>
  <r>
    <n v="3514"/>
    <x v="2"/>
    <s v="2020/3867"/>
    <s v="Battersea Gasholder, 101 Prince of Wales Drive"/>
    <s v="Block B"/>
    <n v="528809"/>
    <n v="177181"/>
    <s v="Nine Elms"/>
    <d v="2016-10-19T00:00:00"/>
    <m/>
    <n v="0"/>
    <n v="95"/>
    <n v="95"/>
    <n v="233"/>
    <n v="233"/>
    <s v="Y"/>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m/>
    <s v="Nil"/>
    <m/>
    <s v="BF"/>
    <s v="NB"/>
    <x v="0"/>
    <x v="0"/>
    <n v="0.20399999999999999"/>
    <d v="2021-04-01T00:00:00"/>
    <x v="0"/>
    <m/>
    <s v="Open Market"/>
    <s v="M"/>
    <s v="2.1.4"/>
    <m/>
    <n v="95"/>
    <m/>
    <n v="10"/>
    <m/>
    <n v="0"/>
    <n v="17"/>
    <n v="53"/>
    <n v="21"/>
    <n v="4"/>
    <n v="0"/>
    <n v="0"/>
    <n v="0"/>
    <n v="17"/>
    <n v="53"/>
    <n v="21"/>
    <n v="4"/>
    <n v="0"/>
    <n v="0"/>
    <n v="0"/>
    <n v="0"/>
    <n v="0"/>
    <n v="0"/>
    <n v="0"/>
    <n v="0"/>
    <n v="0"/>
    <n v="0"/>
    <n v="0"/>
    <n v="0"/>
    <n v="0"/>
    <n v="0"/>
    <n v="0"/>
    <n v="0"/>
    <m/>
    <s v="Y"/>
    <s v="Nine Elms Vauxhall Opportunity Area"/>
    <n v="2"/>
    <m/>
    <n v="95"/>
    <m/>
    <m/>
    <m/>
    <m/>
    <m/>
    <m/>
    <m/>
    <m/>
    <m/>
    <m/>
    <m/>
    <m/>
    <m/>
    <m/>
    <m/>
    <m/>
    <m/>
    <m/>
    <n v="95"/>
    <n v="95"/>
  </r>
  <r>
    <n v="6852"/>
    <x v="2"/>
    <s v="2018/5553"/>
    <s v="Kersfield Estate, Lytton Grove"/>
    <s v="Block B"/>
    <n v="524063"/>
    <n v="174446"/>
    <s v="East Putney"/>
    <d v="2021-05-26T00:00:00"/>
    <m/>
    <n v="0"/>
    <n v="6"/>
    <n v="6"/>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0"/>
    <x v="0"/>
    <n v="8.5000000000000006E-2"/>
    <d v="2021-05-26T00:00:00"/>
    <x v="0"/>
    <m/>
    <s v="Open Market"/>
    <s v="M"/>
    <s v=""/>
    <m/>
    <n v="0"/>
    <m/>
    <n v="0"/>
    <m/>
    <n v="0"/>
    <n v="2"/>
    <n v="4"/>
    <n v="0"/>
    <n v="0"/>
    <n v="0"/>
    <n v="0"/>
    <n v="0"/>
    <n v="2"/>
    <n v="4"/>
    <n v="0"/>
    <n v="0"/>
    <n v="0"/>
    <n v="0"/>
    <n v="0"/>
    <n v="0"/>
    <n v="0"/>
    <n v="0"/>
    <n v="0"/>
    <n v="0"/>
    <n v="0"/>
    <n v="0"/>
    <n v="0"/>
    <n v="0"/>
    <n v="0"/>
    <n v="0"/>
    <n v="0"/>
    <n v="0"/>
    <m/>
    <m/>
    <s v="Rest of Borough"/>
    <n v="5"/>
    <m/>
    <n v="6"/>
    <m/>
    <m/>
    <m/>
    <m/>
    <m/>
    <m/>
    <m/>
    <m/>
    <m/>
    <m/>
    <m/>
    <m/>
    <m/>
    <m/>
    <m/>
    <m/>
    <m/>
    <m/>
    <n v="6"/>
    <n v="6"/>
  </r>
  <r>
    <n v="7385"/>
    <x v="2"/>
    <s v="2020/0635"/>
    <s v="Randall Close Day Centre and car park, 2 Randall Close (Surrey Lane Estate)"/>
    <s v="BLOCK B - HYDE LANE"/>
    <n v="527211"/>
    <n v="176872"/>
    <s v="Battersea Park"/>
    <d v="2022-09-21T00:00:00"/>
    <m/>
    <n v="0"/>
    <n v="39"/>
    <n v="39"/>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m/>
    <s v="Nil"/>
    <m/>
    <s v="BF"/>
    <s v="NB"/>
    <x v="0"/>
    <x v="0"/>
    <n v="0.23"/>
    <d v="2023-03-09T00:00:00"/>
    <x v="1"/>
    <m/>
    <s v="Open Market"/>
    <s v="M"/>
    <s v=""/>
    <m/>
    <n v="0"/>
    <n v="39"/>
    <n v="0"/>
    <n v="0"/>
    <n v="0"/>
    <n v="10"/>
    <n v="28"/>
    <n v="1"/>
    <n v="0"/>
    <n v="0"/>
    <n v="0"/>
    <n v="0"/>
    <n v="10"/>
    <n v="28"/>
    <n v="1"/>
    <n v="0"/>
    <n v="0"/>
    <n v="0"/>
    <n v="0"/>
    <n v="0"/>
    <n v="0"/>
    <n v="0"/>
    <n v="0"/>
    <n v="0"/>
    <n v="0"/>
    <n v="0"/>
    <n v="0"/>
    <n v="0"/>
    <n v="0"/>
    <n v="0"/>
    <n v="0"/>
    <n v="0"/>
    <m/>
    <m/>
    <s v="Rest of Borough"/>
    <n v="5"/>
    <m/>
    <m/>
    <n v="39"/>
    <m/>
    <m/>
    <m/>
    <m/>
    <m/>
    <m/>
    <m/>
    <m/>
    <m/>
    <m/>
    <m/>
    <m/>
    <m/>
    <m/>
    <m/>
    <m/>
    <m/>
    <n v="39"/>
    <n v="39"/>
  </r>
  <r>
    <n v="6853"/>
    <x v="2"/>
    <s v="2020/0636"/>
    <s v="The Patmore Centre, Patmore Street"/>
    <s v="Block B (London Affordable Rented Housing)"/>
    <n v="529335"/>
    <n v="176880"/>
    <s v="Shaftesbury &amp; Queenstown"/>
    <d v="2022-11-08T00:00:00"/>
    <m/>
    <n v="0"/>
    <n v="20"/>
    <n v="20"/>
    <n v="57"/>
    <n v="57"/>
    <s v="Y"/>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m/>
    <s v="Nil"/>
    <m/>
    <s v="BF"/>
    <s v="NB"/>
    <x v="0"/>
    <x v="0"/>
    <n v="0.23300000000000001"/>
    <d v="2022-11-08T00:00:00"/>
    <x v="1"/>
    <m/>
    <s v="Social/Affordable Rent"/>
    <s v="AL"/>
    <s v=""/>
    <m/>
    <n v="0"/>
    <n v="16"/>
    <n v="0"/>
    <n v="4"/>
    <n v="0"/>
    <n v="6"/>
    <n v="8"/>
    <n v="4"/>
    <n v="2"/>
    <n v="0"/>
    <n v="0"/>
    <n v="0"/>
    <n v="6"/>
    <n v="8"/>
    <n v="4"/>
    <n v="2"/>
    <n v="0"/>
    <n v="0"/>
    <n v="0"/>
    <n v="0"/>
    <n v="0"/>
    <n v="0"/>
    <n v="0"/>
    <n v="0"/>
    <n v="0"/>
    <n v="0"/>
    <n v="0"/>
    <n v="0"/>
    <n v="0"/>
    <n v="0"/>
    <n v="0"/>
    <n v="0"/>
    <m/>
    <s v="Y"/>
    <s v="Nine Elms Vauxhall Opportunity Area"/>
    <n v="5"/>
    <m/>
    <m/>
    <n v="20"/>
    <m/>
    <m/>
    <m/>
    <m/>
    <m/>
    <m/>
    <m/>
    <m/>
    <m/>
    <m/>
    <m/>
    <m/>
    <m/>
    <m/>
    <m/>
    <m/>
    <m/>
    <n v="20"/>
    <n v="20"/>
  </r>
  <r>
    <n v="3522"/>
    <x v="2"/>
    <s v="2020/0011"/>
    <s v="Homebase, Swandon Way"/>
    <s v="Block B (Market)"/>
    <n v="525912"/>
    <n v="175143"/>
    <s v="St Mary's"/>
    <d v="2020-04-01T00:00:00"/>
    <m/>
    <n v="0"/>
    <n v="94"/>
    <n v="94"/>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m/>
    <s v="Nil"/>
    <m/>
    <s v="BF"/>
    <s v="NB"/>
    <x v="0"/>
    <x v="0"/>
    <n v="9.2999999999999999E-2"/>
    <d v="2022-04-01T00:00:00"/>
    <x v="1"/>
    <m/>
    <s v="Open Market"/>
    <s v="M"/>
    <s v="3.6"/>
    <m/>
    <n v="0"/>
    <m/>
    <n v="0"/>
    <n v="10"/>
    <n v="0"/>
    <n v="67"/>
    <n v="17"/>
    <n v="10"/>
    <n v="0"/>
    <n v="0"/>
    <n v="0"/>
    <n v="0"/>
    <n v="67"/>
    <n v="17"/>
    <n v="10"/>
    <n v="0"/>
    <n v="0"/>
    <n v="0"/>
    <n v="0"/>
    <n v="0"/>
    <n v="0"/>
    <n v="0"/>
    <n v="0"/>
    <n v="0"/>
    <n v="0"/>
    <n v="0"/>
    <n v="0"/>
    <n v="0"/>
    <n v="0"/>
    <n v="0"/>
    <n v="0"/>
    <n v="0"/>
    <m/>
    <m/>
    <s v="Wandsworth Town, including the Wandle Delta Masterplan Area"/>
    <n v="5"/>
    <m/>
    <m/>
    <n v="94"/>
    <m/>
    <m/>
    <m/>
    <m/>
    <m/>
    <m/>
    <m/>
    <m/>
    <m/>
    <m/>
    <m/>
    <m/>
    <m/>
    <m/>
    <m/>
    <m/>
    <m/>
    <n v="94"/>
    <n v="94"/>
  </r>
  <r>
    <n v="3519"/>
    <x v="2"/>
    <s v="2019/4583"/>
    <s v="B and Q Depot, Smugglers Way"/>
    <s v="BLOCK B1"/>
    <n v="525782"/>
    <n v="175172"/>
    <s v="St Mary's"/>
    <d v="2020-01-18T00:00:00"/>
    <m/>
    <n v="0"/>
    <n v="43"/>
    <n v="43"/>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m/>
    <s v="Nil"/>
    <m/>
    <s v="BF"/>
    <s v="NB"/>
    <x v="0"/>
    <x v="0"/>
    <n v="6.9000000000000006E-2"/>
    <d v="2021-08-01T00:00:00"/>
    <x v="0"/>
    <m/>
    <s v="Intermediate"/>
    <s v="IR"/>
    <s v="3.7"/>
    <m/>
    <n v="0"/>
    <m/>
    <n v="0"/>
    <n v="22"/>
    <n v="0"/>
    <n v="21"/>
    <n v="22"/>
    <n v="0"/>
    <n v="0"/>
    <n v="0"/>
    <n v="0"/>
    <n v="0"/>
    <n v="21"/>
    <n v="22"/>
    <n v="0"/>
    <n v="0"/>
    <n v="0"/>
    <n v="0"/>
    <n v="0"/>
    <n v="0"/>
    <n v="0"/>
    <n v="0"/>
    <n v="0"/>
    <n v="0"/>
    <n v="0"/>
    <n v="0"/>
    <n v="0"/>
    <n v="0"/>
    <n v="0"/>
    <n v="0"/>
    <n v="0"/>
    <n v="0"/>
    <m/>
    <m/>
    <s v="Wandsworth Town, including the Wandle Delta Masterplan Area"/>
    <n v="5"/>
    <m/>
    <n v="43"/>
    <m/>
    <m/>
    <m/>
    <m/>
    <m/>
    <m/>
    <m/>
    <m/>
    <m/>
    <m/>
    <m/>
    <m/>
    <m/>
    <m/>
    <m/>
    <m/>
    <m/>
    <m/>
    <n v="43"/>
    <n v="43"/>
  </r>
  <r>
    <n v="3519"/>
    <x v="2"/>
    <s v="2019/4583"/>
    <s v="B and Q Depot, Smugglers Way"/>
    <s v="BLOCK B2"/>
    <n v="525782"/>
    <n v="175172"/>
    <s v="St Mary's"/>
    <d v="2020-01-18T00:00:00"/>
    <m/>
    <n v="0"/>
    <n v="35"/>
    <n v="35"/>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m/>
    <s v="Nil"/>
    <m/>
    <s v="BF"/>
    <s v="NB"/>
    <x v="0"/>
    <x v="0"/>
    <n v="5.6000000000000001E-2"/>
    <d v="2021-08-01T00:00:00"/>
    <x v="0"/>
    <m/>
    <s v="Intermediate"/>
    <s v="IR"/>
    <s v="3.7"/>
    <m/>
    <n v="0"/>
    <m/>
    <n v="0"/>
    <n v="0"/>
    <n v="0"/>
    <n v="0"/>
    <n v="35"/>
    <n v="0"/>
    <n v="0"/>
    <n v="0"/>
    <n v="0"/>
    <n v="0"/>
    <n v="0"/>
    <n v="35"/>
    <n v="0"/>
    <n v="0"/>
    <n v="0"/>
    <n v="0"/>
    <n v="0"/>
    <n v="0"/>
    <n v="0"/>
    <n v="0"/>
    <n v="0"/>
    <n v="0"/>
    <n v="0"/>
    <n v="0"/>
    <n v="0"/>
    <n v="0"/>
    <n v="0"/>
    <n v="0"/>
    <n v="0"/>
    <n v="0"/>
    <m/>
    <m/>
    <s v="Wandsworth Town, including the Wandle Delta Masterplan Area"/>
    <n v="5"/>
    <m/>
    <n v="35"/>
    <m/>
    <m/>
    <m/>
    <m/>
    <m/>
    <m/>
    <m/>
    <m/>
    <m/>
    <m/>
    <m/>
    <m/>
    <m/>
    <m/>
    <m/>
    <m/>
    <m/>
    <m/>
    <n v="35"/>
    <n v="35"/>
  </r>
  <r>
    <n v="3519"/>
    <x v="2"/>
    <s v="2019/4583"/>
    <s v="B and Q Depot, Smugglers Way"/>
    <s v="BLOCK B3"/>
    <n v="525782"/>
    <n v="175172"/>
    <s v="St Mary's"/>
    <d v="2020-01-18T00:00:00"/>
    <m/>
    <n v="0"/>
    <n v="32"/>
    <n v="3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m/>
    <s v="Nil"/>
    <m/>
    <s v="BF"/>
    <s v="NB"/>
    <x v="0"/>
    <x v="0"/>
    <n v="5.0999999999999997E-2"/>
    <d v="2021-08-01T00:00:00"/>
    <x v="0"/>
    <m/>
    <s v="Social/Affordable Rent"/>
    <s v="AA"/>
    <s v="3.7"/>
    <m/>
    <n v="0"/>
    <m/>
    <n v="0"/>
    <n v="8"/>
    <n v="0"/>
    <n v="16"/>
    <n v="16"/>
    <n v="0"/>
    <n v="0"/>
    <n v="0"/>
    <n v="0"/>
    <n v="0"/>
    <n v="16"/>
    <n v="16"/>
    <n v="0"/>
    <n v="0"/>
    <n v="0"/>
    <n v="0"/>
    <n v="0"/>
    <n v="0"/>
    <n v="0"/>
    <n v="0"/>
    <n v="0"/>
    <n v="0"/>
    <n v="0"/>
    <n v="0"/>
    <n v="0"/>
    <n v="0"/>
    <n v="0"/>
    <n v="0"/>
    <n v="0"/>
    <n v="0"/>
    <m/>
    <m/>
    <s v="Wandsworth Town, including the Wandle Delta Masterplan Area"/>
    <n v="5"/>
    <m/>
    <n v="32"/>
    <m/>
    <m/>
    <m/>
    <m/>
    <m/>
    <m/>
    <m/>
    <m/>
    <m/>
    <m/>
    <m/>
    <m/>
    <m/>
    <m/>
    <m/>
    <m/>
    <m/>
    <m/>
    <n v="32"/>
    <n v="32"/>
  </r>
  <r>
    <n v="3519"/>
    <x v="2"/>
    <s v="2019/4583"/>
    <s v="B and Q Depot, Smugglers Way"/>
    <s v="BLOCK B4"/>
    <n v="525782"/>
    <n v="175172"/>
    <s v="St Mary's"/>
    <d v="2020-01-18T00:00:00"/>
    <m/>
    <n v="0"/>
    <n v="25"/>
    <n v="25"/>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m/>
    <s v="Nil"/>
    <m/>
    <s v="BF"/>
    <s v="NB"/>
    <x v="0"/>
    <x v="0"/>
    <n v="0.04"/>
    <d v="2021-08-01T00:00:00"/>
    <x v="0"/>
    <m/>
    <s v="Social/Affordable Rent"/>
    <s v="AA"/>
    <s v="3.7"/>
    <m/>
    <n v="0"/>
    <m/>
    <n v="0"/>
    <m/>
    <n v="0"/>
    <n v="0"/>
    <n v="16"/>
    <n v="9"/>
    <n v="0"/>
    <n v="0"/>
    <n v="0"/>
    <n v="0"/>
    <n v="0"/>
    <n v="16"/>
    <n v="9"/>
    <n v="0"/>
    <n v="0"/>
    <n v="0"/>
    <n v="0"/>
    <n v="0"/>
    <n v="0"/>
    <n v="0"/>
    <n v="0"/>
    <n v="0"/>
    <n v="0"/>
    <n v="0"/>
    <n v="0"/>
    <n v="0"/>
    <n v="0"/>
    <n v="0"/>
    <n v="0"/>
    <n v="0"/>
    <m/>
    <m/>
    <s v="Wandsworth Town, including the Wandle Delta Masterplan Area"/>
    <n v="5"/>
    <m/>
    <n v="25"/>
    <m/>
    <m/>
    <m/>
    <m/>
    <m/>
    <m/>
    <m/>
    <m/>
    <m/>
    <m/>
    <m/>
    <m/>
    <m/>
    <m/>
    <m/>
    <m/>
    <m/>
    <m/>
    <n v="25"/>
    <n v="25"/>
  </r>
  <r>
    <n v="3519"/>
    <x v="2"/>
    <s v="2019/4583"/>
    <s v="B and Q Depot, Smugglers Way"/>
    <s v="BLOCK B4"/>
    <n v="525782"/>
    <n v="175172"/>
    <s v="St Mary's"/>
    <d v="2020-01-18T00:00:00"/>
    <m/>
    <n v="0"/>
    <n v="2"/>
    <n v="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m/>
    <s v="Nil"/>
    <m/>
    <s v="BF"/>
    <s v="NB"/>
    <x v="0"/>
    <x v="0"/>
    <n v="3.0000000000000001E-3"/>
    <d v="2021-08-01T00:00:00"/>
    <x v="0"/>
    <m/>
    <s v="Social/Affordable Rent"/>
    <s v="AA"/>
    <s v="3.7"/>
    <m/>
    <n v="0"/>
    <m/>
    <n v="0"/>
    <n v="9"/>
    <n v="0"/>
    <n v="0"/>
    <n v="2"/>
    <n v="0"/>
    <n v="0"/>
    <n v="0"/>
    <n v="0"/>
    <n v="0"/>
    <n v="0"/>
    <n v="2"/>
    <n v="0"/>
    <n v="0"/>
    <n v="0"/>
    <n v="0"/>
    <n v="0"/>
    <n v="0"/>
    <n v="0"/>
    <n v="0"/>
    <n v="0"/>
    <n v="0"/>
    <n v="0"/>
    <n v="0"/>
    <n v="0"/>
    <n v="0"/>
    <n v="0"/>
    <n v="0"/>
    <n v="0"/>
    <n v="0"/>
    <m/>
    <m/>
    <s v="Wandsworth Town, including the Wandle Delta Masterplan Area"/>
    <n v="5"/>
    <m/>
    <n v="2"/>
    <m/>
    <m/>
    <m/>
    <m/>
    <m/>
    <m/>
    <m/>
    <m/>
    <m/>
    <m/>
    <m/>
    <m/>
    <m/>
    <m/>
    <m/>
    <m/>
    <m/>
    <m/>
    <n v="2"/>
    <n v="2"/>
  </r>
  <r>
    <n v="3519"/>
    <x v="2"/>
    <s v="2019/4583"/>
    <s v="B and Q Depot, Smugglers Way"/>
    <s v="BLOCK B5"/>
    <n v="525782"/>
    <n v="175172"/>
    <s v="St Mary's"/>
    <d v="2020-01-18T00:00:00"/>
    <m/>
    <n v="0"/>
    <n v="22"/>
    <n v="2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m/>
    <s v="Nil"/>
    <m/>
    <s v="BF"/>
    <s v="NB"/>
    <x v="0"/>
    <x v="0"/>
    <n v="3.5000000000000003E-2"/>
    <d v="2021-08-01T00:00:00"/>
    <x v="0"/>
    <m/>
    <s v="Open Market"/>
    <s v="M"/>
    <s v="3.7"/>
    <m/>
    <n v="0"/>
    <m/>
    <n v="0"/>
    <m/>
    <n v="0"/>
    <n v="0"/>
    <n v="21"/>
    <n v="1"/>
    <n v="0"/>
    <n v="0"/>
    <n v="0"/>
    <n v="0"/>
    <n v="0"/>
    <n v="21"/>
    <n v="1"/>
    <n v="0"/>
    <n v="0"/>
    <n v="0"/>
    <n v="0"/>
    <n v="0"/>
    <n v="0"/>
    <n v="0"/>
    <n v="0"/>
    <n v="0"/>
    <n v="0"/>
    <n v="0"/>
    <n v="0"/>
    <n v="0"/>
    <n v="0"/>
    <n v="0"/>
    <n v="0"/>
    <n v="0"/>
    <m/>
    <m/>
    <s v="Wandsworth Town, including the Wandle Delta Masterplan Area"/>
    <n v="5"/>
    <m/>
    <n v="22"/>
    <m/>
    <m/>
    <m/>
    <m/>
    <m/>
    <m/>
    <m/>
    <m/>
    <m/>
    <m/>
    <m/>
    <m/>
    <m/>
    <m/>
    <m/>
    <m/>
    <m/>
    <m/>
    <n v="22"/>
    <n v="22"/>
  </r>
  <r>
    <n v="3519"/>
    <x v="2"/>
    <s v="2019/4583"/>
    <s v="B and Q Depot, Smugglers Way"/>
    <s v="BLOCK B5"/>
    <n v="525782"/>
    <n v="175172"/>
    <s v="St Mary's"/>
    <d v="2020-01-18T00:00:00"/>
    <m/>
    <n v="0"/>
    <n v="21"/>
    <n v="21"/>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m/>
    <s v="Nil"/>
    <m/>
    <s v="BF"/>
    <s v="NB"/>
    <x v="0"/>
    <x v="0"/>
    <n v="3.4000000000000002E-2"/>
    <d v="2021-08-01T00:00:00"/>
    <x v="0"/>
    <m/>
    <s v="Intermediate"/>
    <s v="IR"/>
    <s v="3.7"/>
    <m/>
    <n v="0"/>
    <m/>
    <n v="0"/>
    <m/>
    <n v="0"/>
    <n v="0"/>
    <n v="21"/>
    <n v="0"/>
    <n v="0"/>
    <n v="0"/>
    <n v="0"/>
    <n v="0"/>
    <n v="0"/>
    <n v="21"/>
    <n v="0"/>
    <n v="0"/>
    <n v="0"/>
    <n v="0"/>
    <n v="0"/>
    <n v="0"/>
    <n v="0"/>
    <n v="0"/>
    <n v="0"/>
    <n v="0"/>
    <n v="0"/>
    <n v="0"/>
    <n v="0"/>
    <n v="0"/>
    <n v="0"/>
    <n v="0"/>
    <n v="0"/>
    <n v="0"/>
    <m/>
    <m/>
    <s v="Wandsworth Town, including the Wandle Delta Masterplan Area"/>
    <n v="5"/>
    <m/>
    <n v="21"/>
    <m/>
    <m/>
    <m/>
    <m/>
    <m/>
    <m/>
    <m/>
    <m/>
    <m/>
    <m/>
    <m/>
    <m/>
    <m/>
    <m/>
    <m/>
    <m/>
    <m/>
    <m/>
    <n v="21"/>
    <n v="21"/>
  </r>
  <r>
    <n v="3519"/>
    <x v="2"/>
    <s v="2019/4583"/>
    <s v="B and Q Depot, Smugglers Way"/>
    <s v="BLOCK B6"/>
    <n v="525782"/>
    <n v="175172"/>
    <s v="St Mary's"/>
    <d v="2020-01-18T00:00:00"/>
    <m/>
    <n v="0"/>
    <n v="39"/>
    <n v="39"/>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m/>
    <s v="Nil"/>
    <m/>
    <s v="BF"/>
    <s v="NB"/>
    <x v="0"/>
    <x v="0"/>
    <n v="6.3E-2"/>
    <d v="2021-08-01T00:00:00"/>
    <x v="0"/>
    <m/>
    <s v="Intermediate"/>
    <s v="IR"/>
    <s v="3.7"/>
    <m/>
    <n v="0"/>
    <m/>
    <n v="0"/>
    <m/>
    <n v="0"/>
    <n v="19"/>
    <n v="20"/>
    <n v="0"/>
    <n v="0"/>
    <n v="0"/>
    <n v="0"/>
    <n v="0"/>
    <n v="19"/>
    <n v="20"/>
    <n v="0"/>
    <n v="0"/>
    <n v="0"/>
    <n v="0"/>
    <n v="0"/>
    <n v="0"/>
    <n v="0"/>
    <n v="0"/>
    <n v="0"/>
    <n v="0"/>
    <n v="0"/>
    <n v="0"/>
    <n v="0"/>
    <n v="0"/>
    <n v="0"/>
    <n v="0"/>
    <n v="0"/>
    <n v="0"/>
    <m/>
    <m/>
    <s v="Wandsworth Town, including the Wandle Delta Masterplan Area"/>
    <n v="5"/>
    <m/>
    <n v="39"/>
    <m/>
    <m/>
    <m/>
    <m/>
    <m/>
    <m/>
    <m/>
    <m/>
    <m/>
    <m/>
    <m/>
    <m/>
    <m/>
    <m/>
    <m/>
    <m/>
    <m/>
    <m/>
    <n v="39"/>
    <n v="39"/>
  </r>
  <r>
    <n v="6852"/>
    <x v="2"/>
    <s v="2018/5553"/>
    <s v="Kersfield Estate, Lytton Grove"/>
    <s v="Block C"/>
    <n v="524063"/>
    <n v="174446"/>
    <s v="East Putney"/>
    <d v="2021-05-26T00:00:00"/>
    <m/>
    <n v="0"/>
    <n v="6"/>
    <n v="6"/>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0"/>
    <x v="0"/>
    <n v="8.5000000000000006E-2"/>
    <d v="2021-05-26T00:00:00"/>
    <x v="0"/>
    <m/>
    <s v="Open Market"/>
    <s v="M"/>
    <s v=""/>
    <m/>
    <n v="0"/>
    <m/>
    <n v="0"/>
    <m/>
    <n v="0"/>
    <n v="2"/>
    <n v="4"/>
    <n v="0"/>
    <n v="0"/>
    <n v="0"/>
    <n v="0"/>
    <n v="0"/>
    <n v="2"/>
    <n v="4"/>
    <n v="0"/>
    <n v="0"/>
    <n v="0"/>
    <n v="0"/>
    <n v="0"/>
    <n v="0"/>
    <n v="0"/>
    <n v="0"/>
    <n v="0"/>
    <n v="0"/>
    <n v="0"/>
    <n v="0"/>
    <n v="0"/>
    <n v="0"/>
    <n v="0"/>
    <n v="0"/>
    <n v="0"/>
    <n v="0"/>
    <m/>
    <m/>
    <s v="Rest of Borough"/>
    <n v="5"/>
    <m/>
    <n v="6"/>
    <m/>
    <m/>
    <m/>
    <m/>
    <m/>
    <m/>
    <m/>
    <m/>
    <m/>
    <m/>
    <m/>
    <m/>
    <m/>
    <m/>
    <m/>
    <m/>
    <m/>
    <m/>
    <n v="6"/>
    <n v="6"/>
  </r>
  <r>
    <n v="7385"/>
    <x v="2"/>
    <s v="2020/0635"/>
    <s v="Randall Close Day Centre and car park, 2 Randall Close (Surrey Lane Estate)"/>
    <s v="BLOCK C - BATTERSEA BRIDGE ROAD"/>
    <n v="527211"/>
    <n v="176872"/>
    <s v="Battersea Park"/>
    <d v="2022-09-21T00:00:00"/>
    <m/>
    <n v="0"/>
    <n v="10"/>
    <n v="10"/>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PFLA"/>
    <d v="2020-03-23T00:00:00"/>
    <d v="2021-05-07T00:00:00"/>
    <m/>
    <s v="Nil"/>
    <m/>
    <s v="BF"/>
    <s v="NB"/>
    <x v="0"/>
    <x v="0"/>
    <n v="5.8999999999999997E-2"/>
    <d v="2023-03-09T00:00:00"/>
    <x v="1"/>
    <m/>
    <s v="Open Market"/>
    <s v="M"/>
    <s v=""/>
    <m/>
    <n v="0"/>
    <n v="10"/>
    <n v="0"/>
    <n v="0"/>
    <n v="0"/>
    <n v="6"/>
    <n v="4"/>
    <n v="0"/>
    <n v="0"/>
    <n v="0"/>
    <n v="0"/>
    <n v="0"/>
    <n v="6"/>
    <n v="4"/>
    <n v="0"/>
    <n v="0"/>
    <n v="0"/>
    <n v="0"/>
    <n v="0"/>
    <n v="0"/>
    <n v="0"/>
    <n v="0"/>
    <n v="0"/>
    <n v="0"/>
    <n v="0"/>
    <n v="0"/>
    <n v="0"/>
    <n v="0"/>
    <n v="0"/>
    <n v="0"/>
    <n v="0"/>
    <n v="0"/>
    <m/>
    <m/>
    <s v="Rest of Borough"/>
    <n v="5"/>
    <m/>
    <m/>
    <n v="10"/>
    <m/>
    <m/>
    <m/>
    <m/>
    <m/>
    <m/>
    <m/>
    <m/>
    <m/>
    <m/>
    <m/>
    <m/>
    <m/>
    <m/>
    <m/>
    <m/>
    <m/>
    <n v="10"/>
    <n v="10"/>
  </r>
  <r>
    <n v="6853"/>
    <x v="2"/>
    <s v="2020/0636"/>
    <s v="The Patmore Centre, Patmore Street"/>
    <s v="Block C (London Affordable Rented Housing)"/>
    <n v="529335"/>
    <n v="176880"/>
    <s v="Shaftesbury &amp; Queenstown"/>
    <d v="2022-11-08T00:00:00"/>
    <m/>
    <n v="0"/>
    <n v="19"/>
    <n v="19"/>
    <n v="57"/>
    <n v="57"/>
    <s v="Y"/>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PFLA"/>
    <d v="2020-02-02T00:00:00"/>
    <d v="2021-09-02T00:00:00"/>
    <m/>
    <s v="Nil"/>
    <m/>
    <s v="BF"/>
    <s v="NB"/>
    <x v="0"/>
    <x v="0"/>
    <n v="0.186"/>
    <d v="2022-11-08T00:00:00"/>
    <x v="1"/>
    <m/>
    <s v="Social/Affordable Rent"/>
    <s v="AL"/>
    <s v=""/>
    <m/>
    <n v="0"/>
    <n v="14"/>
    <n v="0"/>
    <n v="2"/>
    <n v="0"/>
    <n v="6"/>
    <n v="7"/>
    <n v="4"/>
    <n v="2"/>
    <n v="0"/>
    <n v="0"/>
    <n v="0"/>
    <n v="6"/>
    <n v="7"/>
    <n v="4"/>
    <n v="2"/>
    <n v="0"/>
    <n v="0"/>
    <n v="0"/>
    <n v="0"/>
    <n v="0"/>
    <n v="0"/>
    <n v="0"/>
    <n v="0"/>
    <n v="0"/>
    <n v="0"/>
    <n v="0"/>
    <n v="0"/>
    <n v="0"/>
    <n v="0"/>
    <n v="0"/>
    <n v="0"/>
    <m/>
    <s v="Y"/>
    <s v="Nine Elms Vauxhall Opportunity Area"/>
    <n v="5"/>
    <m/>
    <m/>
    <n v="19"/>
    <m/>
    <m/>
    <m/>
    <m/>
    <m/>
    <m/>
    <m/>
    <m/>
    <m/>
    <m/>
    <m/>
    <m/>
    <m/>
    <m/>
    <m/>
    <m/>
    <m/>
    <n v="19"/>
    <n v="19"/>
  </r>
  <r>
    <n v="3522"/>
    <x v="2"/>
    <s v="2020/0011"/>
    <s v="Homebase, Swandon Way"/>
    <s v="Block C (Market)"/>
    <n v="525912"/>
    <n v="175143"/>
    <s v="St Mary's"/>
    <d v="2020-04-01T00:00:00"/>
    <m/>
    <n v="0"/>
    <n v="99"/>
    <n v="99"/>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m/>
    <s v="Nil"/>
    <m/>
    <s v="BF"/>
    <s v="NB"/>
    <x v="0"/>
    <x v="0"/>
    <n v="9.8000000000000004E-2"/>
    <d v="2022-04-01T00:00:00"/>
    <x v="1"/>
    <m/>
    <s v="Open Market"/>
    <s v="M"/>
    <s v="3.6"/>
    <m/>
    <n v="0"/>
    <m/>
    <n v="0"/>
    <n v="10"/>
    <n v="0"/>
    <n v="62"/>
    <n v="27"/>
    <n v="10"/>
    <n v="0"/>
    <n v="0"/>
    <n v="0"/>
    <n v="0"/>
    <n v="62"/>
    <n v="27"/>
    <n v="10"/>
    <n v="0"/>
    <n v="0"/>
    <n v="0"/>
    <n v="0"/>
    <n v="0"/>
    <n v="0"/>
    <n v="0"/>
    <n v="0"/>
    <n v="0"/>
    <n v="0"/>
    <n v="0"/>
    <n v="0"/>
    <n v="0"/>
    <n v="0"/>
    <n v="0"/>
    <n v="0"/>
    <n v="0"/>
    <m/>
    <m/>
    <s v="Wandsworth Town, including the Wandle Delta Masterplan Area"/>
    <n v="5"/>
    <m/>
    <m/>
    <n v="99"/>
    <m/>
    <m/>
    <m/>
    <m/>
    <m/>
    <m/>
    <m/>
    <m/>
    <m/>
    <m/>
    <m/>
    <m/>
    <m/>
    <m/>
    <m/>
    <m/>
    <m/>
    <n v="99"/>
    <n v="99"/>
  </r>
  <r>
    <n v="3519"/>
    <x v="2"/>
    <s v="2019/4583"/>
    <s v="B and Q Depot, Smugglers Way"/>
    <s v="BLOCK C1"/>
    <n v="525782"/>
    <n v="175172"/>
    <s v="St Mary's"/>
    <d v="2020-01-18T00:00:00"/>
    <m/>
    <n v="0"/>
    <n v="42"/>
    <n v="4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m/>
    <s v="Nil"/>
    <m/>
    <s v="BF"/>
    <s v="NB"/>
    <x v="0"/>
    <x v="0"/>
    <n v="6.7000000000000004E-2"/>
    <d v="2023-03-31T00:00:00"/>
    <x v="1"/>
    <m/>
    <s v="Open Market"/>
    <s v="M"/>
    <s v="3.7"/>
    <m/>
    <n v="0"/>
    <m/>
    <n v="0"/>
    <m/>
    <n v="0"/>
    <n v="0"/>
    <n v="40"/>
    <n v="2"/>
    <n v="0"/>
    <n v="0"/>
    <n v="0"/>
    <n v="0"/>
    <n v="0"/>
    <n v="40"/>
    <n v="2"/>
    <n v="0"/>
    <n v="0"/>
    <n v="0"/>
    <n v="0"/>
    <n v="0"/>
    <n v="0"/>
    <n v="0"/>
    <n v="0"/>
    <n v="0"/>
    <n v="0"/>
    <n v="0"/>
    <n v="0"/>
    <n v="0"/>
    <n v="0"/>
    <n v="0"/>
    <n v="0"/>
    <n v="0"/>
    <m/>
    <m/>
    <s v="Wandsworth Town, including the Wandle Delta Masterplan Area"/>
    <n v="5"/>
    <m/>
    <m/>
    <n v="42"/>
    <m/>
    <m/>
    <m/>
    <m/>
    <m/>
    <m/>
    <m/>
    <m/>
    <m/>
    <m/>
    <m/>
    <m/>
    <m/>
    <m/>
    <m/>
    <m/>
    <m/>
    <n v="42"/>
    <n v="42"/>
  </r>
  <r>
    <n v="3519"/>
    <x v="2"/>
    <s v="2019/4583"/>
    <s v="B and Q Depot, Smugglers Way"/>
    <s v="BLOCK C2"/>
    <n v="525782"/>
    <n v="175172"/>
    <s v="St Mary's"/>
    <d v="2020-01-18T00:00:00"/>
    <m/>
    <n v="0"/>
    <n v="50"/>
    <n v="50"/>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m/>
    <s v="Nil"/>
    <m/>
    <s v="BF"/>
    <s v="NB"/>
    <x v="0"/>
    <x v="0"/>
    <n v="0.08"/>
    <d v="2023-03-31T00:00:00"/>
    <x v="1"/>
    <m/>
    <s v="Open Market"/>
    <s v="M"/>
    <s v="3.7"/>
    <m/>
    <n v="0"/>
    <m/>
    <n v="0"/>
    <m/>
    <n v="0"/>
    <n v="24"/>
    <n v="24"/>
    <n v="2"/>
    <n v="0"/>
    <n v="0"/>
    <n v="0"/>
    <n v="0"/>
    <n v="24"/>
    <n v="24"/>
    <n v="2"/>
    <n v="0"/>
    <n v="0"/>
    <n v="0"/>
    <n v="0"/>
    <n v="0"/>
    <n v="0"/>
    <n v="0"/>
    <n v="0"/>
    <n v="0"/>
    <n v="0"/>
    <n v="0"/>
    <n v="0"/>
    <n v="0"/>
    <n v="0"/>
    <n v="0"/>
    <n v="0"/>
    <n v="0"/>
    <m/>
    <m/>
    <s v="Wandsworth Town, including the Wandle Delta Masterplan Area"/>
    <n v="5"/>
    <m/>
    <m/>
    <n v="50"/>
    <m/>
    <m/>
    <m/>
    <m/>
    <m/>
    <m/>
    <m/>
    <m/>
    <m/>
    <m/>
    <m/>
    <m/>
    <m/>
    <m/>
    <m/>
    <m/>
    <m/>
    <n v="50"/>
    <n v="50"/>
  </r>
  <r>
    <n v="3519"/>
    <x v="2"/>
    <s v="2019/4583"/>
    <s v="B and Q Depot, Smugglers Way"/>
    <s v="BLOCK C3"/>
    <n v="525782"/>
    <n v="175172"/>
    <s v="St Mary's"/>
    <d v="2020-01-18T00:00:00"/>
    <m/>
    <n v="0"/>
    <n v="58"/>
    <n v="58"/>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PFLA"/>
    <d v="2019-11-04T00:00:00"/>
    <d v="2021-04-29T00:00:00"/>
    <m/>
    <s v="Nil"/>
    <m/>
    <s v="BF"/>
    <s v="NB"/>
    <x v="0"/>
    <x v="0"/>
    <n v="9.2999999999999999E-2"/>
    <d v="2023-03-31T00:00:00"/>
    <x v="1"/>
    <m/>
    <s v="Open Market"/>
    <s v="M"/>
    <s v="3.7"/>
    <m/>
    <n v="0"/>
    <m/>
    <n v="0"/>
    <m/>
    <n v="0"/>
    <n v="28"/>
    <n v="28"/>
    <n v="2"/>
    <n v="0"/>
    <n v="0"/>
    <n v="0"/>
    <n v="0"/>
    <n v="28"/>
    <n v="28"/>
    <n v="2"/>
    <n v="0"/>
    <n v="0"/>
    <n v="0"/>
    <n v="0"/>
    <n v="0"/>
    <n v="0"/>
    <n v="0"/>
    <n v="0"/>
    <n v="0"/>
    <n v="0"/>
    <n v="0"/>
    <n v="0"/>
    <n v="0"/>
    <n v="0"/>
    <n v="0"/>
    <n v="0"/>
    <n v="0"/>
    <m/>
    <m/>
    <s v="Wandsworth Town, including the Wandle Delta Masterplan Area"/>
    <n v="5"/>
    <m/>
    <m/>
    <n v="58"/>
    <m/>
    <m/>
    <m/>
    <m/>
    <m/>
    <m/>
    <m/>
    <m/>
    <m/>
    <m/>
    <m/>
    <m/>
    <m/>
    <m/>
    <m/>
    <m/>
    <m/>
    <n v="58"/>
    <n v="58"/>
  </r>
  <r>
    <n v="6852"/>
    <x v="2"/>
    <s v="2018/5553"/>
    <s v="Kersfield Estate, Lytton Grove"/>
    <s v="Block D"/>
    <n v="524063"/>
    <n v="174446"/>
    <s v="East Putney"/>
    <d v="2021-05-26T00:00:00"/>
    <m/>
    <n v="0"/>
    <n v="6"/>
    <n v="6"/>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0"/>
    <x v="0"/>
    <n v="8.5000000000000006E-2"/>
    <d v="2021-05-26T00:00:00"/>
    <x v="0"/>
    <m/>
    <s v="Open Market"/>
    <s v="M"/>
    <s v=""/>
    <m/>
    <n v="0"/>
    <m/>
    <n v="0"/>
    <m/>
    <n v="0"/>
    <n v="2"/>
    <n v="4"/>
    <n v="0"/>
    <n v="0"/>
    <n v="0"/>
    <n v="0"/>
    <n v="0"/>
    <n v="2"/>
    <n v="4"/>
    <n v="0"/>
    <n v="0"/>
    <n v="0"/>
    <n v="0"/>
    <n v="0"/>
    <n v="0"/>
    <n v="0"/>
    <n v="0"/>
    <n v="0"/>
    <n v="0"/>
    <n v="0"/>
    <n v="0"/>
    <n v="0"/>
    <n v="0"/>
    <n v="0"/>
    <n v="0"/>
    <n v="0"/>
    <n v="0"/>
    <m/>
    <m/>
    <s v="Rest of Borough"/>
    <n v="5"/>
    <m/>
    <n v="6"/>
    <m/>
    <m/>
    <m/>
    <m/>
    <m/>
    <m/>
    <m/>
    <m/>
    <m/>
    <m/>
    <m/>
    <m/>
    <m/>
    <m/>
    <m/>
    <m/>
    <m/>
    <m/>
    <n v="6"/>
    <n v="6"/>
  </r>
  <r>
    <n v="3522"/>
    <x v="2"/>
    <s v="2020/0011"/>
    <s v="Homebase, Swandon Way"/>
    <s v="Block D (Affordable Housing)"/>
    <n v="525912"/>
    <n v="175143"/>
    <s v="St Mary's"/>
    <d v="2020-04-01T00:00:00"/>
    <m/>
    <n v="0"/>
    <n v="27"/>
    <n v="27"/>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m/>
    <s v="Nil"/>
    <m/>
    <s v="BF"/>
    <s v="NB"/>
    <x v="0"/>
    <x v="0"/>
    <n v="2.7E-2"/>
    <d v="2022-04-01T00:00:00"/>
    <x v="1"/>
    <m/>
    <s v="Social/Affordable Rent"/>
    <s v="AL"/>
    <s v="3.6"/>
    <m/>
    <n v="0"/>
    <m/>
    <n v="0"/>
    <n v="10"/>
    <n v="0"/>
    <n v="13"/>
    <n v="11"/>
    <n v="3"/>
    <n v="0"/>
    <n v="0"/>
    <n v="0"/>
    <n v="0"/>
    <n v="13"/>
    <n v="11"/>
    <n v="3"/>
    <n v="0"/>
    <n v="0"/>
    <n v="0"/>
    <n v="0"/>
    <n v="0"/>
    <n v="0"/>
    <n v="0"/>
    <n v="0"/>
    <n v="0"/>
    <n v="0"/>
    <n v="0"/>
    <n v="0"/>
    <n v="0"/>
    <n v="0"/>
    <n v="0"/>
    <n v="0"/>
    <n v="0"/>
    <m/>
    <m/>
    <s v="Wandsworth Town, including the Wandle Delta Masterplan Area"/>
    <n v="5"/>
    <m/>
    <n v="27"/>
    <m/>
    <m/>
    <m/>
    <m/>
    <m/>
    <m/>
    <m/>
    <m/>
    <m/>
    <m/>
    <m/>
    <m/>
    <m/>
    <m/>
    <m/>
    <m/>
    <m/>
    <m/>
    <n v="27"/>
    <n v="27"/>
  </r>
  <r>
    <n v="3522"/>
    <x v="2"/>
    <s v="2020/0011"/>
    <s v="Homebase, Swandon Way"/>
    <s v="Block D (Intermediate)"/>
    <n v="525912"/>
    <n v="175143"/>
    <s v="St Mary's"/>
    <d v="2020-04-01T00:00:00"/>
    <m/>
    <n v="0"/>
    <n v="62"/>
    <n v="62"/>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m/>
    <s v="Nil"/>
    <m/>
    <s v="BF"/>
    <s v="NB"/>
    <x v="0"/>
    <x v="0"/>
    <n v="6.0999999999999999E-2"/>
    <d v="2022-04-01T00:00:00"/>
    <x v="1"/>
    <m/>
    <s v="Intermediate"/>
    <s v="ISO"/>
    <s v="3.6"/>
    <m/>
    <n v="0"/>
    <m/>
    <n v="0"/>
    <m/>
    <n v="0"/>
    <n v="29"/>
    <n v="29"/>
    <n v="4"/>
    <n v="0"/>
    <n v="0"/>
    <n v="0"/>
    <n v="0"/>
    <n v="29"/>
    <n v="29"/>
    <n v="4"/>
    <n v="0"/>
    <n v="0"/>
    <n v="0"/>
    <n v="0"/>
    <n v="0"/>
    <n v="0"/>
    <n v="0"/>
    <n v="0"/>
    <n v="0"/>
    <n v="0"/>
    <n v="0"/>
    <n v="0"/>
    <n v="0"/>
    <n v="0"/>
    <n v="0"/>
    <n v="0"/>
    <n v="0"/>
    <m/>
    <m/>
    <s v="Wandsworth Town, including the Wandle Delta Masterplan Area"/>
    <n v="5"/>
    <m/>
    <n v="62"/>
    <m/>
    <m/>
    <m/>
    <m/>
    <m/>
    <m/>
    <m/>
    <m/>
    <m/>
    <m/>
    <m/>
    <m/>
    <m/>
    <m/>
    <m/>
    <m/>
    <m/>
    <m/>
    <n v="62"/>
    <n v="62"/>
  </r>
  <r>
    <n v="6852"/>
    <x v="2"/>
    <s v="2018/5553"/>
    <s v="Kersfield Estate, Lytton Grove"/>
    <s v="Block E"/>
    <n v="524063"/>
    <n v="174446"/>
    <s v="East Putney"/>
    <d v="2021-05-26T00:00:00"/>
    <m/>
    <n v="0"/>
    <n v="5"/>
    <n v="5"/>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0"/>
    <x v="0"/>
    <n v="7.0000000000000007E-2"/>
    <d v="2021-05-26T00:00:00"/>
    <x v="0"/>
    <m/>
    <s v="Open Market"/>
    <s v="M"/>
    <s v=""/>
    <m/>
    <n v="0"/>
    <m/>
    <n v="0"/>
    <m/>
    <n v="0"/>
    <n v="1"/>
    <n v="4"/>
    <n v="0"/>
    <n v="0"/>
    <n v="0"/>
    <n v="0"/>
    <n v="0"/>
    <n v="1"/>
    <n v="4"/>
    <n v="0"/>
    <n v="0"/>
    <n v="0"/>
    <n v="0"/>
    <n v="0"/>
    <n v="0"/>
    <n v="0"/>
    <n v="0"/>
    <n v="0"/>
    <n v="0"/>
    <n v="0"/>
    <n v="0"/>
    <n v="0"/>
    <n v="0"/>
    <n v="0"/>
    <n v="0"/>
    <n v="0"/>
    <n v="0"/>
    <m/>
    <m/>
    <s v="Rest of Borough"/>
    <n v="5"/>
    <m/>
    <n v="5"/>
    <m/>
    <m/>
    <m/>
    <m/>
    <m/>
    <m/>
    <m/>
    <m/>
    <m/>
    <m/>
    <m/>
    <m/>
    <m/>
    <m/>
    <m/>
    <m/>
    <m/>
    <m/>
    <n v="5"/>
    <n v="5"/>
  </r>
  <r>
    <n v="3522"/>
    <x v="2"/>
    <s v="2020/0011"/>
    <s v="Homebase, Swandon Way"/>
    <s v="Block E(Affordable Housing)"/>
    <n v="525912"/>
    <n v="175143"/>
    <s v="St Mary's"/>
    <d v="2020-04-01T00:00:00"/>
    <m/>
    <n v="0"/>
    <n v="70"/>
    <n v="70"/>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PFLA"/>
    <d v="2020-01-06T00:00:00"/>
    <d v="2021-10-05T00:00:00"/>
    <m/>
    <s v="Nil"/>
    <m/>
    <s v="BF"/>
    <s v="NB"/>
    <x v="0"/>
    <x v="0"/>
    <n v="6.9000000000000006E-2"/>
    <d v="2021-04-01T00:00:00"/>
    <x v="0"/>
    <m/>
    <s v="Social/Affordable Rent"/>
    <s v="AL"/>
    <s v="3.6"/>
    <m/>
    <n v="0"/>
    <m/>
    <n v="0"/>
    <n v="18"/>
    <n v="0"/>
    <n v="36"/>
    <n v="17"/>
    <n v="17"/>
    <n v="0"/>
    <n v="0"/>
    <n v="0"/>
    <n v="0"/>
    <n v="36"/>
    <n v="17"/>
    <n v="17"/>
    <n v="0"/>
    <n v="0"/>
    <n v="0"/>
    <n v="0"/>
    <n v="0"/>
    <n v="0"/>
    <n v="0"/>
    <n v="0"/>
    <n v="0"/>
    <n v="0"/>
    <n v="0"/>
    <n v="0"/>
    <n v="0"/>
    <n v="0"/>
    <n v="0"/>
    <n v="0"/>
    <n v="0"/>
    <m/>
    <m/>
    <s v="Wandsworth Town, including the Wandle Delta Masterplan Area"/>
    <n v="5"/>
    <m/>
    <n v="70"/>
    <m/>
    <m/>
    <m/>
    <m/>
    <m/>
    <m/>
    <m/>
    <m/>
    <m/>
    <m/>
    <m/>
    <m/>
    <m/>
    <m/>
    <m/>
    <m/>
    <m/>
    <m/>
    <n v="70"/>
    <n v="70"/>
  </r>
  <r>
    <n v="3514"/>
    <x v="2"/>
    <s v="2020/3867"/>
    <s v="Battersea Gasholder, 101 Prince of Wales Drive"/>
    <s v="Block F"/>
    <n v="528809"/>
    <n v="177181"/>
    <s v="Nine Elms"/>
    <d v="2016-10-19T00:00:00"/>
    <m/>
    <n v="0"/>
    <n v="92"/>
    <n v="92"/>
    <n v="233"/>
    <n v="233"/>
    <s v="Y"/>
    <s v="Application under Section 73 of the Town and Country Planning Act (as amended) for amendments to planning permission 2015/0591 dated 18/09/15, as amended by 2015/5347 dated 05/02/16, 2016/1517 dated 24/10/2016, 2016/6417 dated 03/05/17 and 2020/0501 dated 22/10/2020, for the redevelopment of the site to provide a mixed-use development comprising residential units, including affordable housing;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
    <s v="PFLA"/>
    <d v="2020-11-12T00:00:00"/>
    <d v="2021-04-15T00:00:00"/>
    <m/>
    <s v="Nil"/>
    <m/>
    <s v="BF"/>
    <s v="NB"/>
    <x v="0"/>
    <x v="0"/>
    <n v="0.16900000000000001"/>
    <d v="2022-03-31T00:00:00"/>
    <x v="0"/>
    <m/>
    <s v="Open Market"/>
    <s v="M"/>
    <s v="2.1.4"/>
    <m/>
    <n v="92"/>
    <m/>
    <n v="10"/>
    <m/>
    <n v="0"/>
    <n v="28"/>
    <n v="56"/>
    <n v="4"/>
    <n v="4"/>
    <n v="0"/>
    <n v="0"/>
    <n v="0"/>
    <n v="28"/>
    <n v="56"/>
    <n v="4"/>
    <n v="4"/>
    <n v="0"/>
    <n v="0"/>
    <n v="0"/>
    <n v="0"/>
    <n v="0"/>
    <n v="0"/>
    <n v="0"/>
    <n v="0"/>
    <n v="0"/>
    <n v="0"/>
    <n v="0"/>
    <n v="0"/>
    <n v="0"/>
    <n v="0"/>
    <n v="0"/>
    <n v="0"/>
    <m/>
    <s v="Y"/>
    <s v="Nine Elms Vauxhall Opportunity Area"/>
    <n v="2"/>
    <m/>
    <n v="92"/>
    <m/>
    <m/>
    <m/>
    <m/>
    <m/>
    <m/>
    <m/>
    <m/>
    <m/>
    <m/>
    <m/>
    <m/>
    <m/>
    <m/>
    <m/>
    <m/>
    <m/>
    <m/>
    <n v="92"/>
    <n v="92"/>
  </r>
  <r>
    <n v="6852"/>
    <x v="2"/>
    <s v="2018/5553"/>
    <s v="Kersfield Estate, Lytton Grove"/>
    <s v="Block F"/>
    <n v="524063"/>
    <n v="174446"/>
    <s v="East Putney"/>
    <d v="2021-05-26T00:00:00"/>
    <m/>
    <n v="0"/>
    <n v="7"/>
    <n v="7"/>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0"/>
    <x v="0"/>
    <n v="9.9000000000000005E-2"/>
    <d v="2021-05-26T00:00:00"/>
    <x v="0"/>
    <m/>
    <s v="Social/Affordable Rent"/>
    <s v="AL"/>
    <s v=""/>
    <m/>
    <n v="0"/>
    <m/>
    <n v="0"/>
    <n v="1"/>
    <n v="0"/>
    <n v="3"/>
    <n v="3"/>
    <n v="1"/>
    <n v="0"/>
    <n v="0"/>
    <n v="0"/>
    <n v="0"/>
    <n v="3"/>
    <n v="3"/>
    <n v="1"/>
    <n v="0"/>
    <n v="0"/>
    <n v="0"/>
    <n v="0"/>
    <n v="0"/>
    <n v="0"/>
    <n v="0"/>
    <n v="0"/>
    <n v="0"/>
    <n v="0"/>
    <n v="0"/>
    <n v="0"/>
    <n v="0"/>
    <n v="0"/>
    <n v="0"/>
    <n v="0"/>
    <n v="0"/>
    <m/>
    <m/>
    <s v="Rest of Borough"/>
    <n v="5"/>
    <m/>
    <n v="7"/>
    <m/>
    <m/>
    <m/>
    <m/>
    <m/>
    <m/>
    <m/>
    <m/>
    <m/>
    <m/>
    <m/>
    <m/>
    <m/>
    <m/>
    <m/>
    <m/>
    <m/>
    <m/>
    <n v="7"/>
    <n v="7"/>
  </r>
  <r>
    <n v="6852"/>
    <x v="2"/>
    <s v="2018/5553"/>
    <s v="Kersfield Estate, Lytton Grove"/>
    <s v="Block G"/>
    <n v="524063"/>
    <n v="174446"/>
    <s v="East Putney"/>
    <d v="2021-05-26T00:00:00"/>
    <m/>
    <n v="0"/>
    <n v="7"/>
    <n v="7"/>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x v="0"/>
    <x v="0"/>
    <n v="9.9000000000000005E-2"/>
    <d v="2021-05-26T00:00:00"/>
    <x v="0"/>
    <m/>
    <s v="Social/Affordable Rent"/>
    <s v="AL"/>
    <s v=""/>
    <m/>
    <n v="0"/>
    <m/>
    <n v="0"/>
    <n v="1"/>
    <n v="0"/>
    <n v="3"/>
    <n v="3"/>
    <n v="1"/>
    <n v="0"/>
    <n v="0"/>
    <n v="0"/>
    <n v="0"/>
    <n v="3"/>
    <n v="3"/>
    <n v="1"/>
    <n v="0"/>
    <n v="0"/>
    <n v="0"/>
    <n v="0"/>
    <n v="0"/>
    <n v="0"/>
    <n v="0"/>
    <n v="0"/>
    <n v="0"/>
    <n v="0"/>
    <n v="0"/>
    <n v="0"/>
    <n v="0"/>
    <n v="0"/>
    <n v="0"/>
    <n v="0"/>
    <n v="0"/>
    <m/>
    <m/>
    <s v="Rest of Borough"/>
    <n v="5"/>
    <m/>
    <n v="7"/>
    <m/>
    <m/>
    <m/>
    <m/>
    <m/>
    <m/>
    <m/>
    <m/>
    <m/>
    <m/>
    <m/>
    <m/>
    <m/>
    <m/>
    <m/>
    <m/>
    <m/>
    <m/>
    <n v="7"/>
    <n v="7"/>
  </r>
  <r>
    <n v="6819"/>
    <x v="2"/>
    <s v="2018/0272"/>
    <s v="Pocklington Court, 74 Alton Road"/>
    <s v="Building A"/>
    <n v="522285"/>
    <n v="173138"/>
    <s v="Roehampton"/>
    <d v="2020-01-18T00:00:00"/>
    <m/>
    <n v="64"/>
    <n v="41"/>
    <n v="-23"/>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x v="0"/>
    <x v="0"/>
    <n v="0.17799999999999999"/>
    <d v="2020-01-18T00:00:00"/>
    <x v="0"/>
    <m/>
    <s v="Social/Affordable Rent"/>
    <s v="AS"/>
    <s v=""/>
    <m/>
    <n v="0"/>
    <n v="33"/>
    <n v="0"/>
    <n v="8"/>
    <n v="-53"/>
    <n v="30"/>
    <n v="0"/>
    <n v="0"/>
    <n v="0"/>
    <n v="0"/>
    <n v="0"/>
    <n v="-53"/>
    <n v="30"/>
    <n v="0"/>
    <n v="0"/>
    <n v="0"/>
    <n v="0"/>
    <n v="0"/>
    <n v="0"/>
    <n v="0"/>
    <n v="0"/>
    <n v="0"/>
    <n v="0"/>
    <n v="0"/>
    <n v="0"/>
    <n v="0"/>
    <n v="0"/>
    <n v="0"/>
    <n v="0"/>
    <n v="0"/>
    <n v="0"/>
    <n v="0"/>
    <m/>
    <m/>
    <s v="Rest of Borough"/>
    <n v="5"/>
    <m/>
    <n v="-23"/>
    <m/>
    <m/>
    <m/>
    <m/>
    <m/>
    <m/>
    <m/>
    <m/>
    <m/>
    <m/>
    <m/>
    <m/>
    <m/>
    <m/>
    <m/>
    <m/>
    <m/>
    <m/>
    <n v="-23"/>
    <n v="-23"/>
  </r>
  <r>
    <n v="6819"/>
    <x v="2"/>
    <s v="2018/0272"/>
    <s v="Pocklington Court, 74 Alton Road"/>
    <s v="Building B"/>
    <n v="522285"/>
    <n v="173138"/>
    <s v="Roehampton"/>
    <d v="2020-01-18T00:00:00"/>
    <m/>
    <n v="0"/>
    <n v="28"/>
    <n v="28"/>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x v="0"/>
    <x v="0"/>
    <n v="0.17499999999999999"/>
    <d v="2020-01-18T00:00:00"/>
    <x v="0"/>
    <m/>
    <s v="Intermediate"/>
    <s v="IU"/>
    <s v=""/>
    <m/>
    <n v="0"/>
    <n v="28"/>
    <n v="0"/>
    <n v="0"/>
    <n v="0"/>
    <n v="15"/>
    <n v="10"/>
    <n v="3"/>
    <n v="0"/>
    <n v="0"/>
    <n v="0"/>
    <n v="0"/>
    <n v="15"/>
    <n v="10"/>
    <n v="3"/>
    <n v="0"/>
    <n v="0"/>
    <n v="0"/>
    <n v="0"/>
    <n v="0"/>
    <n v="0"/>
    <n v="0"/>
    <n v="0"/>
    <n v="0"/>
    <n v="0"/>
    <n v="0"/>
    <n v="0"/>
    <n v="0"/>
    <n v="0"/>
    <n v="0"/>
    <n v="0"/>
    <n v="0"/>
    <m/>
    <m/>
    <s v="Rest of Borough"/>
    <n v="5"/>
    <m/>
    <n v="28"/>
    <m/>
    <m/>
    <m/>
    <m/>
    <m/>
    <m/>
    <m/>
    <m/>
    <m/>
    <m/>
    <m/>
    <m/>
    <m/>
    <m/>
    <m/>
    <m/>
    <m/>
    <m/>
    <n v="28"/>
    <n v="28"/>
  </r>
  <r>
    <n v="6819"/>
    <x v="2"/>
    <s v="2018/0272"/>
    <s v="Pocklington Court, 74 Alton Road"/>
    <s v="Building C"/>
    <n v="522285"/>
    <n v="173138"/>
    <s v="Roehampton"/>
    <d v="2020-01-18T00:00:00"/>
    <m/>
    <n v="0"/>
    <n v="26"/>
    <n v="26"/>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x v="0"/>
    <x v="0"/>
    <n v="0.16800000000000001"/>
    <d v="2020-01-18T00:00:00"/>
    <x v="0"/>
    <m/>
    <s v="Intermediate"/>
    <s v="IU"/>
    <s v=""/>
    <m/>
    <n v="0"/>
    <n v="24"/>
    <n v="0"/>
    <n v="2"/>
    <n v="0"/>
    <n v="9"/>
    <n v="14"/>
    <n v="3"/>
    <n v="0"/>
    <n v="0"/>
    <n v="0"/>
    <n v="0"/>
    <n v="9"/>
    <n v="14"/>
    <n v="3"/>
    <n v="0"/>
    <n v="0"/>
    <n v="0"/>
    <n v="0"/>
    <n v="0"/>
    <n v="0"/>
    <n v="0"/>
    <n v="0"/>
    <n v="0"/>
    <n v="0"/>
    <n v="0"/>
    <n v="0"/>
    <n v="0"/>
    <n v="0"/>
    <n v="0"/>
    <n v="0"/>
    <n v="0"/>
    <m/>
    <m/>
    <s v="Rest of Borough"/>
    <n v="5"/>
    <m/>
    <n v="26"/>
    <m/>
    <m/>
    <m/>
    <m/>
    <m/>
    <m/>
    <m/>
    <m/>
    <m/>
    <m/>
    <m/>
    <m/>
    <m/>
    <m/>
    <m/>
    <m/>
    <m/>
    <m/>
    <n v="26"/>
    <n v="26"/>
  </r>
  <r>
    <n v="7090"/>
    <x v="2"/>
    <s v="2018/5833"/>
    <s v="The Northcote Library, Chatham Hall and garages west of Chatham Hall, 155e Northcote Road"/>
    <s v="Chatham Hall"/>
    <n v="527587"/>
    <n v="174507"/>
    <s v="Northcote"/>
    <d v="2021-04-01T00:00:00"/>
    <m/>
    <n v="0"/>
    <n v="7"/>
    <n v="7"/>
    <n v="16"/>
    <n v="16"/>
    <s v="Y"/>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m/>
    <s v="Nil"/>
    <m/>
    <s v="BF"/>
    <s v="NB"/>
    <x v="0"/>
    <x v="0"/>
    <n v="6.3E-2"/>
    <d v="2021-04-01T00:00:00"/>
    <x v="0"/>
    <m/>
    <s v="Open Market"/>
    <s v="M"/>
    <s v=""/>
    <m/>
    <n v="0"/>
    <n v="1"/>
    <n v="0"/>
    <n v="0"/>
    <n v="0"/>
    <n v="3"/>
    <n v="4"/>
    <n v="0"/>
    <n v="0"/>
    <n v="0"/>
    <n v="0"/>
    <n v="0"/>
    <n v="3"/>
    <n v="4"/>
    <n v="0"/>
    <n v="0"/>
    <n v="0"/>
    <n v="0"/>
    <n v="0"/>
    <n v="0"/>
    <n v="0"/>
    <n v="0"/>
    <n v="0"/>
    <n v="0"/>
    <n v="0"/>
    <n v="0"/>
    <n v="0"/>
    <n v="0"/>
    <n v="0"/>
    <n v="0"/>
    <n v="0"/>
    <n v="0"/>
    <m/>
    <m/>
    <s v="Rest of Borough"/>
    <n v="3"/>
    <m/>
    <n v="7"/>
    <m/>
    <m/>
    <m/>
    <m/>
    <m/>
    <m/>
    <m/>
    <m/>
    <m/>
    <m/>
    <m/>
    <m/>
    <m/>
    <m/>
    <m/>
    <m/>
    <m/>
    <m/>
    <n v="7"/>
    <n v="7"/>
  </r>
  <r>
    <n v="365"/>
    <x v="2"/>
    <s v="2014/5786"/>
    <s v="Market Towers, 1 Nine Elms Lane (One Nine Elms)"/>
    <s v="City Tower"/>
    <n v="530104"/>
    <n v="177808"/>
    <s v="Nine Elms"/>
    <d v="2015-08-12T00:00:00"/>
    <m/>
    <n v="0"/>
    <n v="57"/>
    <n v="57"/>
    <n v="57"/>
    <n v="57"/>
    <s v="Y"/>
    <s v="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
    <s v="S96A"/>
    <d v="2014-10-08T00:00:00"/>
    <d v="2015-01-12T00:00:00"/>
    <m/>
    <s v="Nil"/>
    <m/>
    <s v="BF"/>
    <s v="NB"/>
    <x v="0"/>
    <x v="0"/>
    <n v="1.4E-2"/>
    <d v="2015-08-12T00:00:00"/>
    <x v="0"/>
    <m/>
    <s v="Intermediate"/>
    <s v="ISO"/>
    <s v="2.1.12"/>
    <m/>
    <n v="57"/>
    <n v="0"/>
    <n v="6"/>
    <n v="0"/>
    <n v="0"/>
    <n v="35"/>
    <n v="22"/>
    <n v="0"/>
    <n v="0"/>
    <n v="0"/>
    <n v="0"/>
    <n v="0"/>
    <n v="35"/>
    <n v="22"/>
    <n v="0"/>
    <n v="0"/>
    <n v="0"/>
    <n v="0"/>
    <n v="0"/>
    <n v="0"/>
    <n v="0"/>
    <n v="0"/>
    <n v="0"/>
    <n v="0"/>
    <n v="0"/>
    <n v="0"/>
    <n v="0"/>
    <n v="0"/>
    <n v="0"/>
    <n v="0"/>
    <n v="0"/>
    <n v="0"/>
    <m/>
    <s v="Y"/>
    <s v="Nine Elms Vauxhall Opportunity Area"/>
    <n v="5"/>
    <m/>
    <n v="57"/>
    <m/>
    <m/>
    <m/>
    <m/>
    <m/>
    <m/>
    <m/>
    <m/>
    <m/>
    <m/>
    <m/>
    <m/>
    <m/>
    <m/>
    <m/>
    <m/>
    <m/>
    <m/>
    <n v="57"/>
    <n v="57"/>
  </r>
  <r>
    <n v="4689"/>
    <x v="2"/>
    <s v="2019/1258"/>
    <s v="13 Northcote Road"/>
    <s v="conversion"/>
    <n v="527473"/>
    <n v="175071"/>
    <s v="Lavender"/>
    <d v="2022-04-01T00:00:00"/>
    <m/>
    <n v="1"/>
    <n v="1"/>
    <n v="0"/>
    <n v="2"/>
    <n v="1"/>
    <m/>
    <s v="Alterations including erection of mansard roof extension to main roof, rear extension at second floor level and formation of rear roof terraces in connection with conversion of existing flat into 1 x 1-bedroom and 1 x 3-bedroom flats."/>
    <s v="PF"/>
    <d v="2019-03-19T00:00:00"/>
    <d v="2019-05-14T00:00:00"/>
    <m/>
    <s v="Nil"/>
    <m/>
    <s v="BF"/>
    <s v="MIX"/>
    <x v="2"/>
    <x v="7"/>
    <n v="3.0000000000000001E-3"/>
    <d v="2022-04-01T00:00:00"/>
    <x v="1"/>
    <m/>
    <s v="Open Market"/>
    <s v="M"/>
    <s v=""/>
    <m/>
    <n v="0"/>
    <m/>
    <n v="0"/>
    <m/>
    <n v="0"/>
    <n v="1"/>
    <n v="0"/>
    <n v="-1"/>
    <n v="0"/>
    <n v="0"/>
    <n v="0"/>
    <n v="0"/>
    <n v="1"/>
    <n v="0"/>
    <n v="-1"/>
    <n v="0"/>
    <n v="0"/>
    <n v="0"/>
    <n v="0"/>
    <n v="0"/>
    <n v="0"/>
    <n v="0"/>
    <n v="0"/>
    <n v="0"/>
    <n v="0"/>
    <n v="0"/>
    <n v="0"/>
    <n v="0"/>
    <n v="0"/>
    <n v="0"/>
    <n v="0"/>
    <n v="0"/>
    <s v="Clapham Junction"/>
    <m/>
    <s v="Clapham Junction Spatial Area Strategy"/>
    <n v="13"/>
    <m/>
    <n v="0"/>
    <m/>
    <m/>
    <m/>
    <m/>
    <m/>
    <m/>
    <m/>
    <m/>
    <m/>
    <m/>
    <m/>
    <m/>
    <m/>
    <m/>
    <m/>
    <m/>
    <m/>
    <m/>
    <n v="0"/>
    <n v="0"/>
  </r>
  <r>
    <n v="5862"/>
    <x v="2"/>
    <s v="2018/0859"/>
    <s v="87 Putney High Street"/>
    <s v="conversion + extn"/>
    <n v="524068"/>
    <n v="175336"/>
    <s v="Thamesfield"/>
    <d v="2018-03-31T00:00:00"/>
    <m/>
    <n v="1"/>
    <n v="3"/>
    <n v="2"/>
    <n v="5"/>
    <n v="4"/>
    <m/>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m/>
    <s v="Nil"/>
    <m/>
    <s v="BF"/>
    <s v="MIX"/>
    <x v="2"/>
    <x v="7"/>
    <n v="8.9999999999999993E-3"/>
    <d v="2018-03-31T00:00:00"/>
    <x v="0"/>
    <m/>
    <s v="Open Market"/>
    <s v="M"/>
    <s v=""/>
    <m/>
    <n v="0"/>
    <m/>
    <n v="0"/>
    <m/>
    <n v="0"/>
    <n v="0"/>
    <n v="3"/>
    <n v="-1"/>
    <n v="0"/>
    <n v="0"/>
    <n v="0"/>
    <n v="0"/>
    <n v="0"/>
    <n v="3"/>
    <n v="-1"/>
    <n v="0"/>
    <n v="0"/>
    <n v="0"/>
    <n v="0"/>
    <n v="0"/>
    <n v="0"/>
    <n v="0"/>
    <n v="0"/>
    <n v="0"/>
    <n v="0"/>
    <n v="0"/>
    <n v="0"/>
    <n v="0"/>
    <n v="0"/>
    <n v="0"/>
    <n v="0"/>
    <n v="0"/>
    <s v="Putney"/>
    <m/>
    <s v="Putney Town Centre"/>
    <n v="13"/>
    <m/>
    <n v="2"/>
    <m/>
    <m/>
    <m/>
    <m/>
    <m/>
    <m/>
    <m/>
    <m/>
    <m/>
    <m/>
    <m/>
    <m/>
    <m/>
    <m/>
    <m/>
    <m/>
    <m/>
    <m/>
    <n v="2"/>
    <n v="2"/>
  </r>
  <r>
    <n v="7194"/>
    <x v="2"/>
    <s v="2019/2251"/>
    <s v="22 Carlton Drive"/>
    <s v="Existing"/>
    <n v="524291"/>
    <n v="174776"/>
    <s v="East Putney"/>
    <d v="2021-10-18T00:00:00"/>
    <m/>
    <n v="15"/>
    <n v="0"/>
    <n v="-15"/>
    <n v="8"/>
    <n v="-7"/>
    <m/>
    <s v="Alterations including erection of pitch roof to first floor front extension in connection with conversion of property 1 x1 bedroom flat, 6 x2 bedroom flats and 1 x3 bedroom flat. Erection of front boundary wall to 1.8m high"/>
    <s v="PF"/>
    <d v="2019-06-19T00:00:00"/>
    <d v="2019-08-19T00:00:00"/>
    <m/>
    <s v="Nil"/>
    <m/>
    <s v="BF"/>
    <s v="COU"/>
    <x v="2"/>
    <x v="9"/>
    <n v="0"/>
    <d v="2021-10-18T00:00:00"/>
    <x v="0"/>
    <m/>
    <s v="Social/Affordable Rent"/>
    <s v="AU"/>
    <s v=""/>
    <m/>
    <n v="0"/>
    <m/>
    <n v="0"/>
    <m/>
    <n v="-15"/>
    <n v="0"/>
    <n v="0"/>
    <n v="0"/>
    <n v="0"/>
    <n v="0"/>
    <n v="0"/>
    <n v="-15"/>
    <n v="0"/>
    <n v="0"/>
    <n v="0"/>
    <n v="0"/>
    <n v="0"/>
    <n v="0"/>
    <n v="0"/>
    <n v="0"/>
    <n v="0"/>
    <n v="0"/>
    <n v="0"/>
    <n v="0"/>
    <n v="0"/>
    <n v="0"/>
    <n v="0"/>
    <n v="0"/>
    <n v="0"/>
    <n v="0"/>
    <n v="0"/>
    <n v="0"/>
    <m/>
    <m/>
    <s v="Rest of Borough"/>
    <n v="13"/>
    <m/>
    <n v="-15"/>
    <m/>
    <m/>
    <m/>
    <m/>
    <m/>
    <m/>
    <m/>
    <m/>
    <m/>
    <m/>
    <m/>
    <m/>
    <m/>
    <m/>
    <m/>
    <m/>
    <m/>
    <m/>
    <n v="-15"/>
    <n v="-15"/>
  </r>
  <r>
    <n v="4689"/>
    <x v="2"/>
    <s v="2019/1258"/>
    <s v="13 Northcote Road"/>
    <s v="extn to ex"/>
    <n v="527473"/>
    <n v="175071"/>
    <s v="Lavender"/>
    <d v="2022-04-01T00:00:00"/>
    <m/>
    <n v="0"/>
    <n v="1"/>
    <n v="1"/>
    <n v="2"/>
    <n v="1"/>
    <m/>
    <s v="Alterations including erection of mansard roof extension to main roof, rear extension at second floor level and formation of rear roof terraces in connection with conversion of existing flat into 1 x 1-bedroom and 1 x 3-bedroom flats."/>
    <s v="PF"/>
    <d v="2019-03-19T00:00:00"/>
    <d v="2019-05-14T00:00:00"/>
    <m/>
    <s v="Nil"/>
    <m/>
    <s v="BF"/>
    <s v="MIX"/>
    <x v="2"/>
    <x v="2"/>
    <n v="4.0000000000000001E-3"/>
    <d v="2022-04-01T00:00:00"/>
    <x v="1"/>
    <m/>
    <s v="Open Market"/>
    <s v="M"/>
    <s v=""/>
    <m/>
    <n v="0"/>
    <m/>
    <n v="0"/>
    <m/>
    <n v="0"/>
    <n v="0"/>
    <n v="0"/>
    <n v="1"/>
    <n v="0"/>
    <n v="0"/>
    <n v="0"/>
    <n v="0"/>
    <n v="0"/>
    <n v="0"/>
    <n v="1"/>
    <n v="0"/>
    <n v="0"/>
    <n v="0"/>
    <n v="0"/>
    <n v="0"/>
    <n v="0"/>
    <n v="0"/>
    <n v="0"/>
    <n v="0"/>
    <n v="0"/>
    <n v="0"/>
    <n v="0"/>
    <n v="0"/>
    <n v="0"/>
    <n v="0"/>
    <n v="0"/>
    <n v="0"/>
    <s v="Clapham Junction"/>
    <m/>
    <s v="Clapham Junction Spatial Area Strategy"/>
    <n v="13"/>
    <m/>
    <n v="1"/>
    <m/>
    <m/>
    <m/>
    <m/>
    <m/>
    <m/>
    <m/>
    <m/>
    <m/>
    <m/>
    <m/>
    <m/>
    <m/>
    <m/>
    <m/>
    <m/>
    <m/>
    <m/>
    <n v="1"/>
    <n v="1"/>
  </r>
  <r>
    <n v="967"/>
    <x v="2"/>
    <s v="2018/3390"/>
    <s v="29 Wimbledon Park Road"/>
    <s v="First Floor"/>
    <n v="525095"/>
    <n v="174084"/>
    <s v="East Putney"/>
    <d v="2021-09-29T00:00:00"/>
    <m/>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2"/>
    <x v="2"/>
    <n v="1.7999999999999999E-2"/>
    <d v="2021-09-29T00:00:00"/>
    <x v="0"/>
    <m/>
    <s v="Open Market"/>
    <s v="M"/>
    <s v=""/>
    <m/>
    <n v="0"/>
    <m/>
    <n v="0"/>
    <m/>
    <n v="0"/>
    <n v="0"/>
    <n v="2"/>
    <n v="0"/>
    <n v="0"/>
    <n v="0"/>
    <n v="0"/>
    <n v="0"/>
    <n v="0"/>
    <n v="2"/>
    <n v="0"/>
    <n v="0"/>
    <n v="0"/>
    <n v="0"/>
    <n v="0"/>
    <n v="0"/>
    <n v="0"/>
    <n v="0"/>
    <n v="0"/>
    <n v="0"/>
    <n v="0"/>
    <n v="0"/>
    <n v="0"/>
    <n v="0"/>
    <n v="0"/>
    <n v="0"/>
    <n v="0"/>
    <n v="0"/>
    <m/>
    <m/>
    <s v="Rest of Borough"/>
    <n v="13"/>
    <m/>
    <n v="2"/>
    <m/>
    <m/>
    <m/>
    <m/>
    <m/>
    <m/>
    <m/>
    <m/>
    <m/>
    <m/>
    <m/>
    <m/>
    <m/>
    <m/>
    <m/>
    <m/>
    <m/>
    <m/>
    <n v="2"/>
    <n v="2"/>
  </r>
  <r>
    <n v="7296"/>
    <x v="2"/>
    <s v="2019/4697"/>
    <s v="Alton One O'clock Centre, Fontley Way"/>
    <s v="GROUND FLOOR"/>
    <n v="522049"/>
    <n v="173511"/>
    <s v="Roehampton"/>
    <d v="2022-04-01T00:00:00"/>
    <m/>
    <n v="0"/>
    <n v="7"/>
    <n v="7"/>
    <n v="14"/>
    <n v="14"/>
    <s v="Y"/>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m/>
    <s v="Nil"/>
    <m/>
    <s v="BF"/>
    <s v="NB"/>
    <x v="0"/>
    <x v="0"/>
    <n v="4.5999999999999999E-2"/>
    <d v="2022-09-15T00:00:00"/>
    <x v="1"/>
    <m/>
    <s v="Social/Affordable Rent"/>
    <s v="AS"/>
    <s v=""/>
    <m/>
    <n v="0"/>
    <n v="5"/>
    <n v="0"/>
    <n v="2"/>
    <n v="0"/>
    <n v="0"/>
    <n v="0"/>
    <n v="5"/>
    <n v="2"/>
    <n v="0"/>
    <n v="0"/>
    <n v="0"/>
    <n v="0"/>
    <n v="0"/>
    <n v="5"/>
    <n v="2"/>
    <n v="0"/>
    <n v="0"/>
    <n v="0"/>
    <n v="0"/>
    <n v="0"/>
    <n v="0"/>
    <n v="0"/>
    <n v="0"/>
    <n v="0"/>
    <n v="0"/>
    <n v="0"/>
    <n v="0"/>
    <n v="0"/>
    <n v="0"/>
    <n v="0"/>
    <n v="0"/>
    <m/>
    <m/>
    <s v="Rest of Borough"/>
    <n v="2"/>
    <m/>
    <n v="7"/>
    <m/>
    <m/>
    <m/>
    <m/>
    <m/>
    <m/>
    <m/>
    <m/>
    <m/>
    <m/>
    <m/>
    <m/>
    <m/>
    <m/>
    <m/>
    <m/>
    <m/>
    <m/>
    <n v="7"/>
    <n v="7"/>
  </r>
  <r>
    <n v="7433"/>
    <x v="2"/>
    <s v="2020/2797"/>
    <s v="59 Sudbrooke Road"/>
    <s v="HOUSE A"/>
    <n v="528136"/>
    <n v="174080"/>
    <s v="Balham"/>
    <d v="2021-03-03T00:00:00"/>
    <m/>
    <n v="1"/>
    <n v="1"/>
    <n v="0"/>
    <n v="2"/>
    <n v="1"/>
    <m/>
    <s v="Demolition of existing house and erection of two six-bedroom two-storey semi-detached single dwellinghouses (with basement and attic accommodation)."/>
    <s v="PF"/>
    <d v="2020-07-31T00:00:00"/>
    <d v="2020-11-30T00:00:00"/>
    <m/>
    <s v="Nil"/>
    <m/>
    <s v="BF"/>
    <s v="NB"/>
    <x v="2"/>
    <x v="1"/>
    <n v="3.2000000000000001E-2"/>
    <d v="2021-03-03T00:00:00"/>
    <x v="0"/>
    <m/>
    <s v="Open Market"/>
    <s v="M"/>
    <s v=""/>
    <m/>
    <n v="0"/>
    <m/>
    <n v="0"/>
    <m/>
    <n v="0"/>
    <n v="0"/>
    <n v="0"/>
    <n v="0"/>
    <n v="-1"/>
    <n v="1"/>
    <n v="0"/>
    <n v="0"/>
    <n v="0"/>
    <n v="0"/>
    <n v="0"/>
    <n v="0"/>
    <n v="0"/>
    <n v="0"/>
    <n v="0"/>
    <n v="0"/>
    <n v="0"/>
    <n v="0"/>
    <n v="-1"/>
    <n v="1"/>
    <n v="0"/>
    <n v="0"/>
    <n v="0"/>
    <n v="0"/>
    <n v="0"/>
    <n v="0"/>
    <n v="0"/>
    <n v="0"/>
    <m/>
    <m/>
    <s v="Rest of Borough"/>
    <n v="3"/>
    <m/>
    <n v="0"/>
    <m/>
    <m/>
    <m/>
    <m/>
    <m/>
    <m/>
    <m/>
    <m/>
    <m/>
    <m/>
    <m/>
    <m/>
    <m/>
    <m/>
    <m/>
    <m/>
    <m/>
    <m/>
    <n v="0"/>
    <n v="0"/>
  </r>
  <r>
    <n v="7433"/>
    <x v="2"/>
    <s v="2020/2797"/>
    <s v="59 Sudbrooke Road"/>
    <s v="HOUSE B"/>
    <n v="528136"/>
    <n v="174080"/>
    <s v="Balham"/>
    <d v="2021-03-03T00:00:00"/>
    <m/>
    <n v="0"/>
    <n v="1"/>
    <n v="1"/>
    <n v="2"/>
    <n v="1"/>
    <m/>
    <s v="Demolition of existing house and erection of two six-bedroom two-storey semi-detached single dwellinghouses (with basement and attic accommodation)."/>
    <s v="PF"/>
    <d v="2020-07-31T00:00:00"/>
    <d v="2020-11-30T00:00:00"/>
    <m/>
    <s v="Nil"/>
    <m/>
    <s v="BF"/>
    <s v="NB"/>
    <x v="2"/>
    <x v="1"/>
    <n v="3.1E-2"/>
    <d v="2021-03-03T00:00:00"/>
    <x v="0"/>
    <m/>
    <s v="Open Market"/>
    <s v="M"/>
    <s v=""/>
    <m/>
    <n v="0"/>
    <m/>
    <n v="0"/>
    <m/>
    <n v="0"/>
    <n v="0"/>
    <n v="0"/>
    <n v="0"/>
    <n v="0"/>
    <n v="1"/>
    <n v="0"/>
    <n v="0"/>
    <n v="0"/>
    <n v="0"/>
    <n v="0"/>
    <n v="0"/>
    <n v="0"/>
    <n v="0"/>
    <n v="0"/>
    <n v="0"/>
    <n v="0"/>
    <n v="0"/>
    <n v="0"/>
    <n v="1"/>
    <n v="0"/>
    <n v="0"/>
    <n v="0"/>
    <n v="0"/>
    <n v="0"/>
    <n v="0"/>
    <n v="0"/>
    <n v="0"/>
    <m/>
    <m/>
    <s v="Rest of Borough"/>
    <n v="3"/>
    <m/>
    <n v="1"/>
    <m/>
    <m/>
    <m/>
    <m/>
    <m/>
    <m/>
    <m/>
    <m/>
    <m/>
    <m/>
    <m/>
    <m/>
    <m/>
    <m/>
    <m/>
    <m/>
    <m/>
    <m/>
    <n v="1"/>
    <n v="1"/>
  </r>
  <r>
    <n v="7187"/>
    <x v="2"/>
    <s v="2021/1682"/>
    <s v="2-18 Yelverton Road"/>
    <s v="Intermediate"/>
    <n v="526782"/>
    <n v="176145"/>
    <s v="St Mary's"/>
    <d v="2020-12-04T00:00:00"/>
    <m/>
    <n v="0"/>
    <n v="41"/>
    <n v="41"/>
    <n v="79"/>
    <n v="79"/>
    <s v="Y"/>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PFLA"/>
    <d v="2021-04-08T00:00:00"/>
    <d v="2022-12-22T00:00:00"/>
    <s v="Y"/>
    <s v="Nil"/>
    <m/>
    <s v="BF"/>
    <s v="NB"/>
    <x v="0"/>
    <x v="0"/>
    <n v="2.1000000000000001E-2"/>
    <d v="2020-12-04T00:00:00"/>
    <x v="0"/>
    <m/>
    <s v="Intermediate"/>
    <s v="ISL"/>
    <s v=""/>
    <m/>
    <n v="0"/>
    <m/>
    <n v="0"/>
    <n v="8"/>
    <n v="0"/>
    <n v="16"/>
    <n v="25"/>
    <n v="0"/>
    <n v="0"/>
    <n v="0"/>
    <n v="0"/>
    <n v="0"/>
    <n v="16"/>
    <n v="25"/>
    <n v="0"/>
    <n v="0"/>
    <n v="0"/>
    <n v="0"/>
    <n v="0"/>
    <n v="0"/>
    <n v="0"/>
    <n v="0"/>
    <n v="0"/>
    <n v="0"/>
    <n v="0"/>
    <n v="0"/>
    <n v="0"/>
    <n v="0"/>
    <n v="0"/>
    <n v="0"/>
    <n v="0"/>
    <n v="0"/>
    <m/>
    <m/>
    <s v="Wandsworth riverside"/>
    <n v="6"/>
    <m/>
    <m/>
    <n v="10.25"/>
    <n v="10.25"/>
    <n v="10.25"/>
    <n v="10.25"/>
    <m/>
    <m/>
    <m/>
    <m/>
    <m/>
    <m/>
    <m/>
    <m/>
    <m/>
    <m/>
    <m/>
    <m/>
    <m/>
    <m/>
    <n v="41"/>
    <n v="41"/>
  </r>
  <r>
    <n v="7629"/>
    <x v="2"/>
    <s v="2021/1677"/>
    <s v="120 Battersea Bridge Road"/>
    <s v="Intermediate"/>
    <n v="527264"/>
    <n v="176919"/>
    <s v="Battersea Park"/>
    <d v="2022-07-01T00:00:00"/>
    <m/>
    <n v="0"/>
    <n v="9"/>
    <n v="9"/>
    <n v="24"/>
    <n v="24"/>
    <s v="Y"/>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PFLA"/>
    <d v="2021-04-13T00:00:00"/>
    <d v="2022-05-20T00:00:00"/>
    <s v="Y"/>
    <s v="Nil"/>
    <m/>
    <s v="BF"/>
    <s v="NB"/>
    <x v="0"/>
    <x v="0"/>
    <n v="8.3000000000000004E-2"/>
    <d v="2022-07-01T00:00:00"/>
    <x v="1"/>
    <m/>
    <s v="Intermediate"/>
    <s v="ISL"/>
    <s v=""/>
    <m/>
    <n v="0"/>
    <m/>
    <n v="0"/>
    <n v="2"/>
    <n v="0"/>
    <n v="4"/>
    <n v="5"/>
    <n v="0"/>
    <n v="0"/>
    <n v="0"/>
    <n v="0"/>
    <n v="0"/>
    <n v="4"/>
    <n v="5"/>
    <n v="0"/>
    <n v="0"/>
    <n v="0"/>
    <n v="0"/>
    <n v="0"/>
    <n v="0"/>
    <n v="0"/>
    <n v="0"/>
    <n v="0"/>
    <n v="0"/>
    <n v="0"/>
    <n v="0"/>
    <n v="0"/>
    <n v="0"/>
    <n v="0"/>
    <n v="0"/>
    <n v="0"/>
    <n v="0"/>
    <m/>
    <m/>
    <s v="Rest of Borough"/>
    <n v="6"/>
    <m/>
    <m/>
    <n v="2.25"/>
    <n v="2.25"/>
    <n v="2.25"/>
    <n v="2.25"/>
    <m/>
    <m/>
    <m/>
    <m/>
    <m/>
    <m/>
    <m/>
    <m/>
    <m/>
    <m/>
    <m/>
    <m/>
    <m/>
    <m/>
    <n v="9"/>
    <n v="9"/>
  </r>
  <r>
    <n v="967"/>
    <x v="2"/>
    <s v="2018/3390"/>
    <s v="29 Wimbledon Park Road"/>
    <s v="Lower Ground"/>
    <n v="525095"/>
    <n v="174084"/>
    <s v="East Putney"/>
    <d v="2021-09-29T00:00:00"/>
    <m/>
    <n v="4"/>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2"/>
    <x v="2"/>
    <n v="2.5999999999999999E-2"/>
    <d v="2021-09-29T00:00:00"/>
    <x v="0"/>
    <m/>
    <s v="Open Market"/>
    <s v="M"/>
    <s v=""/>
    <m/>
    <n v="0"/>
    <m/>
    <n v="0"/>
    <m/>
    <n v="0"/>
    <n v="-1"/>
    <n v="-1"/>
    <n v="0"/>
    <n v="0"/>
    <n v="0"/>
    <n v="0"/>
    <n v="0"/>
    <n v="-1"/>
    <n v="-1"/>
    <n v="0"/>
    <n v="0"/>
    <n v="0"/>
    <n v="0"/>
    <n v="0"/>
    <n v="0"/>
    <n v="0"/>
    <n v="0"/>
    <n v="0"/>
    <n v="0"/>
    <n v="0"/>
    <n v="0"/>
    <n v="0"/>
    <n v="0"/>
    <n v="0"/>
    <n v="0"/>
    <n v="0"/>
    <n v="0"/>
    <m/>
    <m/>
    <s v="Rest of Borough"/>
    <n v="13"/>
    <m/>
    <n v="-2"/>
    <m/>
    <m/>
    <m/>
    <m/>
    <m/>
    <m/>
    <m/>
    <m/>
    <m/>
    <m/>
    <m/>
    <m/>
    <m/>
    <m/>
    <m/>
    <m/>
    <m/>
    <m/>
    <n v="-2"/>
    <n v="-2"/>
  </r>
  <r>
    <n v="7187"/>
    <x v="2"/>
    <s v="2021/1682"/>
    <s v="2-18 Yelverton Road"/>
    <s v="Market"/>
    <n v="526782"/>
    <n v="176145"/>
    <s v="St Mary's"/>
    <d v="2020-12-04T00:00:00"/>
    <m/>
    <n v="0"/>
    <n v="38"/>
    <n v="38"/>
    <n v="79"/>
    <n v="79"/>
    <s v="Y"/>
    <s v="Erection of a part 3/17 storey mixed-use development plus basement, providing 369 sq.m of commercial office floor space (Class E) and 224 sq.m of creative workspace (flexible Class E/Sui Generis) at ground and basement levels and 79 residential units at upper levels; communal garden on the 3rd floor; with 6 car parking spaces and cycle parking spaces at basement level; disabled car parking space on Yelverton Road and visitor cycle parking spaces on York Road and associated infrastructure works."/>
    <s v="PFLA"/>
    <d v="2021-04-08T00:00:00"/>
    <d v="2022-12-22T00:00:00"/>
    <s v="Y"/>
    <s v="Nil"/>
    <m/>
    <s v="BF"/>
    <s v="NB"/>
    <x v="0"/>
    <x v="0"/>
    <n v="0.02"/>
    <d v="2020-12-04T00:00:00"/>
    <x v="0"/>
    <m/>
    <s v="Open Market"/>
    <s v="MR"/>
    <s v=""/>
    <m/>
    <n v="0"/>
    <m/>
    <n v="0"/>
    <m/>
    <n v="0"/>
    <n v="8"/>
    <n v="28"/>
    <n v="2"/>
    <n v="0"/>
    <n v="0"/>
    <n v="0"/>
    <n v="0"/>
    <n v="8"/>
    <n v="28"/>
    <n v="2"/>
    <n v="0"/>
    <n v="0"/>
    <n v="0"/>
    <n v="0"/>
    <n v="0"/>
    <n v="0"/>
    <n v="0"/>
    <n v="0"/>
    <n v="0"/>
    <n v="0"/>
    <n v="0"/>
    <n v="0"/>
    <n v="0"/>
    <n v="0"/>
    <n v="0"/>
    <n v="0"/>
    <n v="0"/>
    <m/>
    <m/>
    <s v="Wandsworth riverside"/>
    <n v="6"/>
    <m/>
    <m/>
    <n v="9.5"/>
    <n v="9.5"/>
    <n v="9.5"/>
    <n v="9.5"/>
    <m/>
    <m/>
    <m/>
    <m/>
    <m/>
    <m/>
    <m/>
    <m/>
    <m/>
    <m/>
    <m/>
    <m/>
    <m/>
    <m/>
    <n v="38"/>
    <n v="38"/>
  </r>
  <r>
    <n v="7629"/>
    <x v="2"/>
    <s v="2021/1677"/>
    <s v="120 Battersea Bridge Road"/>
    <s v="Market"/>
    <n v="527264"/>
    <n v="176919"/>
    <s v="Battersea Park"/>
    <d v="2022-07-01T00:00:00"/>
    <m/>
    <n v="0"/>
    <n v="15"/>
    <n v="15"/>
    <n v="24"/>
    <n v="24"/>
    <s v="Y"/>
    <s v="Demolition of existing building and removal of structures/raised levels and erection of a part 4, 7 and 8 storey building, providing Class F1 Community Hall /Class F2 Church Hall on the ground and mezzanine floors, Class E Offices at mezzanine level and 24 residential units at mezzanine and upper levels, together with communal terrace on 7th floor, cycle parking at ground and first floors and visitor cycle spaces on Hyde Lane, roof plant, new bin store for Randall Close development and associated works."/>
    <s v="PFLA"/>
    <d v="2021-04-13T00:00:00"/>
    <d v="2022-05-20T00:00:00"/>
    <s v="Y"/>
    <s v="Nil"/>
    <m/>
    <s v="BF"/>
    <s v="NB"/>
    <x v="0"/>
    <x v="0"/>
    <n v="0.13800000000000001"/>
    <d v="2022-07-01T00:00:00"/>
    <x v="1"/>
    <m/>
    <s v="Open Market"/>
    <s v="M"/>
    <s v=""/>
    <m/>
    <n v="0"/>
    <m/>
    <n v="0"/>
    <m/>
    <n v="2"/>
    <n v="2"/>
    <n v="9"/>
    <n v="2"/>
    <n v="0"/>
    <n v="0"/>
    <n v="0"/>
    <n v="2"/>
    <n v="2"/>
    <n v="9"/>
    <n v="2"/>
    <n v="0"/>
    <n v="0"/>
    <n v="0"/>
    <n v="0"/>
    <n v="0"/>
    <n v="0"/>
    <n v="0"/>
    <n v="0"/>
    <n v="0"/>
    <n v="0"/>
    <n v="0"/>
    <n v="0"/>
    <n v="0"/>
    <n v="0"/>
    <n v="0"/>
    <n v="0"/>
    <n v="0"/>
    <m/>
    <m/>
    <s v="Rest of Borough"/>
    <n v="6"/>
    <m/>
    <m/>
    <n v="3.75"/>
    <n v="3.75"/>
    <n v="3.75"/>
    <n v="3.75"/>
    <m/>
    <m/>
    <m/>
    <m/>
    <m/>
    <m/>
    <m/>
    <m/>
    <m/>
    <m/>
    <m/>
    <m/>
    <m/>
    <m/>
    <n v="15"/>
    <n v="15"/>
  </r>
  <r>
    <n v="3511"/>
    <x v="1"/>
    <s v="2014/2810"/>
    <s v="New Covent Garden Market, Nine Elms Lane (Combined Main Market, Entrance site and Thessaly College site)"/>
    <s v="Apex Site - A3"/>
    <n v="529369"/>
    <n v="177317"/>
    <s v="Nine Elms"/>
    <d v="2017-03-31T00:00:00"/>
    <m/>
    <n v="0"/>
    <n v="101"/>
    <n v="10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0.61"/>
    <m/>
    <x v="0"/>
    <m/>
    <s v="Intermediate"/>
    <s v="ISO"/>
    <s v="2.1.27"/>
    <m/>
    <n v="0"/>
    <n v="91"/>
    <n v="0"/>
    <n v="10"/>
    <n v="0"/>
    <n v="45"/>
    <n v="46"/>
    <n v="10"/>
    <n v="0"/>
    <n v="0"/>
    <n v="0"/>
    <n v="0"/>
    <n v="45"/>
    <n v="46"/>
    <n v="10"/>
    <n v="0"/>
    <n v="0"/>
    <n v="0"/>
    <n v="0"/>
    <n v="0"/>
    <n v="0"/>
    <n v="0"/>
    <n v="0"/>
    <n v="0"/>
    <n v="0"/>
    <n v="0"/>
    <n v="0"/>
    <n v="0"/>
    <n v="0"/>
    <n v="0"/>
    <n v="0"/>
    <n v="0"/>
    <m/>
    <s v="Y"/>
    <s v="Nine Elms Vauxhall Opportunity Area"/>
    <n v="8"/>
    <m/>
    <m/>
    <m/>
    <m/>
    <m/>
    <m/>
    <m/>
    <m/>
    <n v="101"/>
    <m/>
    <m/>
    <m/>
    <m/>
    <m/>
    <m/>
    <m/>
    <m/>
    <m/>
    <m/>
    <m/>
    <n v="0"/>
    <n v="101"/>
  </r>
  <r>
    <n v="3511"/>
    <x v="1"/>
    <s v="2014/2810"/>
    <s v="New Covent Garden Market, Nine Elms Lane (Combined Main Market, Entrance site and Thessaly College site)"/>
    <s v="Apex Site - A4"/>
    <n v="529369"/>
    <n v="177317"/>
    <s v="Nine Elms"/>
    <d v="2017-03-31T00:00:00"/>
    <m/>
    <n v="0"/>
    <n v="151"/>
    <n v="15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0.91100000000000003"/>
    <m/>
    <x v="0"/>
    <m/>
    <s v="Open Market"/>
    <s v="M"/>
    <s v="2.1.27"/>
    <m/>
    <n v="0"/>
    <n v="136"/>
    <n v="0"/>
    <n v="15"/>
    <n v="19"/>
    <n v="30"/>
    <n v="91"/>
    <n v="11"/>
    <n v="0"/>
    <n v="0"/>
    <n v="0"/>
    <n v="19"/>
    <n v="30"/>
    <n v="91"/>
    <n v="11"/>
    <n v="0"/>
    <n v="0"/>
    <n v="0"/>
    <n v="0"/>
    <n v="0"/>
    <n v="0"/>
    <n v="0"/>
    <n v="0"/>
    <n v="0"/>
    <n v="0"/>
    <n v="0"/>
    <n v="0"/>
    <n v="0"/>
    <n v="0"/>
    <n v="0"/>
    <n v="0"/>
    <n v="0"/>
    <m/>
    <s v="Y"/>
    <s v="Nine Elms Vauxhall Opportunity Area"/>
    <n v="8"/>
    <m/>
    <m/>
    <m/>
    <m/>
    <m/>
    <m/>
    <m/>
    <m/>
    <m/>
    <n v="151"/>
    <m/>
    <m/>
    <m/>
    <m/>
    <m/>
    <m/>
    <m/>
    <m/>
    <m/>
    <m/>
    <n v="0"/>
    <n v="151"/>
  </r>
  <r>
    <n v="3511"/>
    <x v="1"/>
    <s v="2014/2810"/>
    <s v="New Covent Garden Market, Nine Elms Lane (Combined Main Market, Entrance site and Thessaly College site)"/>
    <s v="Apex Site - A6"/>
    <n v="529369"/>
    <n v="177317"/>
    <s v="Nine Elms"/>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0.10299999999999999"/>
    <m/>
    <x v="0"/>
    <m/>
    <s v="Open Market"/>
    <s v="M"/>
    <s v="2.1.27"/>
    <m/>
    <n v="0"/>
    <n v="15"/>
    <n v="0"/>
    <n v="2"/>
    <n v="2"/>
    <n v="3"/>
    <n v="10"/>
    <n v="2"/>
    <n v="0"/>
    <n v="0"/>
    <n v="0"/>
    <n v="2"/>
    <n v="3"/>
    <n v="10"/>
    <n v="2"/>
    <n v="0"/>
    <n v="0"/>
    <n v="0"/>
    <n v="0"/>
    <n v="0"/>
    <n v="0"/>
    <n v="0"/>
    <n v="0"/>
    <n v="0"/>
    <n v="0"/>
    <n v="0"/>
    <n v="0"/>
    <n v="0"/>
    <n v="0"/>
    <n v="0"/>
    <n v="0"/>
    <n v="0"/>
    <m/>
    <s v="Y"/>
    <s v="Nine Elms Vauxhall Opportunity Area"/>
    <n v="8"/>
    <m/>
    <m/>
    <m/>
    <m/>
    <m/>
    <m/>
    <m/>
    <m/>
    <m/>
    <n v="17"/>
    <m/>
    <m/>
    <m/>
    <m/>
    <m/>
    <m/>
    <m/>
    <m/>
    <m/>
    <m/>
    <n v="0"/>
    <n v="17"/>
  </r>
  <r>
    <n v="3511"/>
    <x v="1"/>
    <s v="2014/2810"/>
    <s v="New Covent Garden Market, Nine Elms Lane (Combined Main Market, Entrance site and Thessaly College site)"/>
    <s v="Apex Site - A7"/>
    <n v="529369"/>
    <n v="177317"/>
    <s v="Nine Elms"/>
    <d v="2017-03-31T00:00:00"/>
    <m/>
    <n v="0"/>
    <n v="11"/>
    <n v="1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6.0999999999999999E-2"/>
    <m/>
    <x v="0"/>
    <m/>
    <s v="Intermediate"/>
    <s v="IU"/>
    <s v="2.1.27"/>
    <m/>
    <n v="0"/>
    <n v="10"/>
    <n v="0"/>
    <n v="1"/>
    <n v="0"/>
    <n v="2"/>
    <n v="5"/>
    <n v="3"/>
    <n v="1"/>
    <n v="0"/>
    <n v="0"/>
    <n v="0"/>
    <n v="2"/>
    <n v="5"/>
    <n v="3"/>
    <n v="0"/>
    <n v="0"/>
    <n v="0"/>
    <n v="0"/>
    <n v="0"/>
    <n v="0"/>
    <n v="0"/>
    <n v="1"/>
    <n v="0"/>
    <n v="0"/>
    <n v="0"/>
    <n v="0"/>
    <n v="0"/>
    <n v="0"/>
    <n v="0"/>
    <n v="0"/>
    <n v="0"/>
    <m/>
    <s v="Y"/>
    <s v="Nine Elms Vauxhall Opportunity Area"/>
    <n v="8"/>
    <m/>
    <m/>
    <m/>
    <m/>
    <m/>
    <m/>
    <m/>
    <m/>
    <n v="11"/>
    <m/>
    <m/>
    <m/>
    <m/>
    <m/>
    <m/>
    <m/>
    <m/>
    <m/>
    <m/>
    <m/>
    <n v="0"/>
    <n v="11"/>
  </r>
  <r>
    <n v="3511"/>
    <x v="1"/>
    <s v="2014/2810"/>
    <s v="New Covent Garden Market, Nine Elms Lane (Combined Main Market, Entrance site and Thessaly College site)"/>
    <s v="Entrance Site - E1"/>
    <n v="529369"/>
    <n v="177317"/>
    <s v="Nine Elms"/>
    <d v="2017-03-31T00:00:00"/>
    <m/>
    <n v="0"/>
    <n v="27"/>
    <n v="2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0.16400000000000001"/>
    <m/>
    <x v="0"/>
    <m/>
    <s v="Social/Affordable Rent"/>
    <s v="AA"/>
    <s v="2.1.27"/>
    <m/>
    <n v="0"/>
    <n v="24"/>
    <n v="0"/>
    <n v="3"/>
    <n v="0"/>
    <n v="4"/>
    <n v="12"/>
    <n v="8"/>
    <n v="3"/>
    <n v="0"/>
    <n v="0"/>
    <n v="0"/>
    <n v="4"/>
    <n v="12"/>
    <n v="8"/>
    <n v="3"/>
    <n v="0"/>
    <n v="0"/>
    <n v="0"/>
    <n v="0"/>
    <n v="0"/>
    <n v="0"/>
    <n v="0"/>
    <n v="0"/>
    <n v="0"/>
    <n v="0"/>
    <n v="0"/>
    <n v="0"/>
    <n v="0"/>
    <n v="0"/>
    <n v="0"/>
    <n v="0"/>
    <m/>
    <s v="Y"/>
    <s v="Nine Elms Vauxhall Opportunity Area"/>
    <n v="8"/>
    <m/>
    <m/>
    <m/>
    <m/>
    <m/>
    <m/>
    <m/>
    <m/>
    <n v="27"/>
    <m/>
    <m/>
    <m/>
    <m/>
    <m/>
    <m/>
    <m/>
    <m/>
    <m/>
    <m/>
    <m/>
    <n v="0"/>
    <n v="27"/>
  </r>
  <r>
    <n v="3511"/>
    <x v="1"/>
    <s v="2014/2810"/>
    <s v="New Covent Garden Market, Nine Elms Lane (Combined Main Market, Entrance site and Thessaly College site)"/>
    <s v="Entrance Site - E2"/>
    <n v="529369"/>
    <n v="177317"/>
    <s v="Nine Elms"/>
    <d v="2017-03-31T00:00:00"/>
    <m/>
    <n v="0"/>
    <n v="36"/>
    <n v="3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0.217"/>
    <m/>
    <x v="0"/>
    <m/>
    <s v="Social/Affordable Rent"/>
    <s v="AA"/>
    <s v="2.1.27"/>
    <m/>
    <n v="0"/>
    <n v="32"/>
    <n v="0"/>
    <n v="4"/>
    <n v="0"/>
    <n v="5"/>
    <n v="16"/>
    <n v="11"/>
    <n v="4"/>
    <n v="0"/>
    <n v="0"/>
    <n v="0"/>
    <n v="5"/>
    <n v="16"/>
    <n v="11"/>
    <n v="4"/>
    <n v="0"/>
    <n v="0"/>
    <n v="0"/>
    <n v="0"/>
    <n v="0"/>
    <n v="0"/>
    <n v="0"/>
    <n v="0"/>
    <n v="0"/>
    <n v="0"/>
    <n v="0"/>
    <n v="0"/>
    <n v="0"/>
    <n v="0"/>
    <n v="0"/>
    <n v="0"/>
    <m/>
    <s v="Y"/>
    <s v="Nine Elms Vauxhall Opportunity Area"/>
    <n v="8"/>
    <m/>
    <m/>
    <m/>
    <m/>
    <m/>
    <m/>
    <m/>
    <m/>
    <n v="36"/>
    <m/>
    <m/>
    <m/>
    <m/>
    <m/>
    <m/>
    <m/>
    <m/>
    <m/>
    <m/>
    <m/>
    <n v="0"/>
    <n v="36"/>
  </r>
  <r>
    <n v="3511"/>
    <x v="1"/>
    <s v="2014/2810"/>
    <s v="New Covent Garden Market, Nine Elms Lane (Combined Main Market, Entrance site and Thessaly College site)"/>
    <s v="Entrance Site - E3"/>
    <n v="529369"/>
    <n v="177317"/>
    <s v="Nine Elms"/>
    <d v="2017-03-31T00:00:00"/>
    <m/>
    <n v="0"/>
    <n v="54"/>
    <n v="54"/>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0.32600000000000001"/>
    <m/>
    <x v="0"/>
    <m/>
    <s v="Social/Affordable Rent"/>
    <s v="AA"/>
    <s v="2.1.27"/>
    <m/>
    <n v="0"/>
    <n v="49"/>
    <n v="0"/>
    <n v="5"/>
    <n v="0"/>
    <n v="8"/>
    <n v="25"/>
    <n v="16"/>
    <n v="5"/>
    <n v="0"/>
    <n v="0"/>
    <n v="0"/>
    <n v="8"/>
    <n v="25"/>
    <n v="16"/>
    <n v="5"/>
    <n v="0"/>
    <n v="0"/>
    <n v="0"/>
    <n v="0"/>
    <n v="0"/>
    <n v="0"/>
    <n v="0"/>
    <n v="0"/>
    <n v="0"/>
    <n v="0"/>
    <n v="0"/>
    <n v="0"/>
    <n v="0"/>
    <n v="0"/>
    <n v="0"/>
    <n v="0"/>
    <m/>
    <s v="Y"/>
    <s v="Nine Elms Vauxhall Opportunity Area"/>
    <n v="8"/>
    <m/>
    <m/>
    <m/>
    <m/>
    <m/>
    <m/>
    <m/>
    <m/>
    <n v="54"/>
    <m/>
    <m/>
    <m/>
    <m/>
    <m/>
    <m/>
    <m/>
    <m/>
    <m/>
    <m/>
    <m/>
    <n v="0"/>
    <n v="54"/>
  </r>
  <r>
    <n v="3511"/>
    <x v="1"/>
    <s v="2014/2810"/>
    <s v="New Covent Garden Market, Nine Elms Lane (Combined Main Market, Entrance site and Thessaly College site)"/>
    <s v="Entrance Site - E4"/>
    <n v="529369"/>
    <n v="177317"/>
    <s v="Nine Elms"/>
    <d v="2017-03-31T00:00:00"/>
    <m/>
    <n v="0"/>
    <n v="59"/>
    <n v="59"/>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0.35599999999999998"/>
    <m/>
    <x v="0"/>
    <m/>
    <s v="Social/Affordable Rent"/>
    <s v="AA"/>
    <s v="2.1.27"/>
    <m/>
    <n v="0"/>
    <n v="53"/>
    <n v="0"/>
    <n v="6"/>
    <n v="7"/>
    <n v="12"/>
    <n v="36"/>
    <n v="4"/>
    <n v="0"/>
    <n v="0"/>
    <n v="0"/>
    <n v="7"/>
    <n v="12"/>
    <n v="36"/>
    <n v="4"/>
    <n v="0"/>
    <n v="0"/>
    <n v="0"/>
    <n v="0"/>
    <n v="0"/>
    <n v="0"/>
    <n v="0"/>
    <n v="0"/>
    <n v="0"/>
    <n v="0"/>
    <n v="0"/>
    <n v="0"/>
    <n v="0"/>
    <n v="0"/>
    <n v="0"/>
    <n v="0"/>
    <n v="0"/>
    <m/>
    <s v="Y"/>
    <s v="Nine Elms Vauxhall Opportunity Area"/>
    <n v="8"/>
    <m/>
    <m/>
    <m/>
    <m/>
    <m/>
    <m/>
    <m/>
    <m/>
    <m/>
    <n v="59"/>
    <m/>
    <m/>
    <m/>
    <m/>
    <m/>
    <m/>
    <m/>
    <m/>
    <m/>
    <m/>
    <n v="0"/>
    <n v="59"/>
  </r>
  <r>
    <n v="5862"/>
    <x v="2"/>
    <s v="2018/0859"/>
    <s v="87 Putney High Street"/>
    <s v="new build"/>
    <n v="524068"/>
    <n v="175336"/>
    <s v="Thamesfield"/>
    <d v="2018-03-31T00:00:00"/>
    <m/>
    <n v="0"/>
    <n v="2"/>
    <n v="2"/>
    <n v="5"/>
    <n v="4"/>
    <m/>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m/>
    <s v="Nil"/>
    <m/>
    <s v="BF"/>
    <s v="MIX"/>
    <x v="2"/>
    <x v="1"/>
    <n v="5.0000000000000001E-3"/>
    <d v="2018-03-31T00:00:00"/>
    <x v="0"/>
    <m/>
    <s v="Open Market"/>
    <s v="M"/>
    <s v=""/>
    <m/>
    <n v="0"/>
    <m/>
    <n v="0"/>
    <m/>
    <n v="0"/>
    <n v="1"/>
    <n v="1"/>
    <n v="0"/>
    <n v="0"/>
    <n v="0"/>
    <n v="0"/>
    <n v="0"/>
    <n v="1"/>
    <n v="1"/>
    <n v="0"/>
    <n v="0"/>
    <n v="0"/>
    <n v="0"/>
    <n v="0"/>
    <n v="0"/>
    <n v="0"/>
    <n v="0"/>
    <n v="0"/>
    <n v="0"/>
    <n v="0"/>
    <n v="0"/>
    <n v="0"/>
    <n v="0"/>
    <n v="0"/>
    <n v="0"/>
    <n v="0"/>
    <n v="0"/>
    <s v="Putney"/>
    <m/>
    <s v="Putney Town Centre"/>
    <n v="13"/>
    <m/>
    <n v="2"/>
    <m/>
    <m/>
    <m/>
    <m/>
    <m/>
    <m/>
    <m/>
    <m/>
    <m/>
    <m/>
    <m/>
    <m/>
    <m/>
    <m/>
    <m/>
    <m/>
    <m/>
    <m/>
    <n v="2"/>
    <n v="2"/>
  </r>
  <r>
    <n v="6657"/>
    <x v="2"/>
    <s v="2021/1291"/>
    <s v="Brocklebank Health Centre, 249 Garratt Lane (and others), 229-247 Garratt Lane (Garratt Lane and Atheldene Regeneration Site)"/>
    <s v="Phase 1 (Block A)"/>
    <n v="525999"/>
    <n v="173647"/>
    <s v="Wandle"/>
    <d v="2022-01-20T00:00:00"/>
    <m/>
    <n v="0"/>
    <n v="21"/>
    <n v="21"/>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1.9E-2"/>
    <d v="2022-01-20T00:00:00"/>
    <x v="0"/>
    <m/>
    <s v="Intermediate"/>
    <s v="ISL"/>
    <s v=""/>
    <m/>
    <n v="0"/>
    <n v="18"/>
    <n v="0"/>
    <n v="3"/>
    <n v="0"/>
    <n v="5"/>
    <n v="16"/>
    <n v="0"/>
    <n v="0"/>
    <n v="0"/>
    <n v="0"/>
    <n v="0"/>
    <n v="5"/>
    <n v="16"/>
    <n v="0"/>
    <n v="0"/>
    <n v="0"/>
    <n v="0"/>
    <n v="0"/>
    <n v="0"/>
    <n v="0"/>
    <n v="0"/>
    <n v="0"/>
    <n v="0"/>
    <n v="0"/>
    <n v="0"/>
    <n v="0"/>
    <n v="0"/>
    <n v="0"/>
    <n v="0"/>
    <n v="0"/>
    <n v="0"/>
    <m/>
    <m/>
    <s v="Rest of Borough"/>
    <n v="5"/>
    <m/>
    <n v="21"/>
    <m/>
    <m/>
    <m/>
    <m/>
    <m/>
    <m/>
    <m/>
    <m/>
    <m/>
    <m/>
    <m/>
    <m/>
    <m/>
    <m/>
    <m/>
    <m/>
    <m/>
    <m/>
    <n v="21"/>
    <n v="21"/>
  </r>
  <r>
    <n v="6657"/>
    <x v="2"/>
    <s v="2021/1291"/>
    <s v="Brocklebank Health Centre, 249 Garratt Lane (and others), 229-247 Garratt Lane (Garratt Lane and Atheldene Regeneration Site)"/>
    <s v="Phase 1 (Block B)"/>
    <n v="525999"/>
    <n v="173647"/>
    <s v="Wandle"/>
    <d v="2022-01-20T00:00:00"/>
    <m/>
    <n v="0"/>
    <n v="22"/>
    <n v="22"/>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0.02"/>
    <d v="2022-01-20T00:00:00"/>
    <x v="0"/>
    <m/>
    <s v="Open Market"/>
    <s v="M"/>
    <s v=""/>
    <m/>
    <n v="0"/>
    <n v="20"/>
    <n v="0"/>
    <n v="2"/>
    <n v="0"/>
    <n v="2"/>
    <n v="19"/>
    <n v="1"/>
    <n v="0"/>
    <n v="0"/>
    <n v="0"/>
    <n v="0"/>
    <n v="2"/>
    <n v="19"/>
    <n v="1"/>
    <n v="0"/>
    <n v="0"/>
    <n v="0"/>
    <n v="0"/>
    <n v="0"/>
    <n v="0"/>
    <n v="0"/>
    <n v="0"/>
    <n v="0"/>
    <n v="0"/>
    <n v="0"/>
    <n v="0"/>
    <n v="0"/>
    <n v="0"/>
    <n v="0"/>
    <n v="0"/>
    <n v="0"/>
    <m/>
    <m/>
    <s v="Rest of Borough"/>
    <n v="5"/>
    <m/>
    <n v="22"/>
    <m/>
    <m/>
    <m/>
    <m/>
    <m/>
    <m/>
    <m/>
    <m/>
    <m/>
    <m/>
    <m/>
    <m/>
    <m/>
    <m/>
    <m/>
    <m/>
    <m/>
    <m/>
    <n v="22"/>
    <n v="22"/>
  </r>
  <r>
    <n v="6657"/>
    <x v="2"/>
    <s v="2021/1291"/>
    <s v="Brocklebank Health Centre, 249 Garratt Lane (and others), 229-247 Garratt Lane (Garratt Lane and Atheldene Regeneration Site)"/>
    <s v="Phase 1 (Block B)"/>
    <n v="525999"/>
    <n v="173647"/>
    <s v="Wandle"/>
    <d v="2022-01-20T00:00:00"/>
    <m/>
    <n v="0"/>
    <n v="5"/>
    <n v="5"/>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4.0000000000000001E-3"/>
    <d v="2022-01-20T00:00:00"/>
    <x v="0"/>
    <m/>
    <s v="Intermediate"/>
    <s v="ISL"/>
    <s v=""/>
    <m/>
    <n v="0"/>
    <n v="5"/>
    <n v="0"/>
    <m/>
    <n v="0"/>
    <n v="2"/>
    <n v="3"/>
    <n v="0"/>
    <n v="0"/>
    <n v="0"/>
    <n v="0"/>
    <n v="0"/>
    <n v="2"/>
    <n v="3"/>
    <n v="0"/>
    <n v="0"/>
    <n v="0"/>
    <n v="0"/>
    <n v="0"/>
    <n v="0"/>
    <n v="0"/>
    <n v="0"/>
    <n v="0"/>
    <n v="0"/>
    <n v="0"/>
    <n v="0"/>
    <n v="0"/>
    <n v="0"/>
    <n v="0"/>
    <n v="0"/>
    <n v="0"/>
    <n v="0"/>
    <m/>
    <m/>
    <s v="Rest of Borough"/>
    <n v="5"/>
    <m/>
    <n v="5"/>
    <m/>
    <m/>
    <m/>
    <m/>
    <m/>
    <m/>
    <m/>
    <m/>
    <m/>
    <m/>
    <m/>
    <m/>
    <m/>
    <m/>
    <m/>
    <m/>
    <m/>
    <m/>
    <n v="5"/>
    <n v="5"/>
  </r>
  <r>
    <n v="6657"/>
    <x v="2"/>
    <s v="2021/1291"/>
    <s v="Brocklebank Health Centre, 249 Garratt Lane (and others), 229-247 Garratt Lane (Garratt Lane and Atheldene Regeneration Site)"/>
    <s v="Phase 1 (Block C)"/>
    <n v="525999"/>
    <n v="173647"/>
    <s v="Wandle"/>
    <d v="2022-01-20T00:00:00"/>
    <m/>
    <n v="0"/>
    <n v="25"/>
    <n v="25"/>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2.1999999999999999E-2"/>
    <d v="2022-01-20T00:00:00"/>
    <x v="0"/>
    <m/>
    <s v="Intermediate"/>
    <s v="ISL"/>
    <s v=""/>
    <m/>
    <n v="0"/>
    <n v="21"/>
    <n v="0"/>
    <n v="4"/>
    <n v="0"/>
    <n v="11"/>
    <n v="10"/>
    <n v="4"/>
    <n v="0"/>
    <n v="0"/>
    <n v="0"/>
    <n v="0"/>
    <n v="11"/>
    <n v="10"/>
    <n v="4"/>
    <n v="0"/>
    <n v="0"/>
    <n v="0"/>
    <n v="0"/>
    <n v="0"/>
    <n v="0"/>
    <n v="0"/>
    <n v="0"/>
    <n v="0"/>
    <n v="0"/>
    <n v="0"/>
    <n v="0"/>
    <n v="0"/>
    <n v="0"/>
    <n v="0"/>
    <n v="0"/>
    <n v="0"/>
    <m/>
    <m/>
    <s v="Rest of Borough"/>
    <n v="5"/>
    <m/>
    <n v="25"/>
    <m/>
    <m/>
    <m/>
    <m/>
    <m/>
    <m/>
    <m/>
    <m/>
    <m/>
    <m/>
    <m/>
    <m/>
    <m/>
    <m/>
    <m/>
    <m/>
    <m/>
    <m/>
    <n v="25"/>
    <n v="25"/>
  </r>
  <r>
    <n v="6657"/>
    <x v="2"/>
    <s v="2021/1291"/>
    <s v="Brocklebank Health Centre, 249 Garratt Lane (and others), 229-247 Garratt Lane (Garratt Lane and Atheldene Regeneration Site)"/>
    <s v="Phase 1 (Block C)"/>
    <n v="525999"/>
    <n v="173647"/>
    <s v="Wandle"/>
    <d v="2022-01-20T00:00:00"/>
    <m/>
    <n v="11"/>
    <n v="2"/>
    <n v="-9"/>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2E-3"/>
    <d v="2022-01-20T00:00:00"/>
    <x v="0"/>
    <m/>
    <s v="Intermediate"/>
    <s v="IR"/>
    <s v=""/>
    <m/>
    <n v="0"/>
    <n v="1"/>
    <n v="0"/>
    <n v="1"/>
    <n v="0"/>
    <n v="0"/>
    <n v="-5"/>
    <n v="-4"/>
    <n v="0"/>
    <n v="0"/>
    <n v="0"/>
    <n v="0"/>
    <n v="0"/>
    <n v="-5"/>
    <n v="2"/>
    <n v="0"/>
    <n v="0"/>
    <n v="0"/>
    <n v="0"/>
    <n v="0"/>
    <n v="0"/>
    <n v="-6"/>
    <n v="0"/>
    <n v="0"/>
    <n v="0"/>
    <n v="0"/>
    <n v="0"/>
    <n v="0"/>
    <n v="0"/>
    <n v="0"/>
    <n v="0"/>
    <n v="0"/>
    <m/>
    <m/>
    <s v="Rest of Borough"/>
    <n v="5"/>
    <m/>
    <n v="-9"/>
    <m/>
    <m/>
    <m/>
    <m/>
    <m/>
    <m/>
    <m/>
    <m/>
    <m/>
    <m/>
    <m/>
    <m/>
    <m/>
    <m/>
    <m/>
    <m/>
    <m/>
    <m/>
    <n v="-9"/>
    <n v="-9"/>
  </r>
  <r>
    <n v="6657"/>
    <x v="2"/>
    <s v="2021/1291"/>
    <s v="Brocklebank Health Centre, 249 Garratt Lane (and others), 229-247 Garratt Lane (Garratt Lane and Atheldene Regeneration Site)"/>
    <s v="Phase 1 (Houses)"/>
    <n v="525999"/>
    <n v="173647"/>
    <s v="Wandle"/>
    <d v="2022-01-20T00:00:00"/>
    <m/>
    <n v="0"/>
    <n v="14"/>
    <n v="14"/>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1.4E-2"/>
    <d v="2022-01-20T00:00:00"/>
    <x v="0"/>
    <m/>
    <s v="Open Market"/>
    <s v="M"/>
    <s v=""/>
    <m/>
    <n v="0"/>
    <n v="16"/>
    <n v="0"/>
    <m/>
    <n v="0"/>
    <n v="0"/>
    <n v="0"/>
    <n v="0"/>
    <n v="14"/>
    <n v="0"/>
    <n v="0"/>
    <n v="0"/>
    <n v="0"/>
    <n v="0"/>
    <n v="0"/>
    <n v="0"/>
    <n v="0"/>
    <n v="0"/>
    <n v="0"/>
    <n v="0"/>
    <n v="0"/>
    <n v="0"/>
    <n v="14"/>
    <n v="0"/>
    <n v="0"/>
    <n v="0"/>
    <n v="0"/>
    <n v="0"/>
    <n v="0"/>
    <n v="0"/>
    <n v="0"/>
    <n v="0"/>
    <m/>
    <m/>
    <s v="Rest of Borough"/>
    <n v="5"/>
    <m/>
    <n v="14"/>
    <m/>
    <m/>
    <m/>
    <m/>
    <m/>
    <m/>
    <m/>
    <m/>
    <m/>
    <m/>
    <m/>
    <m/>
    <m/>
    <m/>
    <m/>
    <m/>
    <m/>
    <m/>
    <n v="14"/>
    <n v="14"/>
  </r>
  <r>
    <n v="6657"/>
    <x v="2"/>
    <s v="2021/1291"/>
    <s v="Brocklebank Health Centre, 249 Garratt Lane (and others), 229-247 Garratt Lane (Garratt Lane and Atheldene Regeneration Site)"/>
    <s v="Phase 1 (Houses)"/>
    <n v="525999"/>
    <n v="173647"/>
    <s v="Wandle"/>
    <d v="2022-01-20T00:00:00"/>
    <m/>
    <n v="0"/>
    <n v="9"/>
    <n v="9"/>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6.0000000000000001E-3"/>
    <d v="2022-01-20T00:00:00"/>
    <x v="0"/>
    <m/>
    <s v="Social/Affordable Rent"/>
    <s v="AL"/>
    <s v=""/>
    <m/>
    <n v="0"/>
    <n v="7"/>
    <n v="0"/>
    <m/>
    <n v="0"/>
    <n v="0"/>
    <n v="0"/>
    <n v="1"/>
    <n v="8"/>
    <n v="0"/>
    <n v="0"/>
    <n v="0"/>
    <n v="0"/>
    <n v="0"/>
    <n v="0"/>
    <n v="0"/>
    <n v="0"/>
    <n v="0"/>
    <n v="0"/>
    <n v="0"/>
    <n v="0"/>
    <n v="1"/>
    <n v="8"/>
    <n v="0"/>
    <n v="0"/>
    <n v="0"/>
    <n v="0"/>
    <n v="0"/>
    <n v="0"/>
    <n v="0"/>
    <n v="0"/>
    <n v="0"/>
    <m/>
    <m/>
    <s v="Rest of Borough"/>
    <n v="5"/>
    <m/>
    <n v="9"/>
    <m/>
    <m/>
    <m/>
    <m/>
    <m/>
    <m/>
    <m/>
    <m/>
    <m/>
    <m/>
    <m/>
    <m/>
    <m/>
    <m/>
    <m/>
    <m/>
    <m/>
    <m/>
    <n v="9"/>
    <n v="9"/>
  </r>
  <r>
    <n v="6657"/>
    <x v="2"/>
    <s v="2021/1291"/>
    <s v="Brocklebank Health Centre, 249 Garratt Lane (and others), 229-247 Garratt Lane (Garratt Lane and Atheldene Regeneration Site)"/>
    <s v="Phase 1 (Houses)"/>
    <n v="525999"/>
    <n v="173647"/>
    <s v="Wandle"/>
    <d v="2022-01-20T00:00:00"/>
    <m/>
    <n v="0"/>
    <n v="2"/>
    <n v="2"/>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2E-3"/>
    <d v="2022-01-20T00:00:00"/>
    <x v="0"/>
    <m/>
    <s v="Intermediate"/>
    <s v="ISL"/>
    <s v=""/>
    <m/>
    <n v="0"/>
    <n v="2"/>
    <n v="0"/>
    <m/>
    <n v="0"/>
    <n v="0"/>
    <n v="0"/>
    <n v="2"/>
    <n v="0"/>
    <n v="0"/>
    <n v="0"/>
    <n v="0"/>
    <n v="0"/>
    <n v="0"/>
    <n v="0"/>
    <n v="0"/>
    <n v="0"/>
    <n v="0"/>
    <n v="0"/>
    <n v="0"/>
    <n v="0"/>
    <n v="2"/>
    <n v="0"/>
    <n v="0"/>
    <n v="0"/>
    <n v="0"/>
    <n v="0"/>
    <n v="0"/>
    <n v="0"/>
    <n v="0"/>
    <n v="0"/>
    <n v="0"/>
    <m/>
    <m/>
    <s v="Rest of Borough"/>
    <n v="5"/>
    <m/>
    <m/>
    <n v="2"/>
    <m/>
    <m/>
    <m/>
    <m/>
    <m/>
    <m/>
    <m/>
    <m/>
    <m/>
    <m/>
    <m/>
    <m/>
    <m/>
    <m/>
    <m/>
    <m/>
    <m/>
    <n v="2"/>
    <n v="2"/>
  </r>
  <r>
    <n v="2411"/>
    <x v="1"/>
    <s v="2021/0138"/>
    <s v="South Lambeth Goods Depot, Cringle St./Battersea Park Rd., Kirtling Street (Battersea Power Station)"/>
    <s v="Phase 4 (RS-5)"/>
    <n v="528934"/>
    <n v="177496"/>
    <s v="Nine Elms"/>
    <d v="2016-05-16T00:00:00"/>
    <m/>
    <n v="0"/>
    <n v="883"/>
    <n v="883"/>
    <n v="2027"/>
    <n v="2027"/>
    <s v="Y"/>
    <s v="Application under Section 96a of the Town and Country Planning Act 1990 (as amended) for non-material amendments to planning permission 2014/2837 dated 05/12/2015 (&quot;Application for Amendments to the planning permission dated the 29/04/14 (ref: 2013/6639)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quot;) The submitted details relate to the residential layouts of building O1 within phase 3A of the Battersea Power Station development."/>
    <s v="S96A"/>
    <d v="2021-01-14T00:00:00"/>
    <d v="2021-03-09T00:00:00"/>
    <m/>
    <s v="Nil"/>
    <m/>
    <s v="BF"/>
    <s v="NB"/>
    <x v="0"/>
    <x v="0"/>
    <n v="0.79500000000000004"/>
    <m/>
    <x v="0"/>
    <m/>
    <s v="Open Market"/>
    <s v="M"/>
    <s v="2.1.1"/>
    <m/>
    <n v="0"/>
    <m/>
    <n v="0"/>
    <m/>
    <n v="20"/>
    <n v="390"/>
    <n v="307"/>
    <n v="129"/>
    <n v="11"/>
    <n v="26"/>
    <n v="0"/>
    <n v="20"/>
    <n v="390"/>
    <n v="307"/>
    <n v="129"/>
    <n v="11"/>
    <n v="26"/>
    <n v="0"/>
    <n v="0"/>
    <n v="0"/>
    <n v="0"/>
    <n v="0"/>
    <n v="0"/>
    <n v="0"/>
    <n v="0"/>
    <n v="0"/>
    <n v="0"/>
    <n v="0"/>
    <n v="0"/>
    <n v="0"/>
    <n v="0"/>
    <n v="0"/>
    <m/>
    <s v="Y"/>
    <s v="Nine Elms Vauxhall Opportunity Area"/>
    <n v="10"/>
    <m/>
    <m/>
    <m/>
    <m/>
    <n v="294.33333333333331"/>
    <n v="294.33333333333331"/>
    <n v="294.33333333333331"/>
    <m/>
    <m/>
    <m/>
    <m/>
    <m/>
    <m/>
    <m/>
    <m/>
    <m/>
    <m/>
    <m/>
    <m/>
    <m/>
    <n v="588.66666666666663"/>
    <n v="883"/>
  </r>
  <r>
    <n v="2411"/>
    <x v="1"/>
    <s v="2017/1680"/>
    <s v="South Lambeth Goods Depot, Cringle St./Battersea Park Rd., Kirtling Street (Battersea Power Station)"/>
    <s v="Phase 5 (RS-6)"/>
    <n v="528934"/>
    <n v="177496"/>
    <s v="Nine Elms"/>
    <d v="2016-05-16T00:00:00"/>
    <m/>
    <n v="0"/>
    <n v="147"/>
    <n v="147"/>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0"/>
    <x v="0"/>
    <n v="0.186"/>
    <m/>
    <x v="0"/>
    <m/>
    <s v="Intermediate"/>
    <s v="IU"/>
    <s v="2.1.1"/>
    <m/>
    <n v="147"/>
    <m/>
    <n v="15"/>
    <m/>
    <n v="0"/>
    <n v="21"/>
    <n v="71"/>
    <n v="47"/>
    <n v="8"/>
    <n v="0"/>
    <n v="0"/>
    <n v="0"/>
    <n v="21"/>
    <n v="71"/>
    <n v="47"/>
    <n v="8"/>
    <n v="0"/>
    <n v="0"/>
    <n v="0"/>
    <n v="0"/>
    <n v="0"/>
    <n v="0"/>
    <n v="0"/>
    <n v="0"/>
    <n v="0"/>
    <n v="0"/>
    <n v="0"/>
    <n v="0"/>
    <n v="0"/>
    <n v="0"/>
    <n v="0"/>
    <n v="0"/>
    <m/>
    <s v="Y"/>
    <s v="Nine Elms Vauxhall Opportunity Area"/>
    <n v="10"/>
    <m/>
    <m/>
    <m/>
    <m/>
    <n v="49"/>
    <n v="49"/>
    <n v="49"/>
    <m/>
    <m/>
    <m/>
    <m/>
    <m/>
    <m/>
    <m/>
    <m/>
    <m/>
    <m/>
    <m/>
    <m/>
    <m/>
    <n v="98"/>
    <n v="147"/>
  </r>
  <r>
    <n v="2411"/>
    <x v="1"/>
    <s v="2017/1680"/>
    <s v="South Lambeth Goods Depot, Cringle St./Battersea Park Rd., Kirtling Street (Battersea Power Station)"/>
    <s v="Phase 5 (RS-6)"/>
    <n v="528934"/>
    <n v="177496"/>
    <s v="Nine Elms"/>
    <d v="2016-05-16T00:00:00"/>
    <m/>
    <n v="0"/>
    <n v="11"/>
    <n v="11"/>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0"/>
    <x v="0"/>
    <n v="1.4E-2"/>
    <m/>
    <x v="0"/>
    <m/>
    <s v="Intermediate"/>
    <s v="IR"/>
    <s v="2.1.1"/>
    <m/>
    <n v="11"/>
    <m/>
    <n v="1"/>
    <m/>
    <n v="0"/>
    <n v="11"/>
    <n v="0"/>
    <n v="0"/>
    <n v="0"/>
    <n v="0"/>
    <n v="0"/>
    <n v="0"/>
    <n v="11"/>
    <n v="0"/>
    <n v="0"/>
    <n v="0"/>
    <n v="0"/>
    <n v="0"/>
    <n v="0"/>
    <n v="0"/>
    <n v="0"/>
    <n v="0"/>
    <n v="0"/>
    <n v="0"/>
    <n v="0"/>
    <n v="0"/>
    <n v="0"/>
    <n v="0"/>
    <n v="0"/>
    <n v="0"/>
    <n v="0"/>
    <n v="0"/>
    <m/>
    <s v="Y"/>
    <s v="Nine Elms Vauxhall Opportunity Area"/>
    <n v="10"/>
    <m/>
    <m/>
    <m/>
    <m/>
    <n v="3.6666666666666665"/>
    <n v="3.6666666666666665"/>
    <n v="3.6666666666666665"/>
    <m/>
    <m/>
    <m/>
    <m/>
    <m/>
    <m/>
    <m/>
    <m/>
    <m/>
    <m/>
    <m/>
    <m/>
    <m/>
    <n v="7.333333333333333"/>
    <n v="11"/>
  </r>
  <r>
    <n v="2502"/>
    <x v="2"/>
    <s v="2020/1779"/>
    <s v="Springfield Hospital site, 61 Glenburnie Road"/>
    <s v="Phase 5A - Block B1A"/>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4.2000000000000003E-2"/>
    <d v="2021-03-31T00:00:00"/>
    <x v="0"/>
    <m/>
    <s v="Intermediate"/>
    <s v="ISO"/>
    <s v="9.1"/>
    <m/>
    <n v="0"/>
    <m/>
    <n v="0"/>
    <m/>
    <n v="0"/>
    <n v="0"/>
    <n v="0"/>
    <n v="4"/>
    <n v="0"/>
    <n v="0"/>
    <n v="0"/>
    <n v="0"/>
    <n v="0"/>
    <n v="0"/>
    <n v="4"/>
    <n v="0"/>
    <n v="0"/>
    <n v="0"/>
    <n v="0"/>
    <n v="0"/>
    <n v="0"/>
    <n v="0"/>
    <n v="0"/>
    <n v="0"/>
    <n v="0"/>
    <n v="0"/>
    <n v="0"/>
    <n v="0"/>
    <n v="0"/>
    <n v="0"/>
    <n v="0"/>
    <n v="0"/>
    <m/>
    <m/>
    <s v="Rest of Borough"/>
    <n v="5"/>
    <m/>
    <n v="4"/>
    <m/>
    <m/>
    <m/>
    <m/>
    <m/>
    <m/>
    <m/>
    <m/>
    <m/>
    <m/>
    <m/>
    <m/>
    <m/>
    <m/>
    <m/>
    <m/>
    <m/>
    <m/>
    <n v="4"/>
    <n v="4"/>
  </r>
  <r>
    <n v="2502"/>
    <x v="2"/>
    <s v="2020/1779"/>
    <s v="Springfield Hospital site, 61 Glenburnie Road"/>
    <s v="Phase 5A - Block B2A"/>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3.9E-2"/>
    <d v="2021-03-31T00:00:00"/>
    <x v="0"/>
    <m/>
    <s v="Social/Affordable Rent"/>
    <s v="AA"/>
    <s v="9.1"/>
    <m/>
    <n v="0"/>
    <m/>
    <n v="0"/>
    <m/>
    <n v="0"/>
    <n v="0"/>
    <n v="0"/>
    <n v="4"/>
    <n v="0"/>
    <n v="0"/>
    <n v="0"/>
    <n v="0"/>
    <n v="0"/>
    <n v="0"/>
    <n v="4"/>
    <n v="0"/>
    <n v="0"/>
    <n v="0"/>
    <n v="0"/>
    <n v="0"/>
    <n v="0"/>
    <n v="0"/>
    <n v="0"/>
    <n v="0"/>
    <n v="0"/>
    <n v="0"/>
    <n v="0"/>
    <n v="0"/>
    <n v="0"/>
    <n v="0"/>
    <n v="0"/>
    <n v="0"/>
    <m/>
    <m/>
    <s v="Rest of Borough"/>
    <n v="5"/>
    <m/>
    <n v="4"/>
    <m/>
    <m/>
    <m/>
    <m/>
    <m/>
    <m/>
    <m/>
    <m/>
    <m/>
    <m/>
    <m/>
    <m/>
    <m/>
    <m/>
    <m/>
    <m/>
    <m/>
    <m/>
    <n v="4"/>
    <n v="4"/>
  </r>
  <r>
    <n v="2502"/>
    <x v="2"/>
    <s v="2020/1779"/>
    <s v="Springfield Hospital site, 61 Glenburnie Road"/>
    <s v="Phase 5A - Block B2B"/>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0.01"/>
    <d v="2021-03-31T00:00:00"/>
    <x v="0"/>
    <m/>
    <s v="Social/Affordable Rent"/>
    <s v="AA"/>
    <s v="9.1"/>
    <m/>
    <n v="0"/>
    <m/>
    <n v="1"/>
    <m/>
    <n v="0"/>
    <n v="0"/>
    <n v="0"/>
    <n v="1"/>
    <n v="0"/>
    <n v="0"/>
    <n v="0"/>
    <n v="0"/>
    <n v="0"/>
    <n v="0"/>
    <n v="0"/>
    <n v="0"/>
    <n v="0"/>
    <n v="0"/>
    <n v="0"/>
    <n v="0"/>
    <n v="0"/>
    <n v="1"/>
    <n v="0"/>
    <n v="0"/>
    <n v="0"/>
    <n v="0"/>
    <n v="0"/>
    <n v="0"/>
    <n v="0"/>
    <n v="0"/>
    <n v="0"/>
    <n v="0"/>
    <m/>
    <m/>
    <s v="Rest of Borough"/>
    <n v="5"/>
    <m/>
    <n v="1"/>
    <m/>
    <m/>
    <m/>
    <m/>
    <m/>
    <m/>
    <m/>
    <m/>
    <m/>
    <m/>
    <m/>
    <m/>
    <m/>
    <m/>
    <m/>
    <m/>
    <m/>
    <m/>
    <n v="1"/>
    <n v="1"/>
  </r>
  <r>
    <n v="2502"/>
    <x v="2"/>
    <s v="2020/1779"/>
    <s v="Springfield Hospital site, 61 Glenburnie Road"/>
    <s v="Phase 5A - Block B2C"/>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0.01"/>
    <d v="2021-03-31T00:00:00"/>
    <x v="0"/>
    <m/>
    <s v="Social/Affordable Rent"/>
    <s v="AA"/>
    <s v="9.1"/>
    <m/>
    <n v="0"/>
    <m/>
    <n v="1"/>
    <m/>
    <n v="0"/>
    <n v="0"/>
    <n v="0"/>
    <n v="1"/>
    <n v="0"/>
    <n v="0"/>
    <n v="0"/>
    <n v="0"/>
    <n v="0"/>
    <n v="0"/>
    <n v="0"/>
    <n v="0"/>
    <n v="0"/>
    <n v="0"/>
    <n v="0"/>
    <n v="0"/>
    <n v="0"/>
    <n v="1"/>
    <n v="0"/>
    <n v="0"/>
    <n v="0"/>
    <n v="0"/>
    <n v="0"/>
    <n v="0"/>
    <n v="0"/>
    <n v="0"/>
    <n v="0"/>
    <n v="0"/>
    <m/>
    <m/>
    <s v="Rest of Borough"/>
    <n v="5"/>
    <m/>
    <n v="1"/>
    <m/>
    <m/>
    <m/>
    <m/>
    <m/>
    <m/>
    <m/>
    <m/>
    <m/>
    <m/>
    <m/>
    <m/>
    <m/>
    <m/>
    <m/>
    <m/>
    <m/>
    <m/>
    <n v="1"/>
    <n v="1"/>
  </r>
  <r>
    <n v="2502"/>
    <x v="2"/>
    <s v="2020/1779"/>
    <s v="Springfield Hospital site, 61 Glenburnie Road"/>
    <s v="Phase 5A - Block C1A"/>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7.6999999999999999E-2"/>
    <d v="2021-03-31T00:00:00"/>
    <x v="0"/>
    <m/>
    <s v="Social/Affordable Rent"/>
    <s v="AA"/>
    <s v="9.1"/>
    <m/>
    <n v="0"/>
    <m/>
    <n v="0"/>
    <m/>
    <n v="0"/>
    <n v="0"/>
    <n v="8"/>
    <n v="0"/>
    <n v="0"/>
    <n v="0"/>
    <n v="0"/>
    <n v="0"/>
    <n v="0"/>
    <n v="8"/>
    <n v="0"/>
    <n v="0"/>
    <n v="0"/>
    <n v="0"/>
    <n v="0"/>
    <n v="0"/>
    <n v="0"/>
    <n v="0"/>
    <n v="0"/>
    <n v="0"/>
    <n v="0"/>
    <n v="0"/>
    <n v="0"/>
    <n v="0"/>
    <n v="0"/>
    <n v="0"/>
    <n v="0"/>
    <n v="0"/>
    <m/>
    <m/>
    <s v="Rest of Borough"/>
    <n v="5"/>
    <m/>
    <n v="8"/>
    <m/>
    <m/>
    <m/>
    <m/>
    <m/>
    <m/>
    <m/>
    <m/>
    <m/>
    <m/>
    <m/>
    <m/>
    <m/>
    <m/>
    <m/>
    <m/>
    <m/>
    <m/>
    <n v="8"/>
    <n v="8"/>
  </r>
  <r>
    <n v="2502"/>
    <x v="2"/>
    <s v="2020/1779"/>
    <s v="Springfield Hospital site, 61 Glenburnie Road"/>
    <s v="Phase 5A - Block C1A"/>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7.6999999999999999E-2"/>
    <d v="2021-03-31T00:00:00"/>
    <x v="0"/>
    <m/>
    <s v="Intermediate"/>
    <s v="ISO"/>
    <s v="9.1"/>
    <m/>
    <n v="0"/>
    <m/>
    <n v="8"/>
    <m/>
    <n v="0"/>
    <n v="4"/>
    <n v="4"/>
    <n v="0"/>
    <n v="0"/>
    <n v="0"/>
    <n v="0"/>
    <n v="0"/>
    <n v="4"/>
    <n v="4"/>
    <n v="0"/>
    <n v="0"/>
    <n v="0"/>
    <n v="0"/>
    <n v="0"/>
    <n v="0"/>
    <n v="0"/>
    <n v="0"/>
    <n v="0"/>
    <n v="0"/>
    <n v="0"/>
    <n v="0"/>
    <n v="0"/>
    <n v="0"/>
    <n v="0"/>
    <n v="0"/>
    <n v="0"/>
    <n v="0"/>
    <m/>
    <m/>
    <s v="Rest of Borough"/>
    <n v="5"/>
    <m/>
    <n v="8"/>
    <m/>
    <m/>
    <m/>
    <m/>
    <m/>
    <m/>
    <m/>
    <m/>
    <m/>
    <m/>
    <m/>
    <m/>
    <m/>
    <m/>
    <m/>
    <m/>
    <m/>
    <m/>
    <n v="8"/>
    <n v="8"/>
  </r>
  <r>
    <n v="2502"/>
    <x v="2"/>
    <s v="2020/1779"/>
    <s v="Springfield Hospital site, 61 Glenburnie Road"/>
    <s v="Phase 5A - Block C1B"/>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1.9E-2"/>
    <d v="2021-03-31T00:00:00"/>
    <x v="0"/>
    <m/>
    <s v="Social/Affordable Rent"/>
    <s v="AA"/>
    <s v="9.1"/>
    <m/>
    <n v="0"/>
    <m/>
    <n v="1"/>
    <m/>
    <n v="0"/>
    <n v="0"/>
    <n v="0"/>
    <n v="2"/>
    <n v="0"/>
    <n v="0"/>
    <n v="0"/>
    <n v="0"/>
    <n v="0"/>
    <n v="0"/>
    <n v="0"/>
    <n v="0"/>
    <n v="0"/>
    <n v="0"/>
    <n v="0"/>
    <n v="0"/>
    <n v="0"/>
    <n v="2"/>
    <n v="0"/>
    <n v="0"/>
    <n v="0"/>
    <n v="0"/>
    <n v="0"/>
    <n v="0"/>
    <n v="0"/>
    <n v="0"/>
    <n v="0"/>
    <n v="0"/>
    <m/>
    <m/>
    <s v="Rest of Borough"/>
    <n v="5"/>
    <m/>
    <n v="2"/>
    <m/>
    <m/>
    <m/>
    <m/>
    <m/>
    <m/>
    <m/>
    <m/>
    <m/>
    <m/>
    <m/>
    <m/>
    <m/>
    <m/>
    <m/>
    <m/>
    <m/>
    <m/>
    <n v="2"/>
    <n v="2"/>
  </r>
  <r>
    <n v="2502"/>
    <x v="2"/>
    <s v="2020/1779"/>
    <s v="Springfield Hospital site, 61 Glenburnie Road"/>
    <s v="Phase 5A - Block C1C"/>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1.9E-2"/>
    <d v="2021-03-31T00:00:00"/>
    <x v="0"/>
    <m/>
    <s v="Social/Affordable Rent"/>
    <s v="AA"/>
    <s v="9.1"/>
    <m/>
    <n v="0"/>
    <m/>
    <n v="0"/>
    <m/>
    <n v="0"/>
    <n v="0"/>
    <n v="0"/>
    <n v="2"/>
    <n v="0"/>
    <n v="0"/>
    <n v="0"/>
    <n v="0"/>
    <n v="0"/>
    <n v="0"/>
    <n v="0"/>
    <n v="0"/>
    <n v="0"/>
    <n v="0"/>
    <n v="0"/>
    <n v="0"/>
    <n v="0"/>
    <n v="2"/>
    <n v="0"/>
    <n v="0"/>
    <n v="0"/>
    <n v="0"/>
    <n v="0"/>
    <n v="0"/>
    <n v="0"/>
    <n v="0"/>
    <n v="0"/>
    <n v="0"/>
    <m/>
    <m/>
    <s v="Rest of Borough"/>
    <n v="5"/>
    <m/>
    <n v="2"/>
    <m/>
    <m/>
    <m/>
    <m/>
    <m/>
    <m/>
    <m/>
    <m/>
    <m/>
    <m/>
    <m/>
    <m/>
    <m/>
    <m/>
    <m/>
    <m/>
    <m/>
    <m/>
    <n v="2"/>
    <n v="2"/>
  </r>
  <r>
    <n v="2502"/>
    <x v="2"/>
    <s v="2020/1779"/>
    <s v="Springfield Hospital site, 61 Glenburnie Road"/>
    <s v="Phase 5A - Block C2B"/>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0.01"/>
    <d v="2021-03-31T00:00:00"/>
    <x v="0"/>
    <m/>
    <s v="Intermediate"/>
    <s v="ISO"/>
    <s v="9.1"/>
    <m/>
    <n v="0"/>
    <m/>
    <n v="0"/>
    <m/>
    <n v="0"/>
    <n v="0"/>
    <n v="1"/>
    <n v="0"/>
    <n v="0"/>
    <n v="0"/>
    <n v="0"/>
    <n v="0"/>
    <n v="0"/>
    <n v="0"/>
    <n v="0"/>
    <n v="0"/>
    <n v="0"/>
    <n v="0"/>
    <n v="0"/>
    <n v="0"/>
    <n v="1"/>
    <n v="0"/>
    <n v="0"/>
    <n v="0"/>
    <n v="0"/>
    <n v="0"/>
    <n v="0"/>
    <n v="0"/>
    <n v="0"/>
    <n v="0"/>
    <n v="0"/>
    <n v="0"/>
    <m/>
    <m/>
    <s v="Rest of Borough"/>
    <n v="5"/>
    <m/>
    <n v="1"/>
    <m/>
    <m/>
    <m/>
    <m/>
    <m/>
    <m/>
    <m/>
    <m/>
    <m/>
    <m/>
    <m/>
    <m/>
    <m/>
    <m/>
    <m/>
    <m/>
    <m/>
    <m/>
    <n v="1"/>
    <n v="1"/>
  </r>
  <r>
    <n v="2502"/>
    <x v="2"/>
    <s v="2020/1779"/>
    <s v="Springfield Hospital site, 61 Glenburnie Road"/>
    <s v="Phase 5A - Block C2C"/>
    <n v="527221"/>
    <n v="172443"/>
    <s v="Wandsworth Common"/>
    <d v="2021-03-31T00:00:00"/>
    <m/>
    <n v="0"/>
    <n v="5"/>
    <n v="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4.8000000000000001E-2"/>
    <d v="2021-03-31T00:00:00"/>
    <x v="0"/>
    <m/>
    <s v="Intermediate"/>
    <s v="ISO"/>
    <s v="9.1"/>
    <m/>
    <n v="0"/>
    <m/>
    <n v="0"/>
    <m/>
    <n v="0"/>
    <n v="0"/>
    <n v="5"/>
    <n v="0"/>
    <n v="0"/>
    <n v="0"/>
    <n v="0"/>
    <n v="0"/>
    <n v="0"/>
    <n v="0"/>
    <n v="0"/>
    <n v="0"/>
    <n v="0"/>
    <n v="0"/>
    <n v="0"/>
    <n v="0"/>
    <n v="5"/>
    <n v="0"/>
    <n v="0"/>
    <n v="0"/>
    <n v="0"/>
    <n v="0"/>
    <n v="0"/>
    <n v="0"/>
    <n v="0"/>
    <n v="0"/>
    <n v="0"/>
    <n v="0"/>
    <m/>
    <m/>
    <s v="Rest of Borough"/>
    <n v="5"/>
    <m/>
    <n v="5"/>
    <m/>
    <m/>
    <m/>
    <m/>
    <m/>
    <m/>
    <m/>
    <m/>
    <m/>
    <m/>
    <m/>
    <m/>
    <m/>
    <m/>
    <m/>
    <m/>
    <m/>
    <m/>
    <n v="5"/>
    <n v="5"/>
  </r>
  <r>
    <n v="2502"/>
    <x v="2"/>
    <s v="2020/1779"/>
    <s v="Springfield Hospital site, 61 Glenburnie Road"/>
    <s v="Phase 5A - Block D1A"/>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0.14499999999999999"/>
    <d v="2021-03-31T00:00:00"/>
    <x v="0"/>
    <m/>
    <s v="Open Market"/>
    <s v="M"/>
    <s v="9.1"/>
    <m/>
    <n v="0"/>
    <m/>
    <n v="0"/>
    <m/>
    <n v="0"/>
    <n v="6"/>
    <n v="9"/>
    <n v="0"/>
    <n v="0"/>
    <n v="0"/>
    <n v="0"/>
    <n v="0"/>
    <n v="6"/>
    <n v="9"/>
    <n v="0"/>
    <n v="0"/>
    <n v="0"/>
    <n v="0"/>
    <n v="0"/>
    <n v="0"/>
    <n v="0"/>
    <n v="0"/>
    <n v="0"/>
    <n v="0"/>
    <n v="0"/>
    <n v="0"/>
    <n v="0"/>
    <n v="0"/>
    <n v="0"/>
    <n v="0"/>
    <n v="0"/>
    <n v="0"/>
    <m/>
    <m/>
    <s v="Rest of Borough"/>
    <n v="5"/>
    <m/>
    <n v="15"/>
    <m/>
    <m/>
    <m/>
    <m/>
    <m/>
    <m/>
    <m/>
    <m/>
    <m/>
    <m/>
    <m/>
    <m/>
    <m/>
    <m/>
    <m/>
    <m/>
    <m/>
    <m/>
    <n v="15"/>
    <n v="15"/>
  </r>
  <r>
    <n v="2502"/>
    <x v="2"/>
    <s v="2020/1779"/>
    <s v="Springfield Hospital site, 61 Glenburnie Road"/>
    <s v="Phase 5A - Block D1B"/>
    <n v="527221"/>
    <n v="172443"/>
    <s v="Wandsworth Common"/>
    <d v="2021-03-31T00:00:00"/>
    <m/>
    <n v="0"/>
    <n v="9"/>
    <n v="9"/>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8.6999999999999994E-2"/>
    <d v="2021-03-31T00:00:00"/>
    <x v="0"/>
    <m/>
    <s v="Open Market"/>
    <s v="M"/>
    <s v="9.1"/>
    <m/>
    <n v="0"/>
    <m/>
    <n v="0"/>
    <m/>
    <n v="0"/>
    <n v="0"/>
    <n v="7"/>
    <n v="2"/>
    <n v="0"/>
    <n v="0"/>
    <n v="0"/>
    <n v="0"/>
    <n v="0"/>
    <n v="0"/>
    <n v="0"/>
    <n v="0"/>
    <n v="0"/>
    <n v="0"/>
    <n v="0"/>
    <n v="0"/>
    <n v="7"/>
    <n v="2"/>
    <n v="0"/>
    <n v="0"/>
    <n v="0"/>
    <n v="0"/>
    <n v="0"/>
    <n v="0"/>
    <n v="0"/>
    <n v="0"/>
    <n v="0"/>
    <n v="0"/>
    <m/>
    <m/>
    <s v="Rest of Borough"/>
    <n v="5"/>
    <m/>
    <n v="9"/>
    <m/>
    <m/>
    <m/>
    <m/>
    <m/>
    <m/>
    <m/>
    <m/>
    <m/>
    <m/>
    <m/>
    <m/>
    <m/>
    <m/>
    <m/>
    <m/>
    <m/>
    <m/>
    <n v="9"/>
    <n v="9"/>
  </r>
  <r>
    <n v="2502"/>
    <x v="2"/>
    <s v="2020/1779"/>
    <s v="Springfield Hospital site, 61 Glenburnie Road"/>
    <s v="Phase 5A - Block D2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0.193"/>
    <d v="2021-03-31T00:00:00"/>
    <x v="0"/>
    <m/>
    <s v="Open Market"/>
    <s v="M"/>
    <s v="9.1"/>
    <m/>
    <n v="0"/>
    <m/>
    <n v="0"/>
    <m/>
    <n v="0"/>
    <n v="9"/>
    <n v="11"/>
    <n v="0"/>
    <n v="0"/>
    <n v="0"/>
    <n v="0"/>
    <n v="0"/>
    <n v="9"/>
    <n v="11"/>
    <n v="0"/>
    <n v="0"/>
    <n v="0"/>
    <n v="0"/>
    <n v="0"/>
    <n v="0"/>
    <n v="0"/>
    <n v="0"/>
    <n v="0"/>
    <n v="0"/>
    <n v="0"/>
    <n v="0"/>
    <n v="0"/>
    <n v="0"/>
    <n v="0"/>
    <n v="0"/>
    <n v="0"/>
    <n v="0"/>
    <m/>
    <m/>
    <s v="Rest of Borough"/>
    <n v="5"/>
    <m/>
    <n v="20"/>
    <m/>
    <m/>
    <m/>
    <m/>
    <m/>
    <m/>
    <m/>
    <m/>
    <m/>
    <m/>
    <m/>
    <m/>
    <m/>
    <m/>
    <m/>
    <m/>
    <m/>
    <m/>
    <n v="20"/>
    <n v="20"/>
  </r>
  <r>
    <n v="2502"/>
    <x v="2"/>
    <s v="2020/1779"/>
    <s v="Springfield Hospital site, 61 Glenburnie Road"/>
    <s v="Phase 5A - Block D2B"/>
    <n v="527221"/>
    <n v="172443"/>
    <s v="Wandsworth Common"/>
    <d v="2021-03-31T00:00:00"/>
    <m/>
    <n v="0"/>
    <n v="5"/>
    <n v="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4.8000000000000001E-2"/>
    <d v="2021-03-31T00:00:00"/>
    <x v="0"/>
    <m/>
    <s v="Open Market"/>
    <s v="M"/>
    <s v="9.1"/>
    <m/>
    <n v="0"/>
    <m/>
    <n v="0"/>
    <m/>
    <n v="0"/>
    <n v="0"/>
    <n v="0"/>
    <n v="5"/>
    <n v="0"/>
    <n v="0"/>
    <n v="0"/>
    <n v="0"/>
    <n v="0"/>
    <n v="0"/>
    <n v="5"/>
    <n v="0"/>
    <n v="0"/>
    <n v="0"/>
    <n v="0"/>
    <n v="0"/>
    <n v="0"/>
    <n v="0"/>
    <n v="0"/>
    <n v="0"/>
    <n v="0"/>
    <n v="0"/>
    <n v="0"/>
    <n v="0"/>
    <n v="0"/>
    <n v="0"/>
    <n v="0"/>
    <n v="0"/>
    <m/>
    <m/>
    <s v="Rest of Borough"/>
    <n v="5"/>
    <m/>
    <n v="5"/>
    <m/>
    <m/>
    <m/>
    <m/>
    <m/>
    <m/>
    <m/>
    <m/>
    <m/>
    <m/>
    <m/>
    <m/>
    <m/>
    <m/>
    <m/>
    <m/>
    <m/>
    <m/>
    <n v="5"/>
    <n v="5"/>
  </r>
  <r>
    <n v="2502"/>
    <x v="2"/>
    <s v="2020/1779"/>
    <s v="Springfield Hospital site, 61 Glenburnie Road"/>
    <s v="Phase 5A - Block D2C"/>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7.6999999999999999E-2"/>
    <d v="2021-03-31T00:00:00"/>
    <x v="0"/>
    <m/>
    <s v="Open Market"/>
    <s v="M"/>
    <s v="9.1"/>
    <m/>
    <n v="0"/>
    <m/>
    <n v="0"/>
    <m/>
    <n v="0"/>
    <n v="0"/>
    <n v="4"/>
    <n v="4"/>
    <n v="0"/>
    <n v="0"/>
    <n v="0"/>
    <n v="0"/>
    <n v="0"/>
    <n v="0"/>
    <n v="0"/>
    <n v="0"/>
    <n v="0"/>
    <n v="0"/>
    <n v="0"/>
    <n v="0"/>
    <n v="4"/>
    <n v="4"/>
    <n v="0"/>
    <n v="0"/>
    <n v="0"/>
    <n v="0"/>
    <n v="0"/>
    <n v="0"/>
    <n v="0"/>
    <n v="0"/>
    <n v="0"/>
    <n v="0"/>
    <m/>
    <m/>
    <s v="Rest of Borough"/>
    <n v="5"/>
    <m/>
    <n v="8"/>
    <m/>
    <m/>
    <m/>
    <m/>
    <m/>
    <m/>
    <m/>
    <m/>
    <m/>
    <m/>
    <m/>
    <m/>
    <m/>
    <m/>
    <m/>
    <m/>
    <m/>
    <m/>
    <n v="8"/>
    <n v="8"/>
  </r>
  <r>
    <n v="2502"/>
    <x v="2"/>
    <s v="2020/1779"/>
    <s v="Springfield Hospital site, 61 Glenburnie Road"/>
    <s v="Phase 5A - Block E1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0.193"/>
    <d v="2021-03-31T00:00:00"/>
    <x v="0"/>
    <m/>
    <s v="Open Market"/>
    <s v="M"/>
    <s v="9.1"/>
    <m/>
    <n v="0"/>
    <m/>
    <n v="0"/>
    <m/>
    <n v="0"/>
    <n v="9"/>
    <n v="11"/>
    <n v="0"/>
    <n v="0"/>
    <n v="0"/>
    <n v="0"/>
    <n v="0"/>
    <n v="9"/>
    <n v="11"/>
    <n v="0"/>
    <n v="0"/>
    <n v="0"/>
    <n v="0"/>
    <n v="0"/>
    <n v="0"/>
    <n v="0"/>
    <n v="0"/>
    <n v="0"/>
    <n v="0"/>
    <n v="0"/>
    <n v="0"/>
    <n v="0"/>
    <n v="0"/>
    <n v="0"/>
    <n v="0"/>
    <n v="0"/>
    <n v="0"/>
    <m/>
    <m/>
    <s v="Rest of Borough"/>
    <n v="5"/>
    <m/>
    <n v="20"/>
    <m/>
    <m/>
    <m/>
    <m/>
    <m/>
    <m/>
    <m/>
    <m/>
    <m/>
    <m/>
    <m/>
    <m/>
    <m/>
    <m/>
    <m/>
    <m/>
    <m/>
    <m/>
    <n v="20"/>
    <n v="20"/>
  </r>
  <r>
    <n v="2502"/>
    <x v="2"/>
    <s v="2020/1779"/>
    <s v="Springfield Hospital site, 61 Glenburnie Road"/>
    <s v="Phase 5A - Block E1B"/>
    <n v="527221"/>
    <n v="172443"/>
    <s v="Wandsworth Common"/>
    <d v="2021-03-31T00:00:00"/>
    <m/>
    <n v="0"/>
    <n v="7"/>
    <n v="7"/>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6.8000000000000005E-2"/>
    <d v="2021-03-31T00:00:00"/>
    <x v="0"/>
    <m/>
    <s v="Open Market"/>
    <s v="M"/>
    <s v="9.1"/>
    <m/>
    <n v="0"/>
    <m/>
    <n v="0"/>
    <m/>
    <n v="0"/>
    <n v="0"/>
    <n v="3"/>
    <n v="4"/>
    <n v="0"/>
    <n v="0"/>
    <n v="0"/>
    <n v="0"/>
    <n v="0"/>
    <n v="0"/>
    <n v="0"/>
    <n v="0"/>
    <n v="0"/>
    <n v="0"/>
    <n v="0"/>
    <n v="0"/>
    <n v="3"/>
    <n v="4"/>
    <n v="0"/>
    <n v="0"/>
    <n v="0"/>
    <n v="0"/>
    <n v="0"/>
    <n v="0"/>
    <n v="0"/>
    <n v="0"/>
    <n v="0"/>
    <n v="0"/>
    <m/>
    <m/>
    <s v="Rest of Borough"/>
    <n v="5"/>
    <m/>
    <n v="7"/>
    <m/>
    <m/>
    <m/>
    <m/>
    <m/>
    <m/>
    <m/>
    <m/>
    <m/>
    <m/>
    <m/>
    <m/>
    <m/>
    <m/>
    <m/>
    <m/>
    <m/>
    <m/>
    <n v="7"/>
    <n v="7"/>
  </r>
  <r>
    <n v="2502"/>
    <x v="2"/>
    <s v="2020/1779"/>
    <s v="Springfield Hospital site, 61 Glenburnie Road"/>
    <s v="Phase 5A - Block E1C"/>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0.14499999999999999"/>
    <d v="2021-03-31T00:00:00"/>
    <x v="0"/>
    <m/>
    <s v="Open Market"/>
    <s v="M"/>
    <s v="9.1"/>
    <m/>
    <n v="0"/>
    <m/>
    <n v="0"/>
    <m/>
    <n v="0"/>
    <n v="12"/>
    <n v="2"/>
    <n v="1"/>
    <n v="0"/>
    <n v="0"/>
    <n v="0"/>
    <n v="0"/>
    <n v="12"/>
    <n v="2"/>
    <n v="1"/>
    <n v="0"/>
    <n v="0"/>
    <n v="0"/>
    <n v="0"/>
    <n v="0"/>
    <n v="0"/>
    <n v="0"/>
    <n v="0"/>
    <n v="0"/>
    <n v="0"/>
    <n v="0"/>
    <n v="0"/>
    <n v="0"/>
    <n v="0"/>
    <n v="0"/>
    <n v="0"/>
    <n v="0"/>
    <m/>
    <m/>
    <s v="Rest of Borough"/>
    <n v="5"/>
    <m/>
    <n v="15"/>
    <m/>
    <m/>
    <m/>
    <m/>
    <m/>
    <m/>
    <m/>
    <m/>
    <m/>
    <m/>
    <m/>
    <m/>
    <m/>
    <m/>
    <m/>
    <m/>
    <m/>
    <m/>
    <n v="15"/>
    <n v="15"/>
  </r>
  <r>
    <n v="2502"/>
    <x v="2"/>
    <s v="2020/1779"/>
    <s v="Springfield Hospital site, 61 Glenburnie Road"/>
    <s v="Phase 5A - Block E2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0.193"/>
    <d v="2021-03-31T00:00:00"/>
    <x v="0"/>
    <m/>
    <s v="Open Market"/>
    <s v="M"/>
    <s v="9.1"/>
    <m/>
    <n v="0"/>
    <m/>
    <n v="0"/>
    <m/>
    <n v="0"/>
    <n v="9"/>
    <n v="11"/>
    <n v="0"/>
    <n v="0"/>
    <n v="0"/>
    <n v="0"/>
    <n v="0"/>
    <n v="9"/>
    <n v="11"/>
    <n v="0"/>
    <n v="0"/>
    <n v="0"/>
    <n v="0"/>
    <n v="0"/>
    <n v="0"/>
    <n v="0"/>
    <n v="0"/>
    <n v="0"/>
    <n v="0"/>
    <n v="0"/>
    <n v="0"/>
    <n v="0"/>
    <n v="0"/>
    <n v="0"/>
    <n v="0"/>
    <n v="0"/>
    <n v="0"/>
    <m/>
    <m/>
    <s v="Rest of Borough"/>
    <n v="5"/>
    <m/>
    <n v="20"/>
    <m/>
    <m/>
    <m/>
    <m/>
    <m/>
    <m/>
    <m/>
    <m/>
    <m/>
    <m/>
    <m/>
    <m/>
    <m/>
    <m/>
    <m/>
    <m/>
    <m/>
    <m/>
    <n v="20"/>
    <n v="20"/>
  </r>
  <r>
    <n v="2502"/>
    <x v="2"/>
    <s v="2020/1779"/>
    <s v="Springfield Hospital site, 61 Glenburnie Road"/>
    <s v="Phase 5A - Block E2B"/>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0.14499999999999999"/>
    <d v="2021-03-31T00:00:00"/>
    <x v="0"/>
    <m/>
    <s v="Open Market"/>
    <s v="M"/>
    <s v="9.1"/>
    <m/>
    <n v="0"/>
    <m/>
    <n v="0"/>
    <m/>
    <n v="0"/>
    <n v="6"/>
    <n v="8"/>
    <n v="1"/>
    <n v="0"/>
    <n v="0"/>
    <n v="0"/>
    <n v="0"/>
    <n v="6"/>
    <n v="8"/>
    <n v="1"/>
    <n v="0"/>
    <n v="0"/>
    <n v="0"/>
    <n v="0"/>
    <n v="0"/>
    <n v="0"/>
    <n v="0"/>
    <n v="0"/>
    <n v="0"/>
    <n v="0"/>
    <n v="0"/>
    <n v="0"/>
    <n v="0"/>
    <n v="0"/>
    <n v="0"/>
    <n v="0"/>
    <n v="0"/>
    <m/>
    <m/>
    <s v="Rest of Borough"/>
    <n v="5"/>
    <m/>
    <n v="15"/>
    <m/>
    <m/>
    <m/>
    <m/>
    <m/>
    <m/>
    <m/>
    <m/>
    <m/>
    <m/>
    <m/>
    <m/>
    <m/>
    <m/>
    <m/>
    <m/>
    <m/>
    <m/>
    <n v="15"/>
    <n v="15"/>
  </r>
  <r>
    <n v="2502"/>
    <x v="2"/>
    <s v="2020/1779"/>
    <s v="Springfield Hospital site, 61 Glenburnie Road"/>
    <s v="Phase 5A - Block E2C"/>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m/>
    <s v="Nil"/>
    <m/>
    <s v="BF"/>
    <s v="NB"/>
    <x v="0"/>
    <x v="0"/>
    <n v="0.14499999999999999"/>
    <d v="2021-03-31T00:00:00"/>
    <x v="0"/>
    <m/>
    <s v="Open Market"/>
    <s v="M"/>
    <s v="9.1"/>
    <m/>
    <n v="0"/>
    <m/>
    <n v="0"/>
    <m/>
    <n v="0"/>
    <n v="12"/>
    <n v="3"/>
    <n v="0"/>
    <n v="0"/>
    <n v="0"/>
    <n v="0"/>
    <n v="0"/>
    <n v="12"/>
    <n v="3"/>
    <n v="0"/>
    <n v="0"/>
    <n v="0"/>
    <n v="0"/>
    <n v="0"/>
    <n v="0"/>
    <n v="0"/>
    <n v="0"/>
    <n v="0"/>
    <n v="0"/>
    <n v="0"/>
    <n v="0"/>
    <n v="0"/>
    <n v="0"/>
    <n v="0"/>
    <n v="0"/>
    <n v="0"/>
    <n v="0"/>
    <m/>
    <m/>
    <s v="Rest of Borough"/>
    <n v="5"/>
    <m/>
    <n v="15"/>
    <m/>
    <m/>
    <m/>
    <m/>
    <m/>
    <m/>
    <m/>
    <m/>
    <m/>
    <m/>
    <m/>
    <m/>
    <m/>
    <m/>
    <m/>
    <m/>
    <m/>
    <m/>
    <n v="15"/>
    <n v="15"/>
  </r>
  <r>
    <n v="2502"/>
    <x v="2"/>
    <s v="2020/1490"/>
    <s v="Springfield Hospital site, 61 Glenburnie Road"/>
    <s v="Phase 6A - Block S"/>
    <n v="527221"/>
    <n v="172443"/>
    <s v="Wandsworth Common"/>
    <d v="2021-03-31T00:00:00"/>
    <m/>
    <n v="0"/>
    <n v="29"/>
    <n v="29"/>
    <n v="72"/>
    <n v="72"/>
    <s v="Y"/>
    <s v="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0-04-27T00:00:00"/>
    <d v="2020-07-27T00:00:00"/>
    <m/>
    <s v="Nil"/>
    <m/>
    <s v="BF"/>
    <s v="COU"/>
    <x v="5"/>
    <x v="0"/>
    <n v="0.878"/>
    <d v="2021-03-31T00:00:00"/>
    <x v="0"/>
    <m/>
    <s v="Open Market"/>
    <s v="M"/>
    <s v="9.1"/>
    <m/>
    <n v="0"/>
    <m/>
    <n v="6"/>
    <m/>
    <n v="0"/>
    <n v="29"/>
    <n v="0"/>
    <n v="0"/>
    <n v="0"/>
    <n v="0"/>
    <n v="0"/>
    <n v="0"/>
    <n v="29"/>
    <n v="0"/>
    <n v="0"/>
    <n v="0"/>
    <n v="0"/>
    <n v="0"/>
    <n v="0"/>
    <n v="0"/>
    <n v="0"/>
    <n v="0"/>
    <n v="0"/>
    <n v="0"/>
    <n v="0"/>
    <n v="0"/>
    <n v="0"/>
    <n v="0"/>
    <n v="0"/>
    <n v="0"/>
    <n v="0"/>
    <n v="0"/>
    <m/>
    <m/>
    <s v="Rest of Borough"/>
    <n v="5"/>
    <m/>
    <n v="29"/>
    <m/>
    <m/>
    <m/>
    <m/>
    <m/>
    <m/>
    <m/>
    <m/>
    <m/>
    <m/>
    <m/>
    <m/>
    <m/>
    <m/>
    <m/>
    <m/>
    <m/>
    <m/>
    <n v="29"/>
    <n v="29"/>
  </r>
  <r>
    <n v="2502"/>
    <x v="2"/>
    <s v="2021/0447"/>
    <s v="Springfield Hospital site, 61 Glenburnie Road"/>
    <s v="Phase 6B [Boiler House]"/>
    <n v="527221"/>
    <n v="172443"/>
    <s v="Wandsworth Common"/>
    <d v="2022-04-01T00:00:00"/>
    <m/>
    <n v="0"/>
    <n v="4"/>
    <n v="4"/>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5"/>
    <x v="0"/>
    <n v="3.696E-2"/>
    <d v="2022-04-01T00:00:00"/>
    <x v="1"/>
    <m/>
    <s v="Open Market"/>
    <s v="M"/>
    <s v="9.1"/>
    <m/>
    <n v="0"/>
    <m/>
    <n v="0"/>
    <m/>
    <n v="0"/>
    <n v="0"/>
    <n v="4"/>
    <n v="0"/>
    <n v="0"/>
    <n v="0"/>
    <n v="0"/>
    <n v="0"/>
    <n v="0"/>
    <n v="4"/>
    <n v="0"/>
    <n v="0"/>
    <n v="0"/>
    <n v="0"/>
    <n v="0"/>
    <n v="0"/>
    <n v="0"/>
    <n v="0"/>
    <n v="0"/>
    <n v="0"/>
    <n v="0"/>
    <n v="0"/>
    <n v="0"/>
    <n v="0"/>
    <n v="0"/>
    <n v="0"/>
    <n v="0"/>
    <n v="0"/>
    <m/>
    <m/>
    <s v="Rest of Borough"/>
    <n v="5"/>
    <m/>
    <m/>
    <n v="4"/>
    <m/>
    <m/>
    <m/>
    <m/>
    <m/>
    <m/>
    <m/>
    <m/>
    <m/>
    <m/>
    <m/>
    <m/>
    <m/>
    <m/>
    <m/>
    <m/>
    <m/>
    <n v="4"/>
    <n v="4"/>
  </r>
  <r>
    <n v="2502"/>
    <x v="2"/>
    <s v="2021/0447"/>
    <s v="Springfield Hospital site, 61 Glenburnie Road"/>
    <s v="Phase 6B [Dormitory Wing]"/>
    <n v="527221"/>
    <n v="172443"/>
    <s v="Wandsworth Common"/>
    <d v="2022-04-01T00:00:00"/>
    <m/>
    <n v="0"/>
    <n v="11"/>
    <n v="11"/>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5"/>
    <x v="0"/>
    <n v="0.10163999999999999"/>
    <d v="2022-04-01T00:00:00"/>
    <x v="1"/>
    <m/>
    <s v="Open Market"/>
    <s v="M"/>
    <s v="9.1"/>
    <m/>
    <n v="0"/>
    <m/>
    <n v="0"/>
    <m/>
    <n v="1"/>
    <n v="1"/>
    <n v="6"/>
    <n v="3"/>
    <n v="0"/>
    <n v="0"/>
    <n v="0"/>
    <n v="1"/>
    <n v="1"/>
    <n v="6"/>
    <n v="3"/>
    <n v="0"/>
    <n v="0"/>
    <n v="0"/>
    <n v="0"/>
    <n v="0"/>
    <n v="0"/>
    <n v="0"/>
    <n v="0"/>
    <n v="0"/>
    <n v="0"/>
    <n v="0"/>
    <n v="0"/>
    <n v="0"/>
    <n v="0"/>
    <n v="0"/>
    <n v="0"/>
    <n v="0"/>
    <m/>
    <m/>
    <s v="Rest of Borough"/>
    <n v="5"/>
    <m/>
    <m/>
    <n v="11"/>
    <m/>
    <m/>
    <m/>
    <m/>
    <m/>
    <m/>
    <m/>
    <m/>
    <m/>
    <m/>
    <m/>
    <m/>
    <m/>
    <m/>
    <m/>
    <m/>
    <m/>
    <n v="11"/>
    <n v="11"/>
  </r>
  <r>
    <n v="2502"/>
    <x v="2"/>
    <s v="2021/0447"/>
    <s v="Springfield Hospital site, 61 Glenburnie Road"/>
    <s v="Phase 6B [Engineering Block]"/>
    <n v="527221"/>
    <n v="172443"/>
    <s v="Wandsworth Common"/>
    <d v="2022-04-01T00:00:00"/>
    <m/>
    <n v="0"/>
    <n v="11"/>
    <n v="11"/>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5"/>
    <x v="0"/>
    <n v="0.10163999999999999"/>
    <d v="2022-04-01T00:00:00"/>
    <x v="1"/>
    <m/>
    <s v="Open Market"/>
    <s v="M"/>
    <s v="9.1"/>
    <m/>
    <n v="0"/>
    <m/>
    <n v="0"/>
    <m/>
    <n v="0"/>
    <n v="8"/>
    <n v="3"/>
    <n v="0"/>
    <n v="0"/>
    <n v="0"/>
    <n v="0"/>
    <n v="0"/>
    <n v="8"/>
    <n v="3"/>
    <n v="0"/>
    <n v="0"/>
    <n v="0"/>
    <n v="0"/>
    <n v="0"/>
    <n v="0"/>
    <n v="0"/>
    <n v="0"/>
    <n v="0"/>
    <n v="0"/>
    <n v="0"/>
    <n v="0"/>
    <n v="0"/>
    <n v="0"/>
    <n v="0"/>
    <n v="0"/>
    <n v="0"/>
    <n v="0"/>
    <m/>
    <m/>
    <s v="Rest of Borough"/>
    <n v="5"/>
    <m/>
    <m/>
    <n v="11"/>
    <m/>
    <m/>
    <m/>
    <m/>
    <m/>
    <m/>
    <m/>
    <m/>
    <m/>
    <m/>
    <m/>
    <m/>
    <m/>
    <m/>
    <m/>
    <m/>
    <m/>
    <n v="11"/>
    <n v="11"/>
  </r>
  <r>
    <n v="2502"/>
    <x v="2"/>
    <s v="2021/0447"/>
    <s v="Springfield Hospital site, 61 Glenburnie Road"/>
    <s v="Phase 6B [Kitchen Block]"/>
    <n v="527221"/>
    <n v="172443"/>
    <s v="Wandsworth Common"/>
    <d v="2022-04-01T00:00:00"/>
    <m/>
    <n v="0"/>
    <n v="20"/>
    <n v="20"/>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5"/>
    <x v="0"/>
    <n v="0.18479999999999999"/>
    <d v="2022-04-01T00:00:00"/>
    <x v="1"/>
    <m/>
    <s v="Open Market"/>
    <s v="M"/>
    <s v="9.1"/>
    <m/>
    <n v="0"/>
    <m/>
    <n v="0"/>
    <m/>
    <n v="0"/>
    <n v="10"/>
    <n v="10"/>
    <n v="0"/>
    <n v="0"/>
    <n v="0"/>
    <n v="0"/>
    <n v="0"/>
    <n v="10"/>
    <n v="10"/>
    <n v="0"/>
    <n v="0"/>
    <n v="0"/>
    <n v="0"/>
    <n v="0"/>
    <n v="0"/>
    <n v="0"/>
    <n v="0"/>
    <n v="0"/>
    <n v="0"/>
    <n v="0"/>
    <n v="0"/>
    <n v="0"/>
    <n v="0"/>
    <n v="0"/>
    <n v="0"/>
    <n v="0"/>
    <n v="0"/>
    <m/>
    <m/>
    <s v="Rest of Borough"/>
    <n v="5"/>
    <m/>
    <m/>
    <n v="20"/>
    <m/>
    <m/>
    <m/>
    <m/>
    <m/>
    <m/>
    <m/>
    <m/>
    <m/>
    <m/>
    <m/>
    <m/>
    <m/>
    <m/>
    <m/>
    <m/>
    <m/>
    <n v="20"/>
    <n v="20"/>
  </r>
  <r>
    <n v="2502"/>
    <x v="2"/>
    <s v="2021/0447"/>
    <s v="Springfield Hospital site, 61 Glenburnie Road"/>
    <s v="Phase 6B [Matrons House]"/>
    <n v="527221"/>
    <n v="172443"/>
    <s v="Wandsworth Common"/>
    <d v="2022-04-01T00:00:00"/>
    <m/>
    <n v="0"/>
    <n v="2"/>
    <n v="2"/>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5"/>
    <x v="0"/>
    <n v="1.848E-2"/>
    <d v="2022-04-01T00:00:00"/>
    <x v="1"/>
    <m/>
    <s v="Open Market"/>
    <s v="M"/>
    <s v="9.1"/>
    <m/>
    <n v="0"/>
    <m/>
    <n v="0"/>
    <m/>
    <n v="0"/>
    <n v="1"/>
    <n v="0"/>
    <n v="1"/>
    <n v="0"/>
    <n v="0"/>
    <n v="0"/>
    <n v="0"/>
    <n v="1"/>
    <n v="0"/>
    <n v="1"/>
    <n v="0"/>
    <n v="0"/>
    <n v="0"/>
    <n v="0"/>
    <n v="0"/>
    <n v="0"/>
    <n v="0"/>
    <n v="0"/>
    <n v="0"/>
    <n v="0"/>
    <n v="0"/>
    <n v="0"/>
    <n v="0"/>
    <n v="0"/>
    <n v="0"/>
    <n v="0"/>
    <n v="0"/>
    <m/>
    <m/>
    <s v="Rest of Borough"/>
    <n v="5"/>
    <m/>
    <m/>
    <n v="2"/>
    <m/>
    <m/>
    <m/>
    <m/>
    <m/>
    <m/>
    <m/>
    <m/>
    <m/>
    <m/>
    <m/>
    <m/>
    <m/>
    <m/>
    <m/>
    <m/>
    <m/>
    <n v="2"/>
    <n v="2"/>
  </r>
  <r>
    <n v="2502"/>
    <x v="2"/>
    <s v="2021/0447"/>
    <s v="Springfield Hospital site, 61 Glenburnie Road"/>
    <s v="Phase 6B [Nurses Club Room]"/>
    <n v="527221"/>
    <n v="172443"/>
    <s v="Wandsworth Common"/>
    <d v="2022-04-01T00:00:00"/>
    <m/>
    <n v="0"/>
    <n v="1"/>
    <n v="1"/>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5"/>
    <x v="0"/>
    <n v="9.2399999999999999E-3"/>
    <d v="2022-04-01T00:00:00"/>
    <x v="1"/>
    <m/>
    <s v="Open Market"/>
    <s v="M"/>
    <s v="9.1"/>
    <m/>
    <n v="0"/>
    <m/>
    <n v="0"/>
    <m/>
    <n v="0"/>
    <n v="0"/>
    <n v="1"/>
    <n v="0"/>
    <n v="0"/>
    <n v="0"/>
    <n v="0"/>
    <n v="0"/>
    <n v="0"/>
    <n v="1"/>
    <n v="0"/>
    <n v="0"/>
    <n v="0"/>
    <n v="0"/>
    <n v="0"/>
    <n v="0"/>
    <n v="0"/>
    <n v="0"/>
    <n v="0"/>
    <n v="0"/>
    <n v="0"/>
    <n v="0"/>
    <n v="0"/>
    <n v="0"/>
    <n v="0"/>
    <n v="0"/>
    <n v="0"/>
    <n v="0"/>
    <m/>
    <m/>
    <s v="Rest of Borough"/>
    <n v="5"/>
    <m/>
    <m/>
    <n v="1"/>
    <m/>
    <m/>
    <m/>
    <m/>
    <m/>
    <m/>
    <m/>
    <m/>
    <m/>
    <m/>
    <m/>
    <m/>
    <m/>
    <m/>
    <m/>
    <m/>
    <m/>
    <n v="1"/>
    <n v="1"/>
  </r>
  <r>
    <n v="2502"/>
    <x v="2"/>
    <s v="2021/0447"/>
    <s v="Springfield Hospital site, 61 Glenburnie Road"/>
    <s v="Phase 6B [Orchid Wing]"/>
    <n v="527221"/>
    <n v="172443"/>
    <s v="Wandsworth Common"/>
    <d v="2022-04-01T00:00:00"/>
    <m/>
    <n v="0"/>
    <n v="60"/>
    <n v="60"/>
    <n v="109"/>
    <n v="109"/>
    <s v="Y"/>
    <s v="Reserved matters relating to landscaping, scale and appearance in respect of the part demolition, conversion, restoration and repair of part of the Main Building (Grade II listed) to provide 109 residential units with landscaping and associated works (forming Phase 6B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1-02-01T00:00:00"/>
    <d v="2021-05-25T00:00:00"/>
    <m/>
    <s v="Nil"/>
    <m/>
    <s v="BF"/>
    <s v="CON"/>
    <x v="5"/>
    <x v="0"/>
    <n v="0.5544"/>
    <d v="2022-04-01T00:00:00"/>
    <x v="1"/>
    <m/>
    <s v="Open Market"/>
    <s v="M"/>
    <s v="9.1"/>
    <m/>
    <n v="0"/>
    <m/>
    <n v="0"/>
    <m/>
    <n v="0"/>
    <n v="29"/>
    <n v="27"/>
    <n v="4"/>
    <n v="0"/>
    <n v="0"/>
    <n v="0"/>
    <n v="0"/>
    <n v="29"/>
    <n v="27"/>
    <n v="4"/>
    <n v="0"/>
    <n v="0"/>
    <n v="0"/>
    <n v="0"/>
    <n v="0"/>
    <n v="0"/>
    <n v="0"/>
    <n v="0"/>
    <n v="0"/>
    <n v="0"/>
    <n v="0"/>
    <n v="0"/>
    <n v="0"/>
    <n v="0"/>
    <n v="0"/>
    <n v="0"/>
    <n v="0"/>
    <m/>
    <m/>
    <s v="Rest of Borough"/>
    <n v="5"/>
    <m/>
    <m/>
    <n v="60"/>
    <m/>
    <m/>
    <m/>
    <m/>
    <m/>
    <m/>
    <m/>
    <m/>
    <m/>
    <m/>
    <m/>
    <m/>
    <m/>
    <m/>
    <m/>
    <m/>
    <m/>
    <n v="60"/>
    <n v="60"/>
  </r>
  <r>
    <n v="3943"/>
    <x v="2"/>
    <s v="2019/2324"/>
    <s v="Royal Mail Group Site, Ponton Road (Nine Elms Park)"/>
    <s v="Plot E - Block E1"/>
    <n v="529575"/>
    <n v="177401"/>
    <s v="Nine Elms"/>
    <d v="2022-10-04T00:00:00"/>
    <m/>
    <n v="0"/>
    <n v="90"/>
    <n v="90"/>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m/>
    <s v="Nil"/>
    <m/>
    <s v="BF"/>
    <s v="NB"/>
    <x v="0"/>
    <x v="0"/>
    <n v="0.9777576"/>
    <d v="2022-10-04T00:00:00"/>
    <x v="1"/>
    <m/>
    <s v="Open Market"/>
    <s v="M"/>
    <s v="2.1.18"/>
    <m/>
    <n v="0"/>
    <n v="81"/>
    <n v="0"/>
    <n v="9"/>
    <n v="8"/>
    <n v="30"/>
    <n v="33"/>
    <n v="19"/>
    <n v="0"/>
    <n v="0"/>
    <n v="0"/>
    <n v="8"/>
    <n v="30"/>
    <n v="33"/>
    <n v="19"/>
    <n v="0"/>
    <n v="0"/>
    <n v="0"/>
    <n v="0"/>
    <n v="0"/>
    <n v="0"/>
    <n v="0"/>
    <n v="0"/>
    <n v="0"/>
    <n v="0"/>
    <n v="0"/>
    <n v="0"/>
    <n v="0"/>
    <n v="0"/>
    <n v="0"/>
    <n v="0"/>
    <n v="0"/>
    <m/>
    <s v="Y"/>
    <s v="Nine Elms Vauxhall Opportunity Area"/>
    <n v="5"/>
    <m/>
    <m/>
    <n v="90"/>
    <m/>
    <m/>
    <m/>
    <m/>
    <m/>
    <m/>
    <m/>
    <m/>
    <m/>
    <m/>
    <m/>
    <m/>
    <m/>
    <m/>
    <m/>
    <m/>
    <m/>
    <n v="90"/>
    <n v="90"/>
  </r>
  <r>
    <n v="3943"/>
    <x v="2"/>
    <s v="2019/2324"/>
    <s v="Royal Mail Group Site, Ponton Road (Nine Elms Park)"/>
    <s v="Plot E - Block E2"/>
    <n v="529575"/>
    <n v="177401"/>
    <s v="Nine Elms"/>
    <d v="2022-10-04T00:00:00"/>
    <m/>
    <n v="0"/>
    <n v="73"/>
    <n v="73"/>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m/>
    <s v="Nil"/>
    <m/>
    <s v="BF"/>
    <s v="NB"/>
    <x v="0"/>
    <x v="0"/>
    <n v="0.79307000000000005"/>
    <d v="2022-10-04T00:00:00"/>
    <x v="1"/>
    <m/>
    <s v="Open Market"/>
    <s v="M"/>
    <s v="2.1.18"/>
    <m/>
    <n v="0"/>
    <n v="66"/>
    <n v="0"/>
    <n v="7"/>
    <n v="3"/>
    <n v="17"/>
    <n v="44"/>
    <n v="9"/>
    <n v="0"/>
    <n v="0"/>
    <n v="0"/>
    <n v="3"/>
    <n v="17"/>
    <n v="44"/>
    <n v="9"/>
    <n v="0"/>
    <n v="0"/>
    <n v="0"/>
    <n v="0"/>
    <n v="0"/>
    <n v="0"/>
    <n v="0"/>
    <n v="0"/>
    <n v="0"/>
    <n v="0"/>
    <n v="0"/>
    <n v="0"/>
    <n v="0"/>
    <n v="0"/>
    <n v="0"/>
    <n v="0"/>
    <n v="0"/>
    <m/>
    <s v="Y"/>
    <s v="Nine Elms Vauxhall Opportunity Area"/>
    <n v="5"/>
    <m/>
    <m/>
    <n v="73"/>
    <m/>
    <m/>
    <m/>
    <m/>
    <m/>
    <m/>
    <m/>
    <m/>
    <m/>
    <m/>
    <m/>
    <m/>
    <m/>
    <m/>
    <m/>
    <m/>
    <m/>
    <n v="73"/>
    <n v="73"/>
  </r>
  <r>
    <n v="3943"/>
    <x v="2"/>
    <s v="2019/2324"/>
    <s v="Royal Mail Group Site, Ponton Road (Nine Elms Park)"/>
    <s v="Plot E - Block E3"/>
    <n v="529575"/>
    <n v="177401"/>
    <s v="Nine Elms"/>
    <d v="2022-10-04T00:00:00"/>
    <m/>
    <n v="0"/>
    <n v="77"/>
    <n v="77"/>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m/>
    <s v="Nil"/>
    <m/>
    <s v="BF"/>
    <s v="NB"/>
    <x v="0"/>
    <x v="0"/>
    <n v="0.83652590000000004"/>
    <d v="2022-10-04T00:00:00"/>
    <x v="1"/>
    <m/>
    <s v="Open Market"/>
    <s v="M"/>
    <s v="2.1.18"/>
    <m/>
    <n v="0"/>
    <n v="69"/>
    <n v="0"/>
    <n v="8"/>
    <n v="1"/>
    <n v="32"/>
    <n v="39"/>
    <n v="5"/>
    <n v="0"/>
    <n v="0"/>
    <n v="0"/>
    <n v="1"/>
    <n v="32"/>
    <n v="39"/>
    <n v="5"/>
    <n v="0"/>
    <n v="0"/>
    <n v="0"/>
    <n v="0"/>
    <n v="0"/>
    <n v="0"/>
    <n v="0"/>
    <n v="0"/>
    <n v="0"/>
    <n v="0"/>
    <n v="0"/>
    <n v="0"/>
    <n v="0"/>
    <n v="0"/>
    <n v="0"/>
    <n v="0"/>
    <n v="0"/>
    <m/>
    <s v="Y"/>
    <s v="Nine Elms Vauxhall Opportunity Area"/>
    <n v="5"/>
    <m/>
    <m/>
    <n v="77"/>
    <m/>
    <m/>
    <m/>
    <m/>
    <m/>
    <m/>
    <m/>
    <m/>
    <m/>
    <m/>
    <m/>
    <m/>
    <m/>
    <m/>
    <m/>
    <m/>
    <m/>
    <n v="77"/>
    <n v="77"/>
  </r>
  <r>
    <n v="3943"/>
    <x v="2"/>
    <s v="2019/2324"/>
    <s v="Royal Mail Group Site, Ponton Road (Nine Elms Park)"/>
    <s v="Plot E - Block E4"/>
    <n v="529575"/>
    <n v="177401"/>
    <s v="Nine Elms"/>
    <d v="2022-10-04T00:00:00"/>
    <m/>
    <n v="0"/>
    <n v="57"/>
    <n v="57"/>
    <n v="297"/>
    <n v="297"/>
    <s v="Y"/>
    <s v="Application for approval of reserved matters (Access, Appearance, Landscaping, Layout and Scale) for 'Plot E'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6-28T00:00:00"/>
    <m/>
    <s v="Nil"/>
    <m/>
    <s v="BF"/>
    <s v="NB"/>
    <x v="0"/>
    <x v="0"/>
    <n v="0.61924650000000003"/>
    <d v="2022-10-04T00:00:00"/>
    <x v="1"/>
    <m/>
    <s v="Social/Affordable Rent"/>
    <s v="AA"/>
    <s v="2.1.18"/>
    <m/>
    <n v="0"/>
    <n v="51"/>
    <n v="0"/>
    <n v="6"/>
    <n v="0"/>
    <n v="8"/>
    <n v="31"/>
    <n v="15"/>
    <n v="3"/>
    <n v="0"/>
    <n v="0"/>
    <n v="0"/>
    <n v="8"/>
    <n v="31"/>
    <n v="15"/>
    <n v="3"/>
    <n v="0"/>
    <n v="0"/>
    <n v="0"/>
    <n v="0"/>
    <n v="0"/>
    <n v="0"/>
    <n v="0"/>
    <n v="0"/>
    <n v="0"/>
    <n v="0"/>
    <n v="0"/>
    <n v="0"/>
    <n v="0"/>
    <n v="0"/>
    <n v="0"/>
    <n v="0"/>
    <m/>
    <s v="Y"/>
    <s v="Nine Elms Vauxhall Opportunity Area"/>
    <n v="5"/>
    <m/>
    <m/>
    <n v="57"/>
    <m/>
    <m/>
    <m/>
    <m/>
    <m/>
    <m/>
    <m/>
    <m/>
    <m/>
    <m/>
    <m/>
    <m/>
    <m/>
    <m/>
    <m/>
    <m/>
    <m/>
    <n v="57"/>
    <n v="57"/>
  </r>
  <r>
    <n v="3943"/>
    <x v="2"/>
    <s v="2021/2892"/>
    <s v="Royal Mail Group Site, Ponton Road (Nine Elms Park)"/>
    <s v="Plot F"/>
    <n v="529575"/>
    <n v="177401"/>
    <s v="Nine Elms"/>
    <d v="2022-10-04T00:00:00"/>
    <m/>
    <n v="0"/>
    <n v="197"/>
    <n v="197"/>
    <n v="383"/>
    <n v="383"/>
    <s v="Y"/>
    <s v="Details of Private Residential Unit Mix for Plots F and G pursuant to condition 14 of planning permission dated 18/12/2020 ref 2019/2250 (Application under Section 73 of the Town and Country Planning Act 1990 for variations to Conditions 9 (Parameter Plans), 10 (GEA Floorspace Limits), 34 (BREEAM) and 52 (Wind Mitigation) of part outline and part detail planning permission 2017/6762 dated 28th March 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An addendum to the Environmental Statement has been submitted under The Town and Country Planning (Environmental Impact Assessment) Regulations 2017 (as amended).&quot;)."/>
    <s v="DT"/>
    <d v="2021-06-18T00:00:00"/>
    <d v="2021-08-02T00:00:00"/>
    <m/>
    <s v="Nil"/>
    <m/>
    <s v="BF"/>
    <s v="MIX"/>
    <x v="0"/>
    <x v="0"/>
    <n v="2.57"/>
    <d v="2022-10-04T00:00:00"/>
    <x v="1"/>
    <m/>
    <s v="Open Market"/>
    <s v="M"/>
    <s v="2.1.18"/>
    <m/>
    <n v="0"/>
    <n v="177"/>
    <n v="0"/>
    <n v="20"/>
    <n v="9"/>
    <n v="43"/>
    <n v="110"/>
    <n v="35"/>
    <n v="0"/>
    <n v="0"/>
    <n v="0"/>
    <n v="9"/>
    <n v="43"/>
    <n v="110"/>
    <n v="35"/>
    <n v="0"/>
    <n v="0"/>
    <n v="0"/>
    <n v="0"/>
    <n v="0"/>
    <n v="0"/>
    <n v="0"/>
    <n v="0"/>
    <n v="0"/>
    <n v="0"/>
    <n v="0"/>
    <n v="0"/>
    <n v="0"/>
    <n v="0"/>
    <n v="0"/>
    <n v="0"/>
    <n v="0"/>
    <m/>
    <s v="Y"/>
    <s v="Nine Elms Vauxhall Opportunity Area"/>
    <n v="5"/>
    <m/>
    <m/>
    <n v="197"/>
    <m/>
    <m/>
    <m/>
    <m/>
    <m/>
    <m/>
    <m/>
    <m/>
    <m/>
    <m/>
    <m/>
    <m/>
    <m/>
    <m/>
    <m/>
    <m/>
    <m/>
    <n v="197"/>
    <n v="197"/>
  </r>
  <r>
    <n v="3943"/>
    <x v="2"/>
    <s v="2019/2325"/>
    <s v="Royal Mail Group Site, Ponton Road (Nine Elms Park)"/>
    <s v="Plot F"/>
    <n v="529575"/>
    <n v="177401"/>
    <s v="Nine Elms"/>
    <d v="2022-10-04T00:00:00"/>
    <m/>
    <n v="0"/>
    <n v="46"/>
    <n v="46"/>
    <n v="459"/>
    <n v="459"/>
    <s v="Y"/>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m/>
    <s v="Nil"/>
    <m/>
    <s v="BF"/>
    <s v="NB"/>
    <x v="0"/>
    <x v="0"/>
    <n v="0.6"/>
    <d v="2022-10-04T00:00:00"/>
    <x v="1"/>
    <m/>
    <s v="Social/Affordable Rent"/>
    <s v="AA"/>
    <s v="2.1.18"/>
    <m/>
    <n v="0"/>
    <n v="41"/>
    <n v="0"/>
    <n v="5"/>
    <n v="0"/>
    <n v="12"/>
    <n v="18"/>
    <n v="14"/>
    <n v="2"/>
    <n v="0"/>
    <n v="0"/>
    <n v="0"/>
    <n v="12"/>
    <n v="18"/>
    <n v="14"/>
    <n v="2"/>
    <n v="0"/>
    <n v="0"/>
    <n v="0"/>
    <n v="0"/>
    <n v="0"/>
    <n v="0"/>
    <n v="0"/>
    <n v="0"/>
    <n v="0"/>
    <n v="0"/>
    <n v="0"/>
    <n v="0"/>
    <n v="0"/>
    <n v="0"/>
    <n v="0"/>
    <n v="0"/>
    <m/>
    <s v="Y"/>
    <s v="Nine Elms Vauxhall Opportunity Area"/>
    <n v="5"/>
    <m/>
    <m/>
    <n v="46"/>
    <m/>
    <m/>
    <m/>
    <m/>
    <m/>
    <m/>
    <m/>
    <m/>
    <m/>
    <m/>
    <m/>
    <m/>
    <m/>
    <m/>
    <m/>
    <m/>
    <m/>
    <n v="46"/>
    <n v="46"/>
  </r>
  <r>
    <n v="3943"/>
    <x v="2"/>
    <s v="2019/2325"/>
    <s v="Royal Mail Group Site, Ponton Road (Nine Elms Park)"/>
    <s v="Plot F"/>
    <n v="529575"/>
    <n v="177401"/>
    <s v="Nine Elms"/>
    <d v="2022-10-04T00:00:00"/>
    <m/>
    <n v="0"/>
    <n v="30"/>
    <n v="30"/>
    <n v="459"/>
    <n v="459"/>
    <s v="Y"/>
    <s v="Application for approval of reserved matters (Access, Appearance, Landscaping, Layout and Scale) for 'Plots F &amp; G'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5-28T00:00:00"/>
    <d v="2021-05-22T00:00:00"/>
    <m/>
    <s v="Nil"/>
    <m/>
    <s v="BF"/>
    <s v="NB"/>
    <x v="0"/>
    <x v="0"/>
    <n v="0.39129999999999998"/>
    <d v="2022-10-04T00:00:00"/>
    <x v="1"/>
    <m/>
    <s v="Intermediate"/>
    <s v="IU"/>
    <s v="2.1.18"/>
    <m/>
    <n v="0"/>
    <n v="27"/>
    <n v="0"/>
    <n v="3"/>
    <n v="0"/>
    <n v="13"/>
    <n v="17"/>
    <n v="0"/>
    <n v="0"/>
    <n v="0"/>
    <n v="0"/>
    <n v="0"/>
    <n v="13"/>
    <n v="17"/>
    <n v="0"/>
    <n v="0"/>
    <n v="0"/>
    <n v="0"/>
    <n v="0"/>
    <n v="0"/>
    <n v="0"/>
    <n v="0"/>
    <n v="0"/>
    <n v="0"/>
    <n v="0"/>
    <n v="0"/>
    <n v="0"/>
    <n v="0"/>
    <n v="0"/>
    <n v="0"/>
    <n v="0"/>
    <n v="0"/>
    <m/>
    <s v="Y"/>
    <s v="Nine Elms Vauxhall Opportunity Area"/>
    <n v="5"/>
    <m/>
    <m/>
    <n v="30"/>
    <m/>
    <m/>
    <m/>
    <m/>
    <m/>
    <m/>
    <m/>
    <m/>
    <m/>
    <m/>
    <m/>
    <m/>
    <m/>
    <m/>
    <m/>
    <m/>
    <m/>
    <n v="30"/>
    <n v="30"/>
  </r>
  <r>
    <n v="3943"/>
    <x v="2"/>
    <s v="2022/4664"/>
    <s v="Royal Mail Group Site, Ponton Road (Nine Elms Park)"/>
    <s v="Plot G"/>
    <n v="529575"/>
    <n v="177401"/>
    <s v="Nine Elms"/>
    <d v="2022-10-04T00:00:00"/>
    <m/>
    <n v="0"/>
    <n v="186"/>
    <n v="186"/>
    <n v="186"/>
    <n v="186"/>
    <s v="Y"/>
    <s v="Application under Section 96A of the Town and Country Planning Act for a 'non-material amendment' to Condition 1 (approved drawings/documents) for design changes to Plot G (including changes to the residential mix; creation of additional residential space previously identified for plant; revised front entrance and canopy and revised top-level plant area) and 'Belfour Place' landscaping of reserved matters approval dated 2nd June 2021 reference 2019/2325."/>
    <s v="S96A"/>
    <d v="2022-11-15T00:00:00"/>
    <d v="2023-03-01T00:00:00"/>
    <s v="Y"/>
    <s v="Nil"/>
    <m/>
    <s v="BF"/>
    <s v="NB"/>
    <x v="0"/>
    <x v="0"/>
    <n v="1.9470000000000001"/>
    <d v="2022-10-04T00:00:00"/>
    <x v="1"/>
    <m/>
    <s v="Open Market"/>
    <s v="M"/>
    <s v="2.1.18"/>
    <m/>
    <n v="0"/>
    <n v="167"/>
    <n v="0"/>
    <n v="19"/>
    <n v="12"/>
    <n v="49"/>
    <n v="94"/>
    <n v="31"/>
    <n v="0"/>
    <n v="0"/>
    <n v="0"/>
    <n v="12"/>
    <n v="49"/>
    <n v="94"/>
    <n v="31"/>
    <n v="0"/>
    <n v="0"/>
    <n v="0"/>
    <n v="0"/>
    <n v="0"/>
    <n v="0"/>
    <n v="0"/>
    <n v="0"/>
    <n v="0"/>
    <n v="0"/>
    <n v="0"/>
    <n v="0"/>
    <n v="0"/>
    <n v="0"/>
    <n v="0"/>
    <n v="0"/>
    <n v="0"/>
    <m/>
    <s v="Y"/>
    <s v="Nine Elms Vauxhall Opportunity Area"/>
    <n v="5"/>
    <m/>
    <m/>
    <m/>
    <n v="186"/>
    <m/>
    <m/>
    <m/>
    <m/>
    <m/>
    <m/>
    <m/>
    <m/>
    <m/>
    <m/>
    <m/>
    <m/>
    <m/>
    <m/>
    <m/>
    <m/>
    <n v="186"/>
    <n v="186"/>
  </r>
  <r>
    <n v="3943"/>
    <x v="2"/>
    <s v="2017/6764"/>
    <s v="Royal Mail Group Site, Ponton Road (Nine Elms Park)"/>
    <s v="Plots B and D2/D3"/>
    <n v="529575"/>
    <n v="177401"/>
    <s v="Nine Elms"/>
    <d v="2019-09-03T00:00:00"/>
    <m/>
    <n v="0"/>
    <n v="622"/>
    <n v="622"/>
    <n v="894"/>
    <n v="894"/>
    <s v="Y"/>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m/>
    <s v="Nil"/>
    <m/>
    <s v="BF"/>
    <s v="NB"/>
    <x v="0"/>
    <x v="0"/>
    <n v="0.60799999999999998"/>
    <d v="2019-09-03T00:00:00"/>
    <x v="0"/>
    <m/>
    <s v="Open Market"/>
    <s v="MR"/>
    <s v="2.1.18"/>
    <m/>
    <n v="0"/>
    <n v="560"/>
    <n v="0"/>
    <n v="62"/>
    <n v="160"/>
    <n v="133"/>
    <n v="264"/>
    <n v="65"/>
    <n v="0"/>
    <n v="0"/>
    <n v="0"/>
    <n v="160"/>
    <n v="133"/>
    <n v="264"/>
    <n v="65"/>
    <n v="0"/>
    <n v="0"/>
    <n v="0"/>
    <n v="0"/>
    <n v="0"/>
    <n v="0"/>
    <n v="0"/>
    <n v="0"/>
    <n v="0"/>
    <n v="0"/>
    <n v="0"/>
    <n v="0"/>
    <n v="0"/>
    <n v="0"/>
    <n v="0"/>
    <n v="0"/>
    <n v="0"/>
    <m/>
    <s v="Y"/>
    <s v="Nine Elms Vauxhall Opportunity Area"/>
    <n v="5"/>
    <m/>
    <n v="622"/>
    <m/>
    <m/>
    <m/>
    <m/>
    <m/>
    <m/>
    <m/>
    <m/>
    <m/>
    <m/>
    <m/>
    <m/>
    <m/>
    <m/>
    <m/>
    <m/>
    <m/>
    <m/>
    <n v="622"/>
    <n v="622"/>
  </r>
  <r>
    <n v="3943"/>
    <x v="2"/>
    <s v="2017/6764"/>
    <s v="Royal Mail Group Site, Ponton Road (Nine Elms Park)"/>
    <s v="Plots B and D2/D3"/>
    <n v="529575"/>
    <n v="177401"/>
    <s v="Nine Elms"/>
    <d v="2019-09-03T00:00:00"/>
    <m/>
    <n v="0"/>
    <n v="131"/>
    <n v="131"/>
    <n v="894"/>
    <n v="894"/>
    <s v="Y"/>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m/>
    <s v="Nil"/>
    <m/>
    <s v="BF"/>
    <s v="NB"/>
    <x v="0"/>
    <x v="0"/>
    <n v="0.128"/>
    <d v="2019-09-03T00:00:00"/>
    <x v="0"/>
    <m/>
    <s v="Intermediate"/>
    <s v="IRD"/>
    <s v="2.1.18"/>
    <m/>
    <n v="0"/>
    <n v="118"/>
    <n v="0"/>
    <n v="13"/>
    <n v="0"/>
    <n v="36"/>
    <n v="89"/>
    <n v="6"/>
    <n v="0"/>
    <n v="0"/>
    <n v="0"/>
    <n v="0"/>
    <n v="36"/>
    <n v="89"/>
    <n v="6"/>
    <n v="0"/>
    <n v="0"/>
    <n v="0"/>
    <n v="0"/>
    <n v="0"/>
    <n v="0"/>
    <n v="0"/>
    <n v="0"/>
    <n v="0"/>
    <n v="0"/>
    <n v="0"/>
    <n v="0"/>
    <n v="0"/>
    <n v="0"/>
    <n v="0"/>
    <n v="0"/>
    <n v="0"/>
    <m/>
    <s v="Y"/>
    <s v="Nine Elms Vauxhall Opportunity Area"/>
    <n v="5"/>
    <m/>
    <n v="131"/>
    <m/>
    <m/>
    <m/>
    <m/>
    <m/>
    <m/>
    <m/>
    <m/>
    <m/>
    <m/>
    <m/>
    <m/>
    <m/>
    <m/>
    <m/>
    <m/>
    <m/>
    <m/>
    <n v="131"/>
    <n v="131"/>
  </r>
  <r>
    <n v="7347"/>
    <x v="2"/>
    <s v="2021/4626"/>
    <s v="157 Fallsbrook Road"/>
    <s v="private"/>
    <n v="529142"/>
    <n v="170477"/>
    <s v="Furzedown"/>
    <d v="2022-03-31T00:00:00"/>
    <m/>
    <n v="0"/>
    <n v="23"/>
    <n v="23"/>
    <n v="29"/>
    <n v="29"/>
    <s v="Y"/>
    <s v="Non-material amendment to planning permission dated 28/01/2020 ref 2020/0473 (Demolition of existing building and construction of a part-three part-four storey building comprising 29 residential units with associated amenity, refuse and cycle provision and landscaping) to allow alterations including changes to the internal general arrangement including changes to stair and lift core, cycle store and unit sizes, and addition of plant room. External changes to fenestration, PV array, lift and stair core overrun and communal terrace."/>
    <s v="S96A"/>
    <d v="2021-10-07T00:00:00"/>
    <d v="2021-11-09T00:00:00"/>
    <m/>
    <s v="Nil"/>
    <m/>
    <s v="BF"/>
    <s v="NB"/>
    <x v="0"/>
    <x v="0"/>
    <n v="0.169326"/>
    <d v="2022-04-01T00:00:00"/>
    <x v="1"/>
    <m/>
    <s v="Open Market"/>
    <s v="M"/>
    <s v=""/>
    <m/>
    <n v="0"/>
    <m/>
    <n v="0"/>
    <m/>
    <n v="0"/>
    <n v="5"/>
    <n v="17"/>
    <n v="1"/>
    <n v="0"/>
    <n v="0"/>
    <n v="0"/>
    <n v="0"/>
    <n v="5"/>
    <n v="17"/>
    <n v="1"/>
    <n v="0"/>
    <n v="0"/>
    <n v="0"/>
    <n v="0"/>
    <n v="0"/>
    <n v="0"/>
    <n v="0"/>
    <n v="0"/>
    <n v="0"/>
    <n v="0"/>
    <n v="0"/>
    <n v="0"/>
    <n v="0"/>
    <n v="0"/>
    <n v="0"/>
    <n v="0"/>
    <n v="0"/>
    <m/>
    <m/>
    <s v="Rest of Borough"/>
    <n v="6"/>
    <m/>
    <m/>
    <n v="5.75"/>
    <n v="5.75"/>
    <n v="5.75"/>
    <n v="5.75"/>
    <m/>
    <m/>
    <m/>
    <m/>
    <m/>
    <m/>
    <m/>
    <m/>
    <m/>
    <m/>
    <m/>
    <m/>
    <m/>
    <m/>
    <n v="23"/>
    <n v="23"/>
  </r>
  <r>
    <n v="7194"/>
    <x v="2"/>
    <s v="2019/2251"/>
    <s v="22 Carlton Drive"/>
    <s v="Proposed"/>
    <n v="524291"/>
    <n v="174776"/>
    <s v="East Putney"/>
    <d v="2021-10-18T00:00:00"/>
    <m/>
    <n v="0"/>
    <n v="8"/>
    <n v="8"/>
    <n v="8"/>
    <n v="-7"/>
    <m/>
    <s v="Alterations including erection of pitch roof to first floor front extension in connection with conversion of property 1 x1 bedroom flat, 6 x2 bedroom flats and 1 x3 bedroom flat. Erection of front boundary wall to 1.8m high"/>
    <s v="PF"/>
    <d v="2019-06-19T00:00:00"/>
    <d v="2019-08-19T00:00:00"/>
    <m/>
    <s v="Nil"/>
    <m/>
    <s v="BF"/>
    <s v="COU"/>
    <x v="2"/>
    <x v="9"/>
    <n v="0.107"/>
    <d v="2021-10-18T00:00:00"/>
    <x v="0"/>
    <m/>
    <s v="Social/Affordable Rent"/>
    <s v="AU"/>
    <s v=""/>
    <m/>
    <n v="0"/>
    <m/>
    <n v="0"/>
    <m/>
    <n v="0"/>
    <n v="1"/>
    <n v="6"/>
    <n v="1"/>
    <n v="0"/>
    <n v="0"/>
    <n v="0"/>
    <n v="0"/>
    <n v="1"/>
    <n v="6"/>
    <n v="1"/>
    <n v="0"/>
    <n v="0"/>
    <n v="0"/>
    <n v="0"/>
    <n v="0"/>
    <n v="0"/>
    <n v="0"/>
    <n v="0"/>
    <n v="0"/>
    <n v="0"/>
    <n v="0"/>
    <n v="0"/>
    <n v="0"/>
    <n v="0"/>
    <n v="0"/>
    <n v="0"/>
    <n v="0"/>
    <m/>
    <m/>
    <s v="Rest of Borough"/>
    <n v="13"/>
    <m/>
    <n v="8"/>
    <m/>
    <m/>
    <m/>
    <m/>
    <m/>
    <m/>
    <m/>
    <m/>
    <m/>
    <m/>
    <m/>
    <m/>
    <m/>
    <m/>
    <m/>
    <m/>
    <m/>
    <m/>
    <n v="8"/>
    <n v="8"/>
  </r>
  <r>
    <n v="7296"/>
    <x v="2"/>
    <s v="2019/4697"/>
    <s v="Alton One O'clock Centre, Fontley Way"/>
    <s v="SECOND FLOOR"/>
    <n v="522049"/>
    <n v="173511"/>
    <s v="Roehampton"/>
    <d v="2022-04-01T00:00:00"/>
    <m/>
    <n v="0"/>
    <n v="7"/>
    <n v="7"/>
    <n v="14"/>
    <n v="14"/>
    <s v="Y"/>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PFLA"/>
    <d v="2019-11-11T00:00:00"/>
    <d v="2021-11-05T00:00:00"/>
    <m/>
    <s v="Nil"/>
    <m/>
    <s v="BF"/>
    <s v="NB"/>
    <x v="0"/>
    <x v="0"/>
    <n v="4.1000000000000002E-2"/>
    <d v="2022-09-15T00:00:00"/>
    <x v="1"/>
    <m/>
    <s v="Intermediate"/>
    <s v="ISE"/>
    <s v=""/>
    <m/>
    <n v="0"/>
    <n v="7"/>
    <n v="0"/>
    <n v="0"/>
    <n v="0"/>
    <n v="0"/>
    <n v="0"/>
    <n v="7"/>
    <n v="0"/>
    <n v="0"/>
    <n v="0"/>
    <n v="0"/>
    <n v="0"/>
    <n v="0"/>
    <n v="7"/>
    <n v="0"/>
    <n v="0"/>
    <n v="0"/>
    <n v="0"/>
    <n v="0"/>
    <n v="0"/>
    <n v="0"/>
    <n v="0"/>
    <n v="0"/>
    <n v="0"/>
    <n v="0"/>
    <n v="0"/>
    <n v="0"/>
    <n v="0"/>
    <n v="0"/>
    <n v="0"/>
    <n v="0"/>
    <m/>
    <m/>
    <s v="Rest of Borough"/>
    <n v="2"/>
    <m/>
    <n v="7"/>
    <m/>
    <m/>
    <m/>
    <m/>
    <m/>
    <m/>
    <m/>
    <m/>
    <m/>
    <m/>
    <m/>
    <m/>
    <m/>
    <m/>
    <m/>
    <m/>
    <m/>
    <m/>
    <n v="7"/>
    <n v="7"/>
  </r>
  <r>
    <n v="967"/>
    <x v="2"/>
    <s v="2018/3390"/>
    <s v="29 Wimbledon Park Road"/>
    <s v="Second Floor"/>
    <n v="525095"/>
    <n v="174084"/>
    <s v="East Putney"/>
    <d v="2021-09-29T00:00:00"/>
    <m/>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2"/>
    <x v="7"/>
    <n v="1.2999999999999999E-2"/>
    <d v="2021-09-29T00:00:00"/>
    <x v="0"/>
    <m/>
    <s v="Open Market"/>
    <s v="M"/>
    <s v=""/>
    <m/>
    <n v="0"/>
    <m/>
    <n v="0"/>
    <m/>
    <n v="0"/>
    <n v="1"/>
    <n v="1"/>
    <n v="0"/>
    <n v="0"/>
    <n v="0"/>
    <n v="0"/>
    <n v="0"/>
    <n v="1"/>
    <n v="1"/>
    <n v="0"/>
    <n v="0"/>
    <n v="0"/>
    <n v="0"/>
    <n v="0"/>
    <n v="0"/>
    <n v="0"/>
    <n v="0"/>
    <n v="0"/>
    <n v="0"/>
    <n v="0"/>
    <n v="0"/>
    <n v="0"/>
    <n v="0"/>
    <n v="0"/>
    <n v="0"/>
    <n v="0"/>
    <n v="0"/>
    <m/>
    <m/>
    <s v="Rest of Borough"/>
    <n v="13"/>
    <m/>
    <n v="2"/>
    <m/>
    <m/>
    <m/>
    <m/>
    <m/>
    <m/>
    <m/>
    <m/>
    <m/>
    <m/>
    <m/>
    <m/>
    <m/>
    <m/>
    <m/>
    <m/>
    <m/>
    <m/>
    <n v="2"/>
    <n v="2"/>
  </r>
  <r>
    <n v="967"/>
    <x v="2"/>
    <s v="2018/3390"/>
    <s v="29 Wimbledon Park Road"/>
    <s v="Upper Ground"/>
    <n v="525095"/>
    <n v="174084"/>
    <s v="East Putney"/>
    <d v="2021-09-29T00:00:00"/>
    <m/>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x v="2"/>
    <x v="7"/>
    <n v="1.2999999999999999E-2"/>
    <d v="2021-09-29T00:00:00"/>
    <x v="0"/>
    <m/>
    <s v="Open Market"/>
    <s v="M"/>
    <s v=""/>
    <m/>
    <n v="0"/>
    <m/>
    <n v="0"/>
    <m/>
    <n v="0"/>
    <n v="1"/>
    <n v="1"/>
    <n v="0"/>
    <n v="0"/>
    <n v="0"/>
    <n v="0"/>
    <n v="0"/>
    <n v="1"/>
    <n v="1"/>
    <n v="0"/>
    <n v="0"/>
    <n v="0"/>
    <n v="0"/>
    <n v="0"/>
    <n v="0"/>
    <n v="0"/>
    <n v="0"/>
    <n v="0"/>
    <n v="0"/>
    <n v="0"/>
    <n v="0"/>
    <n v="0"/>
    <n v="0"/>
    <n v="0"/>
    <n v="0"/>
    <n v="0"/>
    <n v="0"/>
    <m/>
    <m/>
    <s v="Rest of Borough"/>
    <n v="13"/>
    <m/>
    <n v="2"/>
    <m/>
    <m/>
    <m/>
    <m/>
    <m/>
    <m/>
    <m/>
    <m/>
    <m/>
    <m/>
    <m/>
    <m/>
    <m/>
    <m/>
    <m/>
    <m/>
    <m/>
    <m/>
    <n v="2"/>
    <n v="2"/>
  </r>
  <r>
    <n v="7338"/>
    <x v="2"/>
    <s v="2020/0376"/>
    <s v="51-53 Northcote Road"/>
    <s v=""/>
    <n v="527505"/>
    <n v="174973"/>
    <s v="Lavender"/>
    <d v="2021-08-23T00:00:00"/>
    <m/>
    <n v="0"/>
    <n v="1"/>
    <n v="1"/>
    <n v="1"/>
    <n v="1"/>
    <m/>
    <s v="Alterations including erection of mansard roof extensions to front,_x000a_side and rear roof slopes in connection with creation of 1 x 2-_x000a_bedroom flat with associated refuse storage."/>
    <s v="RP"/>
    <d v="2020-02-11T00:00:00"/>
    <d v="2020-03-27T00:00:00"/>
    <m/>
    <s v="APG"/>
    <d v="2020-10-09T00:00:00"/>
    <s v="BF"/>
    <s v="EXT"/>
    <x v="2"/>
    <x v="2"/>
    <n v="5.0000000000000001E-3"/>
    <d v="2021-08-23T00:00:00"/>
    <x v="0"/>
    <m/>
    <s v="Open Market"/>
    <s v="M"/>
    <s v=""/>
    <m/>
    <n v="0"/>
    <m/>
    <n v="0"/>
    <m/>
    <n v="0"/>
    <n v="0"/>
    <n v="1"/>
    <n v="0"/>
    <n v="0"/>
    <n v="0"/>
    <n v="0"/>
    <n v="0"/>
    <n v="0"/>
    <n v="1"/>
    <n v="0"/>
    <n v="0"/>
    <n v="0"/>
    <n v="0"/>
    <n v="0"/>
    <n v="0"/>
    <n v="0"/>
    <n v="0"/>
    <n v="0"/>
    <n v="0"/>
    <n v="0"/>
    <n v="0"/>
    <n v="0"/>
    <n v="0"/>
    <n v="0"/>
    <n v="0"/>
    <n v="0"/>
    <n v="0"/>
    <s v="Clapham Junction"/>
    <m/>
    <s v="Clapham Junction Spatial Area Strategy"/>
    <n v="13"/>
    <m/>
    <n v="1"/>
    <m/>
    <m/>
    <m/>
    <m/>
    <m/>
    <m/>
    <m/>
    <m/>
    <m/>
    <m/>
    <m/>
    <m/>
    <m/>
    <m/>
    <m/>
    <m/>
    <m/>
    <m/>
    <n v="1"/>
    <n v="1"/>
  </r>
  <r>
    <n v="6302"/>
    <x v="2"/>
    <s v="2019/1427"/>
    <s v="150a-170 &amp; 2-8 Thornsett Road, Penwith Road"/>
    <s v="Level 1"/>
    <n v="525938"/>
    <n v="173047"/>
    <s v="Wandle"/>
    <d v="2021-07-12T00:00:00"/>
    <m/>
    <n v="0"/>
    <n v="4"/>
    <n v="4"/>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m/>
    <s v="APG"/>
    <d v="2020-10-30T00:00:00"/>
    <s v="BF"/>
    <s v="NB"/>
    <x v="0"/>
    <x v="0"/>
    <n v="1.2999999999999999E-2"/>
    <d v="2021-07-12T00:00:00"/>
    <x v="0"/>
    <m/>
    <s v="Intermediate"/>
    <s v="ISO"/>
    <s v=""/>
    <m/>
    <n v="0"/>
    <n v="1"/>
    <m/>
    <m/>
    <n v="0"/>
    <n v="1"/>
    <n v="1"/>
    <n v="2"/>
    <n v="0"/>
    <n v="0"/>
    <n v="0"/>
    <n v="0"/>
    <n v="1"/>
    <n v="1"/>
    <n v="2"/>
    <n v="0"/>
    <n v="0"/>
    <n v="0"/>
    <n v="0"/>
    <n v="0"/>
    <n v="0"/>
    <n v="0"/>
    <n v="0"/>
    <n v="0"/>
    <n v="0"/>
    <n v="0"/>
    <n v="0"/>
    <n v="0"/>
    <n v="0"/>
    <n v="0"/>
    <n v="0"/>
    <n v="0"/>
    <m/>
    <m/>
    <s v="The Wandle Valley"/>
    <n v="3"/>
    <m/>
    <n v="4"/>
    <m/>
    <m/>
    <m/>
    <m/>
    <m/>
    <m/>
    <m/>
    <m/>
    <m/>
    <m/>
    <m/>
    <m/>
    <m/>
    <m/>
    <m/>
    <m/>
    <m/>
    <m/>
    <n v="4"/>
    <n v="4"/>
  </r>
  <r>
    <n v="6302"/>
    <x v="2"/>
    <s v="2019/1427"/>
    <s v="150a-170 &amp; 2-8 Thornsett Road, Penwith Road"/>
    <s v="Level 2/3"/>
    <n v="525938"/>
    <n v="173047"/>
    <s v="Wandle"/>
    <d v="2021-07-12T00:00:00"/>
    <m/>
    <n v="0"/>
    <n v="4"/>
    <n v="4"/>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m/>
    <s v="APG"/>
    <d v="2020-10-30T00:00:00"/>
    <s v="BF"/>
    <s v="NB"/>
    <x v="0"/>
    <x v="0"/>
    <n v="1.2999999999999999E-2"/>
    <d v="2021-07-12T00:00:00"/>
    <x v="0"/>
    <m/>
    <s v="Intermediate"/>
    <s v="ISO"/>
    <s v=""/>
    <m/>
    <n v="0"/>
    <n v="1"/>
    <m/>
    <m/>
    <n v="0"/>
    <n v="3"/>
    <n v="1"/>
    <n v="0"/>
    <n v="0"/>
    <n v="0"/>
    <n v="0"/>
    <n v="0"/>
    <n v="3"/>
    <n v="1"/>
    <n v="0"/>
    <n v="0"/>
    <n v="0"/>
    <n v="0"/>
    <n v="0"/>
    <n v="0"/>
    <n v="0"/>
    <n v="0"/>
    <n v="0"/>
    <n v="0"/>
    <n v="0"/>
    <n v="0"/>
    <n v="0"/>
    <n v="0"/>
    <n v="0"/>
    <n v="0"/>
    <n v="0"/>
    <n v="0"/>
    <m/>
    <m/>
    <s v="The Wandle Valley"/>
    <n v="3"/>
    <m/>
    <n v="4"/>
    <m/>
    <m/>
    <m/>
    <m/>
    <m/>
    <m/>
    <m/>
    <m/>
    <m/>
    <m/>
    <m/>
    <m/>
    <m/>
    <m/>
    <m/>
    <m/>
    <m/>
    <m/>
    <n v="4"/>
    <n v="4"/>
  </r>
  <r>
    <n v="6472"/>
    <x v="2"/>
    <s v="2020/3342"/>
    <s v="Land rear of 163-165, 163-165 Mitcham Road"/>
    <s v=""/>
    <n v="527866"/>
    <n v="171090"/>
    <s v="Furzedown"/>
    <d v="2023-03-01T00:00:00"/>
    <m/>
    <n v="0"/>
    <n v="3"/>
    <n v="3"/>
    <n v="3"/>
    <n v="3"/>
    <m/>
    <s v="Demolition of existing single-storey warehouse building (Class B8) and erection of  3-storey building to provide 3 x 1-bedroom flats."/>
    <s v="RP"/>
    <d v="2020-09-08T00:00:00"/>
    <d v="2020-11-03T00:00:00"/>
    <m/>
    <s v="APG"/>
    <d v="2021-03-29T00:00:00"/>
    <s v="BF"/>
    <s v="NB"/>
    <x v="2"/>
    <x v="1"/>
    <n v="1.2E-2"/>
    <d v="2023-03-01T00:00:00"/>
    <x v="1"/>
    <m/>
    <s v="Open Market"/>
    <s v="M"/>
    <s v=""/>
    <m/>
    <n v="0"/>
    <m/>
    <n v="0"/>
    <m/>
    <n v="0"/>
    <n v="3"/>
    <n v="0"/>
    <n v="0"/>
    <n v="0"/>
    <n v="0"/>
    <n v="0"/>
    <n v="0"/>
    <n v="3"/>
    <n v="0"/>
    <n v="0"/>
    <n v="0"/>
    <n v="0"/>
    <n v="0"/>
    <n v="0"/>
    <n v="0"/>
    <n v="0"/>
    <n v="0"/>
    <n v="0"/>
    <n v="0"/>
    <n v="0"/>
    <n v="0"/>
    <n v="0"/>
    <n v="0"/>
    <n v="0"/>
    <n v="0"/>
    <n v="0"/>
    <n v="0"/>
    <s v="Tooting"/>
    <m/>
    <s v="Tooting"/>
    <n v="4"/>
    <m/>
    <n v="1.5"/>
    <n v="1.5"/>
    <m/>
    <m/>
    <m/>
    <m/>
    <m/>
    <m/>
    <m/>
    <m/>
    <m/>
    <m/>
    <m/>
    <m/>
    <m/>
    <m/>
    <m/>
    <m/>
    <m/>
    <n v="3"/>
    <n v="3"/>
  </r>
  <r>
    <n v="4964"/>
    <x v="2"/>
    <s v="2020/1724"/>
    <s v="86 Clapham Common West Side"/>
    <s v=""/>
    <n v="528166"/>
    <n v="174896"/>
    <s v="Northcote"/>
    <d v="2023-03-31T00:00:00"/>
    <m/>
    <n v="0"/>
    <n v="1"/>
    <n v="1"/>
    <n v="1"/>
    <n v="1"/>
    <m/>
    <s v="Variation of condition 3  (in accordance with approved drawings) pursuant to planning permission dated 27/02/2012 ref 2011/5574 (Excavation of floorspace at basement level, including formation of front lightwell and insertion of new windows/doors, in connection with provision of a onebedroom flat within basement area; erection of a three storey (ground, first and second floor level) rear extension to the side of the back addition to provide additional floorspace for the existing flats.) to allow a change in the design and size of the approved three storey side extension."/>
    <s v="RP"/>
    <d v="2020-05-18T00:00:00"/>
    <d v="2020-06-23T00:00:00"/>
    <m/>
    <s v="APG"/>
    <d v="2021-09-24T00:00:00"/>
    <s v="BF"/>
    <s v="EXT"/>
    <x v="2"/>
    <x v="7"/>
    <n v="8.0000000000000002E-3"/>
    <d v="2023-03-31T00:00:00"/>
    <x v="1"/>
    <m/>
    <s v="Open Market"/>
    <s v="M"/>
    <s v=""/>
    <m/>
    <n v="0"/>
    <m/>
    <n v="0"/>
    <m/>
    <n v="0"/>
    <n v="1"/>
    <n v="0"/>
    <n v="0"/>
    <n v="0"/>
    <n v="0"/>
    <n v="0"/>
    <n v="0"/>
    <n v="1"/>
    <n v="0"/>
    <n v="0"/>
    <n v="0"/>
    <n v="0"/>
    <n v="0"/>
    <n v="0"/>
    <n v="0"/>
    <n v="0"/>
    <n v="0"/>
    <n v="0"/>
    <n v="0"/>
    <n v="0"/>
    <n v="0"/>
    <n v="0"/>
    <n v="0"/>
    <n v="0"/>
    <n v="0"/>
    <n v="0"/>
    <n v="0"/>
    <m/>
    <m/>
    <s v="Rest of Borough"/>
    <n v="14"/>
    <m/>
    <n v="0.5"/>
    <n v="0.5"/>
    <m/>
    <m/>
    <m/>
    <m/>
    <m/>
    <m/>
    <m/>
    <m/>
    <m/>
    <m/>
    <m/>
    <m/>
    <m/>
    <m/>
    <m/>
    <m/>
    <m/>
    <n v="1"/>
    <n v="1"/>
  </r>
  <r>
    <n v="2502"/>
    <x v="1"/>
    <s v="2010/3703"/>
    <s v="Springfield Hospital site, 61 Glenburnie Road"/>
    <s v=""/>
    <n v="527221"/>
    <n v="172443"/>
    <s v="Wandsworth Common"/>
    <d v="2015-08-28T00:00:00"/>
    <m/>
    <n v="0"/>
    <n v="145"/>
    <n v="145"/>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0"/>
    <x v="0"/>
    <n v="5.7229999999999999"/>
    <m/>
    <x v="0"/>
    <m/>
    <s v="Open Market"/>
    <s v="M"/>
    <s v="9.1"/>
    <m/>
    <n v="409"/>
    <m/>
    <n v="40"/>
    <m/>
    <n v="0"/>
    <n v="0"/>
    <n v="0"/>
    <n v="0"/>
    <n v="0"/>
    <n v="0"/>
    <n v="145"/>
    <n v="0"/>
    <n v="0"/>
    <n v="0"/>
    <n v="0"/>
    <n v="0"/>
    <n v="0"/>
    <n v="0"/>
    <n v="0"/>
    <n v="0"/>
    <n v="0"/>
    <n v="0"/>
    <n v="0"/>
    <n v="0"/>
    <n v="145"/>
    <n v="0"/>
    <n v="0"/>
    <n v="0"/>
    <n v="0"/>
    <n v="0"/>
    <n v="0"/>
    <n v="0"/>
    <m/>
    <m/>
    <s v="Rest of Borough"/>
    <n v="17"/>
    <m/>
    <m/>
    <m/>
    <m/>
    <m/>
    <m/>
    <n v="36.25"/>
    <n v="36.25"/>
    <n v="36.25"/>
    <n v="36.25"/>
    <m/>
    <m/>
    <m/>
    <m/>
    <m/>
    <m/>
    <m/>
    <m/>
    <m/>
    <m/>
    <n v="0"/>
    <n v="145"/>
  </r>
  <r>
    <n v="2502"/>
    <x v="1"/>
    <s v="2010/3703"/>
    <s v="Springfield Hospital site, 61 Glenburnie Road"/>
    <s v=""/>
    <n v="527221"/>
    <n v="172443"/>
    <s v="Wandsworth Common"/>
    <d v="2015-08-28T00:00:00"/>
    <m/>
    <n v="0"/>
    <n v="110"/>
    <n v="110"/>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5"/>
    <x v="0"/>
    <n v="3.6659999999999999"/>
    <m/>
    <x v="0"/>
    <m/>
    <s v="Open Market"/>
    <s v="M"/>
    <s v="9.1"/>
    <m/>
    <n v="262"/>
    <m/>
    <n v="26"/>
    <m/>
    <n v="0"/>
    <n v="0"/>
    <n v="0"/>
    <n v="0"/>
    <n v="0"/>
    <n v="0"/>
    <n v="110"/>
    <n v="0"/>
    <n v="0"/>
    <n v="0"/>
    <n v="0"/>
    <n v="0"/>
    <n v="0"/>
    <n v="109"/>
    <n v="0"/>
    <n v="0"/>
    <n v="0"/>
    <n v="0"/>
    <n v="0"/>
    <n v="0"/>
    <n v="1"/>
    <n v="0"/>
    <n v="0"/>
    <n v="0"/>
    <n v="0"/>
    <n v="0"/>
    <n v="0"/>
    <n v="0"/>
    <m/>
    <m/>
    <s v="Rest of Borough"/>
    <n v="17"/>
    <m/>
    <m/>
    <m/>
    <m/>
    <m/>
    <m/>
    <n v="27.5"/>
    <n v="27.5"/>
    <n v="27.5"/>
    <n v="27.5"/>
    <m/>
    <m/>
    <m/>
    <m/>
    <m/>
    <m/>
    <m/>
    <m/>
    <m/>
    <m/>
    <n v="0"/>
    <n v="110"/>
  </r>
  <r>
    <n v="2502"/>
    <x v="1"/>
    <s v="2010/3703"/>
    <s v="Springfield Hospital site, 61 Glenburnie Road"/>
    <s v=""/>
    <n v="527221"/>
    <n v="172443"/>
    <s v="Wandsworth Common"/>
    <d v="2015-08-28T00:00:00"/>
    <m/>
    <n v="0"/>
    <n v="37"/>
    <n v="37"/>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0"/>
    <x v="0"/>
    <n v="0.96599999999999997"/>
    <m/>
    <x v="0"/>
    <m/>
    <s v="Social/Affordable Rent"/>
    <s v="AA"/>
    <s v="9.1"/>
    <m/>
    <n v="69"/>
    <m/>
    <n v="6"/>
    <m/>
    <n v="0"/>
    <n v="0"/>
    <n v="0"/>
    <n v="0"/>
    <n v="0"/>
    <n v="0"/>
    <n v="37"/>
    <n v="0"/>
    <n v="0"/>
    <n v="0"/>
    <n v="0"/>
    <n v="0"/>
    <n v="0"/>
    <n v="0"/>
    <n v="0"/>
    <n v="0"/>
    <n v="0"/>
    <n v="0"/>
    <n v="0"/>
    <n v="0"/>
    <n v="37"/>
    <n v="0"/>
    <n v="0"/>
    <n v="0"/>
    <n v="0"/>
    <n v="0"/>
    <n v="0"/>
    <n v="0"/>
    <m/>
    <m/>
    <s v="Rest of Borough"/>
    <n v="17"/>
    <m/>
    <m/>
    <m/>
    <m/>
    <m/>
    <m/>
    <n v="9.25"/>
    <n v="9.25"/>
    <n v="9.25"/>
    <n v="9.25"/>
    <m/>
    <m/>
    <m/>
    <m/>
    <m/>
    <m/>
    <m/>
    <m/>
    <m/>
    <m/>
    <n v="0"/>
    <n v="37"/>
  </r>
  <r>
    <n v="2502"/>
    <x v="1"/>
    <s v="2010/3703"/>
    <s v="Springfield Hospital site, 61 Glenburnie Road"/>
    <s v=""/>
    <n v="527221"/>
    <n v="172443"/>
    <s v="Wandsworth Common"/>
    <d v="2015-08-28T00:00:00"/>
    <m/>
    <n v="0"/>
    <n v="15"/>
    <n v="15"/>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0"/>
    <x v="0"/>
    <n v="0.60199999999999998"/>
    <m/>
    <x v="0"/>
    <m/>
    <s v="Intermediate"/>
    <s v="ISO"/>
    <s v="9.1"/>
    <m/>
    <n v="43"/>
    <m/>
    <n v="4"/>
    <m/>
    <n v="0"/>
    <n v="0"/>
    <n v="0"/>
    <n v="0"/>
    <n v="0"/>
    <n v="0"/>
    <n v="15"/>
    <n v="0"/>
    <n v="0"/>
    <n v="0"/>
    <n v="0"/>
    <n v="0"/>
    <n v="0"/>
    <n v="14"/>
    <n v="0"/>
    <n v="0"/>
    <n v="0"/>
    <n v="0"/>
    <n v="0"/>
    <n v="0"/>
    <n v="1"/>
    <n v="0"/>
    <n v="0"/>
    <n v="0"/>
    <n v="0"/>
    <n v="0"/>
    <n v="0"/>
    <n v="0"/>
    <m/>
    <m/>
    <s v="Rest of Borough"/>
    <n v="17"/>
    <m/>
    <m/>
    <m/>
    <m/>
    <m/>
    <m/>
    <n v="3.75"/>
    <n v="3.75"/>
    <n v="3.75"/>
    <n v="3.75"/>
    <m/>
    <m/>
    <m/>
    <m/>
    <m/>
    <m/>
    <m/>
    <m/>
    <m/>
    <m/>
    <n v="0"/>
    <n v="15"/>
  </r>
  <r>
    <n v="2502"/>
    <x v="1"/>
    <s v="2010/3703"/>
    <s v="Springfield Hospital site, 61 Glenburnie Road"/>
    <s v="Extra Care"/>
    <n v="527221"/>
    <n v="172443"/>
    <s v="Wandsworth Common"/>
    <d v="2015-08-28T00:00:00"/>
    <m/>
    <n v="0"/>
    <n v="46"/>
    <n v="46"/>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0"/>
    <x v="0"/>
    <n v="0.64400000000000002"/>
    <m/>
    <x v="0"/>
    <m/>
    <s v="Social/Affordable Rent"/>
    <s v="AS"/>
    <s v="9.1"/>
    <m/>
    <n v="46"/>
    <m/>
    <n v="4"/>
    <m/>
    <n v="0"/>
    <n v="40"/>
    <n v="6"/>
    <n v="0"/>
    <n v="0"/>
    <n v="0"/>
    <n v="0"/>
    <n v="0"/>
    <n v="40"/>
    <n v="6"/>
    <n v="0"/>
    <n v="0"/>
    <n v="0"/>
    <n v="0"/>
    <n v="0"/>
    <n v="0"/>
    <n v="0"/>
    <n v="0"/>
    <n v="0"/>
    <n v="0"/>
    <n v="0"/>
    <n v="0"/>
    <n v="0"/>
    <n v="0"/>
    <n v="0"/>
    <n v="0"/>
    <n v="0"/>
    <n v="0"/>
    <m/>
    <m/>
    <s v="Rest of Borough"/>
    <n v="17"/>
    <m/>
    <m/>
    <m/>
    <m/>
    <m/>
    <m/>
    <n v="11.5"/>
    <n v="11.5"/>
    <n v="11.5"/>
    <n v="11.5"/>
    <m/>
    <m/>
    <m/>
    <m/>
    <m/>
    <m/>
    <m/>
    <m/>
    <m/>
    <m/>
    <n v="0"/>
    <n v="46"/>
  </r>
  <r>
    <n v="2502"/>
    <x v="1"/>
    <s v="2010/3703"/>
    <s v="Springfield Hospital site, 61 Glenburnie Road"/>
    <s v="For People with Disabilities"/>
    <n v="527221"/>
    <n v="172443"/>
    <s v="Wandsworth Common"/>
    <d v="2015-08-28T00:00:00"/>
    <m/>
    <n v="0"/>
    <n v="10"/>
    <n v="10"/>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x v="0"/>
    <x v="0"/>
    <n v="1.4E-2"/>
    <m/>
    <x v="0"/>
    <m/>
    <s v="Social/Affordable Rent"/>
    <s v="AA"/>
    <s v="9.1"/>
    <m/>
    <n v="10"/>
    <m/>
    <n v="1"/>
    <m/>
    <n v="0"/>
    <n v="10"/>
    <n v="0"/>
    <n v="0"/>
    <n v="0"/>
    <n v="0"/>
    <n v="0"/>
    <n v="0"/>
    <n v="10"/>
    <n v="0"/>
    <n v="0"/>
    <n v="0"/>
    <n v="0"/>
    <n v="0"/>
    <n v="0"/>
    <n v="0"/>
    <n v="0"/>
    <n v="0"/>
    <n v="0"/>
    <n v="0"/>
    <n v="0"/>
    <n v="0"/>
    <n v="0"/>
    <n v="0"/>
    <n v="0"/>
    <n v="0"/>
    <n v="0"/>
    <n v="0"/>
    <m/>
    <m/>
    <s v="Rest of Borough"/>
    <n v="17"/>
    <m/>
    <m/>
    <m/>
    <m/>
    <m/>
    <m/>
    <n v="2.5"/>
    <n v="2.5"/>
    <n v="2.5"/>
    <n v="2.5"/>
    <m/>
    <m/>
    <m/>
    <m/>
    <m/>
    <m/>
    <m/>
    <m/>
    <m/>
    <m/>
    <n v="0"/>
    <n v="10"/>
  </r>
  <r>
    <n v="6419"/>
    <x v="1"/>
    <s v="2016/2027"/>
    <s v="15-27 Falcon Road"/>
    <s v=""/>
    <n v="527130"/>
    <n v="176085"/>
    <s v="Falconbrook"/>
    <d v="2020-05-26T00:00:00"/>
    <s v=""/>
    <n v="0"/>
    <n v="25"/>
    <n v="25"/>
    <n v="25"/>
    <n v="25"/>
    <s v="Y"/>
    <s v="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
    <s v="PFLA"/>
    <d v="2016-04-12T00:00:00"/>
    <d v="2017-02-24T00:00:00"/>
    <m/>
    <s v="Nil"/>
    <s v=""/>
    <s v="BF"/>
    <s v="NB"/>
    <x v="0"/>
    <x v="0"/>
    <n v="7.0999999999999994E-2"/>
    <s v=""/>
    <x v="0"/>
    <s v=""/>
    <s v="Open Market"/>
    <s v="M"/>
    <s v=""/>
    <m/>
    <n v="3"/>
    <m/>
    <n v="25"/>
    <m/>
    <n v="0"/>
    <n v="8"/>
    <n v="13"/>
    <n v="4"/>
    <n v="0"/>
    <n v="0"/>
    <n v="0"/>
    <n v="0"/>
    <n v="8"/>
    <n v="13"/>
    <n v="4"/>
    <n v="0"/>
    <n v="0"/>
    <n v="0"/>
    <n v="0"/>
    <n v="0"/>
    <n v="0"/>
    <n v="0"/>
    <n v="0"/>
    <n v="0"/>
    <n v="0"/>
    <n v="0"/>
    <n v="0"/>
    <n v="0"/>
    <n v="0"/>
    <n v="0"/>
    <n v="0"/>
    <n v="0"/>
    <m/>
    <m/>
    <s v="Rest of Borough"/>
    <n v="3"/>
    <m/>
    <n v="25"/>
    <m/>
    <m/>
    <m/>
    <m/>
    <m/>
    <m/>
    <m/>
    <m/>
    <m/>
    <m/>
    <m/>
    <m/>
    <m/>
    <m/>
    <m/>
    <m/>
    <m/>
    <m/>
    <n v="25"/>
    <n v="25"/>
  </r>
  <r>
    <n v="6280"/>
    <x v="1"/>
    <s v="2019/5092"/>
    <s v="Belvedere Court, 372-374 Upper Richmond Road"/>
    <s v=""/>
    <n v="523210"/>
    <n v="175380"/>
    <s v="West Putney"/>
    <m/>
    <m/>
    <n v="0"/>
    <n v="9"/>
    <n v="9"/>
    <n v="9"/>
    <n v="9"/>
    <m/>
    <s v="Alterations including extension to main roof for the creation of 6 X 2 bedroom, 2 X 1 bedroom and 1 X 3 bedroom flats at 6th and 7th floor level.. Associated landscaping and refuse provision. Formation of additional 9 parking spaces."/>
    <s v="PF"/>
    <d v="2019-12-16T00:00:00"/>
    <d v="2020-06-18T00:00:00"/>
    <m/>
    <s v="Nil"/>
    <m/>
    <s v="BF"/>
    <s v="EXT"/>
    <x v="2"/>
    <x v="2"/>
    <n v="3.9E-2"/>
    <m/>
    <x v="0"/>
    <m/>
    <s v="Open Market"/>
    <s v="M"/>
    <s v=""/>
    <m/>
    <n v="0"/>
    <m/>
    <n v="0"/>
    <m/>
    <n v="0"/>
    <n v="2"/>
    <n v="6"/>
    <n v="1"/>
    <n v="0"/>
    <n v="0"/>
    <n v="0"/>
    <n v="0"/>
    <n v="2"/>
    <n v="6"/>
    <n v="1"/>
    <n v="0"/>
    <n v="0"/>
    <n v="0"/>
    <n v="0"/>
    <n v="0"/>
    <n v="0"/>
    <n v="0"/>
    <n v="0"/>
    <n v="0"/>
    <n v="0"/>
    <n v="0"/>
    <n v="0"/>
    <n v="0"/>
    <n v="0"/>
    <n v="0"/>
    <n v="0"/>
    <n v="0"/>
    <m/>
    <m/>
    <s v="Rest of Borough"/>
    <n v="18"/>
    <m/>
    <n v="2.25"/>
    <n v="2.25"/>
    <n v="2.25"/>
    <n v="2.25"/>
    <m/>
    <m/>
    <m/>
    <m/>
    <m/>
    <m/>
    <m/>
    <m/>
    <m/>
    <m/>
    <m/>
    <m/>
    <m/>
    <m/>
    <m/>
    <n v="9"/>
    <n v="9"/>
  </r>
  <r>
    <n v="7190"/>
    <x v="1"/>
    <s v="2019/2585"/>
    <s v="Wildcroft Manor, Wildcroft Road"/>
    <s v=""/>
    <n v="523349"/>
    <n v="173599"/>
    <s v="West Putney"/>
    <m/>
    <m/>
    <n v="0"/>
    <n v="9"/>
    <n v="9"/>
    <n v="9"/>
    <n v="9"/>
    <m/>
    <s v="Alterations including erection of front and rear dormer roof extensions to all blocks to provide to 6 x 2-bedroom and 3 x 3-bedroom flats; 18 cycle storage spaces ."/>
    <s v="PF"/>
    <d v="2019-06-27T00:00:00"/>
    <d v="2019-09-18T00:00:00"/>
    <m/>
    <s v="Nil"/>
    <m/>
    <s v="BF"/>
    <s v="EXT"/>
    <x v="2"/>
    <x v="2"/>
    <n v="3.5999999999999997E-2"/>
    <m/>
    <x v="0"/>
    <m/>
    <s v="Open Market"/>
    <s v="M"/>
    <s v=""/>
    <m/>
    <n v="0"/>
    <m/>
    <n v="0"/>
    <m/>
    <n v="0"/>
    <n v="0"/>
    <n v="6"/>
    <n v="3"/>
    <n v="0"/>
    <n v="0"/>
    <n v="0"/>
    <n v="0"/>
    <n v="0"/>
    <n v="6"/>
    <n v="3"/>
    <n v="0"/>
    <n v="0"/>
    <n v="0"/>
    <n v="0"/>
    <n v="0"/>
    <n v="0"/>
    <n v="0"/>
    <n v="0"/>
    <n v="0"/>
    <n v="0"/>
    <n v="0"/>
    <n v="0"/>
    <n v="0"/>
    <n v="0"/>
    <n v="0"/>
    <n v="0"/>
    <n v="0"/>
    <m/>
    <m/>
    <s v="Rest of Borough"/>
    <n v="18"/>
    <m/>
    <n v="2.25"/>
    <n v="2.25"/>
    <n v="2.25"/>
    <n v="2.25"/>
    <m/>
    <m/>
    <m/>
    <m/>
    <m/>
    <m/>
    <m/>
    <m/>
    <m/>
    <m/>
    <m/>
    <m/>
    <m/>
    <m/>
    <m/>
    <n v="9"/>
    <n v="9"/>
  </r>
  <r>
    <n v="7610"/>
    <x v="1"/>
    <s v="2021/1858"/>
    <s v="172-174 Upper Richmond Road"/>
    <s v=""/>
    <n v="524107"/>
    <n v="175023"/>
    <s v="East Putney"/>
    <m/>
    <m/>
    <n v="0"/>
    <n v="8"/>
    <n v="8"/>
    <n v="8"/>
    <n v="8"/>
    <m/>
    <s v="Alterations including erection of first floor rear extension; extension to form three additional floors of accommodation at second, third and fourth floor levels; formation of front roof terrace at fourth floor level; formation of balconies at rear first, second and third floor levels; alterations to ground floor frontage. Works in connection with provision of 8 flats (7 x 2-bedroom and 1 x 1-bedroom) on the upper floors of the extended building, with ground and basement floors retained in commercial use, with associated cycle parking and refuse storage facilities."/>
    <s v="PF"/>
    <d v="2021-04-19T00:00:00"/>
    <d v="2022-01-25T00:00:00"/>
    <m/>
    <s v="Nil"/>
    <m/>
    <s v="BF"/>
    <s v="EXT"/>
    <x v="2"/>
    <x v="2"/>
    <n v="8.9999999999999993E-3"/>
    <m/>
    <x v="0"/>
    <m/>
    <s v="Open Market"/>
    <s v="M"/>
    <s v=""/>
    <m/>
    <n v="0"/>
    <m/>
    <n v="0"/>
    <m/>
    <n v="0"/>
    <n v="1"/>
    <n v="7"/>
    <n v="0"/>
    <n v="0"/>
    <n v="0"/>
    <n v="0"/>
    <n v="0"/>
    <n v="1"/>
    <n v="7"/>
    <n v="0"/>
    <n v="0"/>
    <n v="0"/>
    <n v="0"/>
    <n v="0"/>
    <n v="0"/>
    <n v="0"/>
    <n v="0"/>
    <n v="0"/>
    <n v="0"/>
    <n v="0"/>
    <n v="0"/>
    <n v="0"/>
    <n v="0"/>
    <n v="0"/>
    <n v="0"/>
    <n v="0"/>
    <n v="0"/>
    <s v="Putney"/>
    <m/>
    <s v="Putney Town Centre"/>
    <n v="18"/>
    <m/>
    <n v="2"/>
    <n v="2"/>
    <n v="2"/>
    <n v="2"/>
    <m/>
    <m/>
    <m/>
    <m/>
    <m/>
    <m/>
    <m/>
    <m/>
    <m/>
    <m/>
    <m/>
    <m/>
    <m/>
    <m/>
    <m/>
    <n v="8"/>
    <n v="8"/>
  </r>
  <r>
    <n v="6707"/>
    <x v="1"/>
    <s v="2022/4571"/>
    <s v="158-160 Balham High Road"/>
    <s v=""/>
    <n v="528529"/>
    <n v="173387"/>
    <s v="Balham"/>
    <m/>
    <m/>
    <n v="0"/>
    <n v="7"/>
    <n v="7"/>
    <n v="7"/>
    <n v="7"/>
    <m/>
    <s v="Alterations including erection of single storey extension and mansard roof extension above existing two storey building in connection with creation 7 self-contained flats all with private balconies/terraces at each level and associated cycle and refuse storage."/>
    <s v="PF"/>
    <d v="2022-11-08T00:00:00"/>
    <d v="2023-03-03T00:00:00"/>
    <s v="Y"/>
    <s v="Nil"/>
    <m/>
    <s v="BF"/>
    <s v="EXT"/>
    <x v="2"/>
    <x v="2"/>
    <n v="2.2349999999999998E-2"/>
    <m/>
    <x v="0"/>
    <m/>
    <s v="Open Market"/>
    <s v="M"/>
    <s v=""/>
    <m/>
    <n v="0"/>
    <m/>
    <n v="0"/>
    <m/>
    <n v="0"/>
    <n v="3"/>
    <n v="4"/>
    <n v="0"/>
    <n v="0"/>
    <n v="0"/>
    <n v="0"/>
    <n v="0"/>
    <n v="3"/>
    <n v="4"/>
    <n v="0"/>
    <n v="0"/>
    <n v="0"/>
    <n v="0"/>
    <n v="0"/>
    <n v="0"/>
    <n v="0"/>
    <n v="0"/>
    <n v="0"/>
    <n v="0"/>
    <n v="0"/>
    <n v="0"/>
    <n v="0"/>
    <n v="0"/>
    <n v="0"/>
    <n v="0"/>
    <n v="0"/>
    <n v="0"/>
    <s v="Balham"/>
    <m/>
    <s v="Balham"/>
    <n v="18"/>
    <m/>
    <n v="1.75"/>
    <n v="1.75"/>
    <n v="1.75"/>
    <n v="1.75"/>
    <m/>
    <m/>
    <m/>
    <m/>
    <m/>
    <m/>
    <m/>
    <m/>
    <m/>
    <m/>
    <m/>
    <m/>
    <m/>
    <m/>
    <m/>
    <n v="7"/>
    <n v="7"/>
  </r>
  <r>
    <n v="7441"/>
    <x v="1"/>
    <s v="2020/2483"/>
    <s v="61-63 St Johns Road"/>
    <s v=""/>
    <n v="527417"/>
    <n v="175225"/>
    <s v="Lavender"/>
    <m/>
    <m/>
    <n v="0"/>
    <n v="7"/>
    <n v="7"/>
    <n v="7"/>
    <n v="7"/>
    <m/>
    <s v="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
    <s v="PF"/>
    <d v="2020-07-10T00:00:00"/>
    <d v="2020-11-02T00:00:00"/>
    <m/>
    <s v="Nil"/>
    <m/>
    <s v="BF"/>
    <s v="COU"/>
    <x v="2"/>
    <x v="4"/>
    <n v="1.4E-2"/>
    <m/>
    <x v="0"/>
    <m/>
    <s v="Open Market"/>
    <s v="M"/>
    <s v=""/>
    <m/>
    <n v="0"/>
    <m/>
    <n v="0"/>
    <m/>
    <n v="0"/>
    <n v="6"/>
    <n v="1"/>
    <n v="0"/>
    <n v="0"/>
    <n v="0"/>
    <n v="0"/>
    <n v="0"/>
    <n v="6"/>
    <n v="1"/>
    <n v="0"/>
    <n v="0"/>
    <n v="0"/>
    <n v="0"/>
    <n v="0"/>
    <n v="0"/>
    <n v="0"/>
    <n v="0"/>
    <n v="0"/>
    <n v="0"/>
    <n v="0"/>
    <n v="0"/>
    <n v="0"/>
    <n v="0"/>
    <n v="0"/>
    <n v="0"/>
    <n v="0"/>
    <n v="0"/>
    <s v="Clapham Junction"/>
    <m/>
    <s v="Clapham Junction Spatial Area Strategy"/>
    <n v="18"/>
    <m/>
    <n v="1.75"/>
    <n v="1.75"/>
    <n v="1.75"/>
    <n v="1.75"/>
    <m/>
    <m/>
    <m/>
    <m/>
    <m/>
    <m/>
    <m/>
    <m/>
    <m/>
    <m/>
    <m/>
    <m/>
    <m/>
    <m/>
    <m/>
    <n v="7"/>
    <n v="7"/>
  </r>
  <r>
    <n v="6221"/>
    <x v="1"/>
    <s v="2022/1088"/>
    <s v="67-85 Aslett Street"/>
    <s v=""/>
    <n v="526099"/>
    <n v="173957"/>
    <s v="Wandle"/>
    <m/>
    <m/>
    <n v="0"/>
    <n v="7"/>
    <n v="7"/>
    <n v="7"/>
    <n v="7"/>
    <m/>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to the rear obscure glass balustrade from 1.1m to 1.7 m in height (same description as application ref: 2016/1393 and application ref: 2019/2479)."/>
    <s v="PF"/>
    <d v="2022-03-22T00:00:00"/>
    <d v="2023-01-24T00:00:00"/>
    <s v="Y"/>
    <s v="Nil"/>
    <m/>
    <s v="BF"/>
    <s v="MIX"/>
    <x v="2"/>
    <x v="2"/>
    <n v="0"/>
    <m/>
    <x v="0"/>
    <m/>
    <s v="Open Market"/>
    <s v="M"/>
    <s v=""/>
    <m/>
    <n v="0"/>
    <m/>
    <n v="0"/>
    <m/>
    <n v="0"/>
    <n v="0"/>
    <n v="7"/>
    <n v="0"/>
    <n v="0"/>
    <n v="0"/>
    <n v="0"/>
    <n v="0"/>
    <n v="0"/>
    <n v="7"/>
    <n v="0"/>
    <n v="0"/>
    <n v="0"/>
    <n v="0"/>
    <n v="0"/>
    <n v="0"/>
    <n v="0"/>
    <n v="0"/>
    <n v="0"/>
    <n v="0"/>
    <n v="0"/>
    <n v="0"/>
    <n v="0"/>
    <n v="0"/>
    <n v="0"/>
    <n v="0"/>
    <n v="0"/>
    <n v="0"/>
    <m/>
    <m/>
    <s v="Rest of Borough"/>
    <n v="18"/>
    <m/>
    <n v="1.75"/>
    <n v="1.75"/>
    <n v="1.75"/>
    <n v="1.75"/>
    <m/>
    <m/>
    <m/>
    <m/>
    <m/>
    <m/>
    <m/>
    <m/>
    <m/>
    <m/>
    <m/>
    <m/>
    <m/>
    <m/>
    <m/>
    <n v="7"/>
    <n v="7"/>
  </r>
  <r>
    <n v="4750"/>
    <x v="1"/>
    <s v="2021/0928"/>
    <s v="111-113 Wandsworth High Street"/>
    <s v=""/>
    <n v="525522"/>
    <n v="174660"/>
    <s v="Wandsworth Town"/>
    <m/>
    <m/>
    <n v="0"/>
    <n v="6"/>
    <n v="6"/>
    <n v="6"/>
    <n v="6"/>
    <m/>
    <s v="Alterations including erection of two storey roof extension including front and rear mansard and excavation to create basement in connection with provision of retail at ground floor level with ancillary office and storage floorspace on the basement and first floor levels (Class E), and 4 x 2-bedroom, 1 x 1-bedroom and 1 x studio flats with front and rear roof terraces and associated refuse storage accessed from the rear"/>
    <s v="PF"/>
    <d v="2021-02-26T00:00:00"/>
    <d v="2021-07-27T00:00:00"/>
    <m/>
    <s v="Nil"/>
    <m/>
    <s v="BF"/>
    <s v="MIX"/>
    <x v="2"/>
    <x v="3"/>
    <n v="2.9000000000000001E-2"/>
    <m/>
    <x v="0"/>
    <m/>
    <s v="Open Market"/>
    <s v="M"/>
    <s v=""/>
    <m/>
    <n v="0"/>
    <m/>
    <n v="0"/>
    <m/>
    <n v="1"/>
    <n v="1"/>
    <n v="4"/>
    <n v="0"/>
    <n v="0"/>
    <n v="0"/>
    <n v="0"/>
    <n v="1"/>
    <n v="1"/>
    <n v="4"/>
    <n v="0"/>
    <n v="0"/>
    <n v="0"/>
    <n v="0"/>
    <n v="0"/>
    <n v="0"/>
    <n v="0"/>
    <n v="0"/>
    <n v="0"/>
    <n v="0"/>
    <n v="0"/>
    <n v="0"/>
    <n v="0"/>
    <n v="0"/>
    <n v="0"/>
    <n v="0"/>
    <n v="0"/>
    <n v="0"/>
    <s v="Wandsworth"/>
    <m/>
    <s v="Wandsworth Town, including the Wandle Delta Masterplan Area"/>
    <n v="18"/>
    <m/>
    <n v="1.5"/>
    <n v="1.5"/>
    <n v="1.5"/>
    <n v="1.5"/>
    <m/>
    <m/>
    <m/>
    <m/>
    <m/>
    <m/>
    <m/>
    <m/>
    <m/>
    <m/>
    <m/>
    <m/>
    <m/>
    <m/>
    <m/>
    <n v="6"/>
    <n v="6"/>
  </r>
  <r>
    <n v="6805"/>
    <x v="1"/>
    <s v="2020/2542"/>
    <s v="231 Putney Bridge Road"/>
    <s v=""/>
    <n v="524490"/>
    <n v="175266"/>
    <s v="Thamesfield"/>
    <m/>
    <m/>
    <n v="0"/>
    <n v="6"/>
    <n v="6"/>
    <n v="8"/>
    <n v="8"/>
    <m/>
    <s v="Alterations including erection of front and rear mansard extensions to main roof and erection of extension at second and third floor level to side elevation in connection with conversion of 6 x 1-bedroom and 2 x 2-bedroom flats."/>
    <s v="PF"/>
    <d v="2020-08-05T00:00:00"/>
    <d v="2020-11-27T00:00:00"/>
    <m/>
    <s v="Nil"/>
    <m/>
    <s v="BF"/>
    <s v="MIX"/>
    <x v="2"/>
    <x v="3"/>
    <n v="1.4E-2"/>
    <m/>
    <x v="0"/>
    <m/>
    <s v="Open Market"/>
    <s v="M"/>
    <s v=""/>
    <m/>
    <n v="0"/>
    <m/>
    <n v="0"/>
    <m/>
    <n v="0"/>
    <n v="5"/>
    <n v="1"/>
    <n v="0"/>
    <n v="0"/>
    <n v="0"/>
    <n v="0"/>
    <n v="0"/>
    <n v="5"/>
    <n v="1"/>
    <n v="0"/>
    <n v="0"/>
    <n v="0"/>
    <n v="0"/>
    <n v="0"/>
    <n v="0"/>
    <n v="0"/>
    <n v="0"/>
    <n v="0"/>
    <n v="0"/>
    <n v="0"/>
    <n v="0"/>
    <n v="0"/>
    <n v="0"/>
    <n v="0"/>
    <n v="0"/>
    <n v="0"/>
    <n v="0"/>
    <m/>
    <m/>
    <s v="Rest of Borough"/>
    <n v="18"/>
    <m/>
    <n v="1.5"/>
    <n v="1.5"/>
    <n v="1.5"/>
    <n v="1.5"/>
    <m/>
    <m/>
    <m/>
    <m/>
    <m/>
    <m/>
    <m/>
    <m/>
    <m/>
    <m/>
    <m/>
    <m/>
    <m/>
    <m/>
    <m/>
    <n v="6"/>
    <n v="6"/>
  </r>
  <r>
    <n v="2304"/>
    <x v="1"/>
    <s v="2020/4088"/>
    <s v="Chelsea Bridge Wharf (southern site), Queenstown Road (Phase 5, Residential Blocks F &amp; G (Lanson House &amp; Burnelli House))"/>
    <s v=""/>
    <n v="528666"/>
    <n v="177450"/>
    <s v="Battersea Park"/>
    <m/>
    <m/>
    <n v="0"/>
    <n v="6"/>
    <n v="6"/>
    <n v="6"/>
    <n v="6"/>
    <m/>
    <s v="Change of use of the ground floor of the Lanson building from commercial floorspace to form 6 residential units (Class C3), comprising 2 x 1 beds, 3 x 2 bed and 1 x 3 bed units, along with associated internal and external alterations."/>
    <s v="PF"/>
    <d v="2020-10-28T00:00:00"/>
    <d v="2021-04-30T00:00:00"/>
    <m/>
    <s v="Nil"/>
    <m/>
    <s v="BF"/>
    <s v="CON"/>
    <x v="2"/>
    <x v="6"/>
    <n v="8.0000000000000002E-3"/>
    <m/>
    <x v="0"/>
    <m/>
    <s v="Open Market"/>
    <s v="M"/>
    <s v=""/>
    <m/>
    <n v="0"/>
    <m/>
    <n v="0"/>
    <m/>
    <n v="0"/>
    <n v="2"/>
    <n v="3"/>
    <n v="1"/>
    <n v="0"/>
    <n v="0"/>
    <n v="0"/>
    <n v="0"/>
    <n v="2"/>
    <n v="3"/>
    <n v="1"/>
    <n v="0"/>
    <n v="0"/>
    <n v="0"/>
    <n v="0"/>
    <n v="0"/>
    <n v="0"/>
    <n v="0"/>
    <n v="0"/>
    <n v="0"/>
    <n v="0"/>
    <n v="0"/>
    <n v="0"/>
    <n v="0"/>
    <n v="0"/>
    <n v="0"/>
    <n v="0"/>
    <n v="0"/>
    <m/>
    <s v="Y"/>
    <s v="Nine Elms Vauxhall Opportunity Area"/>
    <n v="18"/>
    <m/>
    <n v="1.5"/>
    <n v="1.5"/>
    <n v="1.5"/>
    <n v="1.5"/>
    <m/>
    <m/>
    <m/>
    <m/>
    <m/>
    <m/>
    <m/>
    <m/>
    <m/>
    <m/>
    <m/>
    <m/>
    <m/>
    <m/>
    <m/>
    <n v="6"/>
    <n v="6"/>
  </r>
  <r>
    <n v="2102"/>
    <x v="1"/>
    <s v="2022/0920"/>
    <s v="Chivelston, 78 Wimbledon Park Side"/>
    <s v=""/>
    <n v="523637"/>
    <n v="173150"/>
    <s v="West Hill"/>
    <m/>
    <m/>
    <n v="0"/>
    <n v="6"/>
    <n v="6"/>
    <n v="6"/>
    <n v="6"/>
    <m/>
    <s v="Alterations including the erection of an additional floor of accommodation containing 6 flats (2 x 3-bedroom and 4 x 2-bedroom)."/>
    <s v="PF"/>
    <d v="2022-03-11T00:00:00"/>
    <d v="2022-10-07T00:00:00"/>
    <s v="Y"/>
    <s v="Nil"/>
    <m/>
    <s v="BF"/>
    <s v="EXT"/>
    <x v="2"/>
    <x v="2"/>
    <n v="4.6300000000000001E-2"/>
    <m/>
    <x v="0"/>
    <m/>
    <s v="Open Market"/>
    <s v="M"/>
    <s v=""/>
    <m/>
    <n v="0"/>
    <m/>
    <n v="0"/>
    <m/>
    <n v="0"/>
    <n v="0"/>
    <n v="4"/>
    <n v="2"/>
    <n v="0"/>
    <n v="0"/>
    <n v="0"/>
    <n v="0"/>
    <n v="0"/>
    <n v="4"/>
    <n v="2"/>
    <n v="0"/>
    <n v="0"/>
    <n v="0"/>
    <n v="0"/>
    <n v="0"/>
    <n v="0"/>
    <n v="0"/>
    <n v="0"/>
    <n v="0"/>
    <n v="0"/>
    <n v="0"/>
    <n v="0"/>
    <n v="0"/>
    <n v="0"/>
    <n v="0"/>
    <n v="0"/>
    <n v="0"/>
    <m/>
    <m/>
    <s v="Rest of Borough"/>
    <n v="18"/>
    <m/>
    <n v="1.5"/>
    <n v="1.5"/>
    <n v="1.5"/>
    <n v="1.5"/>
    <m/>
    <m/>
    <m/>
    <m/>
    <m/>
    <m/>
    <m/>
    <m/>
    <m/>
    <m/>
    <m/>
    <m/>
    <m/>
    <m/>
    <m/>
    <n v="6"/>
    <n v="6"/>
  </r>
  <r>
    <n v="5803"/>
    <x v="1"/>
    <s v="2020/0685"/>
    <s v="Units 2, 3, 4, 5, 6, &amp; 7 Leeward House, Square Rigger Row (Plantation Wharf)"/>
    <s v=""/>
    <n v="526534"/>
    <n v="175822"/>
    <s v="St Mary's"/>
    <m/>
    <m/>
    <n v="0"/>
    <n v="6"/>
    <n v="6"/>
    <n v="6"/>
    <n v="6"/>
    <m/>
    <s v="Determination as to whether prior approval is required for change of use from office (Class B1) to 6 x 1-bedroom flats (Class C3)."/>
    <s v="PAG"/>
    <d v="2020-03-02T00:00:00"/>
    <d v="2020-04-17T00:00:00"/>
    <m/>
    <s v="Nil"/>
    <m/>
    <s v="BF"/>
    <s v="COU"/>
    <x v="2"/>
    <x v="6"/>
    <n v="8.0000000000000002E-3"/>
    <m/>
    <x v="0"/>
    <m/>
    <s v="Open Market"/>
    <s v="M"/>
    <s v="10.15"/>
    <m/>
    <n v="0"/>
    <m/>
    <n v="0"/>
    <m/>
    <n v="0"/>
    <n v="6"/>
    <n v="0"/>
    <n v="0"/>
    <n v="0"/>
    <n v="0"/>
    <n v="0"/>
    <n v="0"/>
    <n v="6"/>
    <n v="0"/>
    <n v="0"/>
    <n v="0"/>
    <n v="0"/>
    <n v="0"/>
    <n v="0"/>
    <n v="0"/>
    <n v="0"/>
    <n v="0"/>
    <n v="0"/>
    <n v="0"/>
    <n v="0"/>
    <n v="0"/>
    <n v="0"/>
    <n v="0"/>
    <n v="0"/>
    <n v="0"/>
    <n v="0"/>
    <n v="0"/>
    <m/>
    <m/>
    <s v="Wandsworth riverside"/>
    <n v="18"/>
    <m/>
    <n v="1.5"/>
    <n v="1.5"/>
    <n v="1.5"/>
    <n v="1.5"/>
    <m/>
    <m/>
    <m/>
    <m/>
    <m/>
    <m/>
    <m/>
    <m/>
    <m/>
    <m/>
    <m/>
    <m/>
    <m/>
    <m/>
    <m/>
    <n v="6"/>
    <n v="6"/>
  </r>
  <r>
    <n v="7358"/>
    <x v="1"/>
    <s v="2020/0679"/>
    <s v="Units 3 to 8 Windward House, Square Rigger Row"/>
    <s v=""/>
    <n v="526467"/>
    <n v="175725"/>
    <s v="St Mary's"/>
    <m/>
    <m/>
    <n v="0"/>
    <n v="6"/>
    <n v="6"/>
    <n v="6"/>
    <n v="6"/>
    <m/>
    <s v="Determination as to whether prior approval is required for change of use from office (Class B1a) to 3 x 2-bedroom flats and 3 x 1-bedroom flats (Class C3)."/>
    <s v="PAG"/>
    <d v="2020-03-05T00:00:00"/>
    <d v="2020-04-17T00:00:00"/>
    <m/>
    <s v="Nil"/>
    <m/>
    <s v="BF"/>
    <s v="COU"/>
    <x v="2"/>
    <x v="6"/>
    <n v="1.4999999999999999E-2"/>
    <m/>
    <x v="0"/>
    <m/>
    <s v="Open Market"/>
    <s v="M"/>
    <s v=""/>
    <m/>
    <n v="0"/>
    <m/>
    <n v="0"/>
    <m/>
    <n v="0"/>
    <n v="3"/>
    <n v="3"/>
    <n v="0"/>
    <n v="0"/>
    <n v="0"/>
    <n v="0"/>
    <n v="0"/>
    <n v="3"/>
    <n v="3"/>
    <n v="0"/>
    <n v="0"/>
    <n v="0"/>
    <n v="0"/>
    <n v="0"/>
    <n v="0"/>
    <n v="0"/>
    <n v="0"/>
    <n v="0"/>
    <n v="0"/>
    <n v="0"/>
    <n v="0"/>
    <n v="0"/>
    <n v="0"/>
    <n v="0"/>
    <n v="0"/>
    <n v="0"/>
    <n v="0"/>
    <m/>
    <m/>
    <s v="Wandsworth riverside"/>
    <n v="18"/>
    <m/>
    <n v="1.5"/>
    <n v="1.5"/>
    <n v="1.5"/>
    <n v="1.5"/>
    <m/>
    <m/>
    <m/>
    <m/>
    <m/>
    <m/>
    <m/>
    <m/>
    <m/>
    <m/>
    <m/>
    <m/>
    <m/>
    <m/>
    <m/>
    <n v="6"/>
    <n v="6"/>
  </r>
  <r>
    <n v="7786"/>
    <x v="1"/>
    <s v="2022/0455"/>
    <s v="170-172 Mitcham Road"/>
    <s v=""/>
    <n v="527853"/>
    <n v="171000"/>
    <s v="Tooting Broadway"/>
    <m/>
    <m/>
    <n v="2"/>
    <n v="7"/>
    <n v="5"/>
    <n v="7"/>
    <n v="5"/>
    <m/>
    <s v="Alterations including change of use of rear ground floor from commercial (Class E) to residential (Class C3) at both properties. Erection of part single, part two, part three-storey side/rear extension at both properties and formation of second floor rear roof terraces. Provision of 2x 1-bedroom flats at ground level and conversion of existing 2x flats on 1st and 2nd floor into 3x 2-bedroom and 1x 1-bedroom studio flats. Erection of a dormer extension to main rear roof slopes with French windows and safety balustrade at both properties to create 1x 1-bedroom flat."/>
    <s v="PF"/>
    <d v="2022-02-21T00:00:00"/>
    <d v="2022-11-24T00:00:00"/>
    <s v="Y"/>
    <s v="Nil"/>
    <m/>
    <s v="BF"/>
    <s v="MIX"/>
    <x v="2"/>
    <x v="4"/>
    <n v="1.6566669999999999E-2"/>
    <m/>
    <x v="0"/>
    <m/>
    <s v="Open Market"/>
    <s v="MR"/>
    <s v=""/>
    <m/>
    <n v="0"/>
    <m/>
    <n v="0"/>
    <m/>
    <n v="1"/>
    <n v="3"/>
    <n v="3"/>
    <n v="0"/>
    <n v="-2"/>
    <n v="0"/>
    <n v="0"/>
    <n v="1"/>
    <n v="3"/>
    <n v="3"/>
    <n v="0"/>
    <n v="-2"/>
    <n v="0"/>
    <n v="0"/>
    <n v="0"/>
    <n v="0"/>
    <n v="0"/>
    <n v="0"/>
    <n v="0"/>
    <n v="0"/>
    <n v="0"/>
    <n v="0"/>
    <n v="0"/>
    <n v="0"/>
    <n v="0"/>
    <n v="0"/>
    <n v="0"/>
    <n v="0"/>
    <m/>
    <m/>
    <s v="Tooting"/>
    <n v="15"/>
    <m/>
    <n v="1.25"/>
    <n v="1.25"/>
    <n v="1.25"/>
    <n v="1.25"/>
    <m/>
    <m/>
    <m/>
    <m/>
    <m/>
    <m/>
    <m/>
    <m/>
    <m/>
    <m/>
    <m/>
    <m/>
    <m/>
    <m/>
    <m/>
    <n v="5"/>
    <n v="5"/>
  </r>
  <r>
    <n v="7822"/>
    <x v="1"/>
    <s v="2022/1358"/>
    <s v="31 Veronica Road"/>
    <s v=""/>
    <n v="528706"/>
    <n v="172468"/>
    <s v="South Balham"/>
    <m/>
    <m/>
    <n v="1"/>
    <n v="6"/>
    <n v="5"/>
    <n v="6"/>
    <n v="5"/>
    <m/>
    <s v="Alterations including erection of two-storey side extension with habitable roofspace; Erection of single-storey rear extension; Excavation of basement with formation of front lightwell; Alterations to garage to create bike store; Addition of bin stores to front; Replacement roof tiles and windows; Addition of railings to front and side boundaries and associated landscaping in connection with the conversion of property from single dwelling into 7 self-contained flats (3 x 3 bedroom flats, 2 X 2 bedroom flats and 2 X 1 bedroom flats)."/>
    <s v="PF"/>
    <d v="2022-04-04T00:00:00"/>
    <d v="2022-07-29T00:00:00"/>
    <s v="Y"/>
    <s v="Nil"/>
    <m/>
    <s v="BF"/>
    <s v="MIX"/>
    <x v="2"/>
    <x v="5"/>
    <n v="1.7000000000000001E-2"/>
    <m/>
    <x v="0"/>
    <m/>
    <s v="Open Market"/>
    <s v="M"/>
    <s v=""/>
    <m/>
    <n v="0"/>
    <m/>
    <n v="0"/>
    <m/>
    <n v="0"/>
    <n v="1"/>
    <n v="2"/>
    <n v="3"/>
    <n v="0"/>
    <n v="-1"/>
    <n v="0"/>
    <n v="0"/>
    <n v="1"/>
    <n v="2"/>
    <n v="3"/>
    <n v="0"/>
    <n v="0"/>
    <n v="0"/>
    <n v="0"/>
    <n v="0"/>
    <n v="0"/>
    <n v="0"/>
    <n v="0"/>
    <n v="-1"/>
    <n v="0"/>
    <n v="0"/>
    <n v="0"/>
    <n v="0"/>
    <n v="0"/>
    <n v="0"/>
    <n v="0"/>
    <n v="0"/>
    <m/>
    <m/>
    <s v="Rest of Borough"/>
    <n v="15"/>
    <m/>
    <n v="1.25"/>
    <n v="1.25"/>
    <n v="1.25"/>
    <n v="1.25"/>
    <m/>
    <m/>
    <m/>
    <m/>
    <m/>
    <m/>
    <m/>
    <m/>
    <m/>
    <m/>
    <m/>
    <m/>
    <m/>
    <m/>
    <m/>
    <n v="5"/>
    <n v="5"/>
  </r>
  <r>
    <n v="6348"/>
    <x v="1"/>
    <s v="2022/2791"/>
    <s v="39-43 and 39-43a, 39-43 West Hill"/>
    <s v=""/>
    <n v="525098"/>
    <n v="174608"/>
    <s v="East Putney"/>
    <m/>
    <m/>
    <n v="0"/>
    <n v="5"/>
    <n v="5"/>
    <n v="5"/>
    <n v="5"/>
    <m/>
    <s v="Alterations to include the excavation to form basement with rear lightwells in conjunction with change of use from retail (Class E) and provision of 1 x 1-bedroom, 4 x 2-bedroom flats (Class C3) at basement and ground floor levels; refuse and cycle stores fronting Lebanon Road."/>
    <s v="PF"/>
    <d v="2022-07-01T00:00:00"/>
    <d v="2022-08-25T00:00:00"/>
    <s v="Y"/>
    <s v="Nil"/>
    <m/>
    <s v="BF"/>
    <s v="MIX"/>
    <x v="2"/>
    <x v="2"/>
    <n v="2.4549999999999999E-2"/>
    <m/>
    <x v="0"/>
    <m/>
    <s v="Open Market"/>
    <s v="M"/>
    <s v=""/>
    <m/>
    <n v="0"/>
    <m/>
    <n v="0"/>
    <m/>
    <n v="0"/>
    <n v="1"/>
    <n v="4"/>
    <n v="0"/>
    <n v="0"/>
    <n v="0"/>
    <n v="0"/>
    <n v="0"/>
    <n v="1"/>
    <n v="4"/>
    <n v="0"/>
    <n v="0"/>
    <n v="0"/>
    <n v="0"/>
    <n v="0"/>
    <n v="0"/>
    <n v="0"/>
    <n v="0"/>
    <n v="0"/>
    <n v="0"/>
    <n v="0"/>
    <n v="0"/>
    <n v="0"/>
    <n v="0"/>
    <n v="0"/>
    <n v="0"/>
    <n v="0"/>
    <n v="0"/>
    <m/>
    <m/>
    <s v="Rest of Borough"/>
    <n v="15"/>
    <m/>
    <n v="1.25"/>
    <n v="1.25"/>
    <n v="1.25"/>
    <n v="1.25"/>
    <m/>
    <m/>
    <m/>
    <m/>
    <m/>
    <m/>
    <m/>
    <m/>
    <m/>
    <m/>
    <m/>
    <m/>
    <m/>
    <m/>
    <m/>
    <n v="5"/>
    <n v="5"/>
  </r>
  <r>
    <n v="5804"/>
    <x v="1"/>
    <s v="2020/0686"/>
    <s v="East &amp; West 1,2,3,4, &amp; 8, Square Rigger Row (Plantation Wharf)"/>
    <s v=""/>
    <n v="526485"/>
    <n v="175743"/>
    <s v="St Mary's"/>
    <m/>
    <m/>
    <n v="0"/>
    <n v="5"/>
    <n v="5"/>
    <n v="5"/>
    <n v="5"/>
    <m/>
    <s v="Determination as to whether prior approval is required for change of use from office (Class B1a) to 5 x 3-bedroom flats (Class C3)."/>
    <s v="PAG"/>
    <d v="2020-03-05T00:00:00"/>
    <d v="2020-04-17T00:00:00"/>
    <m/>
    <s v="Nil"/>
    <m/>
    <s v="BF"/>
    <s v="COU"/>
    <x v="2"/>
    <x v="6"/>
    <n v="3.5999999999999997E-2"/>
    <m/>
    <x v="0"/>
    <m/>
    <s v="Open Market"/>
    <s v="M"/>
    <s v="10.15"/>
    <m/>
    <n v="0"/>
    <m/>
    <n v="0"/>
    <m/>
    <n v="0"/>
    <n v="0"/>
    <n v="0"/>
    <n v="5"/>
    <n v="0"/>
    <n v="0"/>
    <n v="0"/>
    <n v="0"/>
    <n v="0"/>
    <n v="0"/>
    <n v="5"/>
    <n v="0"/>
    <n v="0"/>
    <n v="0"/>
    <n v="0"/>
    <n v="0"/>
    <n v="0"/>
    <n v="0"/>
    <n v="0"/>
    <n v="0"/>
    <n v="0"/>
    <n v="0"/>
    <n v="0"/>
    <n v="0"/>
    <n v="0"/>
    <n v="0"/>
    <n v="0"/>
    <n v="0"/>
    <m/>
    <m/>
    <s v="Wandsworth riverside"/>
    <n v="15"/>
    <m/>
    <n v="1.25"/>
    <n v="1.25"/>
    <n v="1.25"/>
    <n v="1.25"/>
    <m/>
    <m/>
    <m/>
    <m/>
    <m/>
    <m/>
    <m/>
    <m/>
    <m/>
    <m/>
    <m/>
    <m/>
    <m/>
    <m/>
    <m/>
    <n v="5"/>
    <n v="5"/>
  </r>
  <r>
    <n v="54"/>
    <x v="1"/>
    <s v="2019/4915"/>
    <s v="Ransomes Dock, 35-37 Parkgate Road (Ransomes Dock Business Centre)"/>
    <s v=""/>
    <n v="527320"/>
    <n v="177144"/>
    <s v="Battersea Park"/>
    <m/>
    <m/>
    <n v="0"/>
    <n v="5"/>
    <n v="5"/>
    <n v="5"/>
    <n v="5"/>
    <m/>
    <s v="Demolition of the existing second floor extension to Buildings 1 &amp; 2. Alterations including erection of two-storey extension above Buildings 1 &amp; 2 at second and third floor levels; installation of replacement electricity substation; installation of new link bridge between Building 2 and Building 3; installation of new and replacement external access staircases, in connection with the provision of five new residential units (4 x 3-bedroom units and 1 x 4-bedroom unit) and use of basement for flexible B1/D1 uses, with associated new cycle parking at ground floor level."/>
    <s v="PFLA"/>
    <d v="2020-10-08T00:00:00"/>
    <d v="2021-03-01T00:00:00"/>
    <m/>
    <s v="Nil"/>
    <m/>
    <s v="BF"/>
    <s v="EXT"/>
    <x v="2"/>
    <x v="2"/>
    <n v="0.02"/>
    <m/>
    <x v="0"/>
    <m/>
    <s v="Open Market"/>
    <s v="M"/>
    <s v=""/>
    <m/>
    <n v="0"/>
    <m/>
    <n v="0"/>
    <m/>
    <n v="0"/>
    <n v="0"/>
    <n v="0"/>
    <n v="4"/>
    <n v="1"/>
    <n v="0"/>
    <n v="0"/>
    <n v="0"/>
    <n v="0"/>
    <n v="0"/>
    <n v="4"/>
    <n v="1"/>
    <n v="0"/>
    <n v="0"/>
    <n v="0"/>
    <n v="0"/>
    <n v="0"/>
    <n v="0"/>
    <n v="0"/>
    <n v="0"/>
    <n v="0"/>
    <n v="0"/>
    <n v="0"/>
    <n v="0"/>
    <n v="0"/>
    <n v="0"/>
    <n v="0"/>
    <n v="0"/>
    <m/>
    <m/>
    <s v="Wandsworth riverside"/>
    <n v="15"/>
    <m/>
    <n v="1.25"/>
    <n v="1.25"/>
    <n v="1.25"/>
    <n v="1.25"/>
    <m/>
    <m/>
    <m/>
    <m/>
    <m/>
    <m/>
    <m/>
    <m/>
    <m/>
    <m/>
    <m/>
    <m/>
    <m/>
    <m/>
    <m/>
    <n v="5"/>
    <n v="5"/>
  </r>
  <r>
    <n v="2356"/>
    <x v="1"/>
    <s v="2020/4991"/>
    <s v="The Forester, 114 Allfarthing Lane"/>
    <s v=""/>
    <n v="525955"/>
    <n v="174077"/>
    <s v="Wandsworth Town"/>
    <m/>
    <m/>
    <n v="0"/>
    <n v="5"/>
    <n v="5"/>
    <n v="5"/>
    <n v="5"/>
    <m/>
    <s v="Alterations including erection of side extensions at second floor level and part single/part two storey side extensions at first floor level, formation of front and side lightwells and alterations to fenestration in connection with change of use from day nursery (Class D) to residential (Class C3) to provide 1 x 3-bedroom, 1 x 2-bedroom and 3 x 1-bedroom flats with associated refuse storage."/>
    <s v="PF"/>
    <d v="2020-12-21T00:00:00"/>
    <d v="2021-03-24T00:00:00"/>
    <m/>
    <s v="Nil"/>
    <m/>
    <s v="BF"/>
    <s v="MIX"/>
    <x v="2"/>
    <x v="3"/>
    <n v="4.1000000000000002E-2"/>
    <m/>
    <x v="0"/>
    <m/>
    <s v="Open Market"/>
    <s v="M"/>
    <s v=""/>
    <m/>
    <n v="0"/>
    <m/>
    <n v="0"/>
    <m/>
    <n v="0"/>
    <n v="3"/>
    <n v="1"/>
    <n v="1"/>
    <n v="0"/>
    <n v="0"/>
    <n v="0"/>
    <n v="0"/>
    <n v="3"/>
    <n v="1"/>
    <n v="1"/>
    <n v="0"/>
    <n v="0"/>
    <n v="0"/>
    <n v="0"/>
    <n v="0"/>
    <n v="0"/>
    <n v="0"/>
    <n v="0"/>
    <n v="0"/>
    <n v="0"/>
    <n v="0"/>
    <n v="0"/>
    <n v="0"/>
    <n v="0"/>
    <n v="0"/>
    <n v="0"/>
    <n v="0"/>
    <m/>
    <m/>
    <s v="Rest of Borough"/>
    <n v="15"/>
    <m/>
    <n v="1.25"/>
    <n v="1.25"/>
    <n v="1.25"/>
    <n v="1.25"/>
    <m/>
    <m/>
    <m/>
    <m/>
    <m/>
    <m/>
    <m/>
    <m/>
    <m/>
    <m/>
    <m/>
    <m/>
    <m/>
    <m/>
    <m/>
    <n v="5"/>
    <n v="5"/>
  </r>
  <r>
    <n v="7343"/>
    <x v="1"/>
    <s v="2022/3829"/>
    <s v="Unit B, Molasses House, Clove Hitch Quay (Plantation Wharf)"/>
    <s v=""/>
    <n v="526450"/>
    <n v="175834"/>
    <s v="St Mary's"/>
    <m/>
    <m/>
    <n v="0"/>
    <n v="5"/>
    <n v="5"/>
    <n v="5"/>
    <n v="5"/>
    <m/>
    <s v="Determination as to whether prior approval is required for change of use from office at ground floor level from (Class E) to residential (Class C3) to provide 5 x 1-bedroom flats."/>
    <s v="PAG"/>
    <d v="2022-09-02T00:00:00"/>
    <d v="2022-10-21T00:00:00"/>
    <s v="Y"/>
    <s v="Nil"/>
    <m/>
    <s v="BF"/>
    <s v="COU"/>
    <x v="2"/>
    <x v="6"/>
    <n v="3.0300000000000001E-2"/>
    <m/>
    <x v="0"/>
    <m/>
    <s v="Open Market"/>
    <s v="M"/>
    <s v=""/>
    <m/>
    <n v="0"/>
    <m/>
    <n v="0"/>
    <m/>
    <n v="0"/>
    <n v="5"/>
    <n v="0"/>
    <n v="0"/>
    <n v="0"/>
    <n v="0"/>
    <n v="0"/>
    <n v="0"/>
    <n v="5"/>
    <n v="0"/>
    <n v="0"/>
    <n v="0"/>
    <n v="0"/>
    <n v="0"/>
    <n v="0"/>
    <n v="0"/>
    <n v="0"/>
    <n v="0"/>
    <n v="0"/>
    <n v="0"/>
    <n v="0"/>
    <n v="0"/>
    <n v="0"/>
    <n v="0"/>
    <n v="0"/>
    <n v="0"/>
    <n v="0"/>
    <n v="0"/>
    <m/>
    <m/>
    <s v="Wandsworth riverside"/>
    <n v="15"/>
    <m/>
    <n v="1.25"/>
    <n v="1.25"/>
    <n v="1.25"/>
    <n v="1.25"/>
    <m/>
    <m/>
    <m/>
    <m/>
    <m/>
    <m/>
    <m/>
    <m/>
    <m/>
    <m/>
    <m/>
    <m/>
    <m/>
    <m/>
    <m/>
    <n v="5"/>
    <n v="5"/>
  </r>
  <r>
    <n v="7382"/>
    <x v="1"/>
    <s v="2022/1789"/>
    <s v="133 Lavender Hill"/>
    <s v=""/>
    <n v="528107"/>
    <n v="175629"/>
    <s v="Lavender"/>
    <m/>
    <m/>
    <n v="1"/>
    <n v="5"/>
    <n v="4"/>
    <n v="5"/>
    <n v="4"/>
    <m/>
    <s v="Erection of part single, part three-storey rear extension (top floor within roof) with first floor roof terrace, side dormer and external access stairs; replacement of shopfront with wall, windows and two entrance doors; Alterations and extensions in connection with change of use from restaurant (Class E) to 5 x 1-bedroom flats (Class C3)."/>
    <s v="PF"/>
    <d v="2022-10-12T00:00:00"/>
    <d v="2022-12-16T00:00:00"/>
    <s v="Y"/>
    <s v="Nil"/>
    <m/>
    <s v="BF"/>
    <s v="MIX"/>
    <x v="2"/>
    <x v="3"/>
    <n v="0.01"/>
    <m/>
    <x v="0"/>
    <m/>
    <s v="Open Market"/>
    <s v="M"/>
    <s v=""/>
    <m/>
    <n v="0"/>
    <m/>
    <n v="0"/>
    <m/>
    <n v="0"/>
    <n v="5"/>
    <n v="-1"/>
    <n v="0"/>
    <n v="0"/>
    <n v="0"/>
    <n v="0"/>
    <n v="0"/>
    <n v="5"/>
    <n v="-1"/>
    <n v="0"/>
    <n v="0"/>
    <n v="0"/>
    <n v="0"/>
    <n v="0"/>
    <n v="0"/>
    <n v="0"/>
    <n v="0"/>
    <n v="0"/>
    <n v="0"/>
    <n v="0"/>
    <n v="0"/>
    <n v="0"/>
    <n v="0"/>
    <n v="0"/>
    <n v="0"/>
    <n v="0"/>
    <n v="0"/>
    <m/>
    <m/>
    <s v="Rest of Borough"/>
    <n v="15"/>
    <m/>
    <n v="1"/>
    <n v="1"/>
    <n v="1"/>
    <n v="1"/>
    <m/>
    <m/>
    <m/>
    <m/>
    <m/>
    <m/>
    <m/>
    <m/>
    <m/>
    <m/>
    <m/>
    <m/>
    <m/>
    <m/>
    <m/>
    <n v="4"/>
    <n v="4"/>
  </r>
  <r>
    <n v="7494"/>
    <x v="1"/>
    <s v="2020/4047"/>
    <s v="140a and142a, Putney High Street"/>
    <s v=""/>
    <n v="523975"/>
    <n v="175188"/>
    <s v="Thamesfield"/>
    <m/>
    <m/>
    <n v="2"/>
    <n v="6"/>
    <n v="4"/>
    <n v="6"/>
    <n v="4"/>
    <m/>
    <s v="Alterations including erection of roof extension to provide additional floor of accommodation, erection of part single/part three storey rear extensions in connection with creation of 2 x 2-bedroom and 4 x 1- bedroom flats."/>
    <s v="PF"/>
    <d v="2020-11-23T00:00:00"/>
    <d v="2021-04-22T00:00:00"/>
    <m/>
    <s v="Nil"/>
    <m/>
    <s v="BF"/>
    <s v="MIX"/>
    <x v="2"/>
    <x v="2"/>
    <n v="8.9999999999999993E-3"/>
    <m/>
    <x v="0"/>
    <m/>
    <s v="Open Market"/>
    <s v="M"/>
    <s v=""/>
    <m/>
    <n v="0"/>
    <m/>
    <n v="0"/>
    <m/>
    <n v="0"/>
    <n v="4"/>
    <n v="1"/>
    <n v="-1"/>
    <n v="0"/>
    <n v="0"/>
    <n v="0"/>
    <n v="0"/>
    <n v="4"/>
    <n v="1"/>
    <n v="-1"/>
    <n v="0"/>
    <n v="0"/>
    <n v="0"/>
    <n v="0"/>
    <n v="0"/>
    <n v="0"/>
    <n v="0"/>
    <n v="0"/>
    <n v="0"/>
    <n v="0"/>
    <n v="0"/>
    <n v="0"/>
    <n v="0"/>
    <n v="0"/>
    <n v="0"/>
    <n v="0"/>
    <n v="0"/>
    <s v="Putney"/>
    <m/>
    <s v="Putney Town Centre"/>
    <n v="15"/>
    <m/>
    <n v="1"/>
    <n v="1"/>
    <n v="1"/>
    <n v="1"/>
    <m/>
    <m/>
    <m/>
    <m/>
    <m/>
    <m/>
    <m/>
    <m/>
    <m/>
    <m/>
    <m/>
    <m/>
    <m/>
    <m/>
    <m/>
    <n v="4"/>
    <n v="4"/>
  </r>
  <r>
    <n v="7024"/>
    <x v="1"/>
    <s v="2021/3556"/>
    <s v="17-19 St Anns Park Road"/>
    <s v=""/>
    <n v="526226"/>
    <n v="174119"/>
    <s v="Wandle"/>
    <m/>
    <m/>
    <n v="5"/>
    <n v="6"/>
    <n v="1"/>
    <n v="6"/>
    <n v="1"/>
    <m/>
    <s v="Alterations including erection of replacement main roof, raising the ridge by 1.1m with dormers to all elevations; infilling extension to first floor; replacement fenestration throughout in connection with use as 1 x studio, 2 x 2-bed and 3 x 1-bed flats; enlarge refuse and cycle stores in front garden."/>
    <s v="PF"/>
    <d v="2021-07-28T00:00:00"/>
    <d v="2021-12-15T00:00:00"/>
    <m/>
    <s v="Nil"/>
    <m/>
    <s v="BF"/>
    <s v="CON"/>
    <x v="2"/>
    <x v="7"/>
    <n v="1.0999999999999999E-2"/>
    <m/>
    <x v="0"/>
    <m/>
    <s v="Open Market"/>
    <s v="M"/>
    <s v=""/>
    <m/>
    <n v="0"/>
    <m/>
    <n v="0"/>
    <m/>
    <n v="0"/>
    <n v="0"/>
    <n v="1"/>
    <n v="0"/>
    <n v="0"/>
    <n v="0"/>
    <n v="0"/>
    <n v="0"/>
    <n v="0"/>
    <n v="1"/>
    <n v="0"/>
    <n v="0"/>
    <n v="0"/>
    <n v="0"/>
    <n v="0"/>
    <n v="0"/>
    <n v="0"/>
    <n v="0"/>
    <n v="0"/>
    <n v="0"/>
    <n v="0"/>
    <n v="0"/>
    <n v="0"/>
    <n v="0"/>
    <n v="0"/>
    <n v="0"/>
    <n v="0"/>
    <n v="0"/>
    <m/>
    <m/>
    <s v="Rest of Borough"/>
    <n v="12"/>
    <m/>
    <n v="1"/>
    <m/>
    <m/>
    <m/>
    <m/>
    <m/>
    <m/>
    <m/>
    <m/>
    <m/>
    <m/>
    <m/>
    <m/>
    <m/>
    <m/>
    <m/>
    <m/>
    <m/>
    <m/>
    <n v="1"/>
    <n v="1"/>
  </r>
  <r>
    <n v="7633"/>
    <x v="1"/>
    <s v="2021/1938"/>
    <s v="34 Putney Hill"/>
    <s v=""/>
    <n v="523910"/>
    <n v="174891"/>
    <s v="West Putney"/>
    <m/>
    <m/>
    <n v="2"/>
    <n v="6"/>
    <n v="4"/>
    <n v="6"/>
    <n v="4"/>
    <m/>
    <s v="Alterations including erection of a two storey (including basement) rear extension; Erection of a single storey outbuilding to rear garden; Alterations to front entrance stair; Alterations to side boundary wall, installation of a metal side access gate and removal of roller shutter door, in connection with conversion to 2 x 3-bed, 3 x 2-bed and 1 x 1- bed flats, with associated refuse and cycle storage."/>
    <s v="PF"/>
    <d v="2021-05-20T00:00:00"/>
    <d v="2021-07-28T00:00:00"/>
    <m/>
    <s v="Nil"/>
    <m/>
    <s v="BF"/>
    <s v="MIX"/>
    <x v="2"/>
    <x v="7"/>
    <n v="9.7000000000000003E-3"/>
    <m/>
    <x v="0"/>
    <m/>
    <s v="Open Market"/>
    <s v="M"/>
    <s v=""/>
    <m/>
    <n v="0"/>
    <m/>
    <n v="0"/>
    <m/>
    <n v="0"/>
    <n v="1"/>
    <n v="2"/>
    <n v="2"/>
    <n v="0"/>
    <n v="-1"/>
    <n v="0"/>
    <n v="0"/>
    <n v="1"/>
    <n v="2"/>
    <n v="2"/>
    <n v="0"/>
    <n v="-1"/>
    <n v="0"/>
    <n v="0"/>
    <n v="0"/>
    <n v="0"/>
    <n v="0"/>
    <n v="0"/>
    <n v="0"/>
    <n v="0"/>
    <n v="0"/>
    <n v="0"/>
    <n v="0"/>
    <n v="0"/>
    <n v="0"/>
    <n v="0"/>
    <n v="0"/>
    <m/>
    <m/>
    <s v="Rest of Borough"/>
    <n v="15"/>
    <m/>
    <n v="1"/>
    <n v="1"/>
    <n v="1"/>
    <n v="1"/>
    <m/>
    <m/>
    <m/>
    <m/>
    <m/>
    <m/>
    <m/>
    <m/>
    <m/>
    <m/>
    <m/>
    <m/>
    <m/>
    <m/>
    <m/>
    <n v="4"/>
    <n v="4"/>
  </r>
  <r>
    <n v="6979"/>
    <x v="1"/>
    <s v="2019/4409"/>
    <s v="99-105 Moyser Road"/>
    <s v=""/>
    <n v="528847"/>
    <n v="171190"/>
    <s v="Furzedown"/>
    <m/>
    <m/>
    <n v="0"/>
    <n v="4"/>
    <n v="4"/>
    <n v="4"/>
    <n v="4"/>
    <m/>
    <s v="Alterations including erection of roof extension to provide additional floor of accommodation and creation of 3 x 1-bedroom and a studio flats."/>
    <s v="PF"/>
    <d v="2019-10-31T00:00:00"/>
    <d v="2020-07-07T00:00:00"/>
    <m/>
    <s v="Nil"/>
    <m/>
    <s v="BF"/>
    <s v="EXT"/>
    <x v="2"/>
    <x v="2"/>
    <n v="7.0000000000000001E-3"/>
    <m/>
    <x v="0"/>
    <m/>
    <s v="Open Market"/>
    <s v="M"/>
    <s v=""/>
    <m/>
    <n v="0"/>
    <m/>
    <n v="0"/>
    <m/>
    <n v="1"/>
    <n v="3"/>
    <n v="0"/>
    <n v="0"/>
    <n v="0"/>
    <n v="0"/>
    <n v="0"/>
    <n v="1"/>
    <n v="3"/>
    <n v="0"/>
    <n v="0"/>
    <n v="0"/>
    <n v="0"/>
    <n v="0"/>
    <n v="0"/>
    <n v="0"/>
    <n v="0"/>
    <n v="0"/>
    <n v="0"/>
    <n v="0"/>
    <n v="0"/>
    <n v="0"/>
    <n v="0"/>
    <n v="0"/>
    <n v="0"/>
    <n v="0"/>
    <n v="0"/>
    <n v="0"/>
    <m/>
    <m/>
    <s v="Rest of Borough"/>
    <n v="15"/>
    <m/>
    <n v="1"/>
    <n v="1"/>
    <n v="1"/>
    <n v="1"/>
    <m/>
    <m/>
    <m/>
    <m/>
    <m/>
    <m/>
    <m/>
    <m/>
    <m/>
    <m/>
    <m/>
    <m/>
    <m/>
    <m/>
    <m/>
    <n v="4"/>
    <n v="4"/>
  </r>
  <r>
    <n v="7182"/>
    <x v="1"/>
    <s v="2019/1945"/>
    <s v="Burdwood Court, 46 Putney Hill"/>
    <s v=""/>
    <n v="523838"/>
    <n v="174742"/>
    <s v="West Putney"/>
    <m/>
    <m/>
    <n v="0"/>
    <n v="4"/>
    <n v="4"/>
    <n v="4"/>
    <n v="4"/>
    <m/>
    <s v="Erection of additional storey of at fourth floor level to provide 4 x 1-bedroom flats including two roof terraces;  installation of replacement fenestration to all elevations."/>
    <s v="PF"/>
    <d v="2019-05-03T00:00:00"/>
    <d v="2019-11-28T00:00:00"/>
    <m/>
    <s v="Nil"/>
    <m/>
    <s v="BF"/>
    <s v="MIX"/>
    <x v="2"/>
    <x v="3"/>
    <n v="1.7999999999999999E-2"/>
    <m/>
    <x v="0"/>
    <m/>
    <s v="Open Market"/>
    <s v="M"/>
    <s v=""/>
    <m/>
    <n v="0"/>
    <m/>
    <n v="0"/>
    <m/>
    <n v="0"/>
    <n v="4"/>
    <n v="0"/>
    <n v="0"/>
    <n v="0"/>
    <n v="0"/>
    <n v="0"/>
    <n v="0"/>
    <n v="4"/>
    <n v="0"/>
    <n v="0"/>
    <n v="0"/>
    <n v="0"/>
    <n v="0"/>
    <n v="0"/>
    <n v="0"/>
    <n v="0"/>
    <n v="0"/>
    <n v="0"/>
    <n v="0"/>
    <n v="0"/>
    <n v="0"/>
    <n v="0"/>
    <n v="0"/>
    <n v="0"/>
    <n v="0"/>
    <n v="0"/>
    <n v="0"/>
    <m/>
    <m/>
    <s v="Rest of Borough"/>
    <n v="15"/>
    <m/>
    <n v="1"/>
    <n v="1"/>
    <n v="1"/>
    <n v="1"/>
    <m/>
    <m/>
    <m/>
    <m/>
    <m/>
    <m/>
    <m/>
    <m/>
    <m/>
    <m/>
    <m/>
    <m/>
    <m/>
    <m/>
    <m/>
    <n v="4"/>
    <n v="4"/>
  </r>
  <r>
    <n v="6374"/>
    <x v="1"/>
    <s v="2021/3860"/>
    <s v="Unit C, Molasses House, Clove Hitch Quay (Plantation Wharf)"/>
    <s v=""/>
    <n v="526468"/>
    <n v="175853"/>
    <s v="St Mary's"/>
    <m/>
    <m/>
    <n v="0"/>
    <n v="4"/>
    <n v="4"/>
    <n v="4"/>
    <n v="4"/>
    <m/>
    <s v="Determination as to whether prior approval required for change of use from Commercial use (Class E) to residential (Class C3) to provide 4 x 1-bedroom flats."/>
    <s v="PAG"/>
    <d v="2021-08-16T00:00:00"/>
    <d v="2021-10-13T00:00:00"/>
    <m/>
    <s v="Nil"/>
    <m/>
    <s v="BF"/>
    <s v="COU"/>
    <x v="2"/>
    <x v="3"/>
    <n v="6.0000000000000001E-3"/>
    <m/>
    <x v="0"/>
    <m/>
    <s v="Open Market"/>
    <s v="M"/>
    <s v="10.15"/>
    <m/>
    <n v="0"/>
    <m/>
    <n v="0"/>
    <m/>
    <n v="0"/>
    <n v="4"/>
    <n v="0"/>
    <n v="0"/>
    <n v="0"/>
    <n v="0"/>
    <n v="0"/>
    <n v="0"/>
    <n v="4"/>
    <n v="0"/>
    <n v="0"/>
    <n v="0"/>
    <n v="0"/>
    <n v="0"/>
    <n v="0"/>
    <n v="0"/>
    <n v="0"/>
    <n v="0"/>
    <n v="0"/>
    <n v="0"/>
    <n v="0"/>
    <n v="0"/>
    <n v="0"/>
    <n v="0"/>
    <n v="0"/>
    <n v="0"/>
    <n v="0"/>
    <n v="0"/>
    <m/>
    <m/>
    <s v="Wandsworth riverside"/>
    <n v="15"/>
    <m/>
    <n v="1"/>
    <n v="1"/>
    <n v="1"/>
    <n v="1"/>
    <m/>
    <m/>
    <m/>
    <m/>
    <m/>
    <m/>
    <m/>
    <m/>
    <m/>
    <m/>
    <m/>
    <m/>
    <m/>
    <m/>
    <m/>
    <n v="4"/>
    <n v="4"/>
  </r>
  <r>
    <n v="2482"/>
    <x v="1"/>
    <s v="2021/2183"/>
    <s v="1 Wadham Road"/>
    <s v=""/>
    <n v="524517"/>
    <n v="175256"/>
    <s v="Thamesfield"/>
    <m/>
    <m/>
    <n v="2"/>
    <n v="5"/>
    <n v="3"/>
    <n v="5"/>
    <n v="3"/>
    <m/>
    <s v="Alterations including erection of roof extension to provide an additional_x000a_floor of accommodation and side dormer (with French doors and safety_x000a_railings) and formation of roof terrace above three-storey addition in_x000a_connection change of use from retail (class A1) to residential (Class_x000a_C3) 3 x1 bedroom flats"/>
    <s v="PF"/>
    <d v="2021-05-27T00:00:00"/>
    <d v="2021-09-06T00:00:00"/>
    <m/>
    <s v="Nil"/>
    <m/>
    <s v="BF"/>
    <s v="MIX"/>
    <x v="2"/>
    <x v="4"/>
    <n v="7.7999999999999996E-3"/>
    <m/>
    <x v="0"/>
    <m/>
    <s v="Open Market"/>
    <s v="MR"/>
    <s v=""/>
    <m/>
    <n v="0"/>
    <m/>
    <n v="0"/>
    <m/>
    <n v="1"/>
    <n v="3"/>
    <n v="-1"/>
    <n v="0"/>
    <n v="0"/>
    <n v="0"/>
    <n v="0"/>
    <n v="1"/>
    <n v="3"/>
    <n v="-1"/>
    <n v="0"/>
    <n v="0"/>
    <n v="0"/>
    <n v="0"/>
    <n v="0"/>
    <n v="0"/>
    <n v="0"/>
    <n v="0"/>
    <n v="0"/>
    <n v="0"/>
    <n v="0"/>
    <n v="0"/>
    <n v="0"/>
    <n v="0"/>
    <n v="0"/>
    <n v="0"/>
    <n v="0"/>
    <n v="0"/>
    <m/>
    <m/>
    <s v="Rest of Borough"/>
    <n v="15"/>
    <m/>
    <n v="0.75"/>
    <n v="0.75"/>
    <n v="0.75"/>
    <n v="0.75"/>
    <m/>
    <m/>
    <m/>
    <m/>
    <m/>
    <m/>
    <m/>
    <m/>
    <m/>
    <m/>
    <m/>
    <m/>
    <m/>
    <m/>
    <m/>
    <n v="3"/>
    <n v="3"/>
  </r>
  <r>
    <n v="7829"/>
    <x v="1"/>
    <s v="2022/1557"/>
    <s v="116 Disraeli Road"/>
    <s v=""/>
    <n v="524414"/>
    <n v="175024"/>
    <s v="Thamesfield"/>
    <m/>
    <m/>
    <n v="1"/>
    <n v="4"/>
    <n v="3"/>
    <n v="4"/>
    <n v="3"/>
    <m/>
    <s v="Alterations including excavation to create basement with formation of front lightwell. Erection of ground and first floor rear extensions and a mansard roof extension to main rear roof (with French doors and balcony.) in connection with the conversion of the property into 4 self-contained residential units (2 x 2-bedroom and 2 x 3-bedroom units)"/>
    <s v="PF"/>
    <d v="2022-04-13T00:00:00"/>
    <d v="2022-06-16T00:00:00"/>
    <s v="Y"/>
    <s v="Nil"/>
    <m/>
    <s v="BF"/>
    <s v="MIX"/>
    <x v="2"/>
    <x v="5"/>
    <n v="1.0264000000000001E-2"/>
    <m/>
    <x v="0"/>
    <m/>
    <s v="Open Market"/>
    <s v="M"/>
    <s v=""/>
    <m/>
    <n v="0"/>
    <m/>
    <n v="0"/>
    <m/>
    <n v="0"/>
    <n v="0"/>
    <n v="3"/>
    <n v="1"/>
    <n v="0"/>
    <n v="-1"/>
    <n v="0"/>
    <n v="0"/>
    <n v="0"/>
    <n v="3"/>
    <n v="1"/>
    <n v="0"/>
    <n v="0"/>
    <n v="0"/>
    <n v="0"/>
    <n v="0"/>
    <n v="0"/>
    <n v="0"/>
    <n v="0"/>
    <n v="-1"/>
    <n v="0"/>
    <n v="0"/>
    <n v="0"/>
    <n v="0"/>
    <n v="0"/>
    <n v="0"/>
    <n v="0"/>
    <n v="0"/>
    <m/>
    <m/>
    <s v="Rest of Borough"/>
    <n v="15"/>
    <m/>
    <n v="0.75"/>
    <n v="0.75"/>
    <n v="0.75"/>
    <n v="0.75"/>
    <m/>
    <m/>
    <m/>
    <m/>
    <m/>
    <m/>
    <m/>
    <m/>
    <m/>
    <m/>
    <m/>
    <m/>
    <m/>
    <m/>
    <m/>
    <n v="3"/>
    <n v="3"/>
  </r>
  <r>
    <n v="6810"/>
    <x v="1"/>
    <s v="2018/0576"/>
    <s v="123 Roehampton Vale"/>
    <s v=""/>
    <n v="521688"/>
    <n v="172441"/>
    <s v="Roehampton"/>
    <m/>
    <m/>
    <n v="1"/>
    <n v="4"/>
    <n v="3"/>
    <n v="4"/>
    <n v="3"/>
    <m/>
    <s v="Erection of a side and rear roof extension; erection of a part-single, part-two-storey rear extension; conversion of property to 1 x 1-bedroom, 2 x 2-bedroom and 1 x 3-bedroom flats."/>
    <s v="PF"/>
    <d v="2018-02-16T00:00:00"/>
    <d v="2018-05-21T00:00:00"/>
    <m/>
    <s v="Nil"/>
    <m/>
    <s v="BF"/>
    <s v="MIX"/>
    <x v="2"/>
    <x v="5"/>
    <n v="0.05"/>
    <m/>
    <x v="0"/>
    <m/>
    <s v="Open Market"/>
    <s v="M"/>
    <s v=""/>
    <m/>
    <n v="0"/>
    <m/>
    <n v="0"/>
    <m/>
    <n v="0"/>
    <n v="1"/>
    <n v="2"/>
    <n v="1"/>
    <n v="0"/>
    <n v="-1"/>
    <n v="0"/>
    <n v="0"/>
    <n v="1"/>
    <n v="2"/>
    <n v="1"/>
    <n v="0"/>
    <n v="0"/>
    <n v="0"/>
    <n v="0"/>
    <n v="0"/>
    <n v="0"/>
    <n v="0"/>
    <n v="0"/>
    <n v="-1"/>
    <n v="0"/>
    <n v="0"/>
    <n v="0"/>
    <n v="0"/>
    <n v="0"/>
    <n v="0"/>
    <n v="0"/>
    <n v="0"/>
    <m/>
    <m/>
    <s v="Rest of Borough"/>
    <n v="15"/>
    <m/>
    <n v="0.75"/>
    <n v="0.75"/>
    <n v="0.75"/>
    <n v="0.75"/>
    <m/>
    <m/>
    <m/>
    <m/>
    <m/>
    <m/>
    <m/>
    <m/>
    <m/>
    <m/>
    <m/>
    <m/>
    <m/>
    <m/>
    <m/>
    <n v="3"/>
    <n v="3"/>
  </r>
  <r>
    <n v="5410"/>
    <x v="1"/>
    <s v="2021/2262"/>
    <s v="129-139 Beaumont Road"/>
    <s v=""/>
    <n v="524095"/>
    <n v="173645"/>
    <s v="West Hill"/>
    <m/>
    <m/>
    <n v="0"/>
    <n v="3"/>
    <n v="3"/>
    <n v="3"/>
    <n v="3"/>
    <m/>
    <s v="Erection of an additional floor to the roof of the existing building, to accommodate 3no. flats (1x1Bed, 1x2Bed &amp; 1x3Bed)."/>
    <s v="PFLA"/>
    <d v="2021-06-29T00:00:00"/>
    <d v="2022-04-21T00:00:00"/>
    <s v="Y"/>
    <s v="Nil"/>
    <m/>
    <s v="BF"/>
    <s v="EXT"/>
    <x v="2"/>
    <x v="2"/>
    <n v="2.8400000000000002E-2"/>
    <m/>
    <x v="0"/>
    <m/>
    <s v="Open Market"/>
    <s v="M"/>
    <s v=""/>
    <m/>
    <n v="0"/>
    <m/>
    <n v="0"/>
    <m/>
    <n v="0"/>
    <n v="1"/>
    <n v="1"/>
    <n v="1"/>
    <n v="0"/>
    <n v="0"/>
    <n v="0"/>
    <n v="0"/>
    <n v="1"/>
    <n v="1"/>
    <n v="1"/>
    <n v="0"/>
    <n v="0"/>
    <n v="0"/>
    <n v="0"/>
    <n v="0"/>
    <n v="0"/>
    <n v="0"/>
    <n v="0"/>
    <n v="0"/>
    <n v="0"/>
    <n v="0"/>
    <n v="0"/>
    <n v="0"/>
    <n v="0"/>
    <n v="0"/>
    <n v="0"/>
    <n v="0"/>
    <m/>
    <m/>
    <s v="Rest of Borough"/>
    <n v="15"/>
    <m/>
    <n v="0.75"/>
    <n v="0.75"/>
    <n v="0.75"/>
    <n v="0.75"/>
    <m/>
    <m/>
    <m/>
    <m/>
    <m/>
    <m/>
    <m/>
    <m/>
    <m/>
    <m/>
    <m/>
    <m/>
    <m/>
    <m/>
    <m/>
    <n v="3"/>
    <n v="3"/>
  </r>
  <r>
    <n v="6817"/>
    <x v="1"/>
    <s v="2022/4091"/>
    <s v="142-144 Tooting Bec Road"/>
    <s v=""/>
    <n v="528402"/>
    <n v="172041"/>
    <s v="Tooting Bec"/>
    <m/>
    <m/>
    <n v="1"/>
    <n v="4"/>
    <n v="3"/>
    <n v="4"/>
    <n v="3"/>
    <m/>
    <s v="Alterations including erection of front and rear dormer roof extensions to the main roof, including raising the ridge by 500mm;  Erection of a first floor (plus roof) rear extension and installation of French doors and safety railing to first floor rear elevation; replacement of windows; alterations to shopfront and rear access including staircase enclosure, in connection with conversion to 3 x studios and 1 x 2 bedroom flats, with associated refuse and cycle storage; and part change of use of rear ground floor from commercial (Class E) to residential (Class C3)."/>
    <s v="PF"/>
    <d v="2022-10-19T00:00:00"/>
    <d v="2023-03-28T00:00:00"/>
    <s v="Y"/>
    <s v="Nil"/>
    <m/>
    <s v="BF"/>
    <s v="MIX"/>
    <x v="2"/>
    <x v="7"/>
    <n v="1.4E-2"/>
    <m/>
    <x v="0"/>
    <m/>
    <s v="Open Market"/>
    <s v="MR"/>
    <s v=""/>
    <m/>
    <n v="0"/>
    <m/>
    <n v="0"/>
    <m/>
    <n v="3"/>
    <n v="0"/>
    <n v="0"/>
    <n v="0"/>
    <n v="0"/>
    <n v="0"/>
    <n v="0"/>
    <n v="3"/>
    <n v="0"/>
    <n v="0"/>
    <n v="0"/>
    <n v="0"/>
    <n v="0"/>
    <n v="0"/>
    <n v="0"/>
    <n v="0"/>
    <n v="0"/>
    <n v="0"/>
    <n v="0"/>
    <n v="0"/>
    <n v="0"/>
    <n v="0"/>
    <n v="0"/>
    <n v="0"/>
    <n v="0"/>
    <n v="0"/>
    <n v="0"/>
    <n v="0"/>
    <m/>
    <m/>
    <s v="Rest of Borough"/>
    <n v="15"/>
    <m/>
    <n v="0.75"/>
    <n v="0.75"/>
    <n v="0.75"/>
    <n v="0.75"/>
    <m/>
    <m/>
    <m/>
    <m/>
    <m/>
    <m/>
    <m/>
    <m/>
    <m/>
    <m/>
    <m/>
    <m/>
    <m/>
    <m/>
    <m/>
    <n v="3"/>
    <n v="3"/>
  </r>
  <r>
    <n v="7640"/>
    <x v="1"/>
    <s v="2022/4451"/>
    <s v="172-174 Tooting High Street"/>
    <s v=""/>
    <n v="527216"/>
    <n v="171096"/>
    <s v="Tooting Broadway"/>
    <d v="2023-03-11T00:00:00"/>
    <m/>
    <n v="0"/>
    <n v="3"/>
    <n v="3"/>
    <n v="3"/>
    <n v="3"/>
    <m/>
    <s v="Alterations including erection of ground and first floor side/rear extension and part change of use from commercial (Class E) to residential (Class C3) to form 2 x 1 bedroom residential units; erection of an additional storey at third floor level to form 1 x 2 bedroom residential unit. Erection of single-storey side extension to the Class E Commercial floorspace at ground floor level and external alterations."/>
    <s v="PF"/>
    <d v="2022-10-31T00:00:00"/>
    <d v="2023-01-24T00:00:00"/>
    <s v="Y"/>
    <s v="Nil"/>
    <m/>
    <s v="BF"/>
    <s v="MIX"/>
    <x v="2"/>
    <x v="2"/>
    <n v="5.3666670000000003E-3"/>
    <m/>
    <x v="0"/>
    <m/>
    <s v="Open Market"/>
    <s v="MR"/>
    <s v=""/>
    <m/>
    <n v="0"/>
    <m/>
    <n v="0"/>
    <m/>
    <n v="0"/>
    <n v="2"/>
    <n v="1"/>
    <n v="0"/>
    <n v="0"/>
    <n v="0"/>
    <n v="0"/>
    <n v="0"/>
    <n v="2"/>
    <n v="1"/>
    <n v="0"/>
    <n v="0"/>
    <n v="0"/>
    <n v="0"/>
    <n v="0"/>
    <n v="0"/>
    <n v="0"/>
    <n v="0"/>
    <n v="0"/>
    <n v="0"/>
    <n v="0"/>
    <n v="0"/>
    <n v="0"/>
    <n v="0"/>
    <n v="0"/>
    <n v="0"/>
    <n v="0"/>
    <n v="0"/>
    <m/>
    <m/>
    <s v="Tooting"/>
    <n v="15"/>
    <m/>
    <n v="0.75"/>
    <n v="0.75"/>
    <n v="0.75"/>
    <n v="0.75"/>
    <m/>
    <m/>
    <m/>
    <m/>
    <m/>
    <m/>
    <m/>
    <m/>
    <m/>
    <m/>
    <m/>
    <m/>
    <m/>
    <m/>
    <m/>
    <n v="3"/>
    <n v="3"/>
  </r>
  <r>
    <n v="7799"/>
    <x v="1"/>
    <s v="2022/0892"/>
    <s v="173 Earlsfield Road"/>
    <s v=""/>
    <n v="526281"/>
    <n v="173564"/>
    <s v="Wandle"/>
    <d v="2022-07-31T00:00:00"/>
    <m/>
    <n v="1"/>
    <n v="4"/>
    <n v="3"/>
    <n v="4"/>
    <n v="3"/>
    <m/>
    <s v="Alterations in connection with conversion of existing dwellinghouse into 2 x 3-bedroom, 1 x 2-bedroom and 1 x 1-bedroom flats with associated refuse and cycle storage."/>
    <s v="PF"/>
    <d v="2022-03-02T00:00:00"/>
    <d v="2022-05-05T00:00:00"/>
    <s v="Y"/>
    <s v="Nil"/>
    <m/>
    <s v="BF"/>
    <s v="CON"/>
    <x v="2"/>
    <x v="5"/>
    <n v="8.2749999999999994E-3"/>
    <m/>
    <x v="0"/>
    <m/>
    <s v="Open Market"/>
    <s v="M"/>
    <s v=""/>
    <m/>
    <n v="0"/>
    <m/>
    <n v="0"/>
    <m/>
    <n v="0"/>
    <n v="1"/>
    <n v="1"/>
    <n v="2"/>
    <n v="0"/>
    <n v="-1"/>
    <n v="0"/>
    <n v="0"/>
    <n v="1"/>
    <n v="1"/>
    <n v="2"/>
    <n v="0"/>
    <n v="0"/>
    <n v="0"/>
    <n v="0"/>
    <n v="0"/>
    <n v="0"/>
    <n v="0"/>
    <n v="0"/>
    <n v="-1"/>
    <n v="0"/>
    <n v="0"/>
    <n v="0"/>
    <n v="0"/>
    <n v="0"/>
    <n v="0"/>
    <n v="0"/>
    <n v="0"/>
    <m/>
    <m/>
    <s v="Rest of Borough"/>
    <n v="15"/>
    <m/>
    <n v="0.75"/>
    <n v="0.75"/>
    <n v="0.75"/>
    <n v="0.75"/>
    <m/>
    <m/>
    <m/>
    <m/>
    <m/>
    <m/>
    <m/>
    <m/>
    <m/>
    <m/>
    <m/>
    <m/>
    <m/>
    <m/>
    <m/>
    <n v="3"/>
    <n v="3"/>
  </r>
  <r>
    <n v="3722"/>
    <x v="1"/>
    <s v="2020/3876"/>
    <s v="178 Upper Tooting Road"/>
    <s v=""/>
    <n v="527721"/>
    <n v="171876"/>
    <s v="Tooting Bec"/>
    <m/>
    <m/>
    <n v="0"/>
    <n v="3"/>
    <n v="3"/>
    <n v="3"/>
    <n v="3"/>
    <m/>
    <s v="Alterations including erection of a three-storey rear extension and mansard roof extension to create an additional floor of accommodation to form three x 1-bedroom flats."/>
    <s v="PF"/>
    <d v="2020-10-14T00:00:00"/>
    <d v="2021-10-19T00:00:00"/>
    <m/>
    <s v="Nil"/>
    <m/>
    <s v="BF"/>
    <s v="EXT"/>
    <x v="2"/>
    <x v="2"/>
    <n v="7.0000000000000001E-3"/>
    <m/>
    <x v="0"/>
    <m/>
    <s v="Open Market"/>
    <s v="M"/>
    <s v=""/>
    <m/>
    <n v="0"/>
    <m/>
    <n v="0"/>
    <m/>
    <n v="0"/>
    <n v="3"/>
    <n v="0"/>
    <n v="0"/>
    <n v="0"/>
    <n v="0"/>
    <n v="0"/>
    <n v="0"/>
    <n v="3"/>
    <n v="0"/>
    <n v="0"/>
    <n v="0"/>
    <n v="0"/>
    <n v="0"/>
    <n v="0"/>
    <n v="0"/>
    <n v="0"/>
    <n v="0"/>
    <n v="0"/>
    <n v="0"/>
    <n v="0"/>
    <n v="0"/>
    <n v="0"/>
    <n v="0"/>
    <n v="0"/>
    <n v="0"/>
    <n v="0"/>
    <n v="0"/>
    <s v="Tooting"/>
    <m/>
    <s v="Tooting"/>
    <n v="15"/>
    <m/>
    <n v="0.75"/>
    <n v="0.75"/>
    <n v="0.75"/>
    <n v="0.75"/>
    <m/>
    <m/>
    <m/>
    <m/>
    <m/>
    <m/>
    <m/>
    <m/>
    <m/>
    <m/>
    <m/>
    <m/>
    <m/>
    <m/>
    <m/>
    <n v="3"/>
    <n v="3"/>
  </r>
  <r>
    <n v="2060"/>
    <x v="1"/>
    <s v="2020/3209"/>
    <s v="181-185 Wandsworth High Street"/>
    <s v=""/>
    <n v="525346"/>
    <n v="174649"/>
    <s v="Wandsworth Town"/>
    <m/>
    <m/>
    <n v="0"/>
    <n v="3"/>
    <n v="3"/>
    <n v="6"/>
    <n v="3"/>
    <m/>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m/>
    <s v="Nil"/>
    <m/>
    <s v="BF"/>
    <s v="MIX"/>
    <x v="2"/>
    <x v="2"/>
    <n v="6.0000000000000001E-3"/>
    <m/>
    <x v="0"/>
    <m/>
    <s v="Open Market"/>
    <s v="M"/>
    <s v=""/>
    <m/>
    <n v="0"/>
    <m/>
    <n v="0"/>
    <m/>
    <n v="0"/>
    <n v="3"/>
    <n v="0"/>
    <n v="0"/>
    <n v="0"/>
    <n v="0"/>
    <n v="0"/>
    <n v="0"/>
    <n v="3"/>
    <n v="0"/>
    <n v="0"/>
    <n v="0"/>
    <n v="0"/>
    <n v="0"/>
    <n v="0"/>
    <n v="0"/>
    <n v="0"/>
    <n v="0"/>
    <n v="0"/>
    <n v="0"/>
    <n v="0"/>
    <n v="0"/>
    <n v="0"/>
    <n v="0"/>
    <n v="0"/>
    <n v="0"/>
    <n v="0"/>
    <n v="0"/>
    <s v="Wandsworth"/>
    <m/>
    <s v="Wandsworth Town, including the Wandle Delta Masterplan Area"/>
    <n v="15"/>
    <m/>
    <n v="0.75"/>
    <n v="0.75"/>
    <n v="0.75"/>
    <n v="0.75"/>
    <m/>
    <m/>
    <m/>
    <m/>
    <m/>
    <m/>
    <m/>
    <m/>
    <m/>
    <m/>
    <m/>
    <m/>
    <m/>
    <m/>
    <m/>
    <n v="3"/>
    <n v="3"/>
  </r>
  <r>
    <n v="5958"/>
    <x v="1"/>
    <s v="2020/4021"/>
    <s v="250 Upper Tooting Road"/>
    <s v=""/>
    <n v="527576"/>
    <n v="171713"/>
    <s v="Tooting Bec"/>
    <m/>
    <m/>
    <n v="0"/>
    <n v="3"/>
    <n v="3"/>
    <n v="4"/>
    <n v="2"/>
    <m/>
    <s v="Reconfiguration of first and second floors to form 4 units (1 x 2-bedroom and 3 x 1-bedroom) with the erection of ground, first and second floor rear and side extensions and installation of AC units."/>
    <s v="PF"/>
    <d v="2020-10-23T00:00:00"/>
    <d v="2020-12-18T00:00:00"/>
    <m/>
    <s v="Nil"/>
    <m/>
    <s v="BF"/>
    <s v="MIX"/>
    <x v="2"/>
    <x v="2"/>
    <n v="5.0000000000000001E-3"/>
    <m/>
    <x v="0"/>
    <m/>
    <s v="Open Market"/>
    <s v="M"/>
    <s v=""/>
    <m/>
    <n v="0"/>
    <m/>
    <n v="0"/>
    <m/>
    <n v="0"/>
    <n v="3"/>
    <n v="0"/>
    <n v="0"/>
    <n v="0"/>
    <n v="0"/>
    <n v="0"/>
    <n v="0"/>
    <n v="3"/>
    <n v="0"/>
    <n v="0"/>
    <n v="0"/>
    <n v="0"/>
    <n v="0"/>
    <n v="0"/>
    <n v="0"/>
    <n v="0"/>
    <n v="0"/>
    <n v="0"/>
    <n v="0"/>
    <n v="0"/>
    <n v="0"/>
    <n v="0"/>
    <n v="0"/>
    <n v="0"/>
    <n v="0"/>
    <n v="0"/>
    <n v="0"/>
    <s v="Tooting"/>
    <m/>
    <s v="Tooting"/>
    <n v="15"/>
    <m/>
    <n v="0.75"/>
    <n v="0.75"/>
    <n v="0.75"/>
    <n v="0.75"/>
    <m/>
    <m/>
    <m/>
    <m/>
    <m/>
    <m/>
    <m/>
    <m/>
    <m/>
    <m/>
    <m/>
    <m/>
    <m/>
    <m/>
    <m/>
    <n v="3"/>
    <n v="3"/>
  </r>
  <r>
    <n v="378"/>
    <x v="1"/>
    <s v="2022/3878"/>
    <s v="190-194 Mitcham Road"/>
    <s v=""/>
    <n v="527913"/>
    <n v="170958"/>
    <s v="Tooting Broadway"/>
    <m/>
    <m/>
    <n v="0"/>
    <n v="21"/>
    <n v="21"/>
    <n v="21"/>
    <n v="21"/>
    <s v="Y"/>
    <s v="Demolition of existing building and erection of part 3 and part 4 storey building to provide 21 no. residential apartments (use class C3), and commercial/community space (use class E) together with private amenity space, blue badge parking space, access and landscaping."/>
    <s v="PFLA"/>
    <d v="2022-09-16T00:00:00"/>
    <d v="2023-03-31T00:00:00"/>
    <s v="Y"/>
    <s v="Nil"/>
    <m/>
    <s v="BF"/>
    <s v="NB"/>
    <x v="0"/>
    <x v="0"/>
    <n v="4.5874999999999999E-2"/>
    <m/>
    <x v="0"/>
    <m/>
    <s v="Open Market"/>
    <s v="M"/>
    <s v=""/>
    <m/>
    <n v="0"/>
    <n v="19"/>
    <n v="0"/>
    <n v="2"/>
    <n v="1"/>
    <n v="4"/>
    <n v="14"/>
    <n v="2"/>
    <n v="0"/>
    <n v="0"/>
    <n v="0"/>
    <n v="1"/>
    <n v="4"/>
    <n v="14"/>
    <n v="2"/>
    <n v="0"/>
    <n v="0"/>
    <n v="0"/>
    <n v="0"/>
    <n v="0"/>
    <n v="0"/>
    <n v="0"/>
    <n v="0"/>
    <n v="0"/>
    <n v="0"/>
    <n v="0"/>
    <n v="0"/>
    <n v="0"/>
    <n v="0"/>
    <n v="0"/>
    <n v="0"/>
    <n v="0"/>
    <m/>
    <m/>
    <s v="Rest of Borough"/>
    <n v="8"/>
    <m/>
    <m/>
    <m/>
    <n v="21"/>
    <m/>
    <m/>
    <m/>
    <m/>
    <m/>
    <m/>
    <m/>
    <m/>
    <m/>
    <m/>
    <m/>
    <m/>
    <m/>
    <m/>
    <m/>
    <m/>
    <n v="21"/>
    <n v="21"/>
  </r>
  <r>
    <n v="5122"/>
    <x v="1"/>
    <s v="2020/4248"/>
    <s v="206-208 &amp; 2A Stella Road, Mitcham Road"/>
    <s v=""/>
    <n v="527968"/>
    <n v="170921"/>
    <s v="Tooting Broadway"/>
    <m/>
    <m/>
    <n v="4"/>
    <n v="14"/>
    <n v="10"/>
    <n v="14"/>
    <n v="10"/>
    <s v="Y"/>
    <s v="Demolition of existing extensions and garage at rear of site (2A Stella Road); Erection of single-storey front extensions, part single, two and three-storey rear extensions and roof extension (to create four-storey building); Changes to design of front fenestration and addition of balconies; Erection of single-storey (with basement) building at the rear. Change of use of ground floor from Class E (retail and estate agents) to Class C3 (residential) in connection with creation of 10 additional residential units (14 in total); Provision of plant, solar panels, landscaping, boundary treatment, refuse and cycle storage, and new gated and covered access from Stella Road."/>
    <s v="PFLA"/>
    <d v="2020-11-09T00:00:00"/>
    <d v="2021-10-22T00:00:00"/>
    <m/>
    <s v="Nil"/>
    <m/>
    <s v="BF"/>
    <s v="MIX"/>
    <x v="0"/>
    <x v="0"/>
    <n v="9.9000000000000005E-2"/>
    <m/>
    <x v="0"/>
    <m/>
    <s v="Open Market"/>
    <s v="M"/>
    <s v=""/>
    <m/>
    <n v="0"/>
    <m/>
    <n v="0"/>
    <m/>
    <n v="0"/>
    <n v="4"/>
    <n v="5"/>
    <n v="1"/>
    <n v="0"/>
    <n v="0"/>
    <n v="0"/>
    <n v="0"/>
    <n v="4"/>
    <n v="5"/>
    <n v="1"/>
    <n v="0"/>
    <n v="0"/>
    <n v="0"/>
    <n v="0"/>
    <n v="0"/>
    <n v="0"/>
    <n v="0"/>
    <n v="0"/>
    <n v="0"/>
    <n v="0"/>
    <n v="0"/>
    <n v="0"/>
    <n v="0"/>
    <n v="0"/>
    <n v="0"/>
    <n v="0"/>
    <n v="0"/>
    <m/>
    <m/>
    <s v="Rest of Borough"/>
    <n v="17"/>
    <m/>
    <m/>
    <m/>
    <m/>
    <m/>
    <m/>
    <n v="2.5"/>
    <n v="2.5"/>
    <n v="2.5"/>
    <n v="2.5"/>
    <m/>
    <m/>
    <m/>
    <m/>
    <m/>
    <m/>
    <m/>
    <m/>
    <m/>
    <m/>
    <n v="0"/>
    <n v="10"/>
  </r>
  <r>
    <n v="4419"/>
    <x v="1"/>
    <s v="2022/0600"/>
    <s v="214 Upper Richmond Road"/>
    <s v=""/>
    <n v="523893"/>
    <n v="175089"/>
    <s v="West Putney"/>
    <m/>
    <m/>
    <n v="0"/>
    <n v="15"/>
    <n v="15"/>
    <n v="15"/>
    <n v="15"/>
    <s v="Y"/>
    <s v="Alterations including associated external alterations to the rear of the building to install new fenestration on the first to fourth floors, the provision cycle and waste storage facilities and installation of 30 PV panels on the roof in connection with change of use from hotel (Class C1) to residential (Class C3) to provide 9 x 1-bed and 6 x 2-bed flats."/>
    <s v="PFLA"/>
    <d v="2022-03-01T00:00:00"/>
    <d v="2023-01-18T00:00:00"/>
    <s v="Y"/>
    <s v="Nil"/>
    <m/>
    <s v="BF"/>
    <s v="CON"/>
    <x v="5"/>
    <x v="0"/>
    <n v="1.8259999999999998E-2"/>
    <m/>
    <x v="0"/>
    <m/>
    <s v="Open Market"/>
    <s v="M"/>
    <s v=""/>
    <m/>
    <n v="0"/>
    <m/>
    <n v="0"/>
    <m/>
    <n v="0"/>
    <n v="9"/>
    <n v="6"/>
    <n v="0"/>
    <n v="0"/>
    <n v="0"/>
    <n v="0"/>
    <n v="0"/>
    <n v="9"/>
    <n v="6"/>
    <n v="0"/>
    <n v="0"/>
    <n v="0"/>
    <n v="0"/>
    <n v="0"/>
    <n v="0"/>
    <n v="0"/>
    <n v="0"/>
    <n v="0"/>
    <n v="0"/>
    <n v="0"/>
    <n v="0"/>
    <n v="0"/>
    <n v="0"/>
    <n v="0"/>
    <n v="0"/>
    <n v="0"/>
    <n v="0"/>
    <s v="Putney"/>
    <m/>
    <s v="Putney Town Centre"/>
    <n v="16"/>
    <m/>
    <m/>
    <m/>
    <n v="15"/>
    <m/>
    <m/>
    <m/>
    <m/>
    <m/>
    <m/>
    <m/>
    <m/>
    <m/>
    <m/>
    <m/>
    <m/>
    <m/>
    <m/>
    <m/>
    <m/>
    <n v="15"/>
    <n v="15"/>
  </r>
  <r>
    <n v="4258"/>
    <x v="1"/>
    <s v="2020/1276"/>
    <s v="Badric Court Estate, Yelverton Road"/>
    <s v=""/>
    <n v="526831"/>
    <n v="176179"/>
    <s v="St Mary's"/>
    <m/>
    <m/>
    <n v="0"/>
    <n v="6"/>
    <n v="6"/>
    <n v="6"/>
    <n v="6"/>
    <m/>
    <s v="Infill of undercroft space beneath the blocks to provide 6 self-contained flats (4 x 2-bedroom and 2 x 4-bedroom) with associated amenity space and the provision of cycle storages."/>
    <s v="PF"/>
    <d v="2020-04-01T00:00:00"/>
    <d v="2021-10-19T00:00:00"/>
    <m/>
    <s v="Nil"/>
    <m/>
    <s v="BF"/>
    <s v="NB"/>
    <x v="2"/>
    <x v="1"/>
    <n v="5.8999999999999997E-2"/>
    <m/>
    <x v="0"/>
    <m/>
    <s v="Social/Affordable Rent"/>
    <s v="AS"/>
    <s v=""/>
    <n v="17320336"/>
    <n v="0"/>
    <m/>
    <n v="0"/>
    <m/>
    <n v="0"/>
    <n v="0"/>
    <n v="4"/>
    <n v="0"/>
    <n v="2"/>
    <n v="0"/>
    <n v="0"/>
    <n v="0"/>
    <n v="0"/>
    <n v="4"/>
    <n v="0"/>
    <n v="2"/>
    <n v="0"/>
    <n v="0"/>
    <n v="0"/>
    <n v="0"/>
    <n v="0"/>
    <n v="0"/>
    <n v="0"/>
    <n v="0"/>
    <n v="0"/>
    <n v="0"/>
    <n v="0"/>
    <n v="0"/>
    <n v="0"/>
    <n v="0"/>
    <n v="0"/>
    <n v="0"/>
    <m/>
    <m/>
    <s v="Wandsworth riverside"/>
    <n v="8"/>
    <m/>
    <m/>
    <n v="6"/>
    <m/>
    <m/>
    <m/>
    <m/>
    <m/>
    <m/>
    <m/>
    <m/>
    <m/>
    <m/>
    <m/>
    <m/>
    <m/>
    <m/>
    <m/>
    <m/>
    <m/>
    <n v="6"/>
    <n v="6"/>
  </r>
  <r>
    <n v="7711"/>
    <x v="1"/>
    <s v="2022/4594"/>
    <s v="Land and Garages Between Phelps House and The Platt Christian Centre, Felsham Road (Platt South)"/>
    <s v=""/>
    <n v="523281"/>
    <n v="175733"/>
    <s v="Thamesfield"/>
    <m/>
    <m/>
    <n v="0"/>
    <n v="8"/>
    <n v="8"/>
    <n v="8"/>
    <n v="8"/>
    <m/>
    <s v="Variation of condition 2 (in accordance approved drawings) of planning permission dated 25/04/2022 ref 2021/2879 (Demolition of existing garages and erection of a four storey building providing 9 x 1-bed and 2 x 2-bed flats, with roof terraces and balconies to all elevations and covered refuse and cycle storage.) to allow a reduction in the number of dwellings to 8, alterations to fenestration, alterations to roof design, omission of basement plant level, and various minor design amendments."/>
    <s v="S73"/>
    <d v="2022-12-06T00:00:00"/>
    <d v="2023-03-07T00:00:00"/>
    <s v="Y"/>
    <s v="Nil"/>
    <m/>
    <s v="BF"/>
    <s v="NB"/>
    <x v="2"/>
    <x v="1"/>
    <n v="1.4375000000000001E-2"/>
    <m/>
    <x v="0"/>
    <m/>
    <s v="Social/Affordable Rent"/>
    <s v="AL"/>
    <s v=""/>
    <m/>
    <n v="0"/>
    <n v="6"/>
    <n v="0"/>
    <n v="2"/>
    <n v="0"/>
    <n v="3"/>
    <n v="2"/>
    <n v="3"/>
    <n v="0"/>
    <n v="0"/>
    <n v="0"/>
    <n v="0"/>
    <n v="3"/>
    <n v="2"/>
    <n v="3"/>
    <n v="0"/>
    <n v="0"/>
    <n v="0"/>
    <n v="0"/>
    <n v="0"/>
    <n v="0"/>
    <n v="0"/>
    <n v="0"/>
    <n v="0"/>
    <n v="0"/>
    <n v="0"/>
    <n v="0"/>
    <n v="0"/>
    <n v="0"/>
    <n v="0"/>
    <n v="0"/>
    <n v="0"/>
    <m/>
    <m/>
    <s v="Rest of Borough"/>
    <n v="8"/>
    <m/>
    <m/>
    <m/>
    <n v="8"/>
    <m/>
    <m/>
    <m/>
    <m/>
    <m/>
    <m/>
    <m/>
    <m/>
    <m/>
    <m/>
    <m/>
    <m/>
    <m/>
    <m/>
    <m/>
    <m/>
    <n v="8"/>
    <n v="8"/>
  </r>
  <r>
    <n v="7377"/>
    <x v="1"/>
    <s v="2021/1324"/>
    <s v="35 Garratt Terrace"/>
    <s v=""/>
    <n v="527306"/>
    <n v="171495"/>
    <s v="Tooting Broadway"/>
    <m/>
    <m/>
    <n v="1"/>
    <n v="4"/>
    <n v="3"/>
    <n v="4"/>
    <n v="3"/>
    <m/>
    <s v="Erection of a mansard roof extension to rear roof slope and raising ridge 300mm. Erection of an extension above three-storey rear addition with French doors and safety railings. Erection of a single-storey rear/side extension at ground floor level. Alterations to include front fenestration and conversion of property into 4 self contained units ( 1 x 3-bedroom, 1 x 2-bedroom, 2 x 1-bedroom) with associated refuse and cycle storage"/>
    <s v="PF"/>
    <d v="2021-03-19T00:00:00"/>
    <d v="2021-05-12T00:00:00"/>
    <m/>
    <s v="Nil"/>
    <m/>
    <s v="BF"/>
    <s v="MIX"/>
    <x v="2"/>
    <x v="5"/>
    <n v="6.1749999999999999E-3"/>
    <m/>
    <x v="0"/>
    <m/>
    <s v="Open Market"/>
    <s v="M"/>
    <s v=""/>
    <m/>
    <n v="0"/>
    <m/>
    <n v="0"/>
    <m/>
    <n v="0"/>
    <n v="2"/>
    <n v="1"/>
    <n v="1"/>
    <n v="0"/>
    <n v="-1"/>
    <n v="0"/>
    <n v="0"/>
    <n v="2"/>
    <n v="1"/>
    <n v="1"/>
    <n v="0"/>
    <n v="0"/>
    <n v="0"/>
    <n v="0"/>
    <n v="0"/>
    <n v="0"/>
    <n v="0"/>
    <n v="0"/>
    <n v="-1"/>
    <n v="0"/>
    <n v="0"/>
    <n v="0"/>
    <n v="0"/>
    <n v="0"/>
    <n v="0"/>
    <n v="0"/>
    <n v="0"/>
    <m/>
    <m/>
    <s v="Tooting"/>
    <n v="15"/>
    <m/>
    <n v="0.75"/>
    <n v="0.75"/>
    <n v="0.75"/>
    <n v="0.75"/>
    <m/>
    <m/>
    <m/>
    <m/>
    <m/>
    <m/>
    <m/>
    <m/>
    <m/>
    <m/>
    <m/>
    <m/>
    <m/>
    <m/>
    <m/>
    <n v="3"/>
    <n v="3"/>
  </r>
  <r>
    <n v="4316"/>
    <x v="1"/>
    <s v="2020/0457"/>
    <s v="25-29 Tooting High Street"/>
    <s v=""/>
    <n v="527567"/>
    <n v="171576"/>
    <s v="Tooting Broadway"/>
    <m/>
    <m/>
    <n v="0"/>
    <n v="23"/>
    <n v="23"/>
    <n v="29"/>
    <n v="29"/>
    <s v="Y"/>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m/>
    <s v="Nil"/>
    <m/>
    <s v="BF"/>
    <s v="MIX"/>
    <x v="0"/>
    <x v="0"/>
    <n v="0.08"/>
    <m/>
    <x v="0"/>
    <m/>
    <s v="Open Market"/>
    <s v="M"/>
    <s v="5.2"/>
    <m/>
    <n v="0"/>
    <n v="2"/>
    <n v="0"/>
    <m/>
    <n v="0"/>
    <n v="10"/>
    <n v="8"/>
    <n v="5"/>
    <n v="0"/>
    <n v="0"/>
    <n v="0"/>
    <n v="0"/>
    <n v="10"/>
    <n v="8"/>
    <n v="5"/>
    <n v="0"/>
    <n v="0"/>
    <n v="0"/>
    <n v="0"/>
    <n v="0"/>
    <n v="0"/>
    <n v="0"/>
    <n v="0"/>
    <n v="0"/>
    <n v="0"/>
    <n v="0"/>
    <n v="0"/>
    <n v="0"/>
    <n v="0"/>
    <n v="0"/>
    <n v="0"/>
    <n v="0"/>
    <s v="Tooting"/>
    <m/>
    <s v="Tooting"/>
    <n v="16"/>
    <m/>
    <m/>
    <m/>
    <m/>
    <n v="23"/>
    <m/>
    <m/>
    <m/>
    <m/>
    <m/>
    <m/>
    <m/>
    <m/>
    <m/>
    <m/>
    <m/>
    <m/>
    <m/>
    <m/>
    <m/>
    <n v="23"/>
    <n v="23"/>
  </r>
  <r>
    <n v="4316"/>
    <x v="1"/>
    <s v="2020/0457"/>
    <s v="25-29 Tooting High Street"/>
    <s v=""/>
    <n v="527567"/>
    <n v="171576"/>
    <s v="Tooting Broadway"/>
    <m/>
    <m/>
    <n v="0"/>
    <n v="6"/>
    <n v="6"/>
    <n v="29"/>
    <n v="29"/>
    <s v="Y"/>
    <s v="Alterations and erection of extensions to front and side of building at first and second floor levels with the creation of additional third floor level; erection of a rear part four, part five storey extension to provide retail unit (Class A1) on ground floor and 29 residential units (Class C3) above with private balconies and communal roof terrace. Provision of waste and cycle storage and landscaping."/>
    <s v="PFLA"/>
    <d v="2020-04-02T00:00:00"/>
    <d v="2022-01-05T00:00:00"/>
    <m/>
    <s v="Nil"/>
    <m/>
    <s v="BF"/>
    <s v="MIX"/>
    <x v="0"/>
    <x v="0"/>
    <n v="0.01"/>
    <m/>
    <x v="0"/>
    <m/>
    <s v="Intermediate"/>
    <s v="ISL"/>
    <s v="5.2"/>
    <m/>
    <n v="0"/>
    <n v="1"/>
    <n v="0"/>
    <m/>
    <n v="0"/>
    <n v="3"/>
    <n v="2"/>
    <n v="1"/>
    <n v="0"/>
    <n v="0"/>
    <n v="0"/>
    <n v="0"/>
    <n v="3"/>
    <n v="2"/>
    <n v="1"/>
    <n v="0"/>
    <n v="0"/>
    <n v="0"/>
    <n v="0"/>
    <n v="0"/>
    <n v="0"/>
    <n v="0"/>
    <n v="0"/>
    <n v="0"/>
    <n v="0"/>
    <n v="0"/>
    <n v="0"/>
    <n v="0"/>
    <n v="0"/>
    <n v="0"/>
    <n v="0"/>
    <n v="0"/>
    <s v="Tooting"/>
    <m/>
    <s v="Tooting"/>
    <n v="16"/>
    <m/>
    <m/>
    <m/>
    <m/>
    <n v="6"/>
    <m/>
    <m/>
    <m/>
    <m/>
    <m/>
    <m/>
    <m/>
    <m/>
    <m/>
    <m/>
    <m/>
    <m/>
    <m/>
    <m/>
    <m/>
    <n v="6"/>
    <n v="6"/>
  </r>
  <r>
    <n v="5245"/>
    <x v="1"/>
    <s v="2021/3661"/>
    <s v="28 Thessaly Road"/>
    <s v=""/>
    <n v="529554"/>
    <n v="176699"/>
    <s v="Shaftesbury &amp; Queenstown"/>
    <m/>
    <m/>
    <n v="0"/>
    <n v="17"/>
    <n v="17"/>
    <n v="17"/>
    <n v="17"/>
    <s v="Y"/>
    <s v="The development of the site comprising the erection of a five storey building comprising 17 flats (3 x studios, 11 x 2-bedroom and 3 x 3-bedroom) with ancillary cycle and plant areas accommodated in a basement, and associated refuse storage and landscaping."/>
    <s v="PFLA"/>
    <d v="2021-09-03T00:00:00"/>
    <d v="2023-01-04T00:00:00"/>
    <s v="Y"/>
    <s v="Nil"/>
    <m/>
    <s v="BF"/>
    <s v="NB"/>
    <x v="0"/>
    <x v="0"/>
    <n v="3.1E-2"/>
    <m/>
    <x v="0"/>
    <m/>
    <s v="Open Market"/>
    <s v="M"/>
    <s v=""/>
    <m/>
    <n v="0"/>
    <n v="15"/>
    <n v="0"/>
    <n v="2"/>
    <n v="3"/>
    <n v="0"/>
    <n v="11"/>
    <n v="3"/>
    <n v="0"/>
    <n v="0"/>
    <n v="0"/>
    <n v="3"/>
    <n v="0"/>
    <n v="11"/>
    <n v="3"/>
    <n v="0"/>
    <n v="0"/>
    <n v="0"/>
    <n v="0"/>
    <n v="0"/>
    <n v="0"/>
    <n v="0"/>
    <n v="0"/>
    <n v="0"/>
    <n v="0"/>
    <n v="0"/>
    <n v="0"/>
    <n v="0"/>
    <n v="0"/>
    <n v="0"/>
    <n v="0"/>
    <n v="0"/>
    <m/>
    <s v="Y"/>
    <s v="Nine Elms Vauxhall Opportunity Area"/>
    <n v="10"/>
    <m/>
    <m/>
    <m/>
    <m/>
    <n v="5.666666666666667"/>
    <n v="5.666666666666667"/>
    <n v="5.666666666666667"/>
    <m/>
    <m/>
    <m/>
    <m/>
    <m/>
    <m/>
    <m/>
    <m/>
    <m/>
    <m/>
    <m/>
    <m/>
    <m/>
    <n v="11.333333333333334"/>
    <n v="17"/>
  </r>
  <r>
    <n v="7779"/>
    <x v="1"/>
    <s v="2021/1445"/>
    <s v="36-44 Aldrington Road"/>
    <s v=""/>
    <n v="529455"/>
    <n v="171646"/>
    <s v="Furzedown"/>
    <m/>
    <m/>
    <n v="0"/>
    <n v="34"/>
    <n v="34"/>
    <n v="34"/>
    <n v="34"/>
    <s v="Y"/>
    <s v="Demolition of existing single storey garages, residents refuse and ancillary storage sheds and redevelopment of the site for affordable residential units within a part three, four and six storey building together with ancillary residents storage, car parking, bicycle storage, refuse storage, landscaping and communal amenity space."/>
    <s v="PFLA"/>
    <d v="2021-03-26T00:00:00"/>
    <d v="2022-01-04T00:00:00"/>
    <m/>
    <s v="Nil"/>
    <m/>
    <s v="BF"/>
    <s v="NB"/>
    <x v="0"/>
    <x v="0"/>
    <n v="5.2999999999999999E-2"/>
    <m/>
    <x v="0"/>
    <m/>
    <s v="Social/Affordable Rent"/>
    <s v="AL"/>
    <s v=""/>
    <m/>
    <n v="0"/>
    <m/>
    <n v="0"/>
    <m/>
    <n v="0"/>
    <n v="14"/>
    <n v="16"/>
    <n v="4"/>
    <n v="0"/>
    <n v="0"/>
    <n v="0"/>
    <n v="0"/>
    <n v="14"/>
    <n v="16"/>
    <n v="0"/>
    <n v="0"/>
    <n v="0"/>
    <n v="0"/>
    <n v="0"/>
    <n v="0"/>
    <n v="0"/>
    <n v="4"/>
    <n v="0"/>
    <n v="0"/>
    <n v="0"/>
    <n v="0"/>
    <n v="0"/>
    <n v="0"/>
    <n v="0"/>
    <n v="0"/>
    <n v="0"/>
    <n v="0"/>
    <m/>
    <m/>
    <s v="Rest of Borough"/>
    <n v="8"/>
    <m/>
    <m/>
    <m/>
    <m/>
    <n v="34"/>
    <m/>
    <m/>
    <m/>
    <m/>
    <m/>
    <m/>
    <m/>
    <m/>
    <m/>
    <m/>
    <m/>
    <m/>
    <m/>
    <m/>
    <m/>
    <n v="34"/>
    <n v="34"/>
  </r>
  <r>
    <n v="7791"/>
    <x v="1"/>
    <s v="2022/0749"/>
    <s v="37 Garratt Terrace"/>
    <s v=""/>
    <n v="527303"/>
    <n v="171501"/>
    <s v="Tooting Broadway"/>
    <m/>
    <m/>
    <n v="1"/>
    <n v="4"/>
    <n v="3"/>
    <n v="4"/>
    <n v="3"/>
    <m/>
    <s v="Alterations including erection of a mansard roof extension to main rear roof (with French doors and safety railings) including raising ridge by 300mm and extension above the two storey back addition; Erection of single storey rear/side extension; Formation of second floor rear roof terrace with 1.7m screen surround;, in connection with creation of 1 x 3-bedroom, 1 x 2-bedroom and 1 x 1-bedroom and 1 x studio flats, with associated refuse storage to front garden and associate internal cycle storage."/>
    <s v="PF"/>
    <d v="2022-02-22T00:00:00"/>
    <d v="2022-06-09T00:00:00"/>
    <s v="Y"/>
    <s v="Nil"/>
    <m/>
    <s v="BF"/>
    <s v="MIX"/>
    <x v="2"/>
    <x v="5"/>
    <n v="6.0000000000000001E-3"/>
    <m/>
    <x v="0"/>
    <m/>
    <s v="Open Market"/>
    <s v="M"/>
    <s v=""/>
    <m/>
    <n v="0"/>
    <m/>
    <n v="0"/>
    <m/>
    <n v="1"/>
    <n v="1"/>
    <n v="1"/>
    <n v="1"/>
    <n v="0"/>
    <n v="-1"/>
    <n v="0"/>
    <n v="1"/>
    <n v="1"/>
    <n v="1"/>
    <n v="1"/>
    <n v="0"/>
    <n v="0"/>
    <n v="0"/>
    <n v="0"/>
    <n v="0"/>
    <n v="0"/>
    <n v="0"/>
    <n v="0"/>
    <n v="-1"/>
    <n v="0"/>
    <n v="0"/>
    <n v="0"/>
    <n v="0"/>
    <n v="0"/>
    <n v="0"/>
    <n v="0"/>
    <n v="0"/>
    <m/>
    <m/>
    <s v="Tooting"/>
    <n v="15"/>
    <m/>
    <n v="0.75"/>
    <n v="0.75"/>
    <n v="0.75"/>
    <n v="0.75"/>
    <m/>
    <m/>
    <m/>
    <m/>
    <m/>
    <m/>
    <m/>
    <m/>
    <m/>
    <m/>
    <m/>
    <m/>
    <m/>
    <m/>
    <m/>
    <n v="3"/>
    <n v="3"/>
  </r>
  <r>
    <n v="7161"/>
    <x v="1"/>
    <s v="2019/2233"/>
    <s v="43 Sisters Avenue"/>
    <s v=""/>
    <n v="528016"/>
    <n v="175405"/>
    <s v="Lavender"/>
    <m/>
    <m/>
    <n v="1"/>
    <n v="4"/>
    <n v="3"/>
    <n v="4"/>
    <n v="3"/>
    <m/>
    <s v="Creation of a rear courtyard in connection with conversion from a single dwelling to 3 x 3-bed and 1 x 1-bed flats, with associated cycle and refuse storage to front garden"/>
    <s v="PF"/>
    <d v="2019-05-22T00:00:00"/>
    <d v="2019-07-17T00:00:00"/>
    <m/>
    <s v="Nil"/>
    <m/>
    <s v="BF"/>
    <s v="CON"/>
    <x v="2"/>
    <x v="5"/>
    <n v="2.5000000000000001E-2"/>
    <m/>
    <x v="0"/>
    <m/>
    <s v="Open Market"/>
    <s v="M"/>
    <s v=""/>
    <m/>
    <n v="0"/>
    <m/>
    <n v="0"/>
    <m/>
    <n v="0"/>
    <n v="1"/>
    <n v="0"/>
    <n v="3"/>
    <n v="-1"/>
    <n v="0"/>
    <n v="0"/>
    <n v="0"/>
    <n v="1"/>
    <n v="0"/>
    <n v="3"/>
    <n v="0"/>
    <n v="0"/>
    <n v="0"/>
    <n v="0"/>
    <n v="0"/>
    <n v="0"/>
    <n v="0"/>
    <n v="-1"/>
    <n v="0"/>
    <n v="0"/>
    <n v="0"/>
    <n v="0"/>
    <n v="0"/>
    <n v="0"/>
    <n v="0"/>
    <n v="0"/>
    <n v="0"/>
    <m/>
    <m/>
    <s v="Rest of Borough"/>
    <n v="15"/>
    <m/>
    <n v="0.75"/>
    <n v="0.75"/>
    <n v="0.75"/>
    <n v="0.75"/>
    <m/>
    <m/>
    <m/>
    <m/>
    <m/>
    <m/>
    <m/>
    <m/>
    <m/>
    <m/>
    <m/>
    <m/>
    <m/>
    <m/>
    <m/>
    <n v="3"/>
    <n v="3"/>
  </r>
  <r>
    <n v="6789"/>
    <x v="1"/>
    <s v="2021/0546"/>
    <s v="47-51 Lavender Hill"/>
    <s v=""/>
    <n v="528385"/>
    <n v="175721"/>
    <s v="Lavender"/>
    <m/>
    <m/>
    <n v="0"/>
    <n v="3"/>
    <n v="3"/>
    <n v="3"/>
    <n v="3"/>
    <m/>
    <s v="Erection of a new storey of accommodation to main roof, extensions above back additions, formation of roof terraces above back additions with obscured glazed screen surround, extension and re-configuration of internal staircase, in connection with creation of 2 x 1 bedroom flats and 1 studio flat."/>
    <s v="PF"/>
    <d v="2021-02-08T00:00:00"/>
    <d v="2021-04-22T00:00:00"/>
    <m/>
    <s v="Nil"/>
    <m/>
    <s v="BF"/>
    <s v="EXT"/>
    <x v="2"/>
    <x v="2"/>
    <n v="5.0000000000000001E-3"/>
    <m/>
    <x v="0"/>
    <m/>
    <s v="Open Market"/>
    <s v="M"/>
    <s v=""/>
    <m/>
    <n v="0"/>
    <m/>
    <n v="0"/>
    <m/>
    <n v="1"/>
    <n v="2"/>
    <n v="0"/>
    <n v="0"/>
    <n v="0"/>
    <n v="0"/>
    <n v="0"/>
    <n v="1"/>
    <n v="2"/>
    <n v="0"/>
    <n v="0"/>
    <n v="0"/>
    <n v="0"/>
    <n v="0"/>
    <n v="0"/>
    <n v="0"/>
    <n v="0"/>
    <n v="0"/>
    <n v="0"/>
    <n v="0"/>
    <n v="0"/>
    <n v="0"/>
    <n v="0"/>
    <n v="0"/>
    <n v="0"/>
    <n v="0"/>
    <n v="0"/>
    <n v="0"/>
    <m/>
    <m/>
    <s v="Rest of Borough"/>
    <n v="15"/>
    <m/>
    <n v="0.75"/>
    <n v="0.75"/>
    <n v="0.75"/>
    <n v="0.75"/>
    <m/>
    <m/>
    <m/>
    <m/>
    <m/>
    <m/>
    <m/>
    <m/>
    <m/>
    <m/>
    <m/>
    <m/>
    <m/>
    <m/>
    <m/>
    <n v="3"/>
    <n v="3"/>
  </r>
  <r>
    <n v="5830"/>
    <x v="1"/>
    <s v="2018/3068"/>
    <s v="58 Wandsworth High Street"/>
    <s v=""/>
    <n v="525688"/>
    <n v="174648"/>
    <s v="Wandsworth Town"/>
    <m/>
    <m/>
    <n v="0"/>
    <n v="3"/>
    <n v="3"/>
    <n v="3"/>
    <n v="3"/>
    <m/>
    <s v="Alterations including erection of roof extension to provide additional floor of accommodation in connection with formation of 1 x 1-bedroom, 1 x 2-bedroom and 1 x 3-bedroom flats."/>
    <s v="PF"/>
    <d v="2018-06-25T00:00:00"/>
    <d v="2018-09-05T00:00:00"/>
    <m/>
    <s v="Nil"/>
    <m/>
    <s v="BF"/>
    <s v="EXT"/>
    <x v="2"/>
    <x v="2"/>
    <n v="8.9999999999999993E-3"/>
    <m/>
    <x v="0"/>
    <m/>
    <s v="Open Market"/>
    <s v="M"/>
    <s v=""/>
    <m/>
    <n v="0"/>
    <m/>
    <n v="0"/>
    <m/>
    <n v="0"/>
    <n v="1"/>
    <n v="1"/>
    <n v="1"/>
    <n v="0"/>
    <n v="0"/>
    <n v="0"/>
    <n v="0"/>
    <n v="1"/>
    <n v="1"/>
    <n v="1"/>
    <n v="0"/>
    <n v="0"/>
    <n v="0"/>
    <n v="0"/>
    <n v="0"/>
    <n v="0"/>
    <n v="0"/>
    <n v="0"/>
    <n v="0"/>
    <n v="0"/>
    <n v="0"/>
    <n v="0"/>
    <n v="0"/>
    <n v="0"/>
    <n v="0"/>
    <n v="0"/>
    <n v="0"/>
    <s v="Wandsworth"/>
    <m/>
    <s v="Wandsworth Town, including the Wandle Delta Masterplan Area"/>
    <n v="15"/>
    <m/>
    <n v="0.75"/>
    <n v="0.75"/>
    <n v="0.75"/>
    <n v="0.75"/>
    <m/>
    <m/>
    <m/>
    <m/>
    <m/>
    <m/>
    <m/>
    <m/>
    <m/>
    <m/>
    <m/>
    <m/>
    <m/>
    <m/>
    <m/>
    <n v="3"/>
    <n v="3"/>
  </r>
  <r>
    <n v="6995"/>
    <x v="1"/>
    <s v="2021/2255"/>
    <s v="64 Tooting High Street"/>
    <s v=""/>
    <n v="527398"/>
    <n v="171432"/>
    <s v="Tooting Broadway"/>
    <m/>
    <m/>
    <n v="1"/>
    <n v="4"/>
    <n v="3"/>
    <n v="4"/>
    <n v="3"/>
    <m/>
    <s v="Alterations including erection of an extension to provide an additional floor of accommodation, including a front roof terrace, and French doors with safety railing to rear; Erection of first and second floor rear extensions; Formation of rear roof terraces with 1.7m high screen surround at first and second floors; Change of use of part of ground floor commercial unit (Class E) to residential (Class C3) in connection with conversion into 1 x studio, 1 x 1-bedroom and 2 x 2-bedroom flats, with associated cycle and refuse storage"/>
    <s v="PF"/>
    <d v="2021-06-07T00:00:00"/>
    <d v="2021-09-24T00:00:00"/>
    <m/>
    <s v="Nil"/>
    <m/>
    <s v="BF"/>
    <s v="MIX"/>
    <x v="2"/>
    <x v="4"/>
    <n v="5.2750000000000002E-3"/>
    <m/>
    <x v="0"/>
    <m/>
    <s v="Open Market"/>
    <s v="M"/>
    <s v=""/>
    <m/>
    <n v="0"/>
    <m/>
    <n v="0"/>
    <m/>
    <n v="1"/>
    <n v="1"/>
    <n v="1"/>
    <n v="0"/>
    <n v="0"/>
    <n v="0"/>
    <n v="0"/>
    <n v="1"/>
    <n v="1"/>
    <n v="1"/>
    <n v="0"/>
    <n v="0"/>
    <n v="0"/>
    <n v="0"/>
    <n v="0"/>
    <n v="0"/>
    <n v="0"/>
    <n v="0"/>
    <n v="0"/>
    <n v="0"/>
    <n v="0"/>
    <n v="0"/>
    <n v="0"/>
    <n v="0"/>
    <n v="0"/>
    <n v="0"/>
    <n v="0"/>
    <n v="0"/>
    <s v="Tooting"/>
    <m/>
    <s v="Tooting"/>
    <n v="15"/>
    <m/>
    <n v="0.75"/>
    <n v="0.75"/>
    <n v="0.75"/>
    <n v="0.75"/>
    <m/>
    <m/>
    <m/>
    <m/>
    <m/>
    <m/>
    <m/>
    <m/>
    <m/>
    <m/>
    <m/>
    <m/>
    <m/>
    <m/>
    <m/>
    <n v="3"/>
    <n v="3"/>
  </r>
  <r>
    <n v="5920"/>
    <x v="1"/>
    <s v="2018/6128"/>
    <s v="Bright Cook House, 139 Upper Richmond Road"/>
    <s v=""/>
    <n v="524021"/>
    <n v="175002"/>
    <s v="East Putney"/>
    <m/>
    <m/>
    <n v="0"/>
    <n v="3"/>
    <n v="3"/>
    <n v="3"/>
    <n v="3"/>
    <m/>
    <s v="Determination as to whether prior approval is required for change of use of office at first floor level from (Class B1a) to residential (Class C3) to provide 2 x 1-bedroom flats and 1 x 2-bedroom flat and cycle stands."/>
    <s v="PANR"/>
    <d v="2018-12-27T00:00:00"/>
    <d v="2019-01-31T00:00:00"/>
    <m/>
    <s v="Nil"/>
    <m/>
    <s v="BF"/>
    <s v="COU"/>
    <x v="2"/>
    <x v="6"/>
    <n v="3.0000000000000001E-3"/>
    <m/>
    <x v="0"/>
    <m/>
    <s v="Open Market"/>
    <s v="M"/>
    <s v=""/>
    <m/>
    <n v="0"/>
    <m/>
    <n v="0"/>
    <m/>
    <n v="0"/>
    <n v="2"/>
    <n v="1"/>
    <n v="0"/>
    <n v="0"/>
    <n v="0"/>
    <n v="0"/>
    <n v="0"/>
    <n v="2"/>
    <n v="1"/>
    <n v="0"/>
    <n v="0"/>
    <n v="0"/>
    <n v="0"/>
    <n v="0"/>
    <n v="0"/>
    <n v="0"/>
    <n v="0"/>
    <n v="0"/>
    <n v="0"/>
    <n v="0"/>
    <n v="0"/>
    <n v="0"/>
    <n v="0"/>
    <n v="0"/>
    <n v="0"/>
    <n v="0"/>
    <n v="0"/>
    <s v="Putney"/>
    <m/>
    <s v="Putney Town Centre"/>
    <n v="15"/>
    <m/>
    <n v="0.75"/>
    <n v="0.75"/>
    <n v="0.75"/>
    <n v="0.75"/>
    <m/>
    <m/>
    <m/>
    <m/>
    <m/>
    <m/>
    <m/>
    <m/>
    <m/>
    <m/>
    <m/>
    <m/>
    <m/>
    <m/>
    <m/>
    <n v="3"/>
    <n v="3"/>
  </r>
  <r>
    <n v="4775"/>
    <x v="1"/>
    <s v="2019/2498"/>
    <s v="Templeton, 118 Priory Lane"/>
    <s v=""/>
    <n v="521333"/>
    <n v="174425"/>
    <s v="Roehampton"/>
    <m/>
    <m/>
    <n v="0"/>
    <n v="3"/>
    <n v="3"/>
    <n v="3"/>
    <n v="3"/>
    <m/>
    <s v="Alterations in connection with conversion of part ground and first floor of garage building to 3 x 1 bedroom  flats ancilliary to the main house."/>
    <s v="PF"/>
    <d v="2019-06-27T00:00:00"/>
    <d v="2019-07-31T00:00:00"/>
    <m/>
    <s v="Nil"/>
    <m/>
    <s v="BF"/>
    <s v="COU"/>
    <x v="2"/>
    <x v="3"/>
    <n v="1.4999999999999999E-2"/>
    <m/>
    <x v="0"/>
    <m/>
    <s v="Open Market"/>
    <s v="M"/>
    <s v=""/>
    <m/>
    <n v="0"/>
    <m/>
    <n v="0"/>
    <m/>
    <n v="0"/>
    <n v="3"/>
    <n v="0"/>
    <n v="0"/>
    <n v="0"/>
    <n v="0"/>
    <n v="0"/>
    <n v="0"/>
    <n v="3"/>
    <n v="0"/>
    <n v="0"/>
    <n v="0"/>
    <n v="0"/>
    <n v="0"/>
    <n v="0"/>
    <n v="0"/>
    <n v="0"/>
    <n v="0"/>
    <n v="0"/>
    <n v="0"/>
    <n v="0"/>
    <n v="0"/>
    <n v="0"/>
    <n v="0"/>
    <n v="0"/>
    <n v="0"/>
    <n v="0"/>
    <n v="0"/>
    <m/>
    <m/>
    <s v="Rest of Borough"/>
    <n v="15"/>
    <m/>
    <n v="0.75"/>
    <n v="0.75"/>
    <n v="0.75"/>
    <n v="0.75"/>
    <m/>
    <m/>
    <m/>
    <m/>
    <m/>
    <m/>
    <m/>
    <m/>
    <m/>
    <m/>
    <m/>
    <m/>
    <m/>
    <m/>
    <m/>
    <n v="3"/>
    <n v="3"/>
  </r>
  <r>
    <n v="7342"/>
    <x v="1"/>
    <s v="2020/0301"/>
    <s v="Unit 1, Ivory House, Clove Hitch Quay (Plantation Wharf)"/>
    <s v=""/>
    <n v="526368"/>
    <n v="175721"/>
    <s v="St Mary's"/>
    <m/>
    <m/>
    <n v="0"/>
    <n v="3"/>
    <n v="3"/>
    <n v="3"/>
    <n v="3"/>
    <m/>
    <s v="Determination as to whether prior approval is required for change of use of office at ground floor level from (Class B1a) to residential (Class C3) to provide 1 x 2-bedroom flat and 2 x 1bedroom flats."/>
    <s v="PAG"/>
    <d v="2020-02-12T00:00:00"/>
    <d v="2020-03-16T00:00:00"/>
    <m/>
    <s v="Nil"/>
    <m/>
    <s v="BF"/>
    <s v="COU"/>
    <x v="2"/>
    <x v="6"/>
    <n v="8.0000000000000002E-3"/>
    <m/>
    <x v="0"/>
    <m/>
    <s v="Open Market"/>
    <s v="M"/>
    <s v=""/>
    <m/>
    <n v="0"/>
    <m/>
    <n v="0"/>
    <m/>
    <n v="0"/>
    <n v="2"/>
    <n v="1"/>
    <n v="0"/>
    <n v="0"/>
    <n v="0"/>
    <n v="0"/>
    <n v="0"/>
    <n v="2"/>
    <n v="1"/>
    <n v="0"/>
    <n v="0"/>
    <n v="0"/>
    <n v="0"/>
    <n v="0"/>
    <n v="0"/>
    <n v="0"/>
    <n v="0"/>
    <n v="0"/>
    <n v="0"/>
    <n v="0"/>
    <n v="0"/>
    <n v="0"/>
    <n v="0"/>
    <n v="0"/>
    <n v="0"/>
    <n v="0"/>
    <n v="0"/>
    <m/>
    <m/>
    <s v="Wandsworth riverside"/>
    <n v="15"/>
    <m/>
    <n v="0.75"/>
    <n v="0.75"/>
    <n v="0.75"/>
    <n v="0.75"/>
    <m/>
    <m/>
    <m/>
    <m/>
    <m/>
    <m/>
    <m/>
    <m/>
    <m/>
    <m/>
    <m/>
    <m/>
    <m/>
    <m/>
    <m/>
    <n v="3"/>
    <n v="3"/>
  </r>
  <r>
    <n v="7344"/>
    <x v="1"/>
    <s v="2020/0490"/>
    <s v="Unit D, Molasses House, Clove Hitch Quay (Plantation Wharf)"/>
    <s v=""/>
    <n v="526471"/>
    <n v="175874"/>
    <s v="St Mary's"/>
    <m/>
    <m/>
    <n v="0"/>
    <n v="3"/>
    <n v="3"/>
    <n v="3"/>
    <n v="3"/>
    <m/>
    <s v="Determination as to whether prior approval is required for change of use from Office (Class B1) to 2 x 1-bedroom flats 1 x 2-bedroom flat (Class C3)."/>
    <s v="PAG"/>
    <d v="2020-02-12T00:00:00"/>
    <d v="2020-03-30T00:00:00"/>
    <m/>
    <s v="Nil"/>
    <m/>
    <s v="BF"/>
    <s v="COU"/>
    <x v="2"/>
    <x v="6"/>
    <n v="3.0000000000000001E-3"/>
    <m/>
    <x v="0"/>
    <m/>
    <s v="Open Market"/>
    <s v="M"/>
    <s v=""/>
    <m/>
    <n v="0"/>
    <m/>
    <n v="0"/>
    <m/>
    <n v="0"/>
    <n v="2"/>
    <n v="1"/>
    <n v="0"/>
    <n v="0"/>
    <n v="0"/>
    <n v="0"/>
    <n v="0"/>
    <n v="2"/>
    <n v="1"/>
    <n v="0"/>
    <n v="0"/>
    <n v="0"/>
    <n v="0"/>
    <n v="0"/>
    <n v="0"/>
    <n v="0"/>
    <n v="0"/>
    <n v="0"/>
    <n v="0"/>
    <n v="0"/>
    <n v="0"/>
    <n v="0"/>
    <n v="0"/>
    <n v="0"/>
    <n v="0"/>
    <n v="0"/>
    <n v="0"/>
    <m/>
    <m/>
    <s v="Wandsworth riverside"/>
    <n v="15"/>
    <m/>
    <n v="0.75"/>
    <n v="0.75"/>
    <n v="0.75"/>
    <n v="0.75"/>
    <m/>
    <m/>
    <m/>
    <m/>
    <m/>
    <m/>
    <m/>
    <m/>
    <m/>
    <m/>
    <m/>
    <m/>
    <m/>
    <m/>
    <m/>
    <n v="3"/>
    <n v="3"/>
  </r>
  <r>
    <n v="5800"/>
    <x v="1"/>
    <s v="2020/0684"/>
    <s v="Units 1, 9 &amp; 10 Port House, Square Rigger Row (Plantation Wharf)"/>
    <s v=""/>
    <n v="526505"/>
    <n v="175773"/>
    <s v="St Mary's"/>
    <m/>
    <m/>
    <n v="0"/>
    <n v="3"/>
    <n v="3"/>
    <n v="3"/>
    <n v="3"/>
    <m/>
    <s v="Determination as to whether prior approval is required for change of use from office (Class B1a) to 3 x 1-bedroom flats (Class C3)."/>
    <s v="PAG"/>
    <d v="2020-03-05T00:00:00"/>
    <d v="2020-04-17T00:00:00"/>
    <m/>
    <s v="Nil"/>
    <m/>
    <s v="BF"/>
    <s v="COU"/>
    <x v="2"/>
    <x v="6"/>
    <n v="1.2999999999999999E-2"/>
    <m/>
    <x v="0"/>
    <m/>
    <s v="Open Market"/>
    <s v="M"/>
    <s v="10.15"/>
    <m/>
    <n v="0"/>
    <m/>
    <n v="0"/>
    <m/>
    <n v="0"/>
    <n v="3"/>
    <n v="0"/>
    <n v="0"/>
    <n v="0"/>
    <n v="0"/>
    <n v="0"/>
    <n v="0"/>
    <n v="3"/>
    <n v="0"/>
    <n v="0"/>
    <n v="0"/>
    <n v="0"/>
    <n v="0"/>
    <n v="0"/>
    <n v="0"/>
    <n v="0"/>
    <n v="0"/>
    <n v="0"/>
    <n v="0"/>
    <n v="0"/>
    <n v="0"/>
    <n v="0"/>
    <n v="0"/>
    <n v="0"/>
    <n v="0"/>
    <n v="0"/>
    <n v="0"/>
    <m/>
    <m/>
    <s v="Wandsworth riverside"/>
    <n v="15"/>
    <m/>
    <n v="0.75"/>
    <n v="0.75"/>
    <n v="0.75"/>
    <n v="0.75"/>
    <m/>
    <m/>
    <m/>
    <m/>
    <m/>
    <m/>
    <m/>
    <m/>
    <m/>
    <m/>
    <m/>
    <m/>
    <m/>
    <m/>
    <m/>
    <n v="3"/>
    <n v="3"/>
  </r>
  <r>
    <n v="6600"/>
    <x v="1"/>
    <s v="2021/0438"/>
    <s v="107 Allfarthing Lane"/>
    <s v=""/>
    <n v="525959"/>
    <n v="174033"/>
    <s v="Wandle"/>
    <m/>
    <m/>
    <n v="0"/>
    <n v="2"/>
    <n v="2"/>
    <n v="2"/>
    <n v="2"/>
    <m/>
    <s v="Determination as to whether prior approval is required for change of use from retail (Class A1) to 1 x 1-bedroom flat and 1 studio flat (Class C3)."/>
    <s v="PANR"/>
    <d v="2021-01-26T00:00:00"/>
    <d v="2021-03-25T00:00:00"/>
    <m/>
    <s v="Nil"/>
    <m/>
    <s v="BF"/>
    <s v="COU"/>
    <x v="2"/>
    <x v="4"/>
    <n v="6.0000000000000001E-3"/>
    <m/>
    <x v="0"/>
    <m/>
    <s v="Open Market"/>
    <s v="M"/>
    <s v=""/>
    <m/>
    <n v="0"/>
    <m/>
    <n v="0"/>
    <m/>
    <n v="1"/>
    <n v="1"/>
    <n v="0"/>
    <n v="0"/>
    <n v="0"/>
    <n v="0"/>
    <n v="0"/>
    <n v="1"/>
    <n v="1"/>
    <n v="0"/>
    <n v="0"/>
    <n v="0"/>
    <n v="0"/>
    <n v="0"/>
    <n v="0"/>
    <n v="0"/>
    <n v="0"/>
    <n v="0"/>
    <n v="0"/>
    <n v="0"/>
    <n v="0"/>
    <n v="0"/>
    <n v="0"/>
    <n v="0"/>
    <n v="0"/>
    <n v="0"/>
    <n v="0"/>
    <n v="0"/>
    <m/>
    <m/>
    <s v="Rest of Borough"/>
    <n v="15"/>
    <m/>
    <n v="0.5"/>
    <n v="0.5"/>
    <n v="0.5"/>
    <n v="0.5"/>
    <m/>
    <m/>
    <m/>
    <m/>
    <m/>
    <m/>
    <m/>
    <m/>
    <m/>
    <m/>
    <m/>
    <m/>
    <m/>
    <m/>
    <m/>
    <n v="2"/>
    <n v="2"/>
  </r>
  <r>
    <n v="6059"/>
    <x v="1"/>
    <s v="2018/4316"/>
    <s v="11 Roehampton Lane"/>
    <s v=""/>
    <n v="522113"/>
    <n v="175402"/>
    <s v="Roehampton"/>
    <m/>
    <m/>
    <n v="1"/>
    <n v="3"/>
    <n v="2"/>
    <n v="3"/>
    <n v="2"/>
    <m/>
    <s v="Alterations including erection of hip-to-gable and rear dormer roof extensions (with french doors and safety railings), replacement single-storey rear/side extension in connection with conversion of property into 1 x 3 bedroom, 1 x 2-bedroom and 1 x 1-bedroom flats."/>
    <s v="PF"/>
    <d v="2018-09-07T00:00:00"/>
    <d v="2018-11-02T00:00:00"/>
    <m/>
    <s v="Nil"/>
    <m/>
    <s v="BF"/>
    <s v="MIX"/>
    <x v="2"/>
    <x v="5"/>
    <n v="2.8000000000000001E-2"/>
    <m/>
    <x v="0"/>
    <m/>
    <s v="Open Market"/>
    <s v="M"/>
    <s v=""/>
    <m/>
    <n v="0"/>
    <m/>
    <n v="0"/>
    <m/>
    <n v="0"/>
    <n v="1"/>
    <n v="1"/>
    <n v="1"/>
    <n v="0"/>
    <n v="-1"/>
    <n v="0"/>
    <n v="0"/>
    <n v="1"/>
    <n v="1"/>
    <n v="1"/>
    <n v="0"/>
    <n v="0"/>
    <n v="0"/>
    <n v="0"/>
    <n v="0"/>
    <n v="0"/>
    <n v="0"/>
    <n v="0"/>
    <n v="-1"/>
    <n v="0"/>
    <n v="0"/>
    <n v="0"/>
    <n v="0"/>
    <n v="0"/>
    <n v="0"/>
    <n v="0"/>
    <n v="0"/>
    <m/>
    <m/>
    <s v="Rest of Borough"/>
    <n v="15"/>
    <m/>
    <n v="0.5"/>
    <n v="0.5"/>
    <n v="0.5"/>
    <n v="0.5"/>
    <m/>
    <m/>
    <m/>
    <m/>
    <m/>
    <m/>
    <m/>
    <m/>
    <m/>
    <m/>
    <m/>
    <m/>
    <m/>
    <m/>
    <m/>
    <n v="2"/>
    <n v="2"/>
  </r>
  <r>
    <n v="7435"/>
    <x v="1"/>
    <s v="2020/2870"/>
    <s v="119 Boundaries Road"/>
    <s v=""/>
    <n v="527953"/>
    <n v="172977"/>
    <s v="Trinity"/>
    <m/>
    <m/>
    <n v="1"/>
    <n v="3"/>
    <n v="2"/>
    <n v="3"/>
    <n v="2"/>
    <m/>
    <s v="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
    <s v="PF"/>
    <d v="2020-08-04T00:00:00"/>
    <d v="2020-10-08T00:00:00"/>
    <m/>
    <s v="Nil"/>
    <m/>
    <s v="BF"/>
    <s v="MIX"/>
    <x v="2"/>
    <x v="5"/>
    <n v="2.7E-2"/>
    <m/>
    <x v="0"/>
    <m/>
    <s v="Open Market"/>
    <s v="M"/>
    <s v=""/>
    <m/>
    <n v="0"/>
    <m/>
    <n v="0"/>
    <m/>
    <n v="0"/>
    <n v="0"/>
    <n v="2"/>
    <n v="1"/>
    <n v="0"/>
    <n v="-1"/>
    <n v="0"/>
    <n v="0"/>
    <n v="0"/>
    <n v="2"/>
    <n v="1"/>
    <n v="0"/>
    <n v="0"/>
    <n v="0"/>
    <n v="0"/>
    <n v="0"/>
    <n v="0"/>
    <n v="0"/>
    <n v="0"/>
    <n v="-1"/>
    <n v="0"/>
    <n v="0"/>
    <n v="0"/>
    <n v="0"/>
    <n v="0"/>
    <n v="0"/>
    <n v="0"/>
    <n v="0"/>
    <m/>
    <m/>
    <s v="Rest of Borough"/>
    <n v="15"/>
    <m/>
    <n v="0.5"/>
    <n v="0.5"/>
    <n v="0.5"/>
    <n v="0.5"/>
    <m/>
    <m/>
    <m/>
    <m/>
    <m/>
    <m/>
    <m/>
    <m/>
    <m/>
    <m/>
    <m/>
    <m/>
    <m/>
    <m/>
    <m/>
    <n v="2"/>
    <n v="2"/>
  </r>
  <r>
    <n v="7057"/>
    <x v="1"/>
    <s v="2018/5309"/>
    <s v="121 Roehampton Vale"/>
    <s v=""/>
    <n v="521700"/>
    <n v="172445"/>
    <s v="Roehampton"/>
    <m/>
    <m/>
    <n v="1"/>
    <n v="3"/>
    <n v="2"/>
    <n v="3"/>
    <n v="2"/>
    <m/>
    <s v="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
    <s v="PF"/>
    <d v="2019-02-21T00:00:00"/>
    <d v="2019-04-29T00:00:00"/>
    <m/>
    <s v="Nil"/>
    <m/>
    <s v="BF"/>
    <s v="MIX"/>
    <x v="2"/>
    <x v="5"/>
    <n v="5.5E-2"/>
    <m/>
    <x v="0"/>
    <m/>
    <s v="Open Market"/>
    <s v="M"/>
    <s v=""/>
    <m/>
    <n v="0"/>
    <m/>
    <n v="0"/>
    <m/>
    <n v="0"/>
    <n v="1"/>
    <n v="0"/>
    <n v="2"/>
    <n v="-1"/>
    <n v="0"/>
    <n v="0"/>
    <n v="0"/>
    <n v="1"/>
    <n v="0"/>
    <n v="2"/>
    <n v="0"/>
    <n v="0"/>
    <n v="0"/>
    <n v="0"/>
    <n v="0"/>
    <n v="0"/>
    <n v="0"/>
    <n v="-1"/>
    <n v="0"/>
    <n v="0"/>
    <n v="0"/>
    <n v="0"/>
    <n v="0"/>
    <n v="0"/>
    <n v="0"/>
    <n v="0"/>
    <n v="0"/>
    <m/>
    <m/>
    <s v="Rest of Borough"/>
    <n v="15"/>
    <m/>
    <n v="0.5"/>
    <n v="0.5"/>
    <n v="0.5"/>
    <n v="0.5"/>
    <m/>
    <m/>
    <m/>
    <m/>
    <m/>
    <m/>
    <m/>
    <m/>
    <m/>
    <m/>
    <m/>
    <m/>
    <m/>
    <m/>
    <m/>
    <n v="2"/>
    <n v="2"/>
  </r>
  <r>
    <n v="6277"/>
    <x v="1"/>
    <s v="2020/3102"/>
    <s v="130 Longley Road"/>
    <s v=""/>
    <n v="527645"/>
    <n v="170659"/>
    <s v="Tooting Broadway"/>
    <m/>
    <m/>
    <n v="1"/>
    <n v="3"/>
    <n v="2"/>
    <n v="4"/>
    <n v="3"/>
    <m/>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m/>
    <s v="Nil"/>
    <m/>
    <s v="BF"/>
    <s v="MIX"/>
    <x v="2"/>
    <x v="5"/>
    <n v="8.9999999999999993E-3"/>
    <m/>
    <x v="0"/>
    <m/>
    <s v="Open Market"/>
    <s v="M"/>
    <s v=""/>
    <m/>
    <n v="0"/>
    <m/>
    <n v="0"/>
    <m/>
    <n v="0"/>
    <n v="0"/>
    <n v="1"/>
    <n v="2"/>
    <n v="0"/>
    <n v="-1"/>
    <n v="0"/>
    <n v="0"/>
    <n v="0"/>
    <n v="1"/>
    <n v="2"/>
    <n v="0"/>
    <n v="0"/>
    <n v="0"/>
    <n v="0"/>
    <n v="0"/>
    <n v="0"/>
    <n v="0"/>
    <n v="0"/>
    <n v="-1"/>
    <n v="0"/>
    <n v="0"/>
    <n v="0"/>
    <n v="0"/>
    <n v="0"/>
    <n v="0"/>
    <n v="0"/>
    <n v="0"/>
    <m/>
    <m/>
    <s v="Rest of Borough"/>
    <n v="15"/>
    <m/>
    <n v="0.5"/>
    <n v="0.5"/>
    <n v="0.5"/>
    <n v="0.5"/>
    <m/>
    <m/>
    <m/>
    <m/>
    <m/>
    <m/>
    <m/>
    <m/>
    <m/>
    <m/>
    <m/>
    <m/>
    <m/>
    <m/>
    <m/>
    <n v="2"/>
    <n v="2"/>
  </r>
  <r>
    <n v="7437"/>
    <x v="1"/>
    <s v="2020/2954"/>
    <s v="133 Wandsworth High Street"/>
    <s v=""/>
    <n v="525471"/>
    <n v="174681"/>
    <s v="Wandsworth Town"/>
    <m/>
    <m/>
    <n v="0"/>
    <n v="2"/>
    <n v="2"/>
    <n v="2"/>
    <n v="2"/>
    <m/>
    <s v="Change of use of ground floor to use class A2 and alterations including erection of roof extension to main rear roof, erection of first storey rear extension and excavation of rear lightwells in connection with the creation of 1 x 1 -bedroom and 1 x 2-bedroom flat"/>
    <s v="PF"/>
    <d v="2020-08-11T00:00:00"/>
    <d v="2021-03-17T00:00:00"/>
    <m/>
    <s v="Nil"/>
    <m/>
    <s v="BF"/>
    <s v="MIX"/>
    <x v="2"/>
    <x v="2"/>
    <n v="2E-3"/>
    <m/>
    <x v="0"/>
    <m/>
    <s v="Open Market"/>
    <s v="M"/>
    <s v=""/>
    <m/>
    <n v="0"/>
    <m/>
    <n v="0"/>
    <m/>
    <n v="0"/>
    <n v="1"/>
    <n v="1"/>
    <n v="0"/>
    <n v="0"/>
    <n v="0"/>
    <n v="0"/>
    <n v="0"/>
    <n v="1"/>
    <n v="1"/>
    <n v="0"/>
    <n v="0"/>
    <n v="0"/>
    <n v="0"/>
    <n v="0"/>
    <n v="0"/>
    <n v="0"/>
    <n v="0"/>
    <n v="0"/>
    <n v="0"/>
    <n v="0"/>
    <n v="0"/>
    <n v="0"/>
    <n v="0"/>
    <n v="0"/>
    <n v="0"/>
    <n v="0"/>
    <n v="0"/>
    <s v="Wandsworth"/>
    <m/>
    <s v="Wandsworth Town, including the Wandle Delta Masterplan Area"/>
    <n v="15"/>
    <m/>
    <n v="0.5"/>
    <n v="0.5"/>
    <n v="0.5"/>
    <n v="0.5"/>
    <m/>
    <m/>
    <m/>
    <m/>
    <m/>
    <m/>
    <m/>
    <m/>
    <m/>
    <m/>
    <m/>
    <m/>
    <m/>
    <m/>
    <m/>
    <n v="2"/>
    <n v="2"/>
  </r>
  <r>
    <n v="7858"/>
    <x v="1"/>
    <s v="2022/2246"/>
    <s v="148 Church Lane"/>
    <s v=""/>
    <n v="528443"/>
    <n v="171438"/>
    <s v="Tooting Bec"/>
    <m/>
    <m/>
    <n v="1"/>
    <n v="3"/>
    <n v="2"/>
    <n v="3"/>
    <n v="2"/>
    <m/>
    <s v="Alterations including erection of side and rear roof extensions with ridge raise, extension above two-storey back addition and erection of single storey side/rear extension, in connection with conversion of property into 1 x 3- bedroom  and 2 x 2-bedroom flats with associated boundary treatment, landscaping, refuse and cycle storage within front garden."/>
    <s v="PF"/>
    <d v="2022-05-30T00:00:00"/>
    <d v="2022-07-25T00:00:00"/>
    <s v="Y"/>
    <s v="Nil"/>
    <m/>
    <s v="BF"/>
    <s v="MIX"/>
    <x v="2"/>
    <x v="5"/>
    <n v="8.0333330000000001E-3"/>
    <m/>
    <x v="0"/>
    <m/>
    <s v="Open Market"/>
    <s v="M"/>
    <s v=""/>
    <m/>
    <n v="0"/>
    <m/>
    <n v="0"/>
    <m/>
    <n v="0"/>
    <n v="0"/>
    <n v="2"/>
    <n v="0"/>
    <n v="0"/>
    <n v="0"/>
    <n v="0"/>
    <n v="0"/>
    <n v="0"/>
    <n v="2"/>
    <n v="1"/>
    <n v="0"/>
    <n v="0"/>
    <n v="0"/>
    <n v="0"/>
    <n v="0"/>
    <n v="0"/>
    <n v="-1"/>
    <n v="0"/>
    <n v="0"/>
    <n v="0"/>
    <n v="0"/>
    <n v="0"/>
    <n v="0"/>
    <n v="0"/>
    <n v="0"/>
    <n v="0"/>
    <n v="0"/>
    <m/>
    <m/>
    <s v="Rest of Borough"/>
    <n v="15"/>
    <m/>
    <n v="0.5"/>
    <n v="0.5"/>
    <n v="0.5"/>
    <n v="0.5"/>
    <m/>
    <m/>
    <m/>
    <m/>
    <m/>
    <m/>
    <m/>
    <m/>
    <m/>
    <m/>
    <m/>
    <m/>
    <m/>
    <m/>
    <m/>
    <n v="2"/>
    <n v="2"/>
  </r>
  <r>
    <n v="2654"/>
    <x v="1"/>
    <s v="2022/0788"/>
    <s v="15 Balham High Road"/>
    <s v=""/>
    <n v="528760"/>
    <n v="173705"/>
    <s v="Balham"/>
    <m/>
    <m/>
    <n v="1"/>
    <n v="3"/>
    <n v="2"/>
    <n v="3"/>
    <n v="2"/>
    <m/>
    <s v="Alterations including erection of two-storey side extension at first floor, second floor rear extension, rear roof extension, rear terraces at first and second floor and associated bin and bike storage in connection with conversion from C3 Dwelling into 2 x 2-bedroom flats and 1 x studio flat."/>
    <s v="PF"/>
    <d v="2022-04-28T00:00:00"/>
    <d v="2022-07-28T00:00:00"/>
    <s v="Y"/>
    <s v="Nil"/>
    <m/>
    <s v="BF"/>
    <s v="CON"/>
    <x v="2"/>
    <x v="5"/>
    <n v="7.0000000000000001E-3"/>
    <m/>
    <x v="0"/>
    <m/>
    <s v="Open Market"/>
    <s v="MR"/>
    <s v=""/>
    <m/>
    <n v="0"/>
    <m/>
    <n v="0"/>
    <m/>
    <n v="1"/>
    <n v="0"/>
    <n v="2"/>
    <n v="0"/>
    <n v="-1"/>
    <n v="0"/>
    <n v="0"/>
    <n v="1"/>
    <n v="0"/>
    <n v="2"/>
    <n v="0"/>
    <n v="0"/>
    <n v="0"/>
    <n v="0"/>
    <n v="0"/>
    <n v="0"/>
    <n v="0"/>
    <n v="0"/>
    <n v="-1"/>
    <n v="0"/>
    <n v="0"/>
    <n v="0"/>
    <n v="0"/>
    <n v="0"/>
    <n v="0"/>
    <n v="0"/>
    <n v="0"/>
    <n v="0"/>
    <m/>
    <m/>
    <s v="Balham"/>
    <n v="15"/>
    <m/>
    <n v="0.5"/>
    <n v="0.5"/>
    <n v="0.5"/>
    <n v="0.5"/>
    <m/>
    <m/>
    <m/>
    <m/>
    <m/>
    <m/>
    <m/>
    <m/>
    <m/>
    <m/>
    <m/>
    <m/>
    <m/>
    <m/>
    <m/>
    <n v="2"/>
    <n v="2"/>
  </r>
  <r>
    <n v="7704"/>
    <x v="1"/>
    <s v="2021/1285"/>
    <s v="153 Upper Tooting Road"/>
    <s v=""/>
    <n v="527741"/>
    <n v="171921"/>
    <s v="Tooting Bec"/>
    <m/>
    <m/>
    <n v="1"/>
    <n v="3"/>
    <n v="2"/>
    <n v="3"/>
    <n v="2"/>
    <m/>
    <s v="Alterations including erection of roof extension to main rear roof and two-storey rear extension above ground floor extension in connection with conversion of upper floor flat into 2 x 2 bedroom and 1 x studio flats."/>
    <s v="PF"/>
    <d v="2021-01-29T00:00:00"/>
    <d v="2022-03-09T00:00:00"/>
    <m/>
    <s v="Nil"/>
    <m/>
    <s v="BF"/>
    <s v="MIX"/>
    <x v="2"/>
    <x v="2"/>
    <n v="6.0000000000000001E-3"/>
    <m/>
    <x v="0"/>
    <m/>
    <s v="Open Market"/>
    <s v="M"/>
    <s v=""/>
    <m/>
    <n v="0"/>
    <m/>
    <n v="0"/>
    <m/>
    <n v="1"/>
    <n v="1"/>
    <n v="1"/>
    <n v="0"/>
    <n v="0"/>
    <n v="-1"/>
    <n v="0"/>
    <n v="1"/>
    <n v="1"/>
    <n v="1"/>
    <n v="0"/>
    <n v="0"/>
    <n v="-1"/>
    <n v="0"/>
    <n v="0"/>
    <n v="0"/>
    <n v="0"/>
    <n v="0"/>
    <n v="0"/>
    <n v="0"/>
    <n v="0"/>
    <n v="0"/>
    <n v="0"/>
    <n v="0"/>
    <n v="0"/>
    <n v="0"/>
    <n v="0"/>
    <n v="0"/>
    <s v="Tooting"/>
    <m/>
    <s v="Tooting"/>
    <n v="15"/>
    <m/>
    <n v="0.5"/>
    <n v="0.5"/>
    <n v="0.5"/>
    <n v="0.5"/>
    <m/>
    <m/>
    <m/>
    <m/>
    <m/>
    <m/>
    <m/>
    <m/>
    <m/>
    <m/>
    <m/>
    <m/>
    <m/>
    <m/>
    <m/>
    <n v="2"/>
    <n v="2"/>
  </r>
  <r>
    <n v="7850"/>
    <x v="1"/>
    <s v="2022/2092"/>
    <s v="199-201 Wandsworth High Street"/>
    <s v=""/>
    <n v="525311"/>
    <n v="174644"/>
    <s v="Wandsworth Town"/>
    <m/>
    <m/>
    <n v="0"/>
    <n v="2"/>
    <n v="2"/>
    <n v="2"/>
    <n v="2"/>
    <m/>
    <s v="Alterations including demolition of rear store to commercial units (Use Class E); erection of part single, part two-storey rear extension and change of use of rear ground floor to provide a commercial unit (Class E), 1 x 1-bed flat and 1 x 3-bed house with associated cycle and refuse storage."/>
    <s v="PF"/>
    <d v="2022-06-21T00:00:00"/>
    <d v="2022-09-16T00:00:00"/>
    <s v="Y"/>
    <s v="Nil"/>
    <m/>
    <s v="BF"/>
    <s v="MIX"/>
    <x v="2"/>
    <x v="6"/>
    <n v="1.189E-2"/>
    <m/>
    <x v="0"/>
    <m/>
    <s v="Open Market"/>
    <s v="M"/>
    <s v="3.1.1"/>
    <m/>
    <n v="0"/>
    <m/>
    <n v="0"/>
    <m/>
    <n v="0"/>
    <n v="1"/>
    <n v="0"/>
    <n v="1"/>
    <n v="0"/>
    <n v="0"/>
    <n v="0"/>
    <n v="0"/>
    <n v="1"/>
    <n v="0"/>
    <n v="0"/>
    <n v="0"/>
    <n v="0"/>
    <n v="0"/>
    <n v="0"/>
    <n v="0"/>
    <n v="0"/>
    <n v="1"/>
    <n v="0"/>
    <n v="0"/>
    <n v="0"/>
    <n v="0"/>
    <n v="0"/>
    <n v="0"/>
    <n v="0"/>
    <n v="0"/>
    <n v="0"/>
    <n v="0"/>
    <s v="Wandsworth"/>
    <m/>
    <s v="Wandsworth Town, including the Wandle Delta Masterplan Area"/>
    <n v="15"/>
    <m/>
    <n v="0.5"/>
    <n v="0.5"/>
    <n v="0.5"/>
    <n v="0.5"/>
    <m/>
    <m/>
    <m/>
    <m/>
    <m/>
    <m/>
    <m/>
    <m/>
    <m/>
    <m/>
    <m/>
    <m/>
    <m/>
    <m/>
    <m/>
    <n v="2"/>
    <n v="2"/>
  </r>
  <r>
    <n v="6149"/>
    <x v="1"/>
    <s v="2016/5183"/>
    <s v="8 Ravensbury Terrace"/>
    <s v=""/>
    <n v="525867"/>
    <n v="172948"/>
    <s v="Southfields"/>
    <d v="2021-08-01T00:00:00"/>
    <m/>
    <n v="0"/>
    <n v="14"/>
    <n v="14"/>
    <n v="14"/>
    <n v="14"/>
    <s v="Y"/>
    <s v="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
    <s v="PFLA"/>
    <d v="2016-09-02T00:00:00"/>
    <d v="2019-11-01T00:00:00"/>
    <m/>
    <s v="Nil"/>
    <m/>
    <s v="BF"/>
    <s v="NB"/>
    <x v="0"/>
    <x v="0"/>
    <n v="6.7000000000000004E-2"/>
    <m/>
    <x v="0"/>
    <m/>
    <s v="Open Market"/>
    <s v="M"/>
    <s v=""/>
    <m/>
    <n v="0"/>
    <n v="1"/>
    <n v="2"/>
    <n v="1"/>
    <n v="0"/>
    <n v="3"/>
    <n v="10"/>
    <n v="1"/>
    <n v="0"/>
    <n v="0"/>
    <n v="0"/>
    <n v="0"/>
    <n v="3"/>
    <n v="10"/>
    <n v="1"/>
    <n v="0"/>
    <n v="0"/>
    <n v="0"/>
    <n v="0"/>
    <n v="0"/>
    <n v="0"/>
    <n v="0"/>
    <n v="0"/>
    <n v="0"/>
    <n v="0"/>
    <n v="0"/>
    <n v="0"/>
    <n v="0"/>
    <n v="0"/>
    <n v="0"/>
    <n v="0"/>
    <n v="0"/>
    <m/>
    <m/>
    <s v="The Wandle Valley"/>
    <n v="10"/>
    <m/>
    <m/>
    <m/>
    <m/>
    <n v="4.666666666666667"/>
    <n v="4.666666666666667"/>
    <n v="4.666666666666667"/>
    <m/>
    <m/>
    <m/>
    <m/>
    <m/>
    <m/>
    <m/>
    <m/>
    <m/>
    <m/>
    <m/>
    <m/>
    <m/>
    <n v="9.3333333333333339"/>
    <n v="14"/>
  </r>
  <r>
    <n v="7756"/>
    <x v="1"/>
    <s v="2021/5781"/>
    <s v="8 Alderbrook Road"/>
    <s v=""/>
    <n v="528535"/>
    <n v="174164"/>
    <s v="Balham"/>
    <m/>
    <m/>
    <n v="1"/>
    <n v="6"/>
    <n v="5"/>
    <n v="6"/>
    <n v="5"/>
    <m/>
    <s v="Demolition of existing building and erection of three-storey (plus basement and roof levels) building comprising 2 x 1 bedroom flats, 2 x 2-bedroom flats and 2 x 3-bedroom flats with associated landscaping works, cycle parking and refuse storage."/>
    <s v="PF"/>
    <d v="2021-12-22T00:00:00"/>
    <d v="2022-03-28T00:00:00"/>
    <m/>
    <s v="Nil"/>
    <m/>
    <s v="BF"/>
    <s v="NB"/>
    <x v="2"/>
    <x v="1"/>
    <n v="1.439E-2"/>
    <m/>
    <x v="0"/>
    <m/>
    <s v="Open Market"/>
    <s v="M"/>
    <s v=""/>
    <m/>
    <n v="0"/>
    <m/>
    <n v="0"/>
    <m/>
    <n v="0"/>
    <n v="2"/>
    <n v="2"/>
    <n v="2"/>
    <n v="-1"/>
    <n v="0"/>
    <n v="0"/>
    <n v="0"/>
    <n v="2"/>
    <n v="2"/>
    <n v="2"/>
    <n v="0"/>
    <n v="0"/>
    <n v="0"/>
    <n v="0"/>
    <n v="0"/>
    <n v="0"/>
    <n v="0"/>
    <n v="-1"/>
    <n v="0"/>
    <n v="0"/>
    <n v="0"/>
    <n v="0"/>
    <n v="0"/>
    <n v="0"/>
    <n v="0"/>
    <n v="0"/>
    <n v="0"/>
    <m/>
    <m/>
    <s v="Rest of Borough"/>
    <n v="7"/>
    <m/>
    <m/>
    <n v="1.25"/>
    <n v="1.25"/>
    <n v="1.25"/>
    <n v="1.25"/>
    <m/>
    <m/>
    <m/>
    <m/>
    <m/>
    <m/>
    <m/>
    <m/>
    <m/>
    <m/>
    <m/>
    <m/>
    <m/>
    <m/>
    <n v="5"/>
    <n v="5"/>
  </r>
  <r>
    <n v="7036"/>
    <x v="1"/>
    <s v="2019/5259"/>
    <s v="2 Worcester Gardens"/>
    <s v=""/>
    <n v="527828"/>
    <n v="175000"/>
    <s v="Northcote"/>
    <m/>
    <m/>
    <n v="1"/>
    <n v="3"/>
    <n v="2"/>
    <n v="3"/>
    <n v="2"/>
    <m/>
    <s v="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
    <s v="PF"/>
    <d v="2020-01-09T00:00:00"/>
    <d v="2020-04-28T00:00:00"/>
    <m/>
    <s v="Nil"/>
    <m/>
    <s v="BF"/>
    <s v="MIX"/>
    <x v="2"/>
    <x v="5"/>
    <n v="1.4E-2"/>
    <m/>
    <x v="0"/>
    <m/>
    <s v="Open Market"/>
    <s v="M"/>
    <s v=""/>
    <m/>
    <n v="0"/>
    <m/>
    <n v="0"/>
    <m/>
    <n v="0"/>
    <n v="0"/>
    <n v="1"/>
    <n v="2"/>
    <n v="-1"/>
    <n v="0"/>
    <n v="0"/>
    <n v="0"/>
    <n v="0"/>
    <n v="1"/>
    <n v="2"/>
    <n v="0"/>
    <n v="0"/>
    <n v="0"/>
    <n v="0"/>
    <n v="0"/>
    <n v="0"/>
    <n v="0"/>
    <n v="-1"/>
    <n v="0"/>
    <n v="0"/>
    <n v="0"/>
    <n v="0"/>
    <n v="0"/>
    <n v="0"/>
    <n v="0"/>
    <n v="0"/>
    <n v="0"/>
    <m/>
    <m/>
    <s v="Rest of Borough"/>
    <n v="15"/>
    <m/>
    <n v="0.5"/>
    <n v="0.5"/>
    <n v="0.5"/>
    <n v="0.5"/>
    <m/>
    <m/>
    <m/>
    <m/>
    <m/>
    <m/>
    <m/>
    <m/>
    <m/>
    <m/>
    <m/>
    <m/>
    <m/>
    <m/>
    <m/>
    <n v="2"/>
    <n v="2"/>
  </r>
  <r>
    <n v="6016"/>
    <x v="1"/>
    <s v="2021/1667"/>
    <s v="203 Replingham Road"/>
    <s v=""/>
    <n v="525206"/>
    <n v="173428"/>
    <s v="Southfields"/>
    <m/>
    <m/>
    <n v="0"/>
    <n v="2"/>
    <n v="2"/>
    <n v="2"/>
    <n v="2"/>
    <m/>
    <s v="Determination as to whether prior approval is required for change of use from retail (Class A1) to 2 x 1-bedroom flats (Class C3) on the ground floor with associated external alterations to front and rear elevations."/>
    <s v="PAG"/>
    <d v="2021-03-31T00:00:00"/>
    <d v="2021-05-24T00:00:00"/>
    <m/>
    <s v="Nil"/>
    <m/>
    <s v="BF"/>
    <s v="COU"/>
    <x v="2"/>
    <x v="4"/>
    <n v="5.0000000000000001E-3"/>
    <m/>
    <x v="0"/>
    <m/>
    <s v="Open Market"/>
    <s v="M"/>
    <s v=""/>
    <m/>
    <n v="0"/>
    <m/>
    <n v="0"/>
    <m/>
    <n v="0"/>
    <n v="2"/>
    <n v="0"/>
    <n v="0"/>
    <n v="0"/>
    <n v="0"/>
    <n v="0"/>
    <n v="0"/>
    <n v="2"/>
    <n v="0"/>
    <n v="0"/>
    <n v="0"/>
    <n v="0"/>
    <n v="0"/>
    <n v="0"/>
    <n v="0"/>
    <n v="0"/>
    <n v="0"/>
    <n v="0"/>
    <n v="0"/>
    <n v="0"/>
    <n v="0"/>
    <n v="0"/>
    <n v="0"/>
    <n v="0"/>
    <n v="0"/>
    <n v="0"/>
    <n v="0"/>
    <m/>
    <m/>
    <s v="Rest of Borough"/>
    <n v="15"/>
    <m/>
    <n v="0.5"/>
    <n v="0.5"/>
    <n v="0.5"/>
    <n v="0.5"/>
    <m/>
    <m/>
    <m/>
    <m/>
    <m/>
    <m/>
    <m/>
    <m/>
    <m/>
    <m/>
    <m/>
    <m/>
    <m/>
    <m/>
    <m/>
    <n v="2"/>
    <n v="2"/>
  </r>
  <r>
    <n v="6709"/>
    <x v="1"/>
    <s v="2019/4846"/>
    <s v="21 Lavender Hill"/>
    <s v=""/>
    <n v="528478"/>
    <n v="175737"/>
    <s v="Lavender"/>
    <m/>
    <m/>
    <n v="0"/>
    <n v="2"/>
    <n v="2"/>
    <n v="2"/>
    <n v="2"/>
    <m/>
    <s v="Determination as to whether prior approval is required for change of use from hot food takeaway (Class A5) to residential (Class C3) to provide 2 x 1-bedroom flats with associated external alteration side elevation."/>
    <s v="PAG"/>
    <d v="2019-11-15T00:00:00"/>
    <d v="2020-01-02T00:00:00"/>
    <m/>
    <s v="Nil"/>
    <m/>
    <s v="BF"/>
    <s v="COU"/>
    <x v="2"/>
    <x v="3"/>
    <n v="7.0000000000000001E-3"/>
    <m/>
    <x v="0"/>
    <m/>
    <s v="Open Market"/>
    <s v="M"/>
    <s v=""/>
    <m/>
    <n v="0"/>
    <m/>
    <n v="0"/>
    <m/>
    <n v="0"/>
    <n v="2"/>
    <n v="0"/>
    <n v="0"/>
    <n v="0"/>
    <n v="0"/>
    <n v="0"/>
    <n v="0"/>
    <n v="2"/>
    <n v="0"/>
    <n v="0"/>
    <n v="0"/>
    <n v="0"/>
    <n v="0"/>
    <n v="0"/>
    <n v="0"/>
    <n v="0"/>
    <n v="0"/>
    <n v="0"/>
    <n v="0"/>
    <n v="0"/>
    <n v="0"/>
    <n v="0"/>
    <n v="0"/>
    <n v="0"/>
    <n v="0"/>
    <n v="0"/>
    <n v="0"/>
    <m/>
    <m/>
    <s v="Rest of Borough"/>
    <n v="15"/>
    <m/>
    <n v="0.5"/>
    <n v="0.5"/>
    <n v="0.5"/>
    <n v="0.5"/>
    <m/>
    <m/>
    <m/>
    <m/>
    <m/>
    <m/>
    <m/>
    <m/>
    <m/>
    <m/>
    <m/>
    <m/>
    <m/>
    <m/>
    <m/>
    <n v="2"/>
    <n v="2"/>
  </r>
  <r>
    <n v="6499"/>
    <x v="1"/>
    <s v="2021/0888"/>
    <s v="Albany House, Portslade Road"/>
    <s v=""/>
    <n v="529152"/>
    <n v="176426"/>
    <s v="Shaftesbury &amp; Queenstown"/>
    <m/>
    <m/>
    <n v="2"/>
    <n v="1"/>
    <n v="-1"/>
    <n v="1"/>
    <n v="-1"/>
    <m/>
    <s v="Outline consent for the demolition of Albany House and erection of a five-storey plus basement building containing business suites (Use Class E(g)) on ground to second floors and a three-bedroom residential unit on third and fourth floors with a private roof terrace and associated cycle parking and refuse storage facilities at ground floor, with all matters reserved except access and scale."/>
    <s v="PO"/>
    <d v="2021-04-16T00:00:00"/>
    <d v="2021-08-24T00:00:00"/>
    <m/>
    <s v="Nil"/>
    <m/>
    <s v="BF"/>
    <s v="NB"/>
    <x v="2"/>
    <x v="1"/>
    <n v="2E-3"/>
    <m/>
    <x v="0"/>
    <m/>
    <s v="Open Market"/>
    <s v="M"/>
    <s v=""/>
    <m/>
    <n v="0"/>
    <m/>
    <n v="0"/>
    <m/>
    <n v="-1"/>
    <n v="-1"/>
    <n v="0"/>
    <n v="1"/>
    <n v="0"/>
    <n v="0"/>
    <n v="0"/>
    <n v="-1"/>
    <n v="-1"/>
    <n v="0"/>
    <n v="1"/>
    <n v="0"/>
    <n v="0"/>
    <n v="0"/>
    <n v="0"/>
    <n v="0"/>
    <n v="0"/>
    <n v="0"/>
    <n v="0"/>
    <n v="0"/>
    <n v="0"/>
    <n v="0"/>
    <n v="0"/>
    <n v="0"/>
    <n v="0"/>
    <n v="0"/>
    <n v="0"/>
    <n v="0"/>
    <m/>
    <s v="Y"/>
    <s v="Nine Elms Vauxhall Opportunity Area"/>
    <n v="7"/>
    <m/>
    <m/>
    <n v="-0.25"/>
    <n v="-0.25"/>
    <n v="-0.25"/>
    <n v="-0.25"/>
    <m/>
    <m/>
    <m/>
    <m/>
    <m/>
    <m/>
    <m/>
    <m/>
    <m/>
    <m/>
    <m/>
    <m/>
    <m/>
    <m/>
    <n v="-1"/>
    <n v="-1"/>
  </r>
  <r>
    <n v="3716"/>
    <x v="1"/>
    <s v="2022/0854"/>
    <s v="211 Garratt Lane"/>
    <s v=""/>
    <n v="525905"/>
    <n v="173871"/>
    <s v="Wandle"/>
    <m/>
    <m/>
    <n v="1"/>
    <n v="3"/>
    <n v="2"/>
    <n v="3"/>
    <n v="2"/>
    <m/>
    <s v="Erection of a mansard roof extension to main rear roof slope and extension above part of two-storey rear addition with the formation of a roof terrace with glazed 1.7m screen surround in connection with the conversion of the upper floors into 2 x 1-bedroom flats and one studio flat."/>
    <s v="PF"/>
    <d v="2022-04-29T00:00:00"/>
    <d v="2022-07-13T00:00:00"/>
    <s v="Y"/>
    <s v="Nil"/>
    <m/>
    <s v="BF"/>
    <s v="MIX"/>
    <x v="2"/>
    <x v="7"/>
    <n v="5.0000000000000001E-3"/>
    <m/>
    <x v="0"/>
    <m/>
    <s v="Open Market"/>
    <s v="M"/>
    <s v=""/>
    <m/>
    <n v="0"/>
    <m/>
    <n v="0"/>
    <m/>
    <n v="1"/>
    <n v="2"/>
    <n v="0"/>
    <n v="-1"/>
    <n v="0"/>
    <n v="0"/>
    <n v="0"/>
    <n v="1"/>
    <n v="2"/>
    <n v="0"/>
    <n v="-1"/>
    <n v="0"/>
    <n v="0"/>
    <n v="0"/>
    <n v="0"/>
    <n v="0"/>
    <n v="0"/>
    <n v="0"/>
    <n v="0"/>
    <n v="0"/>
    <n v="0"/>
    <n v="0"/>
    <n v="0"/>
    <n v="0"/>
    <n v="0"/>
    <n v="0"/>
    <n v="0"/>
    <n v="0"/>
    <m/>
    <m/>
    <s v="The Wandle Valley"/>
    <n v="15"/>
    <m/>
    <n v="0.5"/>
    <n v="0.5"/>
    <n v="0.5"/>
    <n v="0.5"/>
    <m/>
    <m/>
    <m/>
    <m/>
    <m/>
    <m/>
    <m/>
    <m/>
    <m/>
    <m/>
    <m/>
    <m/>
    <m/>
    <m/>
    <m/>
    <n v="2"/>
    <n v="2"/>
  </r>
  <r>
    <n v="6805"/>
    <x v="1"/>
    <s v="2020/2542"/>
    <s v="231 Putney Bridge Road"/>
    <s v=""/>
    <n v="524490"/>
    <n v="175266"/>
    <s v="Thamesfield"/>
    <m/>
    <m/>
    <n v="0"/>
    <n v="2"/>
    <n v="2"/>
    <n v="8"/>
    <n v="8"/>
    <m/>
    <s v="Alterations including erection of front and rear mansard extensions to main roof and erection of extension at second and third floor level to side elevation in connection with conversion of 6 x 1-bedroom and 2 x 2-bedroom flats."/>
    <s v="PF"/>
    <d v="2020-08-05T00:00:00"/>
    <d v="2020-11-27T00:00:00"/>
    <m/>
    <s v="Nil"/>
    <m/>
    <s v="BF"/>
    <s v="MIX"/>
    <x v="2"/>
    <x v="2"/>
    <n v="5.0000000000000001E-3"/>
    <m/>
    <x v="0"/>
    <m/>
    <s v="Open Market"/>
    <s v="M"/>
    <s v=""/>
    <m/>
    <n v="0"/>
    <m/>
    <n v="0"/>
    <m/>
    <n v="0"/>
    <n v="1"/>
    <n v="1"/>
    <n v="0"/>
    <n v="0"/>
    <n v="0"/>
    <n v="0"/>
    <n v="0"/>
    <n v="1"/>
    <n v="1"/>
    <n v="0"/>
    <n v="0"/>
    <n v="0"/>
    <n v="0"/>
    <n v="0"/>
    <n v="0"/>
    <n v="0"/>
    <n v="0"/>
    <n v="0"/>
    <n v="0"/>
    <n v="0"/>
    <n v="0"/>
    <n v="0"/>
    <n v="0"/>
    <n v="0"/>
    <n v="0"/>
    <n v="0"/>
    <n v="0"/>
    <m/>
    <m/>
    <s v="Rest of Borough"/>
    <n v="18"/>
    <m/>
    <n v="0.5"/>
    <n v="0.5"/>
    <n v="0.5"/>
    <n v="0.5"/>
    <m/>
    <m/>
    <m/>
    <m/>
    <m/>
    <m/>
    <m/>
    <m/>
    <m/>
    <m/>
    <m/>
    <m/>
    <m/>
    <m/>
    <m/>
    <n v="2"/>
    <n v="2"/>
  </r>
  <r>
    <n v="7887"/>
    <x v="1"/>
    <s v="2022/3526"/>
    <s v="40 Roedean Crescent"/>
    <s v=""/>
    <n v="521118"/>
    <n v="174326"/>
    <s v="Roehampton"/>
    <m/>
    <m/>
    <n v="1"/>
    <n v="1"/>
    <n v="0"/>
    <n v="1"/>
    <n v="0"/>
    <m/>
    <s v="Demolition of existing building and erection of a two-storey (plus basement and roof levels) 5-bedroom house with associated landscaping and single storey outbuilding and plant room in rear garden."/>
    <s v="PF"/>
    <d v="2022-09-13T00:00:00"/>
    <d v="2023-01-11T00:00:00"/>
    <s v="Y"/>
    <s v="Nil"/>
    <m/>
    <s v="BF"/>
    <s v="NB"/>
    <x v="2"/>
    <x v="1"/>
    <n v="2.8000000000000001E-2"/>
    <m/>
    <x v="0"/>
    <m/>
    <s v="Open Market"/>
    <s v="M"/>
    <s v=""/>
    <m/>
    <n v="0"/>
    <m/>
    <n v="0"/>
    <m/>
    <n v="0"/>
    <n v="0"/>
    <n v="0"/>
    <n v="0"/>
    <n v="-1"/>
    <n v="1"/>
    <n v="0"/>
    <n v="0"/>
    <n v="0"/>
    <n v="0"/>
    <n v="0"/>
    <n v="0"/>
    <n v="0"/>
    <n v="0"/>
    <n v="0"/>
    <n v="0"/>
    <n v="0"/>
    <n v="0"/>
    <n v="-1"/>
    <n v="1"/>
    <n v="0"/>
    <n v="0"/>
    <n v="0"/>
    <n v="0"/>
    <n v="0"/>
    <n v="0"/>
    <n v="0"/>
    <n v="0"/>
    <m/>
    <m/>
    <s v="Rest of Borough"/>
    <n v="7"/>
    <m/>
    <m/>
    <n v="0"/>
    <n v="0"/>
    <n v="0"/>
    <n v="0"/>
    <m/>
    <m/>
    <m/>
    <m/>
    <m/>
    <m/>
    <m/>
    <m/>
    <m/>
    <m/>
    <m/>
    <m/>
    <m/>
    <m/>
    <n v="0"/>
    <n v="0"/>
  </r>
  <r>
    <n v="2032"/>
    <x v="1"/>
    <s v="2021/0659"/>
    <s v="297-301 Balham High Road (1-9 Belgravia House, 301)"/>
    <s v=""/>
    <n v="528095"/>
    <n v="172380"/>
    <s v="South Balham"/>
    <m/>
    <m/>
    <n v="0"/>
    <n v="2"/>
    <n v="2"/>
    <n v="2"/>
    <n v="2"/>
    <m/>
    <s v="Alterations including erection of front and rear roof extensions to main rear roof including raising the ridge, formation of roof terraces to the front and rear in connection with the creation of 2 x two-bedroom flats."/>
    <s v="PF"/>
    <d v="2021-02-12T00:00:00"/>
    <d v="2021-06-21T00:00:00"/>
    <m/>
    <s v="Nil"/>
    <m/>
    <s v="BF"/>
    <s v="EXT"/>
    <x v="2"/>
    <x v="2"/>
    <n v="8.9999999999999993E-3"/>
    <m/>
    <x v="0"/>
    <m/>
    <s v="Open Market"/>
    <s v="M"/>
    <s v=""/>
    <m/>
    <n v="0"/>
    <m/>
    <n v="0"/>
    <m/>
    <n v="0"/>
    <n v="0"/>
    <n v="2"/>
    <n v="0"/>
    <n v="0"/>
    <n v="0"/>
    <n v="0"/>
    <n v="0"/>
    <n v="0"/>
    <n v="2"/>
    <n v="0"/>
    <n v="0"/>
    <n v="0"/>
    <n v="0"/>
    <n v="0"/>
    <n v="0"/>
    <n v="0"/>
    <n v="0"/>
    <n v="0"/>
    <n v="0"/>
    <n v="0"/>
    <n v="0"/>
    <n v="0"/>
    <n v="0"/>
    <n v="0"/>
    <n v="0"/>
    <n v="0"/>
    <n v="0"/>
    <m/>
    <m/>
    <s v="Rest of Borough"/>
    <n v="15"/>
    <m/>
    <n v="0.5"/>
    <n v="0.5"/>
    <n v="0.5"/>
    <n v="0.5"/>
    <m/>
    <m/>
    <m/>
    <m/>
    <m/>
    <m/>
    <m/>
    <m/>
    <m/>
    <m/>
    <m/>
    <m/>
    <m/>
    <m/>
    <m/>
    <n v="2"/>
    <n v="2"/>
  </r>
  <r>
    <n v="7729"/>
    <x v="1"/>
    <s v="2022/1190"/>
    <s v="31 Bellevue Road"/>
    <s v=""/>
    <n v="527446"/>
    <n v="173267"/>
    <s v="Trinity"/>
    <m/>
    <m/>
    <n v="0"/>
    <n v="2"/>
    <n v="2"/>
    <n v="2"/>
    <n v="2"/>
    <m/>
    <s v="Change of use of first floor from Artist Studio (Class E) to residential (Class C3). Erection of one additional storey of accommodation above first floor, formation of first and second floors lightwells and roof terraces with screening in connection with provision of 1 x 1 bedroom and 1 x 2-bedroom flats."/>
    <s v="PF"/>
    <d v="2022-03-21T00:00:00"/>
    <d v="2022-08-24T00:00:00"/>
    <s v="Y"/>
    <s v="Nil"/>
    <m/>
    <s v="BF"/>
    <s v="EXT"/>
    <x v="2"/>
    <x v="6"/>
    <n v="6.3E-3"/>
    <m/>
    <x v="0"/>
    <m/>
    <s v="Open Market"/>
    <s v="M"/>
    <s v=""/>
    <m/>
    <n v="0"/>
    <m/>
    <n v="0"/>
    <m/>
    <n v="0"/>
    <n v="1"/>
    <n v="1"/>
    <n v="0"/>
    <n v="0"/>
    <n v="0"/>
    <n v="0"/>
    <n v="0"/>
    <n v="1"/>
    <n v="1"/>
    <n v="0"/>
    <n v="0"/>
    <n v="0"/>
    <n v="0"/>
    <n v="0"/>
    <n v="0"/>
    <n v="0"/>
    <n v="0"/>
    <n v="0"/>
    <n v="0"/>
    <n v="0"/>
    <n v="0"/>
    <n v="0"/>
    <n v="0"/>
    <n v="0"/>
    <n v="0"/>
    <n v="0"/>
    <n v="0"/>
    <m/>
    <m/>
    <s v="Rest of Borough"/>
    <n v="15"/>
    <m/>
    <n v="0.5"/>
    <n v="0.5"/>
    <n v="0.5"/>
    <n v="0.5"/>
    <m/>
    <m/>
    <m/>
    <m/>
    <m/>
    <m/>
    <m/>
    <m/>
    <m/>
    <m/>
    <m/>
    <m/>
    <m/>
    <m/>
    <m/>
    <n v="2"/>
    <n v="2"/>
  </r>
  <r>
    <n v="7692"/>
    <x v="1"/>
    <s v="2021/5175"/>
    <s v="367 Garratt Lane"/>
    <s v=""/>
    <n v="525937"/>
    <n v="173389"/>
    <s v="Wandle"/>
    <m/>
    <m/>
    <n v="0"/>
    <n v="2"/>
    <n v="2"/>
    <n v="2"/>
    <n v="2"/>
    <m/>
    <s v="Alterations including erection of mansard roof extension to main rear roof and extension above two-storey back addition including formation of roof terrace with screen surround; replacement fenestration to front elevation, railings to front forecourt with cycle and refuse store in connection with change of use from ground floor retail (Class E(b)) to residential (Class C3) in the form of 2 x 2 bedroom flats."/>
    <s v="PF"/>
    <d v="2021-11-25T00:00:00"/>
    <d v="2022-01-28T00:00:00"/>
    <m/>
    <s v="Nil"/>
    <m/>
    <s v="BF"/>
    <s v="MIX"/>
    <x v="2"/>
    <x v="4"/>
    <n v="6.0000000000000001E-3"/>
    <m/>
    <x v="0"/>
    <m/>
    <s v="Open Market"/>
    <s v="M"/>
    <s v=""/>
    <m/>
    <n v="0"/>
    <m/>
    <n v="0"/>
    <m/>
    <n v="0"/>
    <n v="0"/>
    <n v="2"/>
    <n v="0"/>
    <n v="0"/>
    <n v="0"/>
    <n v="0"/>
    <n v="0"/>
    <n v="0"/>
    <n v="2"/>
    <n v="0"/>
    <n v="0"/>
    <n v="0"/>
    <n v="0"/>
    <n v="0"/>
    <n v="0"/>
    <n v="0"/>
    <n v="0"/>
    <n v="0"/>
    <n v="0"/>
    <n v="0"/>
    <n v="0"/>
    <n v="0"/>
    <n v="0"/>
    <n v="0"/>
    <n v="0"/>
    <n v="0"/>
    <n v="0"/>
    <m/>
    <m/>
    <s v="The Wandle Valley"/>
    <n v="15"/>
    <m/>
    <n v="0.5"/>
    <n v="0.5"/>
    <n v="0.5"/>
    <n v="0.5"/>
    <m/>
    <m/>
    <m/>
    <m/>
    <m/>
    <m/>
    <m/>
    <m/>
    <m/>
    <m/>
    <m/>
    <m/>
    <m/>
    <m/>
    <m/>
    <n v="2"/>
    <n v="2"/>
  </r>
  <r>
    <n v="7748"/>
    <x v="1"/>
    <s v="2022/4578"/>
    <s v="19 St Maragret's Crescent"/>
    <s v=""/>
    <n v="522924"/>
    <n v="174688"/>
    <s v="West Putney"/>
    <m/>
    <m/>
    <n v="0"/>
    <n v="1"/>
    <n v="1"/>
    <n v="1"/>
    <n v="1"/>
    <m/>
    <s v="Demolition of existing building and erection of a two-storey 3-bedroom house."/>
    <s v="PF"/>
    <d v="2022-11-09T00:00:00"/>
    <d v="2023-01-04T00:00:00"/>
    <s v="Y"/>
    <s v="Nil"/>
    <m/>
    <s v="BF"/>
    <s v="NB"/>
    <x v="2"/>
    <x v="1"/>
    <n v="1.09E-2"/>
    <m/>
    <x v="0"/>
    <m/>
    <s v="Open Market"/>
    <s v="M"/>
    <s v=""/>
    <m/>
    <n v="0"/>
    <m/>
    <n v="0"/>
    <m/>
    <n v="0"/>
    <n v="0"/>
    <n v="0"/>
    <n v="1"/>
    <n v="0"/>
    <n v="0"/>
    <n v="0"/>
    <n v="0"/>
    <n v="0"/>
    <n v="0"/>
    <n v="0"/>
    <n v="0"/>
    <n v="0"/>
    <n v="0"/>
    <n v="0"/>
    <n v="0"/>
    <n v="0"/>
    <n v="1"/>
    <n v="0"/>
    <n v="0"/>
    <n v="0"/>
    <n v="0"/>
    <n v="0"/>
    <n v="0"/>
    <n v="0"/>
    <n v="0"/>
    <n v="0"/>
    <n v="0"/>
    <m/>
    <m/>
    <s v="Rest of Borough"/>
    <n v="7"/>
    <m/>
    <m/>
    <n v="0.25"/>
    <n v="0.25"/>
    <n v="0.25"/>
    <n v="0.25"/>
    <m/>
    <m/>
    <m/>
    <m/>
    <m/>
    <m/>
    <m/>
    <m/>
    <m/>
    <m/>
    <m/>
    <m/>
    <m/>
    <m/>
    <n v="1"/>
    <n v="1"/>
  </r>
  <r>
    <n v="7153"/>
    <x v="1"/>
    <s v="2018/2174"/>
    <s v="42-43 Halston Close"/>
    <s v=""/>
    <n v="527497"/>
    <n v="174444"/>
    <s v="Northcote"/>
    <m/>
    <m/>
    <n v="3"/>
    <n v="5"/>
    <n v="2"/>
    <n v="5"/>
    <n v="2"/>
    <m/>
    <s v="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
    <s v="PF"/>
    <d v="2018-05-16T00:00:00"/>
    <d v="2018-09-24T00:00:00"/>
    <m/>
    <s v="Nil"/>
    <m/>
    <s v="BF"/>
    <s v="CON"/>
    <x v="2"/>
    <x v="5"/>
    <n v="3.5000000000000003E-2"/>
    <m/>
    <x v="0"/>
    <m/>
    <s v="Open Market"/>
    <s v="M"/>
    <s v=""/>
    <m/>
    <n v="0"/>
    <m/>
    <n v="0"/>
    <m/>
    <n v="1"/>
    <n v="1"/>
    <n v="0"/>
    <n v="0"/>
    <n v="0"/>
    <n v="0"/>
    <n v="0"/>
    <n v="1"/>
    <n v="1"/>
    <n v="0"/>
    <n v="1"/>
    <n v="0"/>
    <n v="0"/>
    <n v="0"/>
    <n v="0"/>
    <n v="0"/>
    <n v="0"/>
    <n v="-1"/>
    <n v="0"/>
    <n v="0"/>
    <n v="0"/>
    <n v="0"/>
    <n v="0"/>
    <n v="0"/>
    <n v="0"/>
    <n v="0"/>
    <n v="0"/>
    <n v="0"/>
    <m/>
    <m/>
    <s v="Rest of Borough"/>
    <n v="15"/>
    <m/>
    <n v="0.5"/>
    <n v="0.5"/>
    <n v="0.5"/>
    <n v="0.5"/>
    <m/>
    <m/>
    <m/>
    <m/>
    <m/>
    <m/>
    <m/>
    <m/>
    <m/>
    <m/>
    <m/>
    <m/>
    <m/>
    <m/>
    <m/>
    <n v="2"/>
    <n v="2"/>
  </r>
  <r>
    <n v="7857"/>
    <x v="1"/>
    <s v="2022/2207"/>
    <s v="360 Old York Road"/>
    <s v=""/>
    <n v="525896"/>
    <n v="174999"/>
    <s v="Wandsworth Town"/>
    <m/>
    <m/>
    <n v="0"/>
    <n v="2"/>
    <n v="2"/>
    <n v="2"/>
    <n v="2"/>
    <m/>
    <s v="Part demolition and the erection of a part single-storey, part two-storey extension to provide 2 x 1-bedroom flats with associated private amenity space"/>
    <s v="PF"/>
    <d v="2022-05-26T00:00:00"/>
    <d v="2022-12-20T00:00:00"/>
    <s v="Y"/>
    <s v="Nil"/>
    <m/>
    <s v="BF"/>
    <s v="NB"/>
    <x v="2"/>
    <x v="1"/>
    <n v="4.7999999999999996E-3"/>
    <m/>
    <x v="0"/>
    <m/>
    <s v="Open Market"/>
    <s v="M"/>
    <s v=""/>
    <m/>
    <n v="0"/>
    <m/>
    <n v="0"/>
    <m/>
    <n v="1"/>
    <n v="1"/>
    <n v="0"/>
    <n v="0"/>
    <n v="0"/>
    <n v="0"/>
    <n v="0"/>
    <n v="1"/>
    <n v="1"/>
    <n v="0"/>
    <n v="0"/>
    <n v="0"/>
    <n v="0"/>
    <n v="0"/>
    <n v="0"/>
    <n v="0"/>
    <n v="0"/>
    <n v="0"/>
    <n v="0"/>
    <n v="0"/>
    <n v="0"/>
    <n v="0"/>
    <n v="0"/>
    <n v="0"/>
    <n v="0"/>
    <n v="0"/>
    <n v="0"/>
    <n v="0"/>
    <m/>
    <m/>
    <s v="Wandsworth Town, including the Wandle Delta Masterplan Area"/>
    <n v="7"/>
    <m/>
    <m/>
    <n v="0.5"/>
    <n v="0.5"/>
    <n v="0.5"/>
    <n v="0.5"/>
    <m/>
    <m/>
    <m/>
    <m/>
    <m/>
    <m/>
    <m/>
    <m/>
    <m/>
    <m/>
    <m/>
    <m/>
    <m/>
    <m/>
    <n v="2"/>
    <n v="2"/>
  </r>
  <r>
    <n v="7833"/>
    <x v="1"/>
    <s v="2022/1644"/>
    <s v="51 Dryburgh Road"/>
    <s v=""/>
    <n v="522849"/>
    <n v="175561"/>
    <s v="Thamesfield"/>
    <m/>
    <m/>
    <n v="1"/>
    <n v="1"/>
    <n v="0"/>
    <n v="1"/>
    <n v="0"/>
    <m/>
    <s v="Demolition of existing building and erection of a 2-storey (plus loft and basement) house including rear first floor level terrace, front second floor level balcony and front lightwell; with associated cycle and refuse storage."/>
    <s v="PF"/>
    <d v="2022-05-23T00:00:00"/>
    <d v="2022-12-20T00:00:00"/>
    <s v="Y"/>
    <s v="Nil"/>
    <m/>
    <s v="BF"/>
    <s v="NB"/>
    <x v="2"/>
    <x v="1"/>
    <n v="7.0000000000000001E-3"/>
    <m/>
    <x v="0"/>
    <m/>
    <s v="Open Market"/>
    <s v="M"/>
    <s v=""/>
    <m/>
    <n v="0"/>
    <m/>
    <n v="0"/>
    <m/>
    <n v="0"/>
    <n v="0"/>
    <n v="0"/>
    <n v="0"/>
    <n v="0"/>
    <n v="0"/>
    <n v="0"/>
    <n v="0"/>
    <n v="0"/>
    <n v="0"/>
    <n v="0"/>
    <n v="0"/>
    <n v="0"/>
    <n v="0"/>
    <n v="0"/>
    <n v="0"/>
    <n v="0"/>
    <n v="0"/>
    <n v="0"/>
    <n v="0"/>
    <n v="0"/>
    <n v="0"/>
    <n v="0"/>
    <n v="0"/>
    <n v="0"/>
    <n v="0"/>
    <n v="0"/>
    <n v="0"/>
    <m/>
    <m/>
    <s v="Rest of Borough"/>
    <n v="7"/>
    <m/>
    <m/>
    <n v="0"/>
    <n v="0"/>
    <n v="0"/>
    <n v="0"/>
    <m/>
    <m/>
    <m/>
    <m/>
    <m/>
    <m/>
    <m/>
    <m/>
    <m/>
    <m/>
    <m/>
    <m/>
    <m/>
    <m/>
    <n v="0"/>
    <n v="0"/>
  </r>
  <r>
    <n v="7902"/>
    <x v="1"/>
    <s v="2022/4180"/>
    <s v="Land at Rear of, 211 Burntwood Lane"/>
    <s v=""/>
    <n v="526640"/>
    <n v="172690"/>
    <s v="Wandsworth Common"/>
    <m/>
    <m/>
    <n v="0"/>
    <n v="1"/>
    <n v="1"/>
    <n v="1"/>
    <n v="1"/>
    <m/>
    <s v="Demolition of existing building and erection of a single storey (plus basement) one bedroom house, with associated refuse and cycle storage."/>
    <s v="PF"/>
    <d v="2022-10-11T00:00:00"/>
    <d v="2022-12-05T00:00:00"/>
    <s v="Y"/>
    <s v="Nil"/>
    <m/>
    <s v="BF"/>
    <s v="NB"/>
    <x v="2"/>
    <x v="1"/>
    <n v="3.0000000000000001E-3"/>
    <m/>
    <x v="0"/>
    <m/>
    <s v="Open Market"/>
    <s v="M"/>
    <s v=""/>
    <m/>
    <n v="0"/>
    <m/>
    <n v="0"/>
    <m/>
    <n v="0"/>
    <n v="1"/>
    <n v="0"/>
    <n v="0"/>
    <n v="0"/>
    <n v="0"/>
    <n v="0"/>
    <n v="0"/>
    <n v="0"/>
    <n v="0"/>
    <n v="0"/>
    <n v="0"/>
    <n v="0"/>
    <n v="0"/>
    <n v="0"/>
    <n v="1"/>
    <n v="0"/>
    <n v="0"/>
    <n v="0"/>
    <n v="0"/>
    <n v="0"/>
    <n v="0"/>
    <n v="0"/>
    <n v="0"/>
    <n v="0"/>
    <n v="0"/>
    <n v="0"/>
    <n v="0"/>
    <m/>
    <m/>
    <s v="Rest of Borough"/>
    <n v="7"/>
    <m/>
    <m/>
    <n v="0.25"/>
    <n v="0.25"/>
    <n v="0.25"/>
    <n v="0.25"/>
    <m/>
    <m/>
    <m/>
    <m/>
    <m/>
    <m/>
    <m/>
    <m/>
    <m/>
    <m/>
    <m/>
    <m/>
    <m/>
    <m/>
    <n v="1"/>
    <n v="1"/>
  </r>
  <r>
    <n v="7069"/>
    <x v="1"/>
    <s v="2018/5669"/>
    <s v="Ferrier Street Industrial Estate and 322 Old York Road, 1 Ferrier Street"/>
    <s v=""/>
    <n v="525885"/>
    <n v="175045"/>
    <s v="Wandsworth Town"/>
    <m/>
    <m/>
    <n v="1"/>
    <n v="65"/>
    <n v="64"/>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s v="Y"/>
    <s v="Nil"/>
    <m/>
    <s v="BF"/>
    <s v="NB"/>
    <x v="0"/>
    <x v="0"/>
    <n v="0.19700000000000001"/>
    <m/>
    <x v="0"/>
    <m/>
    <s v="Open Market"/>
    <s v="M"/>
    <s v=""/>
    <m/>
    <n v="0"/>
    <n v="0"/>
    <n v="0"/>
    <n v="0"/>
    <n v="12"/>
    <n v="25"/>
    <n v="24"/>
    <n v="3"/>
    <n v="0"/>
    <n v="0"/>
    <n v="0"/>
    <n v="12"/>
    <n v="25"/>
    <n v="24"/>
    <n v="3"/>
    <n v="0"/>
    <n v="0"/>
    <n v="0"/>
    <n v="0"/>
    <n v="0"/>
    <n v="0"/>
    <n v="0"/>
    <n v="0"/>
    <n v="0"/>
    <n v="0"/>
    <n v="0"/>
    <n v="0"/>
    <n v="0"/>
    <n v="0"/>
    <n v="0"/>
    <n v="0"/>
    <n v="0"/>
    <m/>
    <m/>
    <s v="Wandsworth Town, including the Wandle Delta Masterplan Area"/>
    <n v="8"/>
    <m/>
    <m/>
    <m/>
    <m/>
    <m/>
    <n v="64"/>
    <m/>
    <m/>
    <m/>
    <m/>
    <m/>
    <m/>
    <m/>
    <m/>
    <m/>
    <m/>
    <m/>
    <m/>
    <m/>
    <m/>
    <n v="64"/>
    <n v="64"/>
  </r>
  <r>
    <n v="7069"/>
    <x v="1"/>
    <s v="2018/5669"/>
    <s v="Ferrier Street Industrial Estate and 322 Old York Road, 1 Ferrier Street"/>
    <s v=""/>
    <n v="525885"/>
    <n v="175045"/>
    <s v="Wandsworth Town"/>
    <m/>
    <m/>
    <n v="0"/>
    <n v="21"/>
    <n v="21"/>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s v="Y"/>
    <s v="Nil"/>
    <m/>
    <s v="BF"/>
    <s v="NB"/>
    <x v="0"/>
    <x v="0"/>
    <n v="0.04"/>
    <m/>
    <x v="0"/>
    <m/>
    <s v="Intermediate"/>
    <s v="ISL"/>
    <s v=""/>
    <m/>
    <n v="0"/>
    <n v="0"/>
    <n v="0"/>
    <n v="0"/>
    <n v="0"/>
    <n v="15"/>
    <n v="3"/>
    <n v="3"/>
    <n v="0"/>
    <n v="0"/>
    <n v="0"/>
    <n v="0"/>
    <n v="15"/>
    <n v="3"/>
    <n v="3"/>
    <n v="0"/>
    <n v="0"/>
    <n v="0"/>
    <n v="0"/>
    <n v="0"/>
    <n v="0"/>
    <n v="0"/>
    <n v="0"/>
    <n v="0"/>
    <n v="0"/>
    <n v="0"/>
    <n v="0"/>
    <n v="0"/>
    <n v="0"/>
    <n v="0"/>
    <n v="0"/>
    <n v="0"/>
    <m/>
    <m/>
    <s v="Wandsworth Town, including the Wandle Delta Masterplan Area"/>
    <n v="8"/>
    <m/>
    <m/>
    <m/>
    <m/>
    <m/>
    <n v="21"/>
    <m/>
    <m/>
    <m/>
    <m/>
    <m/>
    <m/>
    <m/>
    <m/>
    <m/>
    <m/>
    <m/>
    <m/>
    <m/>
    <m/>
    <n v="21"/>
    <n v="21"/>
  </r>
  <r>
    <n v="7069"/>
    <x v="1"/>
    <s v="2018/5669"/>
    <s v="Ferrier Street Industrial Estate and 322 Old York Road, 1 Ferrier Street"/>
    <s v=""/>
    <n v="525885"/>
    <n v="175045"/>
    <s v="Wandsworth Town"/>
    <m/>
    <m/>
    <n v="0"/>
    <n v="20"/>
    <n v="20"/>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PFLA"/>
    <d v="2018-12-05T00:00:00"/>
    <d v="2022-05-12T00:00:00"/>
    <s v="Y"/>
    <s v="Nil"/>
    <m/>
    <s v="BF"/>
    <s v="NB"/>
    <x v="0"/>
    <x v="0"/>
    <n v="4.4999999999999998E-2"/>
    <m/>
    <x v="0"/>
    <m/>
    <s v="Social/Affordable Rent"/>
    <s v="AL"/>
    <s v=""/>
    <m/>
    <n v="0"/>
    <n v="0"/>
    <n v="0"/>
    <n v="11"/>
    <n v="0"/>
    <n v="5"/>
    <n v="10"/>
    <n v="5"/>
    <n v="0"/>
    <n v="0"/>
    <n v="0"/>
    <n v="0"/>
    <n v="5"/>
    <n v="10"/>
    <n v="5"/>
    <n v="0"/>
    <n v="0"/>
    <n v="0"/>
    <n v="0"/>
    <n v="0"/>
    <n v="0"/>
    <n v="0"/>
    <n v="0"/>
    <n v="0"/>
    <n v="0"/>
    <n v="0"/>
    <n v="0"/>
    <n v="0"/>
    <n v="0"/>
    <n v="0"/>
    <n v="0"/>
    <n v="0"/>
    <m/>
    <m/>
    <s v="Wandsworth Town, including the Wandle Delta Masterplan Area"/>
    <n v="8"/>
    <m/>
    <m/>
    <m/>
    <m/>
    <m/>
    <n v="20"/>
    <m/>
    <m/>
    <m/>
    <m/>
    <m/>
    <m/>
    <m/>
    <m/>
    <m/>
    <m/>
    <m/>
    <m/>
    <m/>
    <m/>
    <n v="20"/>
    <n v="20"/>
  </r>
  <r>
    <n v="2320"/>
    <x v="1"/>
    <s v="2014/3837"/>
    <s v="Former Domus Tiles site, 31-33 Parkgate Road/Elcho Street (27-33 Parkgate Road &amp; 2-42 Elcho Street)"/>
    <s v=""/>
    <n v="527260"/>
    <n v="177215"/>
    <s v="Battersea Park"/>
    <d v="2018-03-31T00:00:00"/>
    <m/>
    <n v="0"/>
    <n v="94"/>
    <n v="94"/>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x v="0"/>
    <x v="0"/>
    <n v="0.247"/>
    <m/>
    <x v="0"/>
    <m/>
    <s v="Open Market"/>
    <s v="M"/>
    <s v="10.1.1"/>
    <m/>
    <n v="94"/>
    <m/>
    <n v="94"/>
    <m/>
    <n v="0"/>
    <n v="21"/>
    <n v="47"/>
    <n v="23"/>
    <n v="3"/>
    <n v="0"/>
    <n v="0"/>
    <n v="0"/>
    <n v="21"/>
    <n v="47"/>
    <n v="23"/>
    <n v="3"/>
    <n v="0"/>
    <n v="0"/>
    <n v="0"/>
    <n v="0"/>
    <n v="0"/>
    <n v="0"/>
    <n v="0"/>
    <n v="0"/>
    <n v="0"/>
    <n v="0"/>
    <n v="0"/>
    <n v="0"/>
    <n v="0"/>
    <n v="0"/>
    <n v="0"/>
    <n v="0"/>
    <m/>
    <m/>
    <s v="Wandsworth riverside"/>
    <n v="10"/>
    <m/>
    <m/>
    <m/>
    <m/>
    <n v="31.333333333333332"/>
    <n v="31.333333333333332"/>
    <n v="31.333333333333332"/>
    <m/>
    <m/>
    <m/>
    <m/>
    <m/>
    <m/>
    <m/>
    <m/>
    <m/>
    <m/>
    <m/>
    <m/>
    <m/>
    <n v="62.666666666666664"/>
    <n v="94"/>
  </r>
  <r>
    <n v="2320"/>
    <x v="1"/>
    <s v="2014/3837"/>
    <s v="Former Domus Tiles site, 31-33 Parkgate Road/Elcho Street (27-33 Parkgate Road &amp; 2-42 Elcho Street)"/>
    <s v=""/>
    <n v="527260"/>
    <n v="177215"/>
    <s v="Battersea Park"/>
    <d v="2018-03-31T00:00:00"/>
    <m/>
    <n v="0"/>
    <n v="14"/>
    <n v="14"/>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x v="0"/>
    <x v="0"/>
    <n v="3.6999999999999998E-2"/>
    <m/>
    <x v="0"/>
    <m/>
    <s v="Social/Affordable Rent"/>
    <s v="AS"/>
    <s v="10.1.1"/>
    <m/>
    <n v="14"/>
    <m/>
    <n v="14"/>
    <m/>
    <n v="0"/>
    <n v="1"/>
    <n v="0"/>
    <n v="13"/>
    <n v="0"/>
    <n v="0"/>
    <n v="0"/>
    <n v="0"/>
    <n v="1"/>
    <n v="0"/>
    <n v="13"/>
    <n v="0"/>
    <n v="0"/>
    <n v="0"/>
    <n v="0"/>
    <n v="0"/>
    <n v="0"/>
    <n v="0"/>
    <n v="0"/>
    <n v="0"/>
    <n v="0"/>
    <n v="0"/>
    <n v="0"/>
    <n v="0"/>
    <n v="0"/>
    <n v="0"/>
    <n v="0"/>
    <n v="0"/>
    <m/>
    <m/>
    <s v="Wandsworth riverside"/>
    <n v="10"/>
    <m/>
    <m/>
    <m/>
    <m/>
    <n v="4.666666666666667"/>
    <n v="4.666666666666667"/>
    <n v="4.666666666666667"/>
    <m/>
    <m/>
    <m/>
    <m/>
    <m/>
    <m/>
    <m/>
    <m/>
    <m/>
    <m/>
    <m/>
    <m/>
    <m/>
    <n v="9.3333333333333339"/>
    <n v="14"/>
  </r>
  <r>
    <n v="2320"/>
    <x v="1"/>
    <s v="2014/3837"/>
    <s v="Former Domus Tiles site, 31-33 Parkgate Road/Elcho Street (27-33 Parkgate Road &amp; 2-42 Elcho Street)"/>
    <s v=""/>
    <n v="527260"/>
    <n v="177215"/>
    <s v="Battersea Park"/>
    <d v="2018-03-31T00:00:00"/>
    <m/>
    <n v="0"/>
    <n v="10"/>
    <n v="10"/>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x v="0"/>
    <x v="0"/>
    <n v="2.5999999999999999E-2"/>
    <m/>
    <x v="0"/>
    <m/>
    <s v="Intermediate"/>
    <s v="ISO"/>
    <s v="10.1.1"/>
    <m/>
    <n v="10"/>
    <m/>
    <n v="10"/>
    <m/>
    <n v="0"/>
    <n v="6"/>
    <n v="2"/>
    <n v="2"/>
    <n v="0"/>
    <n v="0"/>
    <n v="0"/>
    <n v="0"/>
    <n v="6"/>
    <n v="2"/>
    <n v="2"/>
    <n v="0"/>
    <n v="0"/>
    <n v="0"/>
    <n v="0"/>
    <n v="0"/>
    <n v="0"/>
    <n v="0"/>
    <n v="0"/>
    <n v="0"/>
    <n v="0"/>
    <n v="0"/>
    <n v="0"/>
    <n v="0"/>
    <n v="0"/>
    <n v="0"/>
    <n v="0"/>
    <n v="0"/>
    <m/>
    <m/>
    <s v="Wandsworth riverside"/>
    <n v="10"/>
    <m/>
    <m/>
    <m/>
    <m/>
    <n v="3.3333333333333335"/>
    <n v="3.3333333333333335"/>
    <n v="3.3333333333333335"/>
    <m/>
    <m/>
    <m/>
    <m/>
    <m/>
    <m/>
    <m/>
    <m/>
    <m/>
    <m/>
    <m/>
    <m/>
    <m/>
    <n v="6.666666666666667"/>
    <n v="10"/>
  </r>
  <r>
    <n v="6847"/>
    <x v="1"/>
    <s v="2018/1311"/>
    <s v="Glassmill 1, 1 Battersea Bridge Road"/>
    <s v=""/>
    <n v="527092"/>
    <n v="177253"/>
    <s v="Battersea Park"/>
    <m/>
    <m/>
    <n v="0"/>
    <n v="28"/>
    <n v="28"/>
    <n v="28"/>
    <n v="28"/>
    <s v="Y"/>
    <s v="Determination as to whether prior approval is required for change of use from offices on first, second, third, fourth and fifth floors (Class B1(a)) to residential (Class C3) to provide 13 x 1-bedroom, 14 x 2-bedroom and 1 x 3-bedroom flats with associated basement bin/cycle storage and 23 parking spaces."/>
    <s v="PAG"/>
    <d v="2018-03-21T00:00:00"/>
    <d v="2018-05-03T00:00:00"/>
    <m/>
    <s v="Nil"/>
    <m/>
    <s v="BF"/>
    <s v="COU"/>
    <x v="6"/>
    <x v="0"/>
    <n v="9.1999999999999998E-2"/>
    <m/>
    <x v="0"/>
    <m/>
    <s v="Open Market"/>
    <s v="M"/>
    <s v=""/>
    <m/>
    <n v="0"/>
    <m/>
    <n v="0"/>
    <m/>
    <n v="0"/>
    <n v="13"/>
    <n v="14"/>
    <n v="1"/>
    <n v="0"/>
    <n v="0"/>
    <n v="0"/>
    <n v="0"/>
    <n v="13"/>
    <n v="14"/>
    <n v="1"/>
    <n v="0"/>
    <n v="0"/>
    <n v="0"/>
    <n v="0"/>
    <n v="0"/>
    <n v="0"/>
    <n v="0"/>
    <n v="0"/>
    <n v="0"/>
    <n v="0"/>
    <n v="0"/>
    <n v="0"/>
    <n v="0"/>
    <n v="0"/>
    <n v="0"/>
    <n v="0"/>
    <n v="0"/>
    <m/>
    <m/>
    <s v="Wandsworth riverside"/>
    <n v="17"/>
    <m/>
    <m/>
    <m/>
    <m/>
    <m/>
    <m/>
    <n v="7"/>
    <n v="7"/>
    <n v="7"/>
    <n v="7"/>
    <m/>
    <m/>
    <m/>
    <m/>
    <m/>
    <m/>
    <m/>
    <m/>
    <m/>
    <m/>
    <n v="0"/>
    <n v="28"/>
  </r>
  <r>
    <n v="4326"/>
    <x v="1"/>
    <s v="2021/0376"/>
    <s v="480 Garratt Lane"/>
    <s v=""/>
    <n v="526105"/>
    <n v="172589"/>
    <s v="Wandsworth Common"/>
    <m/>
    <m/>
    <n v="1"/>
    <n v="3"/>
    <n v="2"/>
    <n v="3"/>
    <n v="2"/>
    <m/>
    <s v="Alterations including excavation to enlarge basement including formation of front lightwell; erection of replacement single storey extension at rear and erection of single-storey side extension in connection with conversion of lower ground and ground floors into 1 x 2-bedroom and 1 x 1-bedroom flats."/>
    <s v="PF"/>
    <d v="2021-01-28T00:00:00"/>
    <d v="2021-07-08T00:00:00"/>
    <m/>
    <s v="Nil"/>
    <m/>
    <s v="BF"/>
    <s v="COU"/>
    <x v="2"/>
    <x v="3"/>
    <n v="1.2999999999999999E-2"/>
    <m/>
    <x v="0"/>
    <m/>
    <s v="Open Market"/>
    <s v="M"/>
    <s v=""/>
    <m/>
    <n v="0"/>
    <m/>
    <n v="0"/>
    <m/>
    <n v="0"/>
    <n v="0"/>
    <n v="2"/>
    <n v="0"/>
    <n v="0"/>
    <n v="0"/>
    <n v="0"/>
    <n v="0"/>
    <n v="0"/>
    <n v="2"/>
    <n v="0"/>
    <n v="0"/>
    <n v="0"/>
    <n v="0"/>
    <n v="0"/>
    <n v="0"/>
    <n v="0"/>
    <n v="0"/>
    <n v="0"/>
    <n v="0"/>
    <n v="0"/>
    <n v="0"/>
    <n v="0"/>
    <n v="0"/>
    <n v="0"/>
    <n v="0"/>
    <n v="0"/>
    <n v="0"/>
    <m/>
    <m/>
    <s v="The Wandle Valley"/>
    <n v="15"/>
    <m/>
    <n v="0.5"/>
    <n v="0.5"/>
    <n v="0.5"/>
    <n v="0.5"/>
    <m/>
    <m/>
    <m/>
    <m/>
    <m/>
    <m/>
    <m/>
    <m/>
    <m/>
    <m/>
    <m/>
    <m/>
    <m/>
    <m/>
    <m/>
    <n v="2"/>
    <n v="2"/>
  </r>
  <r>
    <n v="5333"/>
    <x v="1"/>
    <s v="2021/1184"/>
    <s v="54 Gilbey Road"/>
    <s v=""/>
    <n v="527255"/>
    <n v="171509"/>
    <s v="Tooting Broadway"/>
    <m/>
    <m/>
    <n v="2"/>
    <n v="4"/>
    <n v="2"/>
    <n v="4"/>
    <n v="2"/>
    <m/>
    <s v="Alterations including erection of mansard roof extension to main rear roof (with french doors and safety railings) including raising ridge by 300mm and roof extension above two storey back addition, erection of single storey rear and side extension and formation of rear roof terrace with 1.7m glazed safety surround at second floor level in connection with creation of 1 x 3-bedroom, 1 x 2-bedroom and 2 x 1-bedroom flats"/>
    <s v="PF"/>
    <d v="2021-03-11T00:00:00"/>
    <d v="2021-06-10T00:00:00"/>
    <m/>
    <s v="Nil"/>
    <m/>
    <s v="BF"/>
    <s v="CON"/>
    <x v="2"/>
    <x v="7"/>
    <n v="1.4E-2"/>
    <m/>
    <x v="0"/>
    <m/>
    <s v="Open Market"/>
    <s v="M"/>
    <s v=""/>
    <m/>
    <n v="0"/>
    <m/>
    <n v="0"/>
    <m/>
    <n v="0"/>
    <n v="2"/>
    <n v="0"/>
    <n v="0"/>
    <n v="0"/>
    <n v="0"/>
    <n v="0"/>
    <n v="0"/>
    <n v="2"/>
    <n v="0"/>
    <n v="0"/>
    <n v="0"/>
    <n v="0"/>
    <n v="0"/>
    <n v="0"/>
    <n v="0"/>
    <n v="0"/>
    <n v="0"/>
    <n v="0"/>
    <n v="0"/>
    <n v="0"/>
    <n v="0"/>
    <n v="0"/>
    <n v="0"/>
    <n v="0"/>
    <n v="0"/>
    <n v="0"/>
    <n v="0"/>
    <m/>
    <m/>
    <s v="Tooting"/>
    <n v="15"/>
    <m/>
    <n v="0.5"/>
    <n v="0.5"/>
    <n v="0.5"/>
    <n v="0.5"/>
    <m/>
    <m/>
    <m/>
    <m/>
    <m/>
    <m/>
    <m/>
    <m/>
    <m/>
    <m/>
    <m/>
    <m/>
    <m/>
    <m/>
    <m/>
    <n v="2"/>
    <n v="2"/>
  </r>
  <r>
    <n v="5767"/>
    <x v="1"/>
    <s v="2022/3346"/>
    <s v="56-66 Gwynne Road (26-28)"/>
    <s v=""/>
    <n v="526797"/>
    <n v="176325"/>
    <s v="St Mary's"/>
    <m/>
    <m/>
    <n v="0"/>
    <n v="2"/>
    <n v="2"/>
    <n v="2"/>
    <n v="2"/>
    <m/>
    <s v="Alterations to mezzanine floor in connection with change of use from commercial use (Class E) to residential (Class C3) to create 2 x 1-bedroom flats with associated balconies."/>
    <s v="PFLA"/>
    <d v="2022-10-24T00:00:00"/>
    <d v="2023-03-08T00:00:00"/>
    <s v="Y"/>
    <s v="Nil"/>
    <m/>
    <s v="BF"/>
    <s v="COU"/>
    <x v="2"/>
    <x v="4"/>
    <n v="0.01"/>
    <m/>
    <x v="0"/>
    <m/>
    <s v="Open Market"/>
    <s v="M"/>
    <s v=""/>
    <m/>
    <n v="0"/>
    <m/>
    <n v="0"/>
    <m/>
    <n v="0"/>
    <n v="2"/>
    <n v="0"/>
    <n v="0"/>
    <n v="0"/>
    <n v="0"/>
    <n v="0"/>
    <n v="0"/>
    <n v="2"/>
    <n v="0"/>
    <n v="0"/>
    <n v="0"/>
    <n v="0"/>
    <n v="0"/>
    <n v="0"/>
    <n v="0"/>
    <n v="0"/>
    <n v="0"/>
    <n v="0"/>
    <n v="0"/>
    <n v="0"/>
    <n v="0"/>
    <n v="0"/>
    <n v="0"/>
    <n v="0"/>
    <n v="0"/>
    <n v="0"/>
    <n v="0"/>
    <m/>
    <m/>
    <s v="Wandsworth riverside"/>
    <n v="15"/>
    <m/>
    <n v="0.5"/>
    <n v="0.5"/>
    <n v="0.5"/>
    <n v="0.5"/>
    <m/>
    <m/>
    <m/>
    <m/>
    <m/>
    <m/>
    <m/>
    <m/>
    <m/>
    <m/>
    <m/>
    <m/>
    <m/>
    <m/>
    <m/>
    <n v="2"/>
    <n v="2"/>
  </r>
  <r>
    <n v="7245"/>
    <x v="1"/>
    <s v="2019/3563"/>
    <s v="58a Gosberton Road"/>
    <s v=""/>
    <n v="528090"/>
    <n v="173486"/>
    <s v="Balham"/>
    <m/>
    <m/>
    <n v="0"/>
    <n v="2"/>
    <n v="2"/>
    <n v="2"/>
    <n v="2"/>
    <m/>
    <s v="Determination as to whether prior approval is required for change of use from retail (Class A1) to 2 x studio flats (Class C3) with associated external alterations to front and side elevations."/>
    <s v="PANR"/>
    <d v="2019-09-12T00:00:00"/>
    <d v="2019-11-04T00:00:00"/>
    <m/>
    <s v="Nil"/>
    <m/>
    <s v="BF"/>
    <s v="COU"/>
    <x v="2"/>
    <x v="4"/>
    <n v="7.0000000000000001E-3"/>
    <m/>
    <x v="0"/>
    <m/>
    <s v="Open Market"/>
    <s v="M"/>
    <s v=""/>
    <m/>
    <n v="0"/>
    <m/>
    <n v="0"/>
    <m/>
    <n v="2"/>
    <n v="0"/>
    <n v="0"/>
    <n v="0"/>
    <n v="0"/>
    <n v="0"/>
    <n v="0"/>
    <n v="2"/>
    <n v="0"/>
    <n v="0"/>
    <n v="0"/>
    <n v="0"/>
    <n v="0"/>
    <n v="0"/>
    <n v="0"/>
    <n v="0"/>
    <n v="0"/>
    <n v="0"/>
    <n v="0"/>
    <n v="0"/>
    <n v="0"/>
    <n v="0"/>
    <n v="0"/>
    <n v="0"/>
    <n v="0"/>
    <n v="0"/>
    <n v="0"/>
    <n v="0"/>
    <m/>
    <m/>
    <s v="Rest of Borough"/>
    <n v="15"/>
    <m/>
    <n v="0.5"/>
    <n v="0.5"/>
    <n v="0.5"/>
    <n v="0.5"/>
    <m/>
    <m/>
    <m/>
    <m/>
    <m/>
    <m/>
    <m/>
    <m/>
    <m/>
    <m/>
    <m/>
    <m/>
    <m/>
    <m/>
    <m/>
    <n v="2"/>
    <n v="2"/>
  </r>
  <r>
    <n v="7870"/>
    <x v="1"/>
    <s v="2022/3913"/>
    <s v="59 Byrne Road"/>
    <s v=""/>
    <n v="528923"/>
    <n v="173012"/>
    <s v="South Balham"/>
    <m/>
    <m/>
    <n v="1"/>
    <n v="3"/>
    <n v="2"/>
    <n v="3"/>
    <n v="2"/>
    <m/>
    <s v="Erection of hip to gable side roof extension and mansard roof extension to main rear roof including raising the ridge by 300mm; erection of extension above part of three-storey back addition and formation of roof terrace with 1.7m high screen surround; erection of single storey side/rear extension and rear extension of back addition at first and second floors; formation of first floor roof terrace with 1.7m high screen surround and conversion of property into 1 x 3-bedroom and 2 x 2-bedroom flats with associated cycle and refuse storage."/>
    <s v="PF"/>
    <d v="2022-09-20T00:00:00"/>
    <d v="2022-12-02T00:00:00"/>
    <s v="Y"/>
    <s v="Nil"/>
    <m/>
    <s v="BF"/>
    <s v="CON"/>
    <x v="2"/>
    <x v="5"/>
    <n v="8.0000000000000002E-3"/>
    <m/>
    <x v="0"/>
    <m/>
    <s v="Open Market"/>
    <s v="M"/>
    <s v=""/>
    <m/>
    <n v="0"/>
    <m/>
    <n v="0"/>
    <m/>
    <n v="0"/>
    <n v="0"/>
    <n v="2"/>
    <n v="1"/>
    <n v="0"/>
    <n v="-1"/>
    <n v="0"/>
    <n v="0"/>
    <n v="0"/>
    <n v="2"/>
    <n v="1"/>
    <n v="0"/>
    <n v="0"/>
    <n v="0"/>
    <n v="0"/>
    <n v="0"/>
    <n v="0"/>
    <n v="0"/>
    <n v="0"/>
    <n v="-1"/>
    <n v="0"/>
    <n v="0"/>
    <n v="0"/>
    <n v="0"/>
    <n v="0"/>
    <n v="0"/>
    <n v="0"/>
    <n v="0"/>
    <m/>
    <m/>
    <s v="Rest of Borough"/>
    <n v="15"/>
    <m/>
    <n v="0.5"/>
    <n v="0.5"/>
    <n v="0.5"/>
    <n v="0.5"/>
    <m/>
    <m/>
    <m/>
    <m/>
    <m/>
    <m/>
    <m/>
    <m/>
    <m/>
    <m/>
    <m/>
    <m/>
    <m/>
    <m/>
    <m/>
    <n v="2"/>
    <n v="2"/>
  </r>
  <r>
    <n v="3577"/>
    <x v="1"/>
    <s v="2020/2249"/>
    <s v="74 St Rule Street"/>
    <s v=""/>
    <n v="529035"/>
    <n v="176328"/>
    <s v="Shaftesbury &amp; Queenstown"/>
    <m/>
    <m/>
    <n v="0"/>
    <n v="2"/>
    <n v="2"/>
    <n v="2"/>
    <n v="2"/>
    <m/>
    <s v="Change of use of ground floor from 2 x Class A1 and 1 x Class A3 units to C3 residential, and internal reconfiguration and fenestration alterations to ground and first floor to create a total of 2 no. additional dwellings."/>
    <s v="PF"/>
    <d v="2020-06-25T00:00:00"/>
    <d v="2020-09-23T00:00:00"/>
    <m/>
    <s v="Nil"/>
    <m/>
    <s v="BF"/>
    <s v="COU"/>
    <x v="2"/>
    <x v="4"/>
    <n v="1.7000000000000001E-2"/>
    <m/>
    <x v="0"/>
    <m/>
    <s v="Open Market"/>
    <s v="M"/>
    <s v=""/>
    <m/>
    <n v="0"/>
    <m/>
    <n v="0"/>
    <m/>
    <n v="0"/>
    <n v="2"/>
    <n v="0"/>
    <n v="0"/>
    <n v="0"/>
    <n v="0"/>
    <n v="0"/>
    <n v="0"/>
    <n v="2"/>
    <n v="0"/>
    <n v="0"/>
    <n v="0"/>
    <n v="0"/>
    <n v="0"/>
    <n v="0"/>
    <n v="0"/>
    <n v="0"/>
    <n v="0"/>
    <n v="0"/>
    <n v="0"/>
    <n v="0"/>
    <n v="0"/>
    <n v="0"/>
    <n v="0"/>
    <n v="0"/>
    <n v="0"/>
    <n v="0"/>
    <n v="0"/>
    <m/>
    <s v="Y"/>
    <s v="Nine Elms Vauxhall Opportunity Area"/>
    <n v="15"/>
    <m/>
    <n v="0.5"/>
    <n v="0.5"/>
    <n v="0.5"/>
    <n v="0.5"/>
    <m/>
    <m/>
    <m/>
    <m/>
    <m/>
    <m/>
    <m/>
    <m/>
    <m/>
    <m/>
    <m/>
    <m/>
    <m/>
    <m/>
    <m/>
    <n v="2"/>
    <n v="2"/>
  </r>
  <r>
    <n v="340"/>
    <x v="1"/>
    <s v="2019/2689"/>
    <s v="76 a &amp; b, 76 Moyser Road"/>
    <s v=""/>
    <n v="528898"/>
    <n v="171088"/>
    <s v="Furzedown"/>
    <m/>
    <m/>
    <n v="0"/>
    <n v="2"/>
    <n v="2"/>
    <n v="2"/>
    <n v="2"/>
    <m/>
    <s v="Determination as to whether prior approval is required for change of use from business (Class B1) to 2 x 1-bedroom flat (Class C3)."/>
    <s v="PAG"/>
    <d v="2019-07-05T00:00:00"/>
    <d v="2019-08-16T00:00:00"/>
    <m/>
    <s v="Nil"/>
    <m/>
    <s v="BF"/>
    <s v="COU"/>
    <x v="2"/>
    <x v="6"/>
    <n v="5.0000000000000001E-3"/>
    <m/>
    <x v="0"/>
    <m/>
    <s v="Open Market"/>
    <s v="M"/>
    <s v=""/>
    <m/>
    <n v="0"/>
    <m/>
    <n v="0"/>
    <m/>
    <n v="0"/>
    <n v="2"/>
    <n v="0"/>
    <n v="0"/>
    <n v="0"/>
    <n v="0"/>
    <n v="0"/>
    <n v="0"/>
    <n v="2"/>
    <n v="0"/>
    <n v="0"/>
    <n v="0"/>
    <n v="0"/>
    <n v="0"/>
    <n v="0"/>
    <n v="0"/>
    <n v="0"/>
    <n v="0"/>
    <n v="0"/>
    <n v="0"/>
    <n v="0"/>
    <n v="0"/>
    <n v="0"/>
    <n v="0"/>
    <n v="0"/>
    <n v="0"/>
    <n v="0"/>
    <n v="0"/>
    <m/>
    <m/>
    <s v="Rest of Borough"/>
    <n v="15"/>
    <m/>
    <n v="0.5"/>
    <n v="0.5"/>
    <n v="0.5"/>
    <n v="0.5"/>
    <m/>
    <m/>
    <m/>
    <m/>
    <m/>
    <m/>
    <m/>
    <m/>
    <m/>
    <m/>
    <m/>
    <m/>
    <m/>
    <m/>
    <m/>
    <n v="2"/>
    <n v="2"/>
  </r>
  <r>
    <n v="7416"/>
    <x v="1"/>
    <s v="2022/4157"/>
    <s v="788 Garratt Lane"/>
    <s v=""/>
    <n v="526860"/>
    <n v="171851"/>
    <s v="Tooting Broadway"/>
    <m/>
    <m/>
    <n v="1"/>
    <n v="3"/>
    <n v="2"/>
    <n v="3"/>
    <n v="2"/>
    <m/>
    <s v="Erection of part single, part two-storey side/rear extension, erection of mansard roof extension to main rear roof (with French doors and safety railings) and extension above part of back addition in connection with conversion of the property into 1 x 2 bedroom, 1 x 1- bedroom and 1 x studio flats at 788 Garratt Lane with formation of rear roof terraces at first and second floor levels. Erection of first floor rear extension at 790 Garratt Lane."/>
    <s v="PF"/>
    <d v="2022-11-25T00:00:00"/>
    <d v="2023-01-26T00:00:00"/>
    <s v="Y"/>
    <s v="Nil"/>
    <m/>
    <s v="BF"/>
    <s v="CON"/>
    <x v="2"/>
    <x v="2"/>
    <n v="6.3200000000000001E-3"/>
    <m/>
    <x v="0"/>
    <m/>
    <s v="Open Market"/>
    <s v="M"/>
    <s v=""/>
    <m/>
    <n v="0"/>
    <m/>
    <n v="0"/>
    <m/>
    <n v="1"/>
    <n v="1"/>
    <n v="0"/>
    <n v="0"/>
    <n v="0"/>
    <n v="0"/>
    <n v="0"/>
    <n v="1"/>
    <n v="1"/>
    <n v="0"/>
    <n v="0"/>
    <n v="0"/>
    <n v="0"/>
    <n v="0"/>
    <n v="0"/>
    <n v="0"/>
    <n v="0"/>
    <n v="0"/>
    <n v="0"/>
    <n v="0"/>
    <n v="0"/>
    <n v="0"/>
    <n v="0"/>
    <n v="0"/>
    <n v="0"/>
    <n v="0"/>
    <n v="0"/>
    <n v="0"/>
    <m/>
    <m/>
    <s v="Rest of Borough"/>
    <n v="15"/>
    <m/>
    <n v="0.5"/>
    <n v="0.5"/>
    <n v="0.5"/>
    <n v="0.5"/>
    <m/>
    <m/>
    <m/>
    <m/>
    <m/>
    <m/>
    <m/>
    <m/>
    <m/>
    <m/>
    <m/>
    <m/>
    <m/>
    <m/>
    <m/>
    <n v="2"/>
    <n v="2"/>
  </r>
  <r>
    <n v="2641"/>
    <x v="1"/>
    <s v="2022/1883"/>
    <s v="Garages between 77 &amp; 85, Ravenslea Road"/>
    <s v=""/>
    <n v="527902"/>
    <n v="173411"/>
    <s v="Balham"/>
    <m/>
    <m/>
    <n v="0"/>
    <n v="5"/>
    <n v="5"/>
    <n v="5"/>
    <n v="5"/>
    <m/>
    <s v="Erection of a three storey block comprising 5 apartments (2 x 2-bedroom, 2 x 1 -bedroom and 1 x 3-bedroom)  associated amenity space including balconies and gardens with cycle store and relocation of entrance to existing allotments at rear."/>
    <s v="PF"/>
    <d v="2022-05-24T00:00:00"/>
    <d v="2022-11-24T00:00:00"/>
    <s v="Y"/>
    <s v="Nil"/>
    <m/>
    <s v="BF"/>
    <s v="NB"/>
    <x v="2"/>
    <x v="1"/>
    <n v="1.17333E-2"/>
    <m/>
    <x v="0"/>
    <m/>
    <s v="Open Market"/>
    <s v="M"/>
    <s v=""/>
    <m/>
    <n v="0"/>
    <m/>
    <n v="0"/>
    <m/>
    <n v="0"/>
    <n v="2"/>
    <n v="2"/>
    <n v="1"/>
    <n v="0"/>
    <n v="0"/>
    <n v="0"/>
    <n v="0"/>
    <n v="2"/>
    <n v="2"/>
    <n v="1"/>
    <n v="0"/>
    <n v="0"/>
    <n v="0"/>
    <n v="0"/>
    <n v="0"/>
    <n v="0"/>
    <n v="0"/>
    <n v="0"/>
    <n v="0"/>
    <n v="0"/>
    <n v="0"/>
    <n v="0"/>
    <n v="0"/>
    <n v="0"/>
    <n v="0"/>
    <n v="0"/>
    <n v="0"/>
    <m/>
    <m/>
    <s v="Rest of Borough"/>
    <n v="7"/>
    <m/>
    <m/>
    <n v="1.25"/>
    <n v="1.25"/>
    <n v="1.25"/>
    <n v="1.25"/>
    <m/>
    <m/>
    <m/>
    <m/>
    <m/>
    <m/>
    <m/>
    <m/>
    <m/>
    <m/>
    <m/>
    <m/>
    <m/>
    <m/>
    <n v="5"/>
    <n v="5"/>
  </r>
  <r>
    <n v="7845"/>
    <x v="1"/>
    <s v="2022/3574"/>
    <s v="80 Lavender Sweep"/>
    <s v=""/>
    <n v="527616"/>
    <n v="175185"/>
    <s v="Lavender"/>
    <m/>
    <m/>
    <n v="1"/>
    <n v="3"/>
    <n v="2"/>
    <n v="3"/>
    <n v="2"/>
    <m/>
    <s v="Alterations including erection of mansard roof extension to main rear roof (with french doors and safety railings) including raising ridge; formation of roof terrace with 1.7m glazed safety surround; erection of single storey rear and side extension and excavation to enlarge basement and formation of rear lightwell in connection with conversion to 1 x 3-bedroom, 1 x 2-bedroom and 1 x 1-bedroom flats."/>
    <s v="PF"/>
    <d v="2022-08-25T00:00:00"/>
    <d v="2022-10-26T00:00:00"/>
    <s v="Y"/>
    <s v="Nil"/>
    <m/>
    <s v="BF"/>
    <s v="EXT"/>
    <x v="2"/>
    <x v="5"/>
    <n v="5.4250000000000001E-3"/>
    <m/>
    <x v="0"/>
    <m/>
    <s v="Open Market"/>
    <s v="M"/>
    <s v=""/>
    <m/>
    <n v="0"/>
    <m/>
    <n v="0"/>
    <m/>
    <n v="0"/>
    <n v="1"/>
    <n v="1"/>
    <n v="1"/>
    <n v="0"/>
    <n v="-1"/>
    <n v="0"/>
    <n v="0"/>
    <n v="1"/>
    <n v="1"/>
    <n v="1"/>
    <n v="0"/>
    <n v="0"/>
    <n v="0"/>
    <n v="0"/>
    <n v="0"/>
    <n v="0"/>
    <n v="0"/>
    <n v="0"/>
    <n v="-1"/>
    <n v="0"/>
    <n v="0"/>
    <n v="0"/>
    <n v="0"/>
    <n v="0"/>
    <n v="0"/>
    <n v="0"/>
    <n v="0"/>
    <m/>
    <m/>
    <s v="Clapham Junction Spatial Area Strategy"/>
    <n v="15"/>
    <m/>
    <n v="0.5"/>
    <n v="0.5"/>
    <n v="0.5"/>
    <n v="0.5"/>
    <m/>
    <m/>
    <m/>
    <m/>
    <m/>
    <m/>
    <m/>
    <m/>
    <m/>
    <m/>
    <m/>
    <m/>
    <m/>
    <m/>
    <m/>
    <n v="2"/>
    <n v="2"/>
  </r>
  <r>
    <n v="7479"/>
    <x v="1"/>
    <s v="2020/2172"/>
    <s v="38 Rookstone Road"/>
    <s v=""/>
    <n v="527606"/>
    <n v="171102"/>
    <s v="Tooting Broadway"/>
    <d v="2022-07-01T00:00:00"/>
    <m/>
    <n v="1"/>
    <n v="9"/>
    <n v="8"/>
    <n v="9"/>
    <n v="8"/>
    <m/>
    <s v="Demolition of existing building and erection of three storey (plus basement and roof level accommodation) building with front a rear lightwells to provide 4 x 1-bedroom, 3 x 2-bedroom and 2 x 3-bedroom flats with associated refuse and cycle storage."/>
    <s v="PF"/>
    <d v="2020-06-19T00:00:00"/>
    <d v="2020-10-28T00:00:00"/>
    <m/>
    <s v="Nil"/>
    <m/>
    <s v="BF"/>
    <s v="NB"/>
    <x v="2"/>
    <x v="1"/>
    <n v="2.5999999999999999E-2"/>
    <m/>
    <x v="0"/>
    <m/>
    <s v="Open Market"/>
    <s v="M"/>
    <s v=""/>
    <m/>
    <n v="0"/>
    <m/>
    <n v="0"/>
    <m/>
    <n v="0"/>
    <n v="4"/>
    <n v="3"/>
    <n v="2"/>
    <n v="-1"/>
    <n v="0"/>
    <n v="0"/>
    <n v="0"/>
    <n v="4"/>
    <n v="3"/>
    <n v="2"/>
    <n v="0"/>
    <n v="0"/>
    <n v="0"/>
    <n v="0"/>
    <n v="0"/>
    <n v="0"/>
    <n v="0"/>
    <n v="-1"/>
    <n v="0"/>
    <n v="0"/>
    <n v="0"/>
    <n v="0"/>
    <n v="0"/>
    <n v="0"/>
    <n v="0"/>
    <n v="0"/>
    <n v="0"/>
    <m/>
    <m/>
    <s v="Rest of Borough"/>
    <n v="10"/>
    <m/>
    <m/>
    <m/>
    <m/>
    <n v="2.6666666666666665"/>
    <n v="2.6666666666666665"/>
    <n v="2.6666666666666665"/>
    <m/>
    <m/>
    <m/>
    <m/>
    <m/>
    <m/>
    <m/>
    <m/>
    <m/>
    <m/>
    <m/>
    <m/>
    <m/>
    <n v="5.333333333333333"/>
    <n v="8"/>
  </r>
  <r>
    <n v="7937"/>
    <x v="1"/>
    <s v="2022/5151"/>
    <s v="822 Garratt Lane"/>
    <s v=""/>
    <n v="526929"/>
    <n v="171778"/>
    <s v="Tooting Broadway"/>
    <m/>
    <m/>
    <n v="1"/>
    <n v="3"/>
    <n v="2"/>
    <n v="3"/>
    <n v="2"/>
    <m/>
    <s v="Erection of a mansard extension to main rear roof with French doors and safety balustrade and extension above two-storey rear addition with formation of a roof terrace with safety balustrade. Erection of single-storey side/rear and rear ground floor extensions and installation of French doors and safety balustrade in connection with part change of use of commercial unit (Use Class E) and provision of 1 studio, 1 x 1-bedroom and 1 x 2-bedroom flats (Class C3)."/>
    <s v="PF"/>
    <d v="2022-12-15T00:00:00"/>
    <d v="2023-02-23T00:00:00"/>
    <s v="Y"/>
    <s v="Nil"/>
    <m/>
    <s v="BF"/>
    <s v="MIX"/>
    <x v="2"/>
    <x v="2"/>
    <n v="4.8566E-3"/>
    <m/>
    <x v="0"/>
    <m/>
    <s v="Open Market"/>
    <s v="MR"/>
    <s v=""/>
    <m/>
    <n v="0"/>
    <m/>
    <n v="0"/>
    <m/>
    <n v="1"/>
    <n v="1"/>
    <n v="1"/>
    <n v="0"/>
    <n v="-1"/>
    <n v="0"/>
    <n v="0"/>
    <n v="1"/>
    <n v="1"/>
    <n v="1"/>
    <n v="0"/>
    <n v="-1"/>
    <n v="0"/>
    <n v="0"/>
    <n v="0"/>
    <n v="0"/>
    <n v="0"/>
    <n v="0"/>
    <n v="0"/>
    <n v="0"/>
    <n v="0"/>
    <n v="0"/>
    <n v="0"/>
    <n v="0"/>
    <n v="0"/>
    <n v="0"/>
    <n v="0"/>
    <n v="0"/>
    <m/>
    <m/>
    <s v="Rest of Borough"/>
    <n v="15"/>
    <m/>
    <n v="0.5"/>
    <n v="0.5"/>
    <n v="0.5"/>
    <n v="0.5"/>
    <m/>
    <m/>
    <m/>
    <m/>
    <m/>
    <m/>
    <m/>
    <m/>
    <m/>
    <m/>
    <m/>
    <m/>
    <m/>
    <m/>
    <m/>
    <n v="2"/>
    <n v="2"/>
  </r>
  <r>
    <n v="6618"/>
    <x v="1"/>
    <s v="2018/4798"/>
    <s v="94-96, 94-96 Mitcham Lane"/>
    <s v=""/>
    <n v="529335"/>
    <n v="171178"/>
    <s v="Furzedown"/>
    <m/>
    <m/>
    <n v="2"/>
    <n v="8"/>
    <n v="6"/>
    <n v="8"/>
    <n v="6"/>
    <m/>
    <s v="Demolition of existing building and erection of a four-storey building to provide 6 x 2-bedroom and 2 x 1-bedroom flats and two retails units (Class A1 Shops) at ground floor level."/>
    <s v="RP"/>
    <d v="2018-10-08T00:00:00"/>
    <d v="2019-03-22T00:00:00"/>
    <m/>
    <s v="APG"/>
    <d v="2019-11-27T00:00:00"/>
    <s v="BF"/>
    <s v="NB"/>
    <x v="2"/>
    <x v="1"/>
    <n v="2.5999999999999999E-2"/>
    <m/>
    <x v="0"/>
    <m/>
    <s v="Open Market"/>
    <s v="M"/>
    <s v=""/>
    <m/>
    <n v="0"/>
    <m/>
    <n v="0"/>
    <m/>
    <n v="0"/>
    <n v="2"/>
    <n v="6"/>
    <n v="0"/>
    <n v="0"/>
    <n v="0"/>
    <n v="-2"/>
    <n v="0"/>
    <n v="2"/>
    <n v="6"/>
    <n v="0"/>
    <n v="0"/>
    <n v="0"/>
    <n v="0"/>
    <n v="0"/>
    <n v="0"/>
    <n v="0"/>
    <n v="0"/>
    <n v="0"/>
    <n v="0"/>
    <n v="-2"/>
    <n v="0"/>
    <n v="0"/>
    <n v="0"/>
    <n v="0"/>
    <n v="0"/>
    <n v="0"/>
    <n v="0"/>
    <m/>
    <m/>
    <s v="Rest of Borough"/>
    <n v="10"/>
    <m/>
    <m/>
    <m/>
    <m/>
    <n v="2"/>
    <n v="2"/>
    <n v="2"/>
    <m/>
    <m/>
    <m/>
    <m/>
    <m/>
    <m/>
    <m/>
    <m/>
    <m/>
    <m/>
    <m/>
    <m/>
    <m/>
    <n v="4"/>
    <n v="6"/>
  </r>
  <r>
    <n v="4327"/>
    <x v="1"/>
    <s v="2022/3185"/>
    <s v="rear of, 102-104 Upper Tooting Road"/>
    <s v=""/>
    <n v="527751"/>
    <n v="172127"/>
    <s v="Tooting Bec"/>
    <m/>
    <m/>
    <n v="0"/>
    <n v="5"/>
    <n v="5"/>
    <n v="5"/>
    <n v="5"/>
    <m/>
    <s v="Demolition of existing buildings and erection of 5 x two storey (plus basement) 3-bedroom dwelling houses accessed via Holmbury Court."/>
    <s v="PF"/>
    <d v="2022-07-29T00:00:00"/>
    <d v="2022-11-24T00:00:00"/>
    <s v="Y"/>
    <s v="Nil"/>
    <m/>
    <s v="BF"/>
    <s v="NB"/>
    <x v="2"/>
    <x v="1"/>
    <n v="1.923333E-2"/>
    <m/>
    <x v="0"/>
    <m/>
    <s v="Open Market"/>
    <s v="M"/>
    <s v=""/>
    <m/>
    <n v="0"/>
    <m/>
    <n v="0"/>
    <m/>
    <n v="0"/>
    <n v="0"/>
    <n v="0"/>
    <n v="5"/>
    <n v="0"/>
    <n v="0"/>
    <n v="0"/>
    <n v="0"/>
    <n v="0"/>
    <n v="0"/>
    <n v="0"/>
    <n v="0"/>
    <n v="0"/>
    <n v="0"/>
    <n v="0"/>
    <n v="0"/>
    <n v="0"/>
    <n v="5"/>
    <n v="0"/>
    <n v="0"/>
    <n v="0"/>
    <n v="0"/>
    <n v="0"/>
    <n v="0"/>
    <n v="0"/>
    <n v="0"/>
    <n v="0"/>
    <n v="0"/>
    <m/>
    <m/>
    <s v="Rest of Borough"/>
    <n v="7"/>
    <m/>
    <m/>
    <n v="1.25"/>
    <n v="1.25"/>
    <n v="1.25"/>
    <n v="1.25"/>
    <m/>
    <m/>
    <m/>
    <m/>
    <m/>
    <m/>
    <m/>
    <m/>
    <m/>
    <m/>
    <m/>
    <m/>
    <m/>
    <m/>
    <n v="5"/>
    <n v="5"/>
  </r>
  <r>
    <n v="7294"/>
    <x v="1"/>
    <s v="2019/3492"/>
    <s v="9-11 Delia Street"/>
    <s v=""/>
    <n v="525948"/>
    <n v="173961"/>
    <s v="Wandle"/>
    <m/>
    <m/>
    <n v="0"/>
    <n v="2"/>
    <n v="2"/>
    <n v="2"/>
    <n v="2"/>
    <m/>
    <s v="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
    <s v="PF"/>
    <d v="2019-10-25T00:00:00"/>
    <d v="2020-02-21T00:00:00"/>
    <m/>
    <s v="Nil"/>
    <m/>
    <s v="BF"/>
    <s v="EXT"/>
    <x v="2"/>
    <x v="2"/>
    <n v="4.0000000000000001E-3"/>
    <m/>
    <x v="0"/>
    <m/>
    <s v="Open Market"/>
    <s v="M"/>
    <s v=""/>
    <m/>
    <n v="0"/>
    <m/>
    <n v="0"/>
    <m/>
    <n v="0"/>
    <n v="0"/>
    <n v="2"/>
    <n v="0"/>
    <n v="0"/>
    <n v="0"/>
    <n v="0"/>
    <n v="0"/>
    <n v="0"/>
    <n v="2"/>
    <n v="0"/>
    <n v="0"/>
    <n v="0"/>
    <n v="0"/>
    <n v="0"/>
    <n v="0"/>
    <n v="0"/>
    <n v="0"/>
    <n v="0"/>
    <n v="0"/>
    <n v="0"/>
    <n v="0"/>
    <n v="0"/>
    <n v="0"/>
    <n v="0"/>
    <n v="0"/>
    <n v="0"/>
    <n v="0"/>
    <m/>
    <m/>
    <s v="Rest of Borough"/>
    <n v="15"/>
    <m/>
    <n v="0.5"/>
    <n v="0.5"/>
    <n v="0.5"/>
    <n v="0.5"/>
    <m/>
    <m/>
    <m/>
    <m/>
    <m/>
    <m/>
    <m/>
    <m/>
    <m/>
    <m/>
    <m/>
    <m/>
    <m/>
    <m/>
    <m/>
    <n v="2"/>
    <n v="2"/>
  </r>
  <r>
    <n v="177"/>
    <x v="1"/>
    <s v="2022/3107"/>
    <s v="BISHOPS WHF, RANSOME'S DK, Parkgate Road"/>
    <s v=""/>
    <n v="527351"/>
    <n v="177209"/>
    <s v="Battersea Park"/>
    <m/>
    <m/>
    <n v="0"/>
    <n v="2"/>
    <n v="2"/>
    <n v="2"/>
    <n v="2"/>
    <m/>
    <s v="Alterations including installation of barrier to river walk frontage in connection with change of use of the ground floor from office (Class E) to residential (Class C3) to provide 2 x 3-bedroom flats."/>
    <s v="PF"/>
    <d v="2022-08-25T00:00:00"/>
    <d v="2022-10-31T00:00:00"/>
    <s v="Y"/>
    <s v="Nil"/>
    <m/>
    <s v="BF"/>
    <s v="COU"/>
    <x v="2"/>
    <x v="6"/>
    <n v="3.2599999999999997E-2"/>
    <m/>
    <x v="0"/>
    <m/>
    <s v="Open Market"/>
    <s v="M"/>
    <s v=""/>
    <m/>
    <n v="0"/>
    <m/>
    <n v="0"/>
    <m/>
    <n v="0"/>
    <n v="0"/>
    <n v="0"/>
    <n v="2"/>
    <n v="0"/>
    <n v="0"/>
    <n v="0"/>
    <n v="0"/>
    <n v="0"/>
    <n v="0"/>
    <n v="2"/>
    <n v="0"/>
    <n v="0"/>
    <n v="0"/>
    <n v="0"/>
    <n v="0"/>
    <n v="0"/>
    <n v="0"/>
    <n v="0"/>
    <n v="0"/>
    <n v="0"/>
    <n v="0"/>
    <n v="0"/>
    <n v="0"/>
    <n v="0"/>
    <n v="0"/>
    <n v="0"/>
    <n v="0"/>
    <m/>
    <m/>
    <s v="Wandsworth riverside"/>
    <n v="15"/>
    <m/>
    <n v="0.5"/>
    <n v="0.5"/>
    <n v="0.5"/>
    <n v="0.5"/>
    <m/>
    <m/>
    <m/>
    <m/>
    <m/>
    <m/>
    <m/>
    <m/>
    <m/>
    <m/>
    <m/>
    <m/>
    <m/>
    <m/>
    <m/>
    <n v="2"/>
    <n v="2"/>
  </r>
  <r>
    <n v="5197"/>
    <x v="1"/>
    <s v="2022/2608"/>
    <s v="Rear of 667-669, 667-669 Garratt Lane"/>
    <s v=""/>
    <n v="526177"/>
    <n v="172334"/>
    <s v="Wandsworth Common"/>
    <m/>
    <m/>
    <n v="0"/>
    <n v="2"/>
    <n v="2"/>
    <n v="2"/>
    <n v="2"/>
    <m/>
    <s v="Erection of a two-storey rear extension to provide 1 x 1-bedroom flat and 1 x studio flat."/>
    <s v="PF"/>
    <d v="2022-07-13T00:00:00"/>
    <d v="2022-09-05T00:00:00"/>
    <s v="Y"/>
    <s v="Nil"/>
    <m/>
    <s v="BF"/>
    <s v="EXT"/>
    <x v="2"/>
    <x v="2"/>
    <n v="4.5500000000000002E-3"/>
    <m/>
    <x v="0"/>
    <m/>
    <s v="Open Market"/>
    <s v="MR"/>
    <s v=""/>
    <m/>
    <n v="0"/>
    <m/>
    <n v="0"/>
    <m/>
    <n v="1"/>
    <n v="1"/>
    <n v="0"/>
    <n v="0"/>
    <n v="0"/>
    <n v="0"/>
    <n v="0"/>
    <n v="1"/>
    <n v="1"/>
    <n v="0"/>
    <n v="0"/>
    <n v="0"/>
    <n v="0"/>
    <n v="0"/>
    <n v="0"/>
    <n v="0"/>
    <n v="0"/>
    <n v="0"/>
    <n v="0"/>
    <n v="0"/>
    <n v="0"/>
    <n v="0"/>
    <n v="0"/>
    <n v="0"/>
    <n v="0"/>
    <n v="0"/>
    <n v="0"/>
    <n v="0"/>
    <m/>
    <m/>
    <s v="The Wandle Valley"/>
    <n v="15"/>
    <m/>
    <n v="0.5"/>
    <n v="0.5"/>
    <n v="0.5"/>
    <n v="0.5"/>
    <m/>
    <m/>
    <m/>
    <m/>
    <m/>
    <m/>
    <m/>
    <m/>
    <m/>
    <m/>
    <m/>
    <m/>
    <m/>
    <m/>
    <m/>
    <n v="2"/>
    <n v="2"/>
  </r>
  <r>
    <n v="4157"/>
    <x v="1"/>
    <s v="2018/3669"/>
    <s v="37-39 St Johns Road"/>
    <s v=""/>
    <n v="527404"/>
    <n v="175316"/>
    <s v="Lavender"/>
    <m/>
    <m/>
    <n v="0"/>
    <n v="6"/>
    <n v="6"/>
    <n v="6"/>
    <n v="6"/>
    <m/>
    <s v="Demolition of existing building and erection of a four-storey building to provide 1 x 1-bedroom, 3 x 2-bedroom and 2 x 3-bedroom flats (USe Class C3) and ground floor use as Class A1/A3 including associated works."/>
    <s v="PF"/>
    <d v="2018-07-30T00:00:00"/>
    <d v="2020-02-03T00:00:00"/>
    <m/>
    <s v="Nil"/>
    <m/>
    <s v="BF"/>
    <s v="NB"/>
    <x v="2"/>
    <x v="1"/>
    <n v="1.2999999999999999E-2"/>
    <m/>
    <x v="0"/>
    <m/>
    <s v="Open Market"/>
    <s v="M"/>
    <s v=""/>
    <m/>
    <n v="0"/>
    <m/>
    <n v="0"/>
    <m/>
    <n v="0"/>
    <n v="1"/>
    <n v="3"/>
    <n v="2"/>
    <n v="0"/>
    <n v="0"/>
    <n v="0"/>
    <n v="0"/>
    <n v="1"/>
    <n v="3"/>
    <n v="2"/>
    <n v="0"/>
    <n v="0"/>
    <n v="0"/>
    <n v="0"/>
    <n v="0"/>
    <n v="0"/>
    <n v="0"/>
    <n v="0"/>
    <n v="0"/>
    <n v="0"/>
    <n v="0"/>
    <n v="0"/>
    <n v="0"/>
    <n v="0"/>
    <n v="0"/>
    <n v="0"/>
    <n v="0"/>
    <s v="Clapham Junction"/>
    <m/>
    <s v="Clapham Junction Spatial Area Strategy"/>
    <n v="10"/>
    <m/>
    <m/>
    <m/>
    <m/>
    <n v="2"/>
    <n v="2"/>
    <n v="2"/>
    <m/>
    <m/>
    <m/>
    <m/>
    <m/>
    <m/>
    <m/>
    <m/>
    <m/>
    <m/>
    <m/>
    <m/>
    <m/>
    <n v="4"/>
    <n v="6"/>
  </r>
  <r>
    <n v="7188"/>
    <x v="1"/>
    <s v="2019/1757"/>
    <s v="Terrapin Court, Terrapin Road"/>
    <s v=""/>
    <n v="528902"/>
    <n v="172500"/>
    <s v="South Balham"/>
    <m/>
    <m/>
    <n v="0"/>
    <n v="2"/>
    <n v="2"/>
    <n v="2"/>
    <n v="2"/>
    <m/>
    <s v="Alterations including erection of roof extension and roof terraces to provide 2 x 2-bedroom flats within extended roof. Provision of associated refuse and cycle storage for existing and proposed dwellings."/>
    <s v="PF"/>
    <d v="2019-06-17T00:00:00"/>
    <d v="2019-08-30T00:00:00"/>
    <m/>
    <s v="Nil"/>
    <m/>
    <s v="BF"/>
    <s v="EXT"/>
    <x v="2"/>
    <x v="2"/>
    <n v="1.2999999999999999E-2"/>
    <m/>
    <x v="0"/>
    <m/>
    <s v="Open Market"/>
    <s v="M"/>
    <s v=""/>
    <m/>
    <n v="0"/>
    <m/>
    <n v="0"/>
    <m/>
    <n v="0"/>
    <n v="0"/>
    <n v="2"/>
    <n v="0"/>
    <n v="0"/>
    <n v="0"/>
    <n v="0"/>
    <n v="0"/>
    <n v="0"/>
    <n v="2"/>
    <n v="0"/>
    <n v="0"/>
    <n v="0"/>
    <n v="0"/>
    <n v="0"/>
    <n v="0"/>
    <n v="0"/>
    <n v="0"/>
    <n v="0"/>
    <n v="0"/>
    <n v="0"/>
    <n v="0"/>
    <n v="0"/>
    <n v="0"/>
    <n v="0"/>
    <n v="0"/>
    <n v="0"/>
    <n v="0"/>
    <m/>
    <m/>
    <s v="Rest of Borough"/>
    <n v="15"/>
    <m/>
    <n v="0.5"/>
    <n v="0.5"/>
    <n v="0.5"/>
    <n v="0.5"/>
    <m/>
    <m/>
    <m/>
    <m/>
    <m/>
    <m/>
    <m/>
    <m/>
    <m/>
    <m/>
    <m/>
    <m/>
    <m/>
    <m/>
    <m/>
    <n v="2"/>
    <n v="2"/>
  </r>
  <r>
    <n v="6563"/>
    <x v="1"/>
    <s v="2022/3327"/>
    <s v="Second Floor Regent House, 16-18 Lombard Road"/>
    <s v=""/>
    <n v="526668"/>
    <n v="176335"/>
    <s v="St Mary's"/>
    <m/>
    <m/>
    <n v="0"/>
    <n v="9"/>
    <n v="9"/>
    <n v="9"/>
    <n v="9"/>
    <m/>
    <s v="Determination as to whether prior approval is required for change of use from office  (Class E) to residential (Class C3) to provide 9 flats."/>
    <s v="PAG"/>
    <d v="2022-08-03T00:00:00"/>
    <d v="2022-10-10T00:00:00"/>
    <s v="Y"/>
    <s v="Nil"/>
    <m/>
    <s v="BF"/>
    <s v="CON"/>
    <x v="2"/>
    <x v="6"/>
    <n v="7.4999999999999997E-2"/>
    <m/>
    <x v="0"/>
    <m/>
    <s v="Open Market"/>
    <s v="M"/>
    <s v=""/>
    <m/>
    <n v="0"/>
    <m/>
    <n v="0"/>
    <m/>
    <n v="0"/>
    <n v="3"/>
    <n v="3"/>
    <n v="3"/>
    <n v="0"/>
    <n v="0"/>
    <n v="0"/>
    <n v="0"/>
    <n v="3"/>
    <n v="3"/>
    <n v="3"/>
    <n v="0"/>
    <n v="0"/>
    <n v="0"/>
    <n v="0"/>
    <n v="0"/>
    <n v="0"/>
    <n v="0"/>
    <n v="0"/>
    <n v="0"/>
    <n v="0"/>
    <n v="0"/>
    <n v="0"/>
    <n v="0"/>
    <n v="0"/>
    <n v="0"/>
    <n v="0"/>
    <n v="0"/>
    <m/>
    <m/>
    <s v="Wandsworth riverside"/>
    <n v="16"/>
    <m/>
    <m/>
    <m/>
    <n v="9"/>
    <m/>
    <m/>
    <m/>
    <m/>
    <m/>
    <m/>
    <m/>
    <m/>
    <m/>
    <m/>
    <m/>
    <m/>
    <m/>
    <m/>
    <m/>
    <m/>
    <n v="9"/>
    <n v="9"/>
  </r>
  <r>
    <n v="2039"/>
    <x v="1"/>
    <s v="2020/5062"/>
    <s v="The Boat &amp; Dragon PH, 180 Lower Richmond Road (1-6 Sadlers Gate Mews, Commondale SW15 1HD 1-3 Sadlers House)"/>
    <s v=""/>
    <n v="523242"/>
    <n v="175897"/>
    <s v="Thamesfield"/>
    <m/>
    <m/>
    <n v="0"/>
    <n v="2"/>
    <n v="2"/>
    <n v="2"/>
    <n v="2"/>
    <m/>
    <s v="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
    <s v="PF"/>
    <d v="2020-12-24T00:00:00"/>
    <d v="2021-03-15T00:00:00"/>
    <m/>
    <s v="Nil"/>
    <m/>
    <s v="BF"/>
    <s v="COU"/>
    <x v="2"/>
    <x v="4"/>
    <n v="2.1700000000000001E-2"/>
    <m/>
    <x v="0"/>
    <m/>
    <s v="Open Market"/>
    <s v="M"/>
    <s v=""/>
    <m/>
    <n v="0"/>
    <m/>
    <n v="0"/>
    <m/>
    <n v="0"/>
    <n v="0"/>
    <n v="2"/>
    <n v="0"/>
    <n v="0"/>
    <n v="0"/>
    <n v="0"/>
    <n v="0"/>
    <n v="0"/>
    <n v="2"/>
    <n v="0"/>
    <n v="0"/>
    <n v="0"/>
    <n v="0"/>
    <n v="0"/>
    <n v="0"/>
    <n v="0"/>
    <n v="0"/>
    <n v="0"/>
    <n v="0"/>
    <n v="0"/>
    <n v="0"/>
    <n v="0"/>
    <n v="0"/>
    <n v="0"/>
    <n v="0"/>
    <n v="0"/>
    <n v="0"/>
    <m/>
    <m/>
    <s v="Rest of Borough"/>
    <n v="15"/>
    <m/>
    <n v="0.5"/>
    <n v="0.5"/>
    <n v="0.5"/>
    <n v="0.5"/>
    <m/>
    <m/>
    <m/>
    <m/>
    <m/>
    <m/>
    <m/>
    <m/>
    <m/>
    <m/>
    <m/>
    <m/>
    <m/>
    <m/>
    <m/>
    <n v="2"/>
    <n v="2"/>
  </r>
  <r>
    <n v="6823"/>
    <x v="1"/>
    <s v="2018/1606"/>
    <s v="Unit 16 Ransomes Dock Business Centre, 35-37 Parkgate Road (Ransomes Dock Business Centre)"/>
    <s v=""/>
    <n v="527310"/>
    <n v="177159"/>
    <s v="Battersea Park"/>
    <m/>
    <m/>
    <n v="0"/>
    <n v="2"/>
    <n v="2"/>
    <n v="2"/>
    <n v="2"/>
    <m/>
    <s v="Determination as to whether prior approval is required for change of use of office Class B1a) to residential (Class C3) to provide 2 x 1-bedroom flats."/>
    <s v="PAG"/>
    <d v="2018-03-29T00:00:00"/>
    <d v="2018-05-14T00:00:00"/>
    <m/>
    <s v="Nil"/>
    <m/>
    <s v="BF"/>
    <s v="COU"/>
    <x v="2"/>
    <x v="6"/>
    <n v="1.2999999999999999E-2"/>
    <m/>
    <x v="0"/>
    <m/>
    <s v="Open Market"/>
    <s v="M"/>
    <s v=""/>
    <m/>
    <n v="0"/>
    <m/>
    <n v="0"/>
    <m/>
    <n v="0"/>
    <n v="2"/>
    <n v="0"/>
    <n v="0"/>
    <n v="0"/>
    <n v="0"/>
    <n v="0"/>
    <n v="0"/>
    <n v="2"/>
    <n v="0"/>
    <n v="0"/>
    <n v="0"/>
    <n v="0"/>
    <n v="0"/>
    <n v="0"/>
    <n v="0"/>
    <n v="0"/>
    <n v="0"/>
    <n v="0"/>
    <n v="0"/>
    <n v="0"/>
    <n v="0"/>
    <n v="0"/>
    <n v="0"/>
    <n v="0"/>
    <n v="0"/>
    <n v="0"/>
    <n v="0"/>
    <m/>
    <m/>
    <s v="Wandsworth riverside"/>
    <n v="15"/>
    <m/>
    <n v="0.5"/>
    <n v="0.5"/>
    <n v="0.5"/>
    <n v="0.5"/>
    <m/>
    <m/>
    <m/>
    <m/>
    <m/>
    <m/>
    <m/>
    <m/>
    <m/>
    <m/>
    <m/>
    <m/>
    <m/>
    <m/>
    <m/>
    <n v="2"/>
    <n v="2"/>
  </r>
  <r>
    <n v="7927"/>
    <x v="1"/>
    <s v="2022/5060"/>
    <s v="Upper Floor Flat, 42 Lavender Hill"/>
    <s v=""/>
    <n v="528410"/>
    <n v="175764"/>
    <s v="Shaftesbury &amp; Queenstown"/>
    <m/>
    <m/>
    <n v="1"/>
    <n v="3"/>
    <n v="2"/>
    <n v="3"/>
    <n v="2"/>
    <m/>
    <s v="Erection of mansard roof extension to front and rear roof in connection with conversion of the first and second floors into 3 x 1-bedroom flats with associated cycle and refuse storage."/>
    <s v="PF"/>
    <d v="2022-12-21T00:00:00"/>
    <d v="2023-03-10T00:00:00"/>
    <s v="Y"/>
    <s v="Nil"/>
    <m/>
    <s v="BF"/>
    <s v="CON"/>
    <x v="2"/>
    <x v="2"/>
    <n v="3.9E-2"/>
    <m/>
    <x v="0"/>
    <m/>
    <s v="Open Market"/>
    <s v="M"/>
    <s v=""/>
    <m/>
    <n v="0"/>
    <m/>
    <n v="0"/>
    <m/>
    <n v="0"/>
    <n v="3"/>
    <n v="0"/>
    <n v="-1"/>
    <n v="0"/>
    <n v="0"/>
    <n v="0"/>
    <n v="0"/>
    <n v="3"/>
    <n v="0"/>
    <n v="-1"/>
    <n v="0"/>
    <n v="0"/>
    <n v="0"/>
    <n v="0"/>
    <n v="0"/>
    <n v="0"/>
    <n v="0"/>
    <n v="0"/>
    <n v="0"/>
    <n v="0"/>
    <n v="0"/>
    <n v="0"/>
    <n v="0"/>
    <n v="0"/>
    <n v="0"/>
    <n v="0"/>
    <n v="0"/>
    <m/>
    <m/>
    <s v="Rest of Borough"/>
    <n v="15"/>
    <m/>
    <n v="0.5"/>
    <n v="0.5"/>
    <n v="0.5"/>
    <n v="0.5"/>
    <m/>
    <m/>
    <m/>
    <m/>
    <m/>
    <m/>
    <m/>
    <m/>
    <m/>
    <m/>
    <m/>
    <m/>
    <m/>
    <m/>
    <m/>
    <n v="2"/>
    <n v="2"/>
  </r>
  <r>
    <n v="2566"/>
    <x v="1"/>
    <s v="2021/0033"/>
    <s v="Upper floors, 33-37 St Johns Hill (Flats 1-10)"/>
    <s v=""/>
    <n v="527216"/>
    <n v="175354"/>
    <s v="Lavender"/>
    <m/>
    <m/>
    <n v="0"/>
    <n v="2"/>
    <n v="2"/>
    <n v="2"/>
    <n v="2"/>
    <m/>
    <s v="Alterations including conversion of rear buildings and provision of new rear extension to create 2 x 2 bedroom flats."/>
    <s v="PF"/>
    <d v="2021-01-07T00:00:00"/>
    <d v="2021-03-04T00:00:00"/>
    <m/>
    <s v="Nil"/>
    <m/>
    <s v="BF"/>
    <s v="MIX"/>
    <x v="2"/>
    <x v="2"/>
    <n v="1.2E-2"/>
    <m/>
    <x v="0"/>
    <m/>
    <s v="Open Market"/>
    <s v="M"/>
    <s v=""/>
    <m/>
    <n v="0"/>
    <m/>
    <n v="0"/>
    <m/>
    <n v="0"/>
    <n v="0"/>
    <n v="2"/>
    <n v="0"/>
    <n v="0"/>
    <n v="0"/>
    <n v="0"/>
    <n v="0"/>
    <n v="0"/>
    <n v="2"/>
    <n v="0"/>
    <n v="0"/>
    <n v="0"/>
    <n v="0"/>
    <n v="0"/>
    <n v="0"/>
    <n v="0"/>
    <n v="0"/>
    <n v="0"/>
    <n v="0"/>
    <n v="0"/>
    <n v="0"/>
    <n v="0"/>
    <n v="0"/>
    <n v="0"/>
    <n v="0"/>
    <n v="0"/>
    <n v="0"/>
    <s v="Clapham Junction"/>
    <m/>
    <s v="Clapham Junction Spatial Area Strategy"/>
    <n v="15"/>
    <m/>
    <n v="0.5"/>
    <n v="0.5"/>
    <n v="0.5"/>
    <n v="0.5"/>
    <m/>
    <m/>
    <m/>
    <m/>
    <m/>
    <m/>
    <m/>
    <m/>
    <m/>
    <m/>
    <m/>
    <m/>
    <m/>
    <m/>
    <m/>
    <n v="2"/>
    <n v="2"/>
  </r>
  <r>
    <n v="7832"/>
    <x v="1"/>
    <s v="2022/1963"/>
    <s v="Upper Floors, 34 Wandsworth Common West Side"/>
    <s v=""/>
    <n v="526498"/>
    <n v="174597"/>
    <s v="Wandsworth Town"/>
    <m/>
    <m/>
    <n v="1"/>
    <n v="3"/>
    <n v="2"/>
    <n v="3"/>
    <n v="2"/>
    <m/>
    <s v="Alterations including erection of mansard roof extension to main rear roof and extension above part of three-storey back addition; formation of roof terrace above remainder of back addition with 1.7m high screening. Works in connection with conversion of upper floor flat into 1 x 3-bedroom and 2 x 1-bedroom flats."/>
    <s v="PF"/>
    <d v="2022-05-05T00:00:00"/>
    <d v="2022-07-08T00:00:00"/>
    <s v="Y"/>
    <s v="Nil"/>
    <m/>
    <s v="BF"/>
    <s v="CON"/>
    <x v="2"/>
    <x v="9"/>
    <n v="5.6166599999999999E-3"/>
    <m/>
    <x v="0"/>
    <m/>
    <s v="Open Market"/>
    <s v="MR"/>
    <s v=""/>
    <m/>
    <n v="0"/>
    <m/>
    <n v="0"/>
    <m/>
    <n v="0"/>
    <n v="2"/>
    <n v="0"/>
    <n v="1"/>
    <n v="0"/>
    <n v="-1"/>
    <n v="0"/>
    <n v="0"/>
    <n v="2"/>
    <n v="0"/>
    <n v="1"/>
    <n v="0"/>
    <n v="-1"/>
    <n v="0"/>
    <n v="0"/>
    <n v="0"/>
    <n v="0"/>
    <n v="0"/>
    <n v="0"/>
    <n v="0"/>
    <n v="0"/>
    <n v="0"/>
    <n v="0"/>
    <n v="0"/>
    <n v="0"/>
    <n v="0"/>
    <n v="0"/>
    <n v="0"/>
    <m/>
    <m/>
    <s v="Rest of Borough"/>
    <n v="15"/>
    <m/>
    <n v="0.5"/>
    <n v="0.5"/>
    <n v="0.5"/>
    <n v="0.5"/>
    <m/>
    <m/>
    <m/>
    <m/>
    <m/>
    <m/>
    <m/>
    <m/>
    <m/>
    <m/>
    <m/>
    <m/>
    <m/>
    <m/>
    <m/>
    <n v="2"/>
    <n v="2"/>
  </r>
  <r>
    <n v="3348"/>
    <x v="1"/>
    <s v="2022/3419"/>
    <s v="1 Clairview Road (Flats 1-5)"/>
    <s v=""/>
    <n v="529063"/>
    <n v="171530"/>
    <s v="Furzedown"/>
    <m/>
    <m/>
    <n v="0"/>
    <n v="1"/>
    <n v="1"/>
    <n v="1"/>
    <n v="1"/>
    <m/>
    <s v="Erection of a single storey (plus basement) 2 x bed dwelling, with associated refuse and cycle storage."/>
    <s v="PF"/>
    <d v="2022-08-15T00:00:00"/>
    <d v="2022-11-24T00:00:00"/>
    <s v="Y"/>
    <s v="Nil"/>
    <m/>
    <s v="Gdn"/>
    <s v="NB"/>
    <x v="2"/>
    <x v="1"/>
    <n v="4.0000000000000001E-3"/>
    <m/>
    <x v="0"/>
    <m/>
    <s v="Open Market"/>
    <s v="M"/>
    <s v=""/>
    <m/>
    <n v="0"/>
    <m/>
    <n v="0"/>
    <m/>
    <n v="0"/>
    <n v="0"/>
    <n v="1"/>
    <n v="0"/>
    <n v="0"/>
    <n v="0"/>
    <n v="0"/>
    <n v="0"/>
    <n v="0"/>
    <n v="0"/>
    <n v="0"/>
    <n v="0"/>
    <n v="0"/>
    <n v="0"/>
    <n v="0"/>
    <n v="0"/>
    <n v="1"/>
    <n v="0"/>
    <n v="0"/>
    <n v="0"/>
    <n v="0"/>
    <n v="0"/>
    <n v="0"/>
    <n v="0"/>
    <n v="0"/>
    <n v="0"/>
    <n v="0"/>
    <n v="0"/>
    <m/>
    <m/>
    <s v="Rest of Borough"/>
    <n v="7"/>
    <m/>
    <m/>
    <n v="0.25"/>
    <n v="0.25"/>
    <n v="0.25"/>
    <n v="0.25"/>
    <m/>
    <m/>
    <m/>
    <m/>
    <m/>
    <m/>
    <m/>
    <m/>
    <m/>
    <m/>
    <m/>
    <m/>
    <m/>
    <m/>
    <n v="1"/>
    <n v="1"/>
  </r>
  <r>
    <n v="7513"/>
    <x v="1"/>
    <s v="2021/3499"/>
    <s v="Sylva Court, 79 Putney Hill"/>
    <s v=""/>
    <n v="523758"/>
    <n v="173893"/>
    <s v="East Putney"/>
    <m/>
    <m/>
    <n v="0"/>
    <n v="6"/>
    <n v="6"/>
    <n v="6"/>
    <n v="6"/>
    <m/>
    <s v="Alterations including erection of a two storey roof extension (plus lift and stair core) in connection with provision of 2 x 3-bedroom, 2 x 2-bedroom and 2 x 1-bedroom flats together with cycle and refuse storage."/>
    <s v="PF"/>
    <d v="2021-10-21T00:00:00"/>
    <d v="2022-03-24T00:00:00"/>
    <m/>
    <s v="Nil"/>
    <m/>
    <s v="BF"/>
    <s v="EXT"/>
    <x v="2"/>
    <x v="2"/>
    <n v="0.04"/>
    <m/>
    <x v="0"/>
    <m/>
    <s v="Open Market"/>
    <s v="M"/>
    <s v=""/>
    <m/>
    <n v="0"/>
    <m/>
    <n v="0"/>
    <m/>
    <n v="0"/>
    <n v="2"/>
    <n v="2"/>
    <n v="2"/>
    <n v="0"/>
    <n v="0"/>
    <n v="0"/>
    <n v="0"/>
    <n v="2"/>
    <n v="2"/>
    <n v="2"/>
    <n v="0"/>
    <n v="0"/>
    <n v="0"/>
    <n v="0"/>
    <n v="0"/>
    <n v="0"/>
    <n v="0"/>
    <n v="0"/>
    <n v="0"/>
    <n v="0"/>
    <n v="0"/>
    <n v="0"/>
    <n v="0"/>
    <n v="0"/>
    <n v="0"/>
    <n v="0"/>
    <n v="0"/>
    <m/>
    <m/>
    <s v="Rest of Borough"/>
    <n v="16"/>
    <m/>
    <m/>
    <m/>
    <n v="6"/>
    <m/>
    <m/>
    <m/>
    <m/>
    <m/>
    <m/>
    <m/>
    <m/>
    <m/>
    <m/>
    <m/>
    <m/>
    <m/>
    <m/>
    <m/>
    <m/>
    <n v="6"/>
    <n v="6"/>
  </r>
  <r>
    <n v="5801"/>
    <x v="1"/>
    <s v="2020/0682"/>
    <s v="1 Leeward House, Square Rigger Row (Plantation Wharf)"/>
    <s v=""/>
    <n v="526534"/>
    <n v="175822"/>
    <s v="St Mary's"/>
    <m/>
    <m/>
    <n v="0"/>
    <n v="1"/>
    <n v="1"/>
    <n v="1"/>
    <n v="1"/>
    <m/>
    <s v="Determination as to whether prior approval is required for change of use from Office (Class B1) to 1 x 1-bedroom flat (Class C3)."/>
    <s v="PAG"/>
    <d v="2020-03-02T00:00:00"/>
    <d v="2020-04-17T00:00:00"/>
    <m/>
    <s v="Nil"/>
    <m/>
    <s v="BF"/>
    <s v="COU"/>
    <x v="2"/>
    <x v="6"/>
    <n v="4.0000000000000001E-3"/>
    <m/>
    <x v="0"/>
    <m/>
    <s v="Intermediate"/>
    <s v="IU"/>
    <s v="10.15"/>
    <m/>
    <n v="0"/>
    <m/>
    <n v="0"/>
    <m/>
    <n v="0"/>
    <n v="1"/>
    <n v="0"/>
    <n v="0"/>
    <n v="0"/>
    <n v="0"/>
    <n v="0"/>
    <n v="0"/>
    <n v="1"/>
    <n v="0"/>
    <n v="0"/>
    <n v="0"/>
    <n v="0"/>
    <n v="0"/>
    <n v="0"/>
    <n v="0"/>
    <n v="0"/>
    <n v="0"/>
    <n v="0"/>
    <n v="0"/>
    <n v="0"/>
    <n v="0"/>
    <n v="0"/>
    <n v="0"/>
    <n v="0"/>
    <n v="0"/>
    <n v="0"/>
    <n v="0"/>
    <m/>
    <m/>
    <s v="Wandsworth riverside"/>
    <n v="15"/>
    <m/>
    <n v="0.25"/>
    <n v="0.25"/>
    <n v="0.25"/>
    <n v="0.25"/>
    <m/>
    <m/>
    <m/>
    <m/>
    <m/>
    <m/>
    <m/>
    <m/>
    <m/>
    <m/>
    <m/>
    <m/>
    <m/>
    <m/>
    <m/>
    <n v="1"/>
    <n v="1"/>
  </r>
  <r>
    <n v="5143"/>
    <x v="1"/>
    <s v="2020/0462"/>
    <s v="10 Cambalt Road"/>
    <s v=""/>
    <n v="523713"/>
    <n v="174783"/>
    <s v="West Putney"/>
    <m/>
    <m/>
    <n v="0"/>
    <n v="1"/>
    <n v="1"/>
    <n v="1"/>
    <n v="1"/>
    <m/>
    <s v="Conversion of existing basement to form 1 x studio flat including formation of light well to rear"/>
    <s v="PF"/>
    <d v="2020-02-13T00:00:00"/>
    <d v="2020-05-12T00:00:00"/>
    <m/>
    <s v="Nil"/>
    <m/>
    <s v="BF"/>
    <s v="EXT"/>
    <x v="2"/>
    <x v="2"/>
    <n v="4.0000000000000001E-3"/>
    <m/>
    <x v="0"/>
    <m/>
    <s v="Open Market"/>
    <s v="M"/>
    <s v=""/>
    <m/>
    <n v="0"/>
    <m/>
    <n v="0"/>
    <m/>
    <n v="1"/>
    <n v="0"/>
    <n v="0"/>
    <n v="0"/>
    <n v="0"/>
    <n v="0"/>
    <n v="0"/>
    <n v="1"/>
    <n v="0"/>
    <n v="0"/>
    <n v="0"/>
    <n v="0"/>
    <n v="0"/>
    <n v="0"/>
    <n v="0"/>
    <n v="0"/>
    <n v="0"/>
    <n v="0"/>
    <n v="0"/>
    <n v="0"/>
    <n v="0"/>
    <n v="0"/>
    <n v="0"/>
    <n v="0"/>
    <n v="0"/>
    <n v="0"/>
    <n v="0"/>
    <n v="0"/>
    <m/>
    <m/>
    <s v="Rest of Borough"/>
    <n v="15"/>
    <m/>
    <n v="0.25"/>
    <n v="0.25"/>
    <n v="0.25"/>
    <n v="0.25"/>
    <m/>
    <m/>
    <m/>
    <m/>
    <m/>
    <m/>
    <m/>
    <m/>
    <m/>
    <m/>
    <m/>
    <m/>
    <m/>
    <m/>
    <m/>
    <n v="1"/>
    <n v="1"/>
  </r>
  <r>
    <n v="7900"/>
    <x v="1"/>
    <s v="2022/3961"/>
    <s v="7 Beclands Road"/>
    <s v=""/>
    <n v="528537"/>
    <n v="170778"/>
    <s v="Furzedown"/>
    <m/>
    <m/>
    <n v="0"/>
    <n v="1"/>
    <n v="1"/>
    <n v="1"/>
    <n v="1"/>
    <m/>
    <s v="Alterations including erection of part two-storey and part single-storey side and rear extension in connection with the creation of a 1-bedroom dwelling. Installation of waste and cycle stores to front garden."/>
    <s v="PF"/>
    <d v="2022-09-27T00:00:00"/>
    <d v="2022-11-24T00:00:00"/>
    <s v="Y"/>
    <s v="Nil"/>
    <m/>
    <s v="Gdn"/>
    <s v="NB"/>
    <x v="2"/>
    <x v="1"/>
    <n v="2.9250000000000001E-3"/>
    <m/>
    <x v="0"/>
    <m/>
    <s v="Open Market"/>
    <s v="M"/>
    <s v=""/>
    <m/>
    <n v="0"/>
    <m/>
    <n v="0"/>
    <m/>
    <n v="0"/>
    <n v="1"/>
    <n v="0"/>
    <n v="0"/>
    <n v="0"/>
    <n v="0"/>
    <n v="0"/>
    <n v="0"/>
    <n v="0"/>
    <n v="0"/>
    <n v="0"/>
    <n v="0"/>
    <n v="0"/>
    <n v="0"/>
    <n v="0"/>
    <n v="1"/>
    <n v="0"/>
    <n v="0"/>
    <n v="0"/>
    <n v="0"/>
    <n v="0"/>
    <n v="0"/>
    <n v="0"/>
    <n v="0"/>
    <n v="0"/>
    <n v="0"/>
    <n v="0"/>
    <n v="0"/>
    <m/>
    <m/>
    <s v="Rest of Borough"/>
    <n v="7"/>
    <m/>
    <m/>
    <n v="0.25"/>
    <n v="0.25"/>
    <n v="0.25"/>
    <n v="0.25"/>
    <m/>
    <m/>
    <m/>
    <m/>
    <m/>
    <m/>
    <m/>
    <m/>
    <m/>
    <m/>
    <m/>
    <m/>
    <m/>
    <m/>
    <n v="1"/>
    <n v="1"/>
  </r>
  <r>
    <n v="7750"/>
    <x v="1"/>
    <s v="2022/3403"/>
    <s v="Land South of 5, Tennyson Street"/>
    <s v=""/>
    <n v="528671"/>
    <n v="176005"/>
    <s v="Shaftesbury &amp; Queenstown"/>
    <m/>
    <m/>
    <n v="0"/>
    <n v="1"/>
    <n v="1"/>
    <n v="1"/>
    <n v="1"/>
    <m/>
    <s v="Erection of a three-storey dwelling house."/>
    <s v="PF"/>
    <d v="2022-08-15T00:00:00"/>
    <d v="2022-10-24T00:00:00"/>
    <s v="Y"/>
    <s v="Nil"/>
    <m/>
    <s v="BF"/>
    <s v="NB"/>
    <x v="2"/>
    <x v="1"/>
    <n v="5.45E-3"/>
    <m/>
    <x v="0"/>
    <m/>
    <s v="Open Market"/>
    <s v="M"/>
    <s v=""/>
    <m/>
    <n v="0"/>
    <m/>
    <n v="0"/>
    <m/>
    <n v="0"/>
    <n v="0"/>
    <n v="0"/>
    <n v="1"/>
    <n v="0"/>
    <n v="0"/>
    <n v="0"/>
    <n v="0"/>
    <n v="0"/>
    <n v="0"/>
    <n v="0"/>
    <n v="0"/>
    <n v="0"/>
    <n v="0"/>
    <n v="0"/>
    <n v="0"/>
    <n v="0"/>
    <n v="1"/>
    <n v="0"/>
    <n v="0"/>
    <n v="0"/>
    <n v="0"/>
    <n v="0"/>
    <n v="0"/>
    <n v="0"/>
    <n v="0"/>
    <n v="0"/>
    <n v="0"/>
    <m/>
    <m/>
    <s v="Rest of Borough"/>
    <n v="7"/>
    <m/>
    <m/>
    <n v="0.25"/>
    <n v="0.25"/>
    <n v="0.25"/>
    <n v="0.25"/>
    <m/>
    <m/>
    <m/>
    <m/>
    <m/>
    <m/>
    <m/>
    <m/>
    <m/>
    <m/>
    <m/>
    <m/>
    <m/>
    <m/>
    <n v="1"/>
    <n v="1"/>
  </r>
  <r>
    <n v="7908"/>
    <x v="1"/>
    <s v="2022/4228"/>
    <s v="101 Fernlea Road"/>
    <s v=""/>
    <n v="529032"/>
    <n v="173104"/>
    <s v="Balham"/>
    <m/>
    <m/>
    <n v="2"/>
    <n v="3"/>
    <n v="1"/>
    <n v="3"/>
    <n v="1"/>
    <m/>
    <s v="Erection of a hip to gable side roof extension with dormer extenion to rear roof slope and extension above two-storey rear addition. Erection of replacement rear/side ground floor extension. Extensions and alterations in connection with the conversion 1x 1-bedroom and 1x2 bedroom flats to 1x 3-bedroom, 1 x 2-bedroom and 1x 1-bedroom flats. _x000a_Conversion and extension of existing property from 2 flat to 3 flats."/>
    <s v="PF"/>
    <d v="2022-10-14T00:00:00"/>
    <d v="2023-01-03T00:00:00"/>
    <s v="Y"/>
    <s v="Nil"/>
    <m/>
    <s v="BF"/>
    <s v="CON"/>
    <x v="2"/>
    <x v="2"/>
    <n v="7.566667E-3"/>
    <m/>
    <x v="0"/>
    <m/>
    <s v="Open Market"/>
    <s v="M"/>
    <s v=""/>
    <m/>
    <n v="0"/>
    <m/>
    <n v="0"/>
    <m/>
    <n v="0"/>
    <n v="0"/>
    <n v="0"/>
    <n v="1"/>
    <n v="0"/>
    <n v="0"/>
    <n v="0"/>
    <n v="0"/>
    <n v="0"/>
    <n v="0"/>
    <n v="1"/>
    <n v="0"/>
    <n v="0"/>
    <n v="0"/>
    <n v="0"/>
    <n v="0"/>
    <n v="0"/>
    <n v="0"/>
    <n v="0"/>
    <n v="0"/>
    <n v="0"/>
    <n v="0"/>
    <n v="0"/>
    <n v="0"/>
    <n v="0"/>
    <n v="0"/>
    <n v="0"/>
    <n v="0"/>
    <m/>
    <m/>
    <s v="Rest of Borough"/>
    <n v="15"/>
    <m/>
    <n v="0.25"/>
    <n v="0.25"/>
    <n v="0.25"/>
    <n v="0.25"/>
    <m/>
    <m/>
    <m/>
    <m/>
    <m/>
    <m/>
    <m/>
    <m/>
    <m/>
    <m/>
    <m/>
    <m/>
    <m/>
    <m/>
    <m/>
    <n v="1"/>
    <n v="1"/>
  </r>
  <r>
    <n v="4243"/>
    <x v="1"/>
    <s v="2022/0664"/>
    <s v="1081 Garratt Lane"/>
    <s v=""/>
    <n v="527437"/>
    <n v="171526"/>
    <s v="Tooting Broadway"/>
    <m/>
    <m/>
    <n v="0"/>
    <n v="1"/>
    <n v="1"/>
    <n v="1"/>
    <n v="1"/>
    <m/>
    <s v="Alterations to include, installation of a replacement window to front elevation and  change of use of rear part of ground floor from  (Class Sui Generis) into a 1 x 1 bedroom flat. (Class C3)"/>
    <s v="PF"/>
    <d v="2022-03-02T00:00:00"/>
    <d v="2022-04-27T00:00:00"/>
    <s v="Y"/>
    <s v="Nil"/>
    <m/>
    <s v="BF"/>
    <s v="CON"/>
    <x v="2"/>
    <x v="6"/>
    <n v="5.0000000000000001E-3"/>
    <m/>
    <x v="0"/>
    <m/>
    <s v="Open Market"/>
    <s v="M"/>
    <s v=""/>
    <m/>
    <n v="0"/>
    <m/>
    <n v="0"/>
    <m/>
    <n v="0"/>
    <n v="1"/>
    <n v="0"/>
    <n v="0"/>
    <n v="0"/>
    <n v="0"/>
    <n v="0"/>
    <n v="0"/>
    <n v="1"/>
    <n v="0"/>
    <n v="0"/>
    <n v="0"/>
    <n v="0"/>
    <n v="0"/>
    <n v="0"/>
    <n v="0"/>
    <n v="0"/>
    <n v="0"/>
    <n v="0"/>
    <n v="0"/>
    <n v="0"/>
    <n v="0"/>
    <n v="0"/>
    <n v="0"/>
    <n v="0"/>
    <n v="0"/>
    <n v="0"/>
    <n v="0"/>
    <s v="Tooting"/>
    <m/>
    <s v="Tooting"/>
    <n v="15"/>
    <m/>
    <n v="0.25"/>
    <n v="0.25"/>
    <n v="0.25"/>
    <n v="0.25"/>
    <m/>
    <m/>
    <m/>
    <m/>
    <m/>
    <m/>
    <m/>
    <m/>
    <m/>
    <m/>
    <m/>
    <m/>
    <m/>
    <m/>
    <m/>
    <n v="1"/>
    <n v="1"/>
  </r>
  <r>
    <n v="7866"/>
    <x v="1"/>
    <s v="2022/2665"/>
    <s v="109 Northcote Road"/>
    <s v=""/>
    <n v="527553"/>
    <n v="174743"/>
    <s v="Northcote"/>
    <d v="2023-03-31T00:00:00"/>
    <m/>
    <n v="1"/>
    <n v="2"/>
    <n v="1"/>
    <n v="2"/>
    <n v="1"/>
    <m/>
    <s v="Alterations including roof extension and changes to the roof pitch. Erection of mansard/dormer roof extension to main rear roof. Installation of 1.7m high obscure glazing to first floor terrace on all sides and formation of new roof terrace above existing back addition with 1.7m obscure glazing along sides. Erection of part single/part two storey rear and side extensions.  Replacement of existing windows and alterations to rear and side fenestrations, in connection with conversion from single dwelling into 1 x 2-bedroom and 1 x 3-bedroom flats with associated refuse and cycle storage."/>
    <s v="PF"/>
    <d v="2022-08-09T00:00:00"/>
    <d v="2022-11-08T00:00:00"/>
    <s v="Y"/>
    <s v="Nil"/>
    <m/>
    <s v="BF"/>
    <s v="CON"/>
    <x v="2"/>
    <x v="5"/>
    <n v="7.1599999999999997E-3"/>
    <m/>
    <x v="0"/>
    <m/>
    <s v="Open Market"/>
    <s v="MR"/>
    <s v=""/>
    <m/>
    <n v="0"/>
    <m/>
    <n v="0"/>
    <m/>
    <n v="0"/>
    <n v="0"/>
    <n v="1"/>
    <n v="1"/>
    <n v="-1"/>
    <n v="0"/>
    <n v="0"/>
    <n v="0"/>
    <n v="0"/>
    <n v="1"/>
    <n v="1"/>
    <n v="0"/>
    <n v="0"/>
    <n v="0"/>
    <n v="0"/>
    <n v="0"/>
    <n v="0"/>
    <n v="0"/>
    <n v="-1"/>
    <n v="0"/>
    <n v="0"/>
    <n v="0"/>
    <n v="0"/>
    <n v="0"/>
    <n v="0"/>
    <n v="0"/>
    <n v="0"/>
    <n v="0"/>
    <m/>
    <m/>
    <s v="Clapham Junction Spatial Area Strategy"/>
    <n v="15"/>
    <m/>
    <n v="0.25"/>
    <n v="0.25"/>
    <n v="0.25"/>
    <n v="0.25"/>
    <m/>
    <m/>
    <m/>
    <m/>
    <m/>
    <m/>
    <m/>
    <m/>
    <m/>
    <m/>
    <m/>
    <m/>
    <m/>
    <m/>
    <m/>
    <n v="1"/>
    <n v="1"/>
  </r>
  <r>
    <n v="7167"/>
    <x v="1"/>
    <s v="2019/2033"/>
    <s v="11 Barmouth Road"/>
    <s v=""/>
    <n v="526267"/>
    <n v="174208"/>
    <s v="Wandle"/>
    <m/>
    <m/>
    <n v="0"/>
    <n v="1"/>
    <n v="1"/>
    <n v="1"/>
    <n v="1"/>
    <m/>
    <s v="Alterations including changes to front elevation fenestration and erection of single-storey rear/side extension in connection with change of use from office (Class B1) to residential (Class C3) to create 1 x 2-bedroom flat."/>
    <s v="PF"/>
    <d v="2019-05-10T00:00:00"/>
    <d v="2019-10-03T00:00:00"/>
    <m/>
    <s v="Nil"/>
    <m/>
    <s v="BF"/>
    <s v="MIX"/>
    <x v="2"/>
    <x v="6"/>
    <n v="5.0000000000000001E-3"/>
    <m/>
    <x v="0"/>
    <m/>
    <s v="Open Market"/>
    <s v="M"/>
    <s v=""/>
    <m/>
    <n v="0"/>
    <m/>
    <n v="0"/>
    <m/>
    <n v="0"/>
    <n v="0"/>
    <n v="1"/>
    <n v="0"/>
    <n v="0"/>
    <n v="0"/>
    <n v="0"/>
    <n v="0"/>
    <n v="0"/>
    <n v="1"/>
    <n v="0"/>
    <n v="0"/>
    <n v="0"/>
    <n v="0"/>
    <n v="0"/>
    <n v="0"/>
    <n v="0"/>
    <n v="0"/>
    <n v="0"/>
    <n v="0"/>
    <n v="0"/>
    <n v="0"/>
    <n v="0"/>
    <n v="0"/>
    <n v="0"/>
    <n v="0"/>
    <n v="0"/>
    <n v="0"/>
    <m/>
    <m/>
    <s v="Rest of Borough"/>
    <n v="15"/>
    <m/>
    <n v="0.25"/>
    <n v="0.25"/>
    <n v="0.25"/>
    <n v="0.25"/>
    <m/>
    <m/>
    <m/>
    <m/>
    <m/>
    <m/>
    <m/>
    <m/>
    <m/>
    <m/>
    <m/>
    <m/>
    <m/>
    <m/>
    <m/>
    <n v="1"/>
    <n v="1"/>
  </r>
  <r>
    <n v="6088"/>
    <x v="1"/>
    <s v="2019/2116"/>
    <s v="118 Upper Tooting Road"/>
    <s v=""/>
    <n v="527736"/>
    <n v="172067"/>
    <s v="Tooting Bec"/>
    <m/>
    <m/>
    <n v="0"/>
    <n v="1"/>
    <n v="1"/>
    <n v="1"/>
    <n v="1"/>
    <m/>
    <s v="Alterations in connection with change of use of part of ground floor from retail (Class A1) to residential (Class C3) to provide 1 x studio flat with associated cycle and refuse storage."/>
    <s v="PF"/>
    <d v="2019-05-15T00:00:00"/>
    <d v="2019-11-19T00:00:00"/>
    <m/>
    <s v="Nil"/>
    <m/>
    <s v="BF"/>
    <s v="COU"/>
    <x v="2"/>
    <x v="4"/>
    <n v="3.0000000000000001E-3"/>
    <m/>
    <x v="0"/>
    <m/>
    <s v="Open Market"/>
    <s v="M"/>
    <s v=""/>
    <m/>
    <n v="0"/>
    <m/>
    <n v="0"/>
    <m/>
    <n v="1"/>
    <n v="0"/>
    <n v="0"/>
    <n v="0"/>
    <n v="0"/>
    <n v="0"/>
    <n v="0"/>
    <n v="1"/>
    <n v="0"/>
    <n v="0"/>
    <n v="0"/>
    <n v="0"/>
    <n v="0"/>
    <n v="0"/>
    <n v="0"/>
    <n v="0"/>
    <n v="0"/>
    <n v="0"/>
    <n v="0"/>
    <n v="0"/>
    <n v="0"/>
    <n v="0"/>
    <n v="0"/>
    <n v="0"/>
    <n v="0"/>
    <n v="0"/>
    <n v="0"/>
    <n v="0"/>
    <m/>
    <m/>
    <s v="Rest of Borough"/>
    <n v="15"/>
    <m/>
    <n v="0.25"/>
    <n v="0.25"/>
    <n v="0.25"/>
    <n v="0.25"/>
    <m/>
    <m/>
    <m/>
    <m/>
    <m/>
    <m/>
    <m/>
    <m/>
    <m/>
    <m/>
    <m/>
    <m/>
    <m/>
    <m/>
    <m/>
    <n v="1"/>
    <n v="1"/>
  </r>
  <r>
    <n v="7514"/>
    <x v="1"/>
    <s v="2021/2263"/>
    <s v="12 Oberstein Road"/>
    <s v=""/>
    <n v="526762"/>
    <n v="175172"/>
    <s v="Wandsworth Town"/>
    <m/>
    <m/>
    <n v="0"/>
    <n v="1"/>
    <n v="1"/>
    <n v="1"/>
    <n v="1"/>
    <m/>
    <s v="Alterations including erection of front and rear mansard roof extension to main roof including front, rear and side dormers; formation of roof terrace at rear second floor level with 1.7m high screen surround; excavation to enlarge basement including formation of rear lightwell; in connection with the creation of 1 x 1- bedroom flat"/>
    <s v="PF"/>
    <d v="2021-06-04T00:00:00"/>
    <d v="2021-08-03T00:00:00"/>
    <m/>
    <s v="Nil"/>
    <m/>
    <s v="BF"/>
    <s v="EXT"/>
    <x v="2"/>
    <x v="2"/>
    <n v="6.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6612"/>
    <x v="1"/>
    <s v="2021/0297"/>
    <s v="122 Upper Richmond Road"/>
    <s v=""/>
    <n v="524304"/>
    <n v="174961"/>
    <s v="East Putney"/>
    <m/>
    <m/>
    <n v="1"/>
    <n v="2"/>
    <n v="1"/>
    <n v="2"/>
    <n v="1"/>
    <m/>
    <s v="Alterations including erection of front and rear main roof extension, two-storey rear extension at second and third floor levels with formation of rear balconies in connection with conversion of existing flat into 1 x 2-bedroom and 1 x 1-bedroom flats."/>
    <s v="PF"/>
    <d v="2021-01-25T00:00:00"/>
    <d v="2021-03-22T00:00:00"/>
    <m/>
    <s v="Nil"/>
    <m/>
    <s v="BF"/>
    <s v="CON"/>
    <x v="2"/>
    <x v="7"/>
    <n v="1.0999999999999999E-2"/>
    <m/>
    <x v="0"/>
    <m/>
    <s v="Open Market"/>
    <s v="M"/>
    <s v=""/>
    <m/>
    <n v="0"/>
    <m/>
    <n v="0"/>
    <m/>
    <n v="0"/>
    <n v="1"/>
    <n v="1"/>
    <n v="0"/>
    <n v="-1"/>
    <n v="0"/>
    <n v="0"/>
    <n v="0"/>
    <n v="1"/>
    <n v="1"/>
    <n v="0"/>
    <n v="-1"/>
    <n v="0"/>
    <n v="0"/>
    <n v="0"/>
    <n v="0"/>
    <n v="0"/>
    <n v="0"/>
    <n v="0"/>
    <n v="0"/>
    <n v="0"/>
    <n v="0"/>
    <n v="0"/>
    <n v="0"/>
    <n v="0"/>
    <n v="0"/>
    <n v="0"/>
    <n v="0"/>
    <s v="Putney"/>
    <m/>
    <s v="Putney Town Centre"/>
    <n v="15"/>
    <m/>
    <n v="0.25"/>
    <n v="0.25"/>
    <n v="0.25"/>
    <n v="0.25"/>
    <m/>
    <m/>
    <m/>
    <m/>
    <m/>
    <m/>
    <m/>
    <m/>
    <m/>
    <m/>
    <m/>
    <m/>
    <m/>
    <m/>
    <m/>
    <n v="1"/>
    <n v="1"/>
  </r>
  <r>
    <n v="7637"/>
    <x v="1"/>
    <s v="2021/1259"/>
    <s v="128 B Northcote Road"/>
    <s v=""/>
    <n v="527560"/>
    <n v="174587"/>
    <s v="Northcote"/>
    <m/>
    <m/>
    <n v="1"/>
    <n v="2"/>
    <n v="1"/>
    <n v="2"/>
    <n v="1"/>
    <m/>
    <s v="Alterations including erection of dormer roof extensions to side and rear of main roof and formation of rear roof terraces at first and third floor level, in connection with the conversion of first and second floor into 1 x1 bedroom and 1 x 2-bedroom flats."/>
    <s v="PF"/>
    <d v="2021-03-17T00:00:00"/>
    <d v="2021-07-02T00:00:00"/>
    <m/>
    <s v="Nil"/>
    <m/>
    <s v="BF"/>
    <s v="MIX"/>
    <x v="2"/>
    <x v="5"/>
    <n v="5.0000000000000001E-3"/>
    <m/>
    <x v="0"/>
    <m/>
    <s v="Open Market"/>
    <s v="M"/>
    <s v=""/>
    <m/>
    <n v="0"/>
    <m/>
    <n v="0"/>
    <m/>
    <n v="0"/>
    <n v="1"/>
    <n v="1"/>
    <n v="0"/>
    <n v="-1"/>
    <n v="0"/>
    <n v="0"/>
    <n v="0"/>
    <n v="1"/>
    <n v="1"/>
    <n v="0"/>
    <n v="0"/>
    <n v="0"/>
    <n v="0"/>
    <n v="0"/>
    <n v="0"/>
    <n v="0"/>
    <n v="0"/>
    <n v="-1"/>
    <n v="0"/>
    <n v="0"/>
    <n v="0"/>
    <n v="0"/>
    <n v="0"/>
    <n v="0"/>
    <n v="0"/>
    <n v="0"/>
    <n v="0"/>
    <m/>
    <m/>
    <s v="Rest of Borough"/>
    <n v="15"/>
    <m/>
    <n v="0.25"/>
    <n v="0.25"/>
    <n v="0.25"/>
    <n v="0.25"/>
    <m/>
    <m/>
    <m/>
    <m/>
    <m/>
    <m/>
    <m/>
    <m/>
    <m/>
    <m/>
    <m/>
    <m/>
    <m/>
    <m/>
    <m/>
    <n v="1"/>
    <n v="1"/>
  </r>
  <r>
    <n v="6277"/>
    <x v="1"/>
    <s v="2020/3102"/>
    <s v="130 Longley Road"/>
    <s v=""/>
    <n v="527645"/>
    <n v="170659"/>
    <s v="Tooting Broadway"/>
    <m/>
    <m/>
    <n v="0"/>
    <n v="1"/>
    <n v="1"/>
    <n v="4"/>
    <n v="3"/>
    <m/>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m/>
    <s v="Nil"/>
    <m/>
    <s v="BF"/>
    <s v="MIX"/>
    <x v="2"/>
    <x v="2"/>
    <n v="2.7E-2"/>
    <m/>
    <x v="0"/>
    <m/>
    <s v="Open Market"/>
    <s v="M"/>
    <s v=""/>
    <m/>
    <n v="0"/>
    <m/>
    <n v="0"/>
    <m/>
    <n v="1"/>
    <n v="0"/>
    <n v="0"/>
    <n v="0"/>
    <n v="0"/>
    <n v="0"/>
    <n v="0"/>
    <n v="1"/>
    <n v="0"/>
    <n v="0"/>
    <n v="0"/>
    <n v="0"/>
    <n v="0"/>
    <n v="0"/>
    <n v="0"/>
    <n v="0"/>
    <n v="0"/>
    <n v="0"/>
    <n v="0"/>
    <n v="0"/>
    <n v="0"/>
    <n v="0"/>
    <n v="0"/>
    <n v="0"/>
    <n v="0"/>
    <n v="0"/>
    <n v="0"/>
    <n v="0"/>
    <m/>
    <m/>
    <s v="Rest of Borough"/>
    <n v="15"/>
    <m/>
    <n v="0.25"/>
    <n v="0.25"/>
    <n v="0.25"/>
    <n v="0.25"/>
    <m/>
    <m/>
    <m/>
    <m/>
    <m/>
    <m/>
    <m/>
    <m/>
    <m/>
    <m/>
    <m/>
    <m/>
    <m/>
    <m/>
    <m/>
    <n v="1"/>
    <n v="1"/>
  </r>
  <r>
    <n v="7884"/>
    <x v="1"/>
    <s v="2022/3458"/>
    <s v="134 Boundaries Road"/>
    <s v=""/>
    <n v="527886"/>
    <n v="172990"/>
    <s v="Trinity"/>
    <m/>
    <m/>
    <n v="0"/>
    <n v="1"/>
    <n v="1"/>
    <n v="1"/>
    <n v="1"/>
    <m/>
    <s v="Erection of a mansard extension to main rear roof and extension above part of two-storey rear addition with roof terrace and 1.7m high obscured glazed balustrade to form for a 1-bedroom flat. Installation of associated cycle provision and refuse storage. Internal alterations to first floor flat with new bifold doors on rear elevation"/>
    <s v="PF"/>
    <d v="2022-08-17T00:00:00"/>
    <d v="2022-10-25T00:00:00"/>
    <s v="Y"/>
    <s v="Nil"/>
    <m/>
    <s v="BF"/>
    <s v="EXT"/>
    <x v="2"/>
    <x v="2"/>
    <n v="3.8999999999999998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6839"/>
    <x v="1"/>
    <s v="2018/1079"/>
    <s v="Land east of 57, 57 Putney Bridge Road"/>
    <s v=""/>
    <n v="525097"/>
    <n v="175034"/>
    <s v="Thamesfield"/>
    <d v="2021-04-08T00:00:00"/>
    <m/>
    <n v="0"/>
    <n v="5"/>
    <n v="5"/>
    <n v="5"/>
    <n v="5"/>
    <m/>
    <s v="Erection of five storey building to provide 5 x studio flats with associated cycle and bin storage."/>
    <s v="PF"/>
    <d v="2018-03-09T00:00:00"/>
    <d v="2018-05-25T00:00:00"/>
    <m/>
    <s v="Nil"/>
    <m/>
    <s v="BF"/>
    <s v="NB"/>
    <x v="2"/>
    <x v="1"/>
    <n v="7.0000000000000001E-3"/>
    <m/>
    <x v="0"/>
    <m/>
    <s v="Open Market"/>
    <s v="M"/>
    <s v=""/>
    <m/>
    <n v="0"/>
    <n v="5"/>
    <n v="0"/>
    <m/>
    <n v="5"/>
    <n v="0"/>
    <n v="0"/>
    <n v="0"/>
    <n v="0"/>
    <n v="0"/>
    <n v="0"/>
    <n v="5"/>
    <n v="0"/>
    <n v="0"/>
    <n v="0"/>
    <n v="0"/>
    <n v="0"/>
    <n v="0"/>
    <n v="0"/>
    <n v="0"/>
    <n v="0"/>
    <n v="0"/>
    <n v="0"/>
    <n v="0"/>
    <n v="0"/>
    <n v="0"/>
    <n v="0"/>
    <n v="0"/>
    <n v="0"/>
    <n v="0"/>
    <n v="0"/>
    <n v="0"/>
    <m/>
    <m/>
    <s v="Wandsworth Town, including the Wandle Delta Masterplan Area"/>
    <n v="7"/>
    <m/>
    <m/>
    <n v="1.25"/>
    <n v="1.25"/>
    <n v="1.25"/>
    <n v="1.25"/>
    <m/>
    <m/>
    <m/>
    <m/>
    <m/>
    <m/>
    <m/>
    <m/>
    <m/>
    <m/>
    <m/>
    <m/>
    <m/>
    <m/>
    <n v="5"/>
    <n v="5"/>
  </r>
  <r>
    <n v="3810"/>
    <x v="1"/>
    <s v="2021/4115"/>
    <s v="138 Battersea Park Road"/>
    <s v=""/>
    <n v="528194"/>
    <n v="176681"/>
    <s v="Battersea Park"/>
    <m/>
    <m/>
    <n v="1"/>
    <n v="2"/>
    <n v="1"/>
    <n v="2"/>
    <n v="1"/>
    <m/>
    <s v="Alterations including erection of mansard roof extension to main rear roof in connection with the conversion of upper floor flat to 2x1 bedroom flats."/>
    <s v="PF"/>
    <d v="2021-09-28T00:00:00"/>
    <d v="2022-01-19T00:00:00"/>
    <m/>
    <s v="Nil"/>
    <m/>
    <s v="BF"/>
    <s v="MIX"/>
    <x v="2"/>
    <x v="7"/>
    <n v="3.1375000000000001E-3"/>
    <m/>
    <x v="0"/>
    <m/>
    <s v="Open Market"/>
    <s v="M"/>
    <s v=""/>
    <m/>
    <n v="0"/>
    <m/>
    <n v="0"/>
    <m/>
    <n v="0"/>
    <n v="2"/>
    <n v="0"/>
    <n v="-1"/>
    <n v="0"/>
    <n v="0"/>
    <n v="0"/>
    <n v="0"/>
    <n v="2"/>
    <n v="0"/>
    <n v="-1"/>
    <n v="0"/>
    <n v="0"/>
    <n v="0"/>
    <n v="0"/>
    <n v="0"/>
    <n v="0"/>
    <n v="0"/>
    <n v="0"/>
    <n v="0"/>
    <n v="0"/>
    <n v="0"/>
    <n v="0"/>
    <n v="0"/>
    <n v="0"/>
    <n v="0"/>
    <n v="0"/>
    <n v="0"/>
    <m/>
    <m/>
    <s v="Rest of Borough"/>
    <n v="15"/>
    <m/>
    <n v="0.25"/>
    <n v="0.25"/>
    <n v="0.25"/>
    <n v="0.25"/>
    <m/>
    <m/>
    <m/>
    <m/>
    <m/>
    <m/>
    <m/>
    <m/>
    <m/>
    <m/>
    <m/>
    <m/>
    <m/>
    <m/>
    <m/>
    <n v="1"/>
    <n v="1"/>
  </r>
  <r>
    <n v="5734"/>
    <x v="1"/>
    <s v="2018/1975"/>
    <s v="1 Effort Street"/>
    <s v=""/>
    <n v="527231"/>
    <n v="171411"/>
    <s v="Tooting Broadway"/>
    <m/>
    <m/>
    <n v="2"/>
    <n v="5"/>
    <n v="3"/>
    <n v="5"/>
    <n v="3"/>
    <m/>
    <s v="Demolition of existing building and erection of a part two part three-storey building to provide 4 x 2-bedroom and 1 x 3-bedroom flats with associated landscaping, cycle and refuse storage."/>
    <s v="PF"/>
    <d v="2018-05-14T00:00:00"/>
    <d v="2018-07-04T00:00:00"/>
    <m/>
    <s v="Nil"/>
    <m/>
    <s v="BF"/>
    <s v="NB"/>
    <x v="2"/>
    <x v="1"/>
    <n v="2.4E-2"/>
    <m/>
    <x v="0"/>
    <m/>
    <s v="Open Market"/>
    <s v="M"/>
    <s v=""/>
    <m/>
    <n v="0"/>
    <m/>
    <n v="0"/>
    <m/>
    <n v="0"/>
    <n v="0"/>
    <n v="2"/>
    <n v="1"/>
    <n v="0"/>
    <n v="0"/>
    <n v="0"/>
    <n v="0"/>
    <n v="0"/>
    <n v="2"/>
    <n v="1"/>
    <n v="0"/>
    <n v="0"/>
    <n v="0"/>
    <n v="0"/>
    <n v="0"/>
    <n v="0"/>
    <n v="0"/>
    <n v="0"/>
    <n v="0"/>
    <n v="0"/>
    <n v="0"/>
    <n v="0"/>
    <n v="0"/>
    <n v="0"/>
    <n v="0"/>
    <n v="0"/>
    <n v="0"/>
    <m/>
    <m/>
    <s v="Tooting"/>
    <n v="7"/>
    <m/>
    <m/>
    <n v="0.75"/>
    <n v="0.75"/>
    <n v="0.75"/>
    <n v="0.75"/>
    <m/>
    <m/>
    <m/>
    <m/>
    <m/>
    <m/>
    <m/>
    <m/>
    <m/>
    <m/>
    <m/>
    <m/>
    <m/>
    <m/>
    <n v="3"/>
    <n v="3"/>
  </r>
  <r>
    <n v="2552"/>
    <x v="1"/>
    <s v="2020/0107"/>
    <s v="14-16 Tooting High Street (Flats 1-9 &amp; 12-15)"/>
    <s v=""/>
    <n v="527504"/>
    <n v="171615"/>
    <s v="Tooting Broadway"/>
    <m/>
    <m/>
    <n v="0"/>
    <n v="1"/>
    <n v="1"/>
    <n v="1"/>
    <n v="1"/>
    <m/>
    <s v="Alterations including erection of rear roof extension and formation of roof terrace with 1.8m high screen surround in connection with creation of studio flat on third floor."/>
    <s v="PF"/>
    <d v="2020-02-20T00:00:00"/>
    <d v="2020-04-13T00:00:00"/>
    <m/>
    <s v="Nil"/>
    <m/>
    <s v="BF"/>
    <s v="EXT"/>
    <x v="2"/>
    <x v="2"/>
    <n v="1E-3"/>
    <m/>
    <x v="0"/>
    <m/>
    <s v="Open Market"/>
    <s v="M"/>
    <s v=""/>
    <m/>
    <n v="0"/>
    <m/>
    <n v="0"/>
    <m/>
    <n v="1"/>
    <n v="0"/>
    <n v="0"/>
    <n v="0"/>
    <n v="0"/>
    <n v="0"/>
    <n v="0"/>
    <n v="1"/>
    <n v="0"/>
    <n v="0"/>
    <n v="0"/>
    <n v="0"/>
    <n v="0"/>
    <n v="0"/>
    <n v="0"/>
    <n v="0"/>
    <n v="0"/>
    <n v="0"/>
    <n v="0"/>
    <n v="0"/>
    <n v="0"/>
    <n v="0"/>
    <n v="0"/>
    <n v="0"/>
    <n v="0"/>
    <n v="0"/>
    <n v="0"/>
    <n v="0"/>
    <s v="Tooting"/>
    <m/>
    <s v="Tooting"/>
    <n v="15"/>
    <m/>
    <n v="0.25"/>
    <n v="0.25"/>
    <n v="0.25"/>
    <n v="0.25"/>
    <m/>
    <m/>
    <m/>
    <m/>
    <m/>
    <m/>
    <m/>
    <m/>
    <m/>
    <m/>
    <m/>
    <m/>
    <m/>
    <m/>
    <m/>
    <n v="1"/>
    <n v="1"/>
  </r>
  <r>
    <n v="1469"/>
    <x v="1"/>
    <s v="2022/4595"/>
    <s v="144 Wandsworth High Street"/>
    <s v=""/>
    <n v="525271"/>
    <n v="174673"/>
    <s v="East Putney"/>
    <m/>
    <m/>
    <n v="0"/>
    <n v="1"/>
    <n v="1"/>
    <n v="1"/>
    <n v="1"/>
    <m/>
    <s v="Change of use of the ground floor from retail (Class E) to a 1-bedroom flat  (Class C3) together with alterations to front and rear elevations."/>
    <s v="PF"/>
    <d v="2022-12-05T00:00:00"/>
    <d v="2023-02-27T00:00:00"/>
    <s v="Y"/>
    <s v="Nil"/>
    <m/>
    <s v="BF"/>
    <s v="COU"/>
    <x v="2"/>
    <x v="4"/>
    <n v="4.1999999999999997E-3"/>
    <m/>
    <x v="0"/>
    <m/>
    <s v="Open Market"/>
    <s v="MR"/>
    <s v=""/>
    <m/>
    <n v="0"/>
    <m/>
    <n v="0"/>
    <m/>
    <n v="1"/>
    <n v="0"/>
    <n v="0"/>
    <n v="0"/>
    <n v="0"/>
    <n v="0"/>
    <n v="0"/>
    <n v="1"/>
    <n v="0"/>
    <n v="0"/>
    <n v="0"/>
    <n v="0"/>
    <n v="0"/>
    <n v="0"/>
    <n v="0"/>
    <n v="0"/>
    <n v="0"/>
    <n v="0"/>
    <n v="0"/>
    <n v="0"/>
    <n v="0"/>
    <n v="0"/>
    <n v="0"/>
    <n v="0"/>
    <n v="0"/>
    <n v="0"/>
    <n v="0"/>
    <n v="0"/>
    <m/>
    <m/>
    <s v="Wandsworth Town, including the Wandle Delta Masterplan Area"/>
    <n v="15"/>
    <m/>
    <n v="0.25"/>
    <n v="0.25"/>
    <n v="0.25"/>
    <n v="0.25"/>
    <m/>
    <m/>
    <m/>
    <m/>
    <m/>
    <m/>
    <m/>
    <m/>
    <m/>
    <m/>
    <m/>
    <m/>
    <m/>
    <m/>
    <m/>
    <n v="1"/>
    <n v="1"/>
  </r>
  <r>
    <n v="7163"/>
    <x v="1"/>
    <s v="2019/1706"/>
    <s v="148 Earlsfield Road"/>
    <s v=""/>
    <n v="526291"/>
    <n v="173671"/>
    <s v="Wandle"/>
    <m/>
    <m/>
    <n v="0"/>
    <n v="1"/>
    <n v="1"/>
    <n v="1"/>
    <n v="1"/>
    <m/>
    <s v="Alterations including excavation to create basement in connection with creation of 1 x 1-bedroom flat."/>
    <s v="PF"/>
    <d v="2019-04-16T00:00:00"/>
    <d v="2019-07-16T00:00:00"/>
    <m/>
    <s v="Nil"/>
    <m/>
    <s v="BF"/>
    <s v="EXT"/>
    <x v="2"/>
    <x v="2"/>
    <n v="5.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472"/>
    <x v="1"/>
    <s v="2020/3309"/>
    <s v="149 Lavender Hill"/>
    <s v=""/>
    <n v="528038"/>
    <n v="175601"/>
    <s v="Lavender"/>
    <m/>
    <m/>
    <n v="0"/>
    <n v="1"/>
    <n v="1"/>
    <n v="1"/>
    <n v="1"/>
    <m/>
    <s v="Erection of extension to form two additional floors of accommodation and formation of a roof terrace above 3 -storey back addition in connection with creation of an additional 1 x 1 bed flat."/>
    <s v="PF"/>
    <d v="2020-09-07T00:00:00"/>
    <d v="2020-11-02T00:00:00"/>
    <m/>
    <s v="Nil"/>
    <m/>
    <s v="BF"/>
    <s v="EXT"/>
    <x v="2"/>
    <x v="2"/>
    <n v="4.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6990"/>
    <x v="1"/>
    <s v="2022/2515"/>
    <s v="19a St Anns Park Road"/>
    <s v=""/>
    <n v="526243"/>
    <n v="174114"/>
    <s v="Wandle"/>
    <m/>
    <m/>
    <n v="1"/>
    <n v="1"/>
    <n v="0"/>
    <n v="1"/>
    <n v="0"/>
    <m/>
    <s v="Demolition of existing building and erection of a two-storey (plus basement) 3-bedroom detached house including associated landscaping, cycle and refuse storage."/>
    <s v="PF"/>
    <d v="2022-06-15T00:00:00"/>
    <d v="2022-09-15T00:00:00"/>
    <s v="Y"/>
    <s v="Nil"/>
    <m/>
    <s v="BF"/>
    <s v="NB"/>
    <x v="2"/>
    <x v="1"/>
    <n v="4.7499999999999999E-3"/>
    <m/>
    <x v="0"/>
    <m/>
    <s v="Open Market"/>
    <s v="M"/>
    <s v=""/>
    <m/>
    <n v="0"/>
    <m/>
    <n v="0"/>
    <m/>
    <n v="0"/>
    <n v="-1"/>
    <n v="0"/>
    <n v="1"/>
    <n v="0"/>
    <n v="0"/>
    <n v="0"/>
    <n v="0"/>
    <n v="0"/>
    <n v="0"/>
    <n v="0"/>
    <n v="0"/>
    <n v="0"/>
    <n v="0"/>
    <n v="0"/>
    <n v="-1"/>
    <n v="0"/>
    <n v="1"/>
    <n v="0"/>
    <n v="0"/>
    <n v="0"/>
    <n v="0"/>
    <n v="0"/>
    <n v="0"/>
    <n v="0"/>
    <n v="0"/>
    <n v="0"/>
    <n v="0"/>
    <m/>
    <m/>
    <s v="Rest of Borough"/>
    <n v="7"/>
    <m/>
    <m/>
    <n v="0"/>
    <n v="0"/>
    <n v="0"/>
    <n v="0"/>
    <m/>
    <m/>
    <m/>
    <m/>
    <m/>
    <m/>
    <m/>
    <m/>
    <m/>
    <m/>
    <m/>
    <m/>
    <m/>
    <m/>
    <n v="0"/>
    <n v="0"/>
  </r>
  <r>
    <n v="7897"/>
    <x v="1"/>
    <s v="2022/3951"/>
    <s v="14A Oakmead Road"/>
    <s v=""/>
    <n v="528647"/>
    <n v="173103"/>
    <s v="South Balham"/>
    <m/>
    <m/>
    <n v="0"/>
    <n v="1"/>
    <n v="1"/>
    <n v="1"/>
    <n v="1"/>
    <m/>
    <s v="Alterations including erection of mansard roof extension to main rear roof (with French doors and safety railings) and extension above part of two-storey back addition; Formation of roof terrace above two-storey back addition with 1.7m high screen surround. Installation of metal stairs from first floor to ground floor in connection with creation of 1 x1 bedroom residential flat."/>
    <s v="PF"/>
    <d v="2022-09-26T00:00:00"/>
    <d v="2022-12-15T00:00:00"/>
    <s v="Y"/>
    <s v="Nil"/>
    <m/>
    <s v="BF"/>
    <s v="EXT"/>
    <x v="2"/>
    <x v="2"/>
    <n v="5.1700000000000001E-3"/>
    <m/>
    <x v="0"/>
    <m/>
    <s v="Open Market"/>
    <s v="MR"/>
    <s v=""/>
    <m/>
    <n v="0"/>
    <m/>
    <n v="0"/>
    <m/>
    <n v="0"/>
    <n v="1"/>
    <n v="0"/>
    <n v="0"/>
    <n v="0"/>
    <n v="0"/>
    <n v="0"/>
    <n v="0"/>
    <n v="1"/>
    <n v="0"/>
    <n v="0"/>
    <n v="0"/>
    <n v="0"/>
    <n v="0"/>
    <n v="0"/>
    <n v="0"/>
    <n v="0"/>
    <n v="0"/>
    <n v="0"/>
    <n v="0"/>
    <n v="0"/>
    <n v="0"/>
    <n v="0"/>
    <n v="0"/>
    <n v="0"/>
    <n v="0"/>
    <n v="0"/>
    <n v="0"/>
    <m/>
    <m/>
    <s v="Balham"/>
    <n v="15"/>
    <m/>
    <n v="0.25"/>
    <n v="0.25"/>
    <n v="0.25"/>
    <n v="0.25"/>
    <m/>
    <m/>
    <m/>
    <m/>
    <m/>
    <m/>
    <m/>
    <m/>
    <m/>
    <m/>
    <m/>
    <m/>
    <m/>
    <m/>
    <m/>
    <n v="1"/>
    <n v="1"/>
  </r>
  <r>
    <n v="7691"/>
    <x v="1"/>
    <s v="2021/4974"/>
    <s v="15 Fairlight Road"/>
    <s v=""/>
    <n v="526952"/>
    <n v="171670"/>
    <s v="Tooting Broadway"/>
    <m/>
    <m/>
    <n v="1"/>
    <n v="2"/>
    <n v="1"/>
    <n v="2"/>
    <n v="1"/>
    <m/>
    <s v="Alterations including erection of mansard roof extension to main rear roof including raising ridge by 300mm, erection of roof extension and formation of roof terrace with 1.7m glazed safety surround above two-storey rear addition in connection with creation of 1 x 1-bedroom flat. Alterations to rear elevation of first floor flat with new juliet balcony."/>
    <s v="PF"/>
    <d v="2021-10-29T00:00:00"/>
    <d v="2021-12-22T00:00:00"/>
    <m/>
    <s v="Nil"/>
    <m/>
    <s v="BF"/>
    <s v="EXT"/>
    <x v="2"/>
    <x v="2"/>
    <n v="6.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3652"/>
    <x v="1"/>
    <s v="2016/0654"/>
    <s v="9-15 Elcho Street"/>
    <s v=""/>
    <n v="527224"/>
    <n v="177200"/>
    <s v="Battersea Park"/>
    <d v="2019-04-16T00:00:00"/>
    <m/>
    <n v="0"/>
    <n v="4"/>
    <n v="4"/>
    <n v="4"/>
    <n v="4"/>
    <m/>
    <s v="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
    <s v="PF"/>
    <d v="2016-02-12T00:00:00"/>
    <d v="2016-05-27T00:00:00"/>
    <m/>
    <s v="Nil"/>
    <m/>
    <s v="BF"/>
    <s v="NB"/>
    <x v="2"/>
    <x v="1"/>
    <n v="4.2000000000000003E-2"/>
    <m/>
    <x v="0"/>
    <m/>
    <s v="Open Market"/>
    <s v="M"/>
    <s v=""/>
    <m/>
    <n v="0"/>
    <m/>
    <n v="0"/>
    <m/>
    <n v="0"/>
    <n v="0"/>
    <n v="4"/>
    <n v="0"/>
    <n v="0"/>
    <n v="0"/>
    <n v="0"/>
    <n v="0"/>
    <n v="0"/>
    <n v="4"/>
    <n v="0"/>
    <n v="0"/>
    <n v="0"/>
    <n v="0"/>
    <n v="0"/>
    <n v="0"/>
    <n v="0"/>
    <n v="0"/>
    <n v="0"/>
    <n v="0"/>
    <n v="0"/>
    <n v="0"/>
    <n v="0"/>
    <n v="0"/>
    <n v="0"/>
    <n v="0"/>
    <n v="0"/>
    <n v="0"/>
    <m/>
    <m/>
    <s v="Wandsworth riverside"/>
    <n v="7"/>
    <m/>
    <m/>
    <n v="1"/>
    <n v="1"/>
    <n v="1"/>
    <n v="1"/>
    <m/>
    <m/>
    <m/>
    <m/>
    <m/>
    <m/>
    <m/>
    <m/>
    <m/>
    <m/>
    <m/>
    <m/>
    <m/>
    <m/>
    <n v="4"/>
    <n v="4"/>
  </r>
  <r>
    <n v="3246"/>
    <x v="1"/>
    <s v="2020/1286"/>
    <s v="157 Lower Richmond Road"/>
    <s v=""/>
    <n v="523446"/>
    <n v="175860"/>
    <s v="Thamesfield"/>
    <m/>
    <m/>
    <n v="0"/>
    <n v="1"/>
    <n v="1"/>
    <n v="2"/>
    <n v="1"/>
    <m/>
    <s v="Alterations in connection with conversion of existing mansard roof extension to main rear roof and roof extension above part of two storey back addition into 1 x 1-bedroom flat."/>
    <s v="PF"/>
    <d v="2020-04-07T00:00:00"/>
    <d v="2020-06-01T00:00:00"/>
    <m/>
    <s v="Nil"/>
    <m/>
    <s v="BF"/>
    <s v="MIX"/>
    <x v="2"/>
    <x v="2"/>
    <n v="5.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682"/>
    <x v="1"/>
    <s v="2021/3519"/>
    <s v="16 Lucien Road"/>
    <s v=""/>
    <n v="528225"/>
    <n v="171618"/>
    <s v="Tooting Bec"/>
    <m/>
    <m/>
    <n v="2"/>
    <n v="3"/>
    <n v="1"/>
    <n v="3"/>
    <n v="1"/>
    <m/>
    <s v="Alterations including erection of extension to main rear roof and extension above part of two-storey back addition; formation of roof terrace at second floor level with 1.7m high screen surround. Erection of single-storey rear and side extension in connection with the creation of an additional 1 x 1-bedroom/studio flat, with associated bin and bike storage at the front."/>
    <s v="PF"/>
    <d v="2021-09-20T00:00:00"/>
    <d v="2021-11-15T00:00:00"/>
    <m/>
    <s v="Nil"/>
    <m/>
    <s v="BF"/>
    <s v="EXT"/>
    <x v="2"/>
    <x v="2"/>
    <n v="8.0000000000000002E-3"/>
    <m/>
    <x v="0"/>
    <m/>
    <s v="Open Market"/>
    <s v="M"/>
    <s v=""/>
    <m/>
    <n v="0"/>
    <m/>
    <n v="0"/>
    <m/>
    <n v="1"/>
    <n v="0"/>
    <n v="0"/>
    <n v="0"/>
    <n v="0"/>
    <n v="0"/>
    <n v="0"/>
    <n v="1"/>
    <n v="0"/>
    <n v="0"/>
    <n v="0"/>
    <n v="0"/>
    <n v="0"/>
    <n v="0"/>
    <n v="0"/>
    <n v="0"/>
    <n v="0"/>
    <n v="0"/>
    <n v="0"/>
    <n v="0"/>
    <n v="0"/>
    <n v="0"/>
    <n v="0"/>
    <n v="0"/>
    <n v="0"/>
    <n v="0"/>
    <n v="0"/>
    <n v="0"/>
    <m/>
    <m/>
    <s v="Rest of Borough"/>
    <n v="15"/>
    <m/>
    <n v="0.25"/>
    <n v="0.25"/>
    <n v="0.25"/>
    <n v="0.25"/>
    <m/>
    <m/>
    <m/>
    <m/>
    <m/>
    <m/>
    <m/>
    <m/>
    <m/>
    <m/>
    <m/>
    <m/>
    <m/>
    <m/>
    <m/>
    <n v="1"/>
    <n v="1"/>
  </r>
  <r>
    <n v="7396"/>
    <x v="1"/>
    <s v="2020/1999"/>
    <s v="161 Battersea High Street"/>
    <s v=""/>
    <n v="527053"/>
    <n v="176220"/>
    <s v="St Mary's"/>
    <m/>
    <m/>
    <n v="0"/>
    <n v="1"/>
    <n v="1"/>
    <n v="1"/>
    <n v="1"/>
    <m/>
    <s v="Alterations including extension to main rear roof to create additional storey of accommodation to provide a 1 x 1-bedroom flat."/>
    <s v="PF"/>
    <d v="2020-06-08T00:00:00"/>
    <d v="2020-07-30T00:00:00"/>
    <m/>
    <s v="Nil"/>
    <m/>
    <s v="BF"/>
    <s v="EXT"/>
    <x v="2"/>
    <x v="2"/>
    <n v="5.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4705"/>
    <x v="1"/>
    <s v="2022/3830"/>
    <s v="165 Battersea Rise"/>
    <s v=""/>
    <n v="527104"/>
    <n v="174977"/>
    <s v="Lavender"/>
    <m/>
    <m/>
    <n v="0"/>
    <n v="1"/>
    <n v="1"/>
    <n v="1"/>
    <n v="1"/>
    <m/>
    <s v="Determination as to whether prior approval is required for change of use from office (Class E) at ground floor level from (Class B) to residential (Class C3) to provide a studio flat (Class C3)."/>
    <s v="PAG"/>
    <d v="2022-09-13T00:00:00"/>
    <d v="2022-11-04T00:00:00"/>
    <s v="Y"/>
    <s v="Nil"/>
    <m/>
    <s v="BF"/>
    <s v="COU"/>
    <x v="2"/>
    <x v="6"/>
    <n v="4.3E-3"/>
    <m/>
    <x v="0"/>
    <m/>
    <s v="Open Market"/>
    <s v="M"/>
    <s v=""/>
    <m/>
    <n v="0"/>
    <m/>
    <n v="0"/>
    <m/>
    <n v="1"/>
    <n v="0"/>
    <n v="0"/>
    <n v="0"/>
    <n v="0"/>
    <n v="0"/>
    <n v="0"/>
    <n v="1"/>
    <n v="0"/>
    <n v="0"/>
    <n v="0"/>
    <n v="0"/>
    <n v="0"/>
    <n v="0"/>
    <n v="0"/>
    <n v="0"/>
    <n v="0"/>
    <n v="0"/>
    <n v="0"/>
    <n v="0"/>
    <n v="0"/>
    <n v="0"/>
    <n v="0"/>
    <n v="0"/>
    <n v="0"/>
    <n v="0"/>
    <n v="0"/>
    <n v="0"/>
    <m/>
    <m/>
    <s v="Rest of Borough"/>
    <n v="15"/>
    <m/>
    <n v="0.25"/>
    <n v="0.25"/>
    <n v="0.25"/>
    <n v="0.25"/>
    <m/>
    <m/>
    <m/>
    <m/>
    <m/>
    <m/>
    <m/>
    <m/>
    <m/>
    <m/>
    <m/>
    <m/>
    <m/>
    <m/>
    <m/>
    <n v="1"/>
    <n v="1"/>
  </r>
  <r>
    <n v="7168"/>
    <x v="1"/>
    <s v="2019/2107"/>
    <s v="The Marmalade Caterpillar Nursery School, 14a Boundaries Road"/>
    <s v=""/>
    <n v="528231"/>
    <n v="173208"/>
    <s v="Trinity"/>
    <m/>
    <m/>
    <n v="0"/>
    <n v="4"/>
    <n v="4"/>
    <n v="4"/>
    <n v="4"/>
    <m/>
    <s v="Alterations including the demolition of the existing building and the erection of a three storey building and excavation to create basement in connection with change of use from nursery school (Class D1) to residential (Class C3) to create 2 x 1-bedroom and 2 x 2-bedroom flats with associated cycle and refuse storage and boundary treatment."/>
    <s v="PF"/>
    <d v="2019-05-14T00:00:00"/>
    <d v="2020-09-22T00:00:00"/>
    <m/>
    <s v="Nil"/>
    <m/>
    <s v="BF"/>
    <s v="NB"/>
    <x v="2"/>
    <x v="1"/>
    <n v="1.6E-2"/>
    <m/>
    <x v="0"/>
    <m/>
    <s v="Open Market"/>
    <s v="M"/>
    <s v=""/>
    <m/>
    <n v="0"/>
    <m/>
    <n v="0"/>
    <m/>
    <n v="0"/>
    <n v="2"/>
    <n v="2"/>
    <n v="0"/>
    <n v="0"/>
    <n v="0"/>
    <n v="0"/>
    <n v="0"/>
    <n v="2"/>
    <n v="2"/>
    <n v="0"/>
    <n v="0"/>
    <n v="0"/>
    <n v="0"/>
    <n v="0"/>
    <n v="0"/>
    <n v="0"/>
    <n v="0"/>
    <n v="0"/>
    <n v="0"/>
    <n v="0"/>
    <n v="0"/>
    <n v="0"/>
    <n v="0"/>
    <n v="0"/>
    <n v="0"/>
    <n v="0"/>
    <n v="0"/>
    <m/>
    <m/>
    <s v="Rest of Borough"/>
    <n v="7"/>
    <m/>
    <m/>
    <n v="1"/>
    <n v="1"/>
    <n v="1"/>
    <n v="1"/>
    <m/>
    <m/>
    <m/>
    <m/>
    <m/>
    <m/>
    <m/>
    <m/>
    <m/>
    <m/>
    <m/>
    <m/>
    <m/>
    <m/>
    <n v="4"/>
    <n v="4"/>
  </r>
  <r>
    <n v="7471"/>
    <x v="1"/>
    <s v="2020/3193"/>
    <s v="175 Tooting High Street"/>
    <s v=""/>
    <n v="527285"/>
    <n v="171122"/>
    <s v="Tooting Broadway"/>
    <m/>
    <m/>
    <n v="0"/>
    <n v="1"/>
    <n v="1"/>
    <n v="1"/>
    <n v="1"/>
    <m/>
    <s v="Alterations including erection of a single storey rear/side extension and change of use of part of the shop (Class A1) into a studio flat (Class C3), with associated refuse and cycle storage to rear."/>
    <s v="PF"/>
    <d v="2020-09-11T00:00:00"/>
    <d v="2020-11-06T00:00:00"/>
    <m/>
    <s v="Nil"/>
    <m/>
    <s v="BF"/>
    <s v="COU"/>
    <x v="2"/>
    <x v="4"/>
    <n v="4.0000000000000001E-3"/>
    <m/>
    <x v="0"/>
    <m/>
    <s v="Open Market"/>
    <s v="M"/>
    <s v=""/>
    <m/>
    <n v="0"/>
    <m/>
    <n v="0"/>
    <m/>
    <n v="1"/>
    <n v="0"/>
    <n v="0"/>
    <n v="0"/>
    <n v="0"/>
    <n v="0"/>
    <n v="0"/>
    <n v="1"/>
    <n v="0"/>
    <n v="0"/>
    <n v="0"/>
    <n v="0"/>
    <n v="0"/>
    <n v="0"/>
    <n v="0"/>
    <n v="0"/>
    <n v="0"/>
    <n v="0"/>
    <n v="0"/>
    <n v="0"/>
    <n v="0"/>
    <n v="0"/>
    <n v="0"/>
    <n v="0"/>
    <n v="0"/>
    <n v="0"/>
    <n v="0"/>
    <n v="0"/>
    <m/>
    <m/>
    <s v="Tooting"/>
    <n v="15"/>
    <m/>
    <n v="0.25"/>
    <n v="0.25"/>
    <n v="0.25"/>
    <n v="0.25"/>
    <m/>
    <m/>
    <m/>
    <m/>
    <m/>
    <m/>
    <m/>
    <m/>
    <m/>
    <m/>
    <m/>
    <m/>
    <m/>
    <m/>
    <m/>
    <n v="1"/>
    <n v="1"/>
  </r>
  <r>
    <n v="7128"/>
    <x v="1"/>
    <s v="2020/1233"/>
    <s v="336-338 Balham High Road"/>
    <s v=""/>
    <n v="528017"/>
    <n v="172376"/>
    <s v="Trinity"/>
    <m/>
    <m/>
    <n v="1"/>
    <n v="4"/>
    <n v="3"/>
    <n v="4"/>
    <n v="3"/>
    <m/>
    <s v="Demolition of existing buildings and erection of 4-storey building to provide commercial unit for flexible use (Classes A1, A2, A3 and D1) on ground floor four 2-bedroom flats (Class C3) above and associated waste and cycle storage."/>
    <s v="PF"/>
    <d v="2020-04-02T00:00:00"/>
    <d v="2020-07-22T00:00:00"/>
    <m/>
    <s v="Nil"/>
    <m/>
    <s v="BF"/>
    <s v="NB"/>
    <x v="2"/>
    <x v="1"/>
    <n v="1.4999999999999999E-2"/>
    <m/>
    <x v="0"/>
    <m/>
    <s v="Open Market"/>
    <s v="M"/>
    <s v=""/>
    <m/>
    <n v="0"/>
    <m/>
    <n v="0"/>
    <m/>
    <n v="0"/>
    <n v="0"/>
    <n v="4"/>
    <n v="-1"/>
    <n v="0"/>
    <n v="0"/>
    <n v="0"/>
    <n v="0"/>
    <n v="0"/>
    <n v="4"/>
    <n v="-1"/>
    <n v="0"/>
    <n v="0"/>
    <n v="0"/>
    <n v="0"/>
    <n v="0"/>
    <n v="0"/>
    <n v="0"/>
    <n v="0"/>
    <n v="0"/>
    <n v="0"/>
    <n v="0"/>
    <n v="0"/>
    <n v="0"/>
    <n v="0"/>
    <n v="0"/>
    <n v="0"/>
    <n v="0"/>
    <m/>
    <m/>
    <s v="Rest of Borough"/>
    <n v="7"/>
    <m/>
    <m/>
    <n v="0.75"/>
    <n v="0.75"/>
    <n v="0.75"/>
    <n v="0.75"/>
    <m/>
    <m/>
    <m/>
    <m/>
    <m/>
    <m/>
    <m/>
    <m/>
    <m/>
    <m/>
    <m/>
    <m/>
    <m/>
    <m/>
    <n v="3"/>
    <n v="3"/>
  </r>
  <r>
    <n v="7863"/>
    <x v="1"/>
    <s v="2022/2530"/>
    <s v="178 Mitcham Road"/>
    <s v=""/>
    <n v="527882"/>
    <n v="170985"/>
    <s v="Tooting Broadway"/>
    <m/>
    <m/>
    <n v="2"/>
    <n v="3"/>
    <n v="1"/>
    <n v="4"/>
    <n v="2"/>
    <m/>
    <s v="Alterations including erection of roof extensions to the main rear roof and above the back addition and erection of part single, part three-storey side and rear extension with first floor terrace in connection with partial change of use from restaurant (Class E) to residential (Class C3) to provide 2 x 1-bedroom and 2 x 2-bedroom flats with the retention of commercial space (Class E) at front ground floor, and associated refuse and cycle storage."/>
    <s v="PF"/>
    <d v="2022-06-16T00:00:00"/>
    <d v="2022-10-13T00:00:00"/>
    <s v="Y"/>
    <s v="Nil"/>
    <m/>
    <s v="BF"/>
    <s v="MIX"/>
    <x v="2"/>
    <x v="7"/>
    <n v="9.8300000000000002E-3"/>
    <m/>
    <x v="0"/>
    <m/>
    <s v="Open Market"/>
    <s v="MR"/>
    <s v=""/>
    <m/>
    <n v="0"/>
    <m/>
    <n v="0"/>
    <m/>
    <n v="-1"/>
    <n v="1"/>
    <n v="2"/>
    <n v="0"/>
    <n v="-1"/>
    <n v="0"/>
    <n v="0"/>
    <n v="-1"/>
    <n v="1"/>
    <n v="2"/>
    <n v="0"/>
    <n v="-1"/>
    <n v="0"/>
    <n v="0"/>
    <n v="0"/>
    <n v="0"/>
    <n v="0"/>
    <n v="0"/>
    <n v="0"/>
    <n v="0"/>
    <n v="0"/>
    <n v="0"/>
    <n v="0"/>
    <n v="0"/>
    <n v="0"/>
    <n v="0"/>
    <n v="0"/>
    <n v="0"/>
    <m/>
    <m/>
    <s v="Tooting"/>
    <n v="15"/>
    <m/>
    <n v="0.25"/>
    <n v="0.25"/>
    <n v="0.25"/>
    <n v="0.25"/>
    <m/>
    <m/>
    <m/>
    <m/>
    <m/>
    <m/>
    <m/>
    <m/>
    <m/>
    <m/>
    <m/>
    <m/>
    <m/>
    <m/>
    <m/>
    <n v="1"/>
    <n v="1"/>
  </r>
  <r>
    <n v="4043"/>
    <x v="1"/>
    <s v="2020/0599"/>
    <s v="184 Northcote Road"/>
    <s v=""/>
    <n v="527663"/>
    <n v="174334"/>
    <s v="Northcote"/>
    <m/>
    <m/>
    <n v="0"/>
    <n v="1"/>
    <n v="1"/>
    <n v="1"/>
    <n v="1"/>
    <m/>
    <s v="Determination as to whether prior approval is required for change of use of rear part of ground and first floors from retail (Class A1) to 1 x 2-bedroom flat (Class C3), with associated external alterations including installation of windows."/>
    <s v="PANR"/>
    <d v="2020-02-26T00:00:00"/>
    <d v="2020-04-09T00:00:00"/>
    <m/>
    <s v="Nil"/>
    <m/>
    <s v="BF"/>
    <s v="COU"/>
    <x v="2"/>
    <x v="4"/>
    <n v="4.0000000000000001E-3"/>
    <m/>
    <x v="0"/>
    <m/>
    <s v="Open Market"/>
    <s v="M"/>
    <s v=""/>
    <m/>
    <n v="0"/>
    <m/>
    <n v="0"/>
    <m/>
    <n v="0"/>
    <n v="0"/>
    <n v="1"/>
    <n v="0"/>
    <n v="0"/>
    <n v="0"/>
    <n v="0"/>
    <n v="0"/>
    <n v="0"/>
    <n v="1"/>
    <n v="0"/>
    <n v="0"/>
    <n v="0"/>
    <n v="0"/>
    <n v="0"/>
    <n v="0"/>
    <n v="0"/>
    <n v="0"/>
    <n v="0"/>
    <n v="0"/>
    <n v="0"/>
    <n v="0"/>
    <n v="0"/>
    <n v="0"/>
    <n v="0"/>
    <n v="0"/>
    <n v="0"/>
    <n v="0"/>
    <m/>
    <m/>
    <s v="Rest of Borough"/>
    <n v="15"/>
    <m/>
    <n v="0.25"/>
    <n v="0.25"/>
    <n v="0.25"/>
    <n v="0.25"/>
    <m/>
    <m/>
    <m/>
    <m/>
    <m/>
    <m/>
    <m/>
    <m/>
    <m/>
    <m/>
    <m/>
    <m/>
    <m/>
    <m/>
    <m/>
    <n v="1"/>
    <n v="1"/>
  </r>
  <r>
    <n v="7674"/>
    <x v="1"/>
    <s v="2021/2811"/>
    <s v="Land and Garages North of 1-21, Gay Street"/>
    <s v=""/>
    <n v="523951"/>
    <n v="175632"/>
    <s v="Thamesfield"/>
    <m/>
    <m/>
    <n v="0"/>
    <n v="4"/>
    <n v="4"/>
    <n v="4"/>
    <n v="4"/>
    <m/>
    <s v="Demolition of garages and erection of a two storey building accommodating 2 x 1-bed and 2 x 2-bed flats, with associated refuse and cycle storage."/>
    <s v="PF"/>
    <d v="2021-06-24T00:00:00"/>
    <d v="2021-12-20T00:00:00"/>
    <m/>
    <s v="Nil"/>
    <m/>
    <s v="BF"/>
    <s v="NB"/>
    <x v="2"/>
    <x v="1"/>
    <n v="1.2E-2"/>
    <m/>
    <x v="0"/>
    <m/>
    <s v="Open Market"/>
    <s v="M"/>
    <s v=""/>
    <m/>
    <n v="0"/>
    <m/>
    <n v="0"/>
    <m/>
    <n v="0"/>
    <n v="2"/>
    <n v="2"/>
    <n v="0"/>
    <n v="0"/>
    <n v="0"/>
    <n v="0"/>
    <n v="0"/>
    <n v="2"/>
    <n v="2"/>
    <n v="0"/>
    <n v="0"/>
    <n v="0"/>
    <n v="0"/>
    <n v="0"/>
    <n v="0"/>
    <n v="0"/>
    <n v="0"/>
    <n v="0"/>
    <n v="0"/>
    <n v="0"/>
    <n v="0"/>
    <n v="0"/>
    <n v="0"/>
    <n v="0"/>
    <n v="0"/>
    <n v="0"/>
    <n v="0"/>
    <m/>
    <m/>
    <s v="Rest of Borough"/>
    <n v="7"/>
    <m/>
    <m/>
    <n v="1"/>
    <n v="1"/>
    <n v="1"/>
    <n v="1"/>
    <m/>
    <m/>
    <m/>
    <m/>
    <m/>
    <m/>
    <m/>
    <m/>
    <m/>
    <m/>
    <m/>
    <m/>
    <m/>
    <m/>
    <n v="4"/>
    <n v="4"/>
  </r>
  <r>
    <n v="7802"/>
    <x v="1"/>
    <s v="2020/4574"/>
    <s v="199A Wandsworth High Street"/>
    <s v=""/>
    <n v="525309"/>
    <n v="174646"/>
    <s v="Wandsworth Town"/>
    <m/>
    <m/>
    <n v="0"/>
    <n v="1"/>
    <n v="1"/>
    <n v="1"/>
    <n v="1"/>
    <m/>
    <s v="Alterations including erection of front and rear mansard roof extension to provide  1 x 1-bedroom flat (Class C3) at second floor level."/>
    <s v="PF"/>
    <d v="2020-11-27T00:00:00"/>
    <d v="2021-01-22T00:00:00"/>
    <m/>
    <s v="Nil"/>
    <m/>
    <s v="BF"/>
    <s v="EXT"/>
    <x v="2"/>
    <x v="2"/>
    <n v="5.4000000000000003E-3"/>
    <m/>
    <x v="0"/>
    <m/>
    <s v="Open Market"/>
    <s v="M"/>
    <s v=""/>
    <m/>
    <n v="0"/>
    <m/>
    <n v="0"/>
    <m/>
    <n v="0"/>
    <n v="1"/>
    <n v="0"/>
    <n v="0"/>
    <n v="0"/>
    <n v="0"/>
    <n v="0"/>
    <n v="0"/>
    <n v="1"/>
    <n v="0"/>
    <n v="0"/>
    <n v="0"/>
    <n v="0"/>
    <n v="0"/>
    <n v="0"/>
    <n v="0"/>
    <n v="0"/>
    <n v="0"/>
    <n v="0"/>
    <n v="0"/>
    <n v="0"/>
    <n v="0"/>
    <n v="0"/>
    <n v="0"/>
    <n v="0"/>
    <n v="0"/>
    <n v="0"/>
    <n v="0"/>
    <s v="Wandsworth"/>
    <m/>
    <s v="Wandsworth Town, including the Wandle Delta Masterplan Area"/>
    <n v="15"/>
    <m/>
    <n v="0.25"/>
    <n v="0.25"/>
    <n v="0.25"/>
    <n v="0.25"/>
    <m/>
    <m/>
    <m/>
    <m/>
    <m/>
    <m/>
    <m/>
    <m/>
    <m/>
    <m/>
    <m/>
    <m/>
    <m/>
    <m/>
    <m/>
    <n v="1"/>
    <n v="1"/>
  </r>
  <r>
    <n v="6117"/>
    <x v="1"/>
    <s v="2022/0151"/>
    <s v="213 Upper Richmond Road"/>
    <s v=""/>
    <n v="523702"/>
    <n v="175127"/>
    <s v="West Putney"/>
    <m/>
    <m/>
    <n v="0"/>
    <n v="1"/>
    <n v="1"/>
    <n v="1"/>
    <n v="1"/>
    <m/>
    <s v="Alterations to separate the first and ground floor to create studio consisting of part of the ground floor and the full first floor."/>
    <s v="PF"/>
    <d v="2022-03-17T00:00:00"/>
    <d v="2022-05-10T00:00:00"/>
    <s v="Y"/>
    <s v="Nil"/>
    <m/>
    <s v="BF"/>
    <s v="CON"/>
    <x v="2"/>
    <x v="3"/>
    <n v="3.7030000000000001E-3"/>
    <m/>
    <x v="0"/>
    <m/>
    <s v="Open Market"/>
    <s v="M"/>
    <s v=""/>
    <m/>
    <n v="0"/>
    <m/>
    <n v="0"/>
    <m/>
    <n v="1"/>
    <n v="0"/>
    <n v="0"/>
    <n v="0"/>
    <n v="0"/>
    <n v="0"/>
    <n v="0"/>
    <n v="1"/>
    <n v="0"/>
    <n v="0"/>
    <n v="0"/>
    <n v="0"/>
    <n v="0"/>
    <n v="0"/>
    <n v="0"/>
    <n v="0"/>
    <n v="0"/>
    <n v="0"/>
    <n v="0"/>
    <n v="0"/>
    <n v="0"/>
    <n v="0"/>
    <n v="0"/>
    <n v="0"/>
    <n v="0"/>
    <n v="0"/>
    <n v="0"/>
    <n v="0"/>
    <s v="Putney"/>
    <m/>
    <s v="Putney Town Centre"/>
    <n v="15"/>
    <m/>
    <n v="0.25"/>
    <n v="0.25"/>
    <n v="0.25"/>
    <n v="0.25"/>
    <m/>
    <m/>
    <m/>
    <m/>
    <m/>
    <m/>
    <m/>
    <m/>
    <m/>
    <m/>
    <m/>
    <m/>
    <m/>
    <m/>
    <m/>
    <n v="1"/>
    <n v="1"/>
  </r>
  <r>
    <n v="7686"/>
    <x v="1"/>
    <s v="2021/4704"/>
    <s v="Car Park Space East of 59, Arnal Crescent"/>
    <s v=""/>
    <n v="524336"/>
    <n v="173815"/>
    <s v="West Hill"/>
    <m/>
    <m/>
    <n v="0"/>
    <n v="4"/>
    <n v="4"/>
    <n v="4"/>
    <n v="4"/>
    <m/>
    <s v="Redevelopment and erection of 2 x two-storey buildings to provide 2 x 2-bedroom and 2 x 1-bedroom flats with associated refuse and cycle storage."/>
    <s v="PF"/>
    <d v="2021-10-28T00:00:00"/>
    <d v="2022-01-25T00:00:00"/>
    <m/>
    <s v="Nil"/>
    <m/>
    <s v="BF"/>
    <s v="NB"/>
    <x v="2"/>
    <x v="1"/>
    <n v="1.2E-2"/>
    <m/>
    <x v="0"/>
    <m/>
    <s v="Open Market"/>
    <s v="M"/>
    <s v=""/>
    <m/>
    <n v="0"/>
    <m/>
    <n v="0"/>
    <m/>
    <n v="0"/>
    <n v="2"/>
    <n v="2"/>
    <n v="0"/>
    <n v="0"/>
    <n v="0"/>
    <n v="0"/>
    <n v="0"/>
    <n v="2"/>
    <n v="2"/>
    <n v="0"/>
    <n v="0"/>
    <n v="0"/>
    <n v="0"/>
    <n v="0"/>
    <n v="0"/>
    <n v="0"/>
    <n v="0"/>
    <n v="0"/>
    <n v="0"/>
    <n v="0"/>
    <n v="0"/>
    <n v="0"/>
    <n v="0"/>
    <n v="0"/>
    <n v="0"/>
    <n v="0"/>
    <n v="0"/>
    <m/>
    <m/>
    <s v="Rest of Borough"/>
    <n v="7"/>
    <m/>
    <m/>
    <n v="1"/>
    <n v="1"/>
    <n v="1"/>
    <n v="1"/>
    <m/>
    <m/>
    <m/>
    <m/>
    <m/>
    <m/>
    <m/>
    <m/>
    <m/>
    <m/>
    <m/>
    <m/>
    <m/>
    <m/>
    <n v="4"/>
    <n v="4"/>
  </r>
  <r>
    <n v="6885"/>
    <x v="1"/>
    <s v="2021/4482"/>
    <s v="217 Garratt Lane"/>
    <s v=""/>
    <n v="525906"/>
    <n v="173856"/>
    <s v="Wandle"/>
    <m/>
    <m/>
    <n v="0"/>
    <n v="1"/>
    <n v="1"/>
    <n v="1"/>
    <n v="1"/>
    <m/>
    <s v="Determination as to whether prior approval is required for change of use from retail (Class E) to residential (Class C3) to provide 1 x 1- bedroom flat."/>
    <s v="PAG"/>
    <d v="2021-10-14T00:00:00"/>
    <d v="2021-12-01T00:00:00"/>
    <m/>
    <s v="Nil"/>
    <m/>
    <s v="BF"/>
    <s v="CON"/>
    <x v="2"/>
    <x v="4"/>
    <n v="5.8999999999999999E-3"/>
    <m/>
    <x v="0"/>
    <m/>
    <s v="Open Market"/>
    <s v="M"/>
    <s v=""/>
    <m/>
    <n v="0"/>
    <m/>
    <n v="0"/>
    <m/>
    <n v="0"/>
    <n v="1"/>
    <n v="0"/>
    <n v="0"/>
    <n v="0"/>
    <n v="0"/>
    <n v="0"/>
    <n v="0"/>
    <n v="1"/>
    <n v="0"/>
    <n v="0"/>
    <n v="0"/>
    <n v="0"/>
    <n v="0"/>
    <n v="0"/>
    <n v="0"/>
    <n v="0"/>
    <n v="0"/>
    <n v="0"/>
    <n v="0"/>
    <n v="0"/>
    <n v="0"/>
    <n v="0"/>
    <n v="0"/>
    <n v="0"/>
    <n v="0"/>
    <n v="0"/>
    <n v="0"/>
    <m/>
    <m/>
    <s v="The Wandle Valley"/>
    <n v="15"/>
    <m/>
    <n v="0.25"/>
    <n v="0.25"/>
    <n v="0.25"/>
    <n v="0.25"/>
    <m/>
    <m/>
    <m/>
    <m/>
    <m/>
    <m/>
    <m/>
    <m/>
    <m/>
    <m/>
    <m/>
    <m/>
    <m/>
    <m/>
    <m/>
    <n v="1"/>
    <n v="1"/>
  </r>
  <r>
    <n v="6728"/>
    <x v="1"/>
    <s v="2022/4696"/>
    <s v="221 Mitcham Lane"/>
    <s v=""/>
    <n v="529035"/>
    <n v="170671"/>
    <s v="Furzedown"/>
    <d v="2023-01-24T00:00:00"/>
    <m/>
    <n v="1"/>
    <n v="2"/>
    <n v="1"/>
    <n v="2"/>
    <n v="1"/>
    <m/>
    <s v="Alterations include the erection of a dormer roof extension to main rear roof and single-storey rear extension in connection with the conversion of the property into 1 x 3-bedroom and 1 x 4-bedroom flats with associated landscaping, cycle and refuse storage."/>
    <s v="PF"/>
    <d v="2022-11-29T00:00:00"/>
    <d v="2023-01-24T00:00:00"/>
    <s v="Y"/>
    <s v="Nil"/>
    <m/>
    <s v="BF"/>
    <s v="MIX"/>
    <x v="2"/>
    <x v="5"/>
    <n v="6.0000000000000001E-3"/>
    <m/>
    <x v="0"/>
    <m/>
    <s v="Open Market"/>
    <s v="M"/>
    <s v=""/>
    <m/>
    <n v="0"/>
    <m/>
    <n v="0"/>
    <m/>
    <n v="0"/>
    <n v="0"/>
    <n v="0"/>
    <n v="1"/>
    <n v="0"/>
    <n v="0"/>
    <n v="0"/>
    <n v="0"/>
    <n v="0"/>
    <n v="0"/>
    <n v="1"/>
    <n v="1"/>
    <n v="0"/>
    <n v="0"/>
    <n v="0"/>
    <n v="0"/>
    <n v="0"/>
    <n v="0"/>
    <n v="-1"/>
    <n v="0"/>
    <n v="0"/>
    <n v="0"/>
    <n v="0"/>
    <n v="0"/>
    <n v="0"/>
    <n v="0"/>
    <n v="0"/>
    <n v="0"/>
    <m/>
    <m/>
    <s v="Rest of Borough"/>
    <n v="15"/>
    <m/>
    <n v="0.25"/>
    <n v="0.25"/>
    <n v="0.25"/>
    <n v="0.25"/>
    <m/>
    <m/>
    <m/>
    <m/>
    <m/>
    <m/>
    <m/>
    <m/>
    <m/>
    <m/>
    <m/>
    <m/>
    <m/>
    <m/>
    <m/>
    <n v="1"/>
    <n v="1"/>
  </r>
  <r>
    <n v="7417"/>
    <x v="1"/>
    <s v="2022/0729"/>
    <s v="24 Ringford Road"/>
    <s v=""/>
    <n v="524964"/>
    <n v="174475"/>
    <s v="East Putney"/>
    <m/>
    <m/>
    <n v="0"/>
    <n v="1"/>
    <n v="1"/>
    <n v="1"/>
    <n v="1"/>
    <m/>
    <s v="Alterations including erection of roof extension and single storey side extension to garage in connection with use as 1 x 1-bedroom dwelling house with front roof terrace and access from Sedleigh Road."/>
    <s v="PF"/>
    <d v="2022-04-29T00:00:00"/>
    <d v="2022-06-21T00:00:00"/>
    <s v="Y"/>
    <s v="Nil"/>
    <m/>
    <s v="Gdn"/>
    <s v="EXT"/>
    <x v="2"/>
    <x v="2"/>
    <n v="2E-3"/>
    <m/>
    <x v="0"/>
    <m/>
    <s v="Open Market"/>
    <s v="M"/>
    <s v=""/>
    <m/>
    <n v="0"/>
    <m/>
    <n v="0"/>
    <m/>
    <n v="0"/>
    <n v="1"/>
    <n v="0"/>
    <n v="0"/>
    <n v="0"/>
    <n v="0"/>
    <n v="0"/>
    <n v="0"/>
    <n v="0"/>
    <n v="0"/>
    <n v="0"/>
    <n v="0"/>
    <n v="0"/>
    <n v="0"/>
    <n v="0"/>
    <n v="1"/>
    <n v="0"/>
    <n v="0"/>
    <n v="0"/>
    <n v="0"/>
    <n v="0"/>
    <n v="0"/>
    <n v="0"/>
    <n v="0"/>
    <n v="0"/>
    <n v="0"/>
    <n v="0"/>
    <n v="0"/>
    <m/>
    <m/>
    <s v="Rest of Borough"/>
    <n v="15"/>
    <m/>
    <n v="0.25"/>
    <n v="0.25"/>
    <n v="0.25"/>
    <n v="0.25"/>
    <m/>
    <m/>
    <m/>
    <m/>
    <m/>
    <m/>
    <m/>
    <m/>
    <m/>
    <m/>
    <m/>
    <m/>
    <m/>
    <m/>
    <m/>
    <n v="1"/>
    <n v="1"/>
  </r>
  <r>
    <n v="7728"/>
    <x v="1"/>
    <s v="2021/4318"/>
    <s v="24 Yukon Road"/>
    <s v=""/>
    <n v="528904"/>
    <n v="173855"/>
    <s v="Balham"/>
    <m/>
    <m/>
    <n v="4"/>
    <n v="5"/>
    <n v="1"/>
    <n v="5"/>
    <n v="1"/>
    <m/>
    <s v="Alterations including erection of mansard roof extension to main rear roof and extension above part of two-storey back addition; formation of roof terrace above two-storey back addition with 1.7m high screen surround in connection with the conversion into 1 bedroom flat with associated cycle and refuse storage."/>
    <s v="PF"/>
    <d v="2021-09-17T00:00:00"/>
    <d v="2021-11-16T00:00:00"/>
    <m/>
    <s v="Nil"/>
    <m/>
    <s v="BF"/>
    <s v="EXT"/>
    <x v="2"/>
    <x v="2"/>
    <n v="4.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191"/>
    <x v="1"/>
    <s v="2019/2583"/>
    <s v="245a Wimbledon Park Road"/>
    <s v=""/>
    <n v="524767"/>
    <n v="173302"/>
    <s v="Southfields"/>
    <m/>
    <m/>
    <n v="0"/>
    <n v="1"/>
    <n v="1"/>
    <n v="1"/>
    <n v="1"/>
    <m/>
    <s v="Determination as to whether prior approval is required for change of use of lower ground floor from Estate agents(Class A2) to 1 x 1-bedroom flat (Class C3)."/>
    <s v="PANR"/>
    <d v="2019-06-27T00:00:00"/>
    <d v="2019-08-16T00:00:00"/>
    <m/>
    <s v="Nil"/>
    <m/>
    <s v="BF"/>
    <s v="COU"/>
    <x v="2"/>
    <x v="6"/>
    <n v="2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4208"/>
    <x v="1"/>
    <s v="2021/4684"/>
    <s v="25 Keswick Road"/>
    <s v=""/>
    <n v="524367"/>
    <n v="174500"/>
    <s v="East Putney"/>
    <m/>
    <m/>
    <n v="0"/>
    <n v="1"/>
    <n v="1"/>
    <n v="1"/>
    <n v="1"/>
    <m/>
    <s v="Alterations including erection of a rear extension at lower ground floor level in connection with creation of 1 x 1-bed flat."/>
    <s v="PF"/>
    <d v="2021-11-10T00:00:00"/>
    <d v="2022-02-07T00:00:00"/>
    <m/>
    <s v="Nil"/>
    <m/>
    <s v="BF"/>
    <s v="EXT"/>
    <x v="2"/>
    <x v="2"/>
    <n v="0.01"/>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910"/>
    <x v="1"/>
    <s v="2022/4341"/>
    <s v="26 Badminton Road"/>
    <s v=""/>
    <n v="528474"/>
    <n v="174038"/>
    <s v="Balham"/>
    <m/>
    <m/>
    <n v="0"/>
    <n v="1"/>
    <n v="1"/>
    <n v="1"/>
    <n v="1"/>
    <m/>
    <s v="Alterations including erection of mansard roof extension to main rear roof (with French doors and safety railings) including raising ridge 300mm and formation of roof terrace at second floor level with 1.7m high screen surround in connection with the creation of 1 x 1-bedroom flat."/>
    <s v="PF"/>
    <d v="2022-10-25T00:00:00"/>
    <d v="2022-12-19T00:00:00"/>
    <s v="Y"/>
    <s v="Nil"/>
    <m/>
    <s v="BF"/>
    <s v="EXT"/>
    <x v="2"/>
    <x v="2"/>
    <n v="4.3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6981"/>
    <x v="1"/>
    <s v="2018/3140"/>
    <s v="26 Brookwood Road"/>
    <s v=""/>
    <n v="524911"/>
    <n v="173105"/>
    <s v="Southfields"/>
    <m/>
    <m/>
    <n v="0"/>
    <n v="1"/>
    <n v="1"/>
    <n v="1"/>
    <n v="1"/>
    <m/>
    <s v="Change of use from hairdresser (Class A1)  to Residential (Class C3) to provide 1 x1 bedroom flat. Alterations to include installation of windows to front elevation and erection of front boundary wall, railings and gate."/>
    <s v="PF"/>
    <d v="2018-07-04T00:00:00"/>
    <d v="2018-08-28T00:00:00"/>
    <m/>
    <s v="Nil"/>
    <m/>
    <s v="BF"/>
    <s v="MIX"/>
    <x v="2"/>
    <x v="4"/>
    <n v="4.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669"/>
    <x v="1"/>
    <s v="2021/4552"/>
    <s v="269 Putney Bridge Road"/>
    <s v=""/>
    <n v="524351"/>
    <n v="175325"/>
    <s v="Thamesfield"/>
    <m/>
    <m/>
    <n v="2"/>
    <n v="3"/>
    <n v="1"/>
    <n v="3"/>
    <n v="1"/>
    <m/>
    <s v="Alterations including erection of front and rear mansard roof extension to provide an additional floor of accommodation, second floor level rear extension, and formation of rear balconies at first and second floor levels with 1.7m high privacy screens, together with the creation of 1 x 1-bedroom flat."/>
    <s v="PF"/>
    <d v="2021-10-13T00:00:00"/>
    <d v="2022-01-12T00:00:00"/>
    <m/>
    <s v="Nil"/>
    <m/>
    <s v="BF"/>
    <s v="EXT"/>
    <x v="2"/>
    <x v="2"/>
    <n v="3.9332999999999998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305"/>
    <x v="1"/>
    <s v="2022/4799"/>
    <s v="292 Cavendish Road"/>
    <s v=""/>
    <n v="529000"/>
    <n v="173317"/>
    <s v="Balham"/>
    <m/>
    <m/>
    <n v="0"/>
    <n v="1"/>
    <n v="1"/>
    <n v="1"/>
    <n v="1"/>
    <m/>
    <s v="Alterations including erection of single storey rear and side extension in connection with change of use and conversion of restaurant (Class E) to residential (Class C3) to provide 1 x 2-bedroom flat."/>
    <s v="PF"/>
    <d v="2022-11-23T00:00:00"/>
    <d v="2023-02-02T00:00:00"/>
    <s v="Y"/>
    <s v="Nil"/>
    <m/>
    <s v="BF"/>
    <s v="CON"/>
    <x v="2"/>
    <x v="6"/>
    <n v="6.6000000000000003E-2"/>
    <m/>
    <x v="0"/>
    <m/>
    <s v="Open Market"/>
    <s v="M"/>
    <s v=""/>
    <m/>
    <n v="0"/>
    <m/>
    <n v="0"/>
    <m/>
    <n v="0"/>
    <n v="0"/>
    <n v="1"/>
    <n v="0"/>
    <n v="0"/>
    <n v="0"/>
    <n v="0"/>
    <n v="0"/>
    <n v="0"/>
    <n v="1"/>
    <n v="0"/>
    <n v="0"/>
    <n v="0"/>
    <n v="0"/>
    <n v="0"/>
    <n v="0"/>
    <n v="0"/>
    <n v="0"/>
    <n v="0"/>
    <n v="0"/>
    <n v="0"/>
    <n v="0"/>
    <n v="0"/>
    <n v="0"/>
    <n v="0"/>
    <n v="0"/>
    <n v="0"/>
    <n v="0"/>
    <m/>
    <m/>
    <s v="Rest of Borough"/>
    <n v="15"/>
    <m/>
    <n v="0.25"/>
    <n v="0.25"/>
    <n v="0.25"/>
    <n v="0.25"/>
    <m/>
    <m/>
    <m/>
    <m/>
    <m/>
    <m/>
    <m/>
    <m/>
    <m/>
    <m/>
    <m/>
    <m/>
    <m/>
    <m/>
    <m/>
    <n v="1"/>
    <n v="1"/>
  </r>
  <r>
    <n v="1242"/>
    <x v="1"/>
    <s v="2021/2207"/>
    <s v="296 Earlsfield Road"/>
    <s v=""/>
    <n v="526084"/>
    <n v="173269"/>
    <s v="Wandle"/>
    <m/>
    <m/>
    <n v="1"/>
    <n v="2"/>
    <n v="1"/>
    <n v="2"/>
    <n v="1"/>
    <m/>
    <s v="Determination as to whether prior approval is required for change of _x000a_use from retail (Class A1) to 1 x 1-bedroom flat (Class C3)."/>
    <s v="PAG"/>
    <d v="2021-07-05T00:00:00"/>
    <d v="2021-08-23T00:00:00"/>
    <m/>
    <s v="Nil"/>
    <m/>
    <s v="BF"/>
    <s v="MIX"/>
    <x v="2"/>
    <x v="4"/>
    <n v="9.8665999999999997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6971"/>
    <x v="1"/>
    <s v="2018/2649"/>
    <s v="2a Balham Grove"/>
    <s v=""/>
    <n v="528580"/>
    <n v="173481"/>
    <s v="Balham"/>
    <m/>
    <m/>
    <n v="0"/>
    <n v="1"/>
    <n v="1"/>
    <n v="1"/>
    <n v="1"/>
    <m/>
    <s v="Alterations including erection of extension at second floor level in association with creation of 1 x studio flat."/>
    <s v="PF"/>
    <d v="2018-06-05T00:00:00"/>
    <d v="2018-07-26T00:00:00"/>
    <m/>
    <s v="Nil"/>
    <m/>
    <s v="BF"/>
    <s v="EXT"/>
    <x v="2"/>
    <x v="2"/>
    <n v="4.0000000000000001E-3"/>
    <m/>
    <x v="0"/>
    <m/>
    <s v="Open Market"/>
    <s v="M"/>
    <s v=""/>
    <m/>
    <n v="0"/>
    <m/>
    <n v="0"/>
    <m/>
    <n v="1"/>
    <n v="0"/>
    <n v="0"/>
    <n v="0"/>
    <n v="0"/>
    <n v="0"/>
    <n v="0"/>
    <n v="1"/>
    <n v="0"/>
    <n v="0"/>
    <n v="0"/>
    <n v="0"/>
    <n v="0"/>
    <n v="0"/>
    <n v="0"/>
    <n v="0"/>
    <n v="0"/>
    <n v="0"/>
    <n v="0"/>
    <n v="0"/>
    <n v="0"/>
    <n v="0"/>
    <n v="0"/>
    <n v="0"/>
    <n v="0"/>
    <n v="0"/>
    <n v="0"/>
    <n v="0"/>
    <s v="Balham"/>
    <m/>
    <s v="Balham"/>
    <n v="15"/>
    <m/>
    <n v="0.25"/>
    <n v="0.25"/>
    <n v="0.25"/>
    <n v="0.25"/>
    <m/>
    <m/>
    <m/>
    <m/>
    <m/>
    <m/>
    <m/>
    <m/>
    <m/>
    <m/>
    <m/>
    <m/>
    <m/>
    <m/>
    <m/>
    <n v="1"/>
    <n v="1"/>
  </r>
  <r>
    <n v="7729"/>
    <x v="1"/>
    <s v="2022/1385"/>
    <s v="31 Bellevue Road"/>
    <s v=""/>
    <n v="527446"/>
    <n v="173267"/>
    <s v="Trinity"/>
    <m/>
    <m/>
    <n v="0"/>
    <n v="1"/>
    <n v="1"/>
    <n v="1"/>
    <n v="1"/>
    <m/>
    <s v="Alterations including erection of single storey rear extension in connection with creation of 2-bedroom flat to basement and ground floor rear of no 32 and change of use from commercial studio (Class E) to residential (Class C3) to provide access, bin and cycle storage at rear of no 31 Bellevue Road."/>
    <s v="PF"/>
    <d v="2022-04-13T00:00:00"/>
    <d v="2022-06-08T00:00:00"/>
    <s v="Y"/>
    <s v="Nil"/>
    <m/>
    <s v="BF"/>
    <s v="MIX"/>
    <x v="2"/>
    <x v="4"/>
    <n v="8.0000000000000002E-3"/>
    <m/>
    <x v="0"/>
    <m/>
    <s v="Open Market"/>
    <s v="M"/>
    <s v=""/>
    <m/>
    <n v="0"/>
    <m/>
    <n v="0"/>
    <m/>
    <n v="0"/>
    <n v="0"/>
    <n v="1"/>
    <n v="0"/>
    <n v="0"/>
    <n v="0"/>
    <n v="0"/>
    <n v="0"/>
    <n v="0"/>
    <n v="1"/>
    <n v="0"/>
    <n v="0"/>
    <n v="0"/>
    <n v="0"/>
    <n v="0"/>
    <n v="0"/>
    <n v="0"/>
    <n v="0"/>
    <n v="0"/>
    <n v="0"/>
    <n v="0"/>
    <n v="0"/>
    <n v="0"/>
    <n v="0"/>
    <n v="0"/>
    <n v="0"/>
    <n v="0"/>
    <n v="0"/>
    <m/>
    <m/>
    <s v="Rest of Borough"/>
    <n v="15"/>
    <m/>
    <n v="0.25"/>
    <n v="0.25"/>
    <n v="0.25"/>
    <n v="0.25"/>
    <m/>
    <m/>
    <m/>
    <m/>
    <m/>
    <m/>
    <m/>
    <m/>
    <m/>
    <m/>
    <m/>
    <m/>
    <m/>
    <m/>
    <m/>
    <n v="1"/>
    <n v="1"/>
  </r>
  <r>
    <n v="4386"/>
    <x v="1"/>
    <s v="2020/2048"/>
    <s v="317 Battersea Park Road"/>
    <s v=""/>
    <n v="528177"/>
    <n v="176638"/>
    <s v="Battersea Park"/>
    <m/>
    <m/>
    <n v="0"/>
    <n v="1"/>
    <n v="1"/>
    <n v="1"/>
    <n v="1"/>
    <m/>
    <s v="Alterations including erection of roof extension to create an additional floor of accomodation in connection with creation of 1 x 1-bed flat."/>
    <s v="PF"/>
    <d v="2020-06-10T00:00:00"/>
    <d v="2020-09-28T00:00:00"/>
    <m/>
    <s v="Nil"/>
    <m/>
    <s v="BF"/>
    <s v="EXT"/>
    <x v="2"/>
    <x v="2"/>
    <n v="3.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266"/>
    <x v="1"/>
    <s v="2019/3870"/>
    <s v="32 Latchmere Road"/>
    <s v=""/>
    <n v="527567"/>
    <n v="176185"/>
    <s v="Shaftesbury &amp; Queenstown"/>
    <m/>
    <m/>
    <n v="1"/>
    <n v="2"/>
    <n v="1"/>
    <n v="3"/>
    <n v="2"/>
    <m/>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m/>
    <s v="Nil"/>
    <m/>
    <s v="BF"/>
    <s v="MIX"/>
    <x v="2"/>
    <x v="5"/>
    <n v="1.4E-2"/>
    <m/>
    <x v="0"/>
    <m/>
    <s v="Open Market"/>
    <s v="M"/>
    <s v=""/>
    <m/>
    <n v="0"/>
    <m/>
    <n v="0"/>
    <m/>
    <n v="0"/>
    <n v="0"/>
    <n v="1"/>
    <n v="0"/>
    <n v="0"/>
    <n v="0"/>
    <n v="0"/>
    <n v="0"/>
    <n v="0"/>
    <n v="1"/>
    <n v="1"/>
    <n v="0"/>
    <n v="0"/>
    <n v="0"/>
    <n v="0"/>
    <n v="0"/>
    <n v="0"/>
    <n v="-1"/>
    <n v="0"/>
    <n v="0"/>
    <n v="0"/>
    <n v="0"/>
    <n v="0"/>
    <n v="0"/>
    <n v="0"/>
    <n v="0"/>
    <n v="0"/>
    <n v="0"/>
    <m/>
    <m/>
    <s v="Rest of Borough"/>
    <n v="15"/>
    <m/>
    <n v="0.25"/>
    <n v="0.25"/>
    <n v="0.25"/>
    <n v="0.25"/>
    <m/>
    <m/>
    <m/>
    <m/>
    <m/>
    <m/>
    <m/>
    <m/>
    <m/>
    <m/>
    <m/>
    <m/>
    <m/>
    <m/>
    <m/>
    <n v="1"/>
    <n v="1"/>
  </r>
  <r>
    <n v="7266"/>
    <x v="1"/>
    <s v="2019/3870"/>
    <s v="32 Latchmere Road"/>
    <s v=""/>
    <n v="527567"/>
    <n v="176185"/>
    <s v="Shaftesbury &amp; Queenstown"/>
    <m/>
    <m/>
    <n v="0"/>
    <n v="1"/>
    <n v="1"/>
    <n v="3"/>
    <n v="2"/>
    <m/>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m/>
    <s v="Nil"/>
    <m/>
    <s v="BF"/>
    <s v="MIX"/>
    <x v="2"/>
    <x v="2"/>
    <n v="8.0000000000000002E-3"/>
    <m/>
    <x v="0"/>
    <m/>
    <s v="Open Market"/>
    <s v="M"/>
    <s v=""/>
    <m/>
    <n v="0"/>
    <m/>
    <n v="0"/>
    <m/>
    <n v="0"/>
    <n v="0"/>
    <n v="0"/>
    <n v="1"/>
    <n v="0"/>
    <n v="0"/>
    <n v="0"/>
    <n v="0"/>
    <n v="0"/>
    <n v="0"/>
    <n v="1"/>
    <n v="0"/>
    <n v="0"/>
    <n v="0"/>
    <n v="0"/>
    <n v="0"/>
    <n v="0"/>
    <n v="0"/>
    <n v="0"/>
    <n v="0"/>
    <n v="0"/>
    <n v="0"/>
    <n v="0"/>
    <n v="0"/>
    <n v="0"/>
    <n v="0"/>
    <n v="0"/>
    <n v="0"/>
    <m/>
    <m/>
    <s v="Rest of Borough"/>
    <n v="15"/>
    <m/>
    <n v="0.25"/>
    <n v="0.25"/>
    <n v="0.25"/>
    <n v="0.25"/>
    <m/>
    <m/>
    <m/>
    <m/>
    <m/>
    <m/>
    <m/>
    <m/>
    <m/>
    <m/>
    <m/>
    <m/>
    <m/>
    <m/>
    <m/>
    <n v="1"/>
    <n v="1"/>
  </r>
  <r>
    <n v="6634"/>
    <x v="1"/>
    <s v="2020/3029"/>
    <s v="321 Merton Road"/>
    <s v=""/>
    <n v="525319"/>
    <n v="173419"/>
    <s v="Southfields"/>
    <m/>
    <m/>
    <n v="1"/>
    <n v="2"/>
    <n v="1"/>
    <n v="2"/>
    <n v="1"/>
    <m/>
    <s v="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
    <s v="PF"/>
    <d v="2020-10-13T00:00:00"/>
    <d v="2020-10-14T00:00:00"/>
    <m/>
    <s v="Nil"/>
    <m/>
    <s v="BF"/>
    <s v="CON"/>
    <x v="2"/>
    <x v="7"/>
    <n v="8.0000000000000002E-3"/>
    <m/>
    <x v="0"/>
    <m/>
    <s v="Open Market"/>
    <s v="M"/>
    <s v=""/>
    <m/>
    <n v="0"/>
    <m/>
    <n v="0"/>
    <m/>
    <n v="1"/>
    <n v="1"/>
    <n v="-1"/>
    <n v="0"/>
    <n v="0"/>
    <n v="0"/>
    <n v="0"/>
    <n v="1"/>
    <n v="1"/>
    <n v="-1"/>
    <n v="0"/>
    <n v="0"/>
    <n v="0"/>
    <n v="0"/>
    <n v="0"/>
    <n v="0"/>
    <n v="0"/>
    <n v="0"/>
    <n v="0"/>
    <n v="0"/>
    <n v="0"/>
    <n v="0"/>
    <n v="0"/>
    <n v="0"/>
    <n v="0"/>
    <n v="0"/>
    <n v="0"/>
    <n v="0"/>
    <m/>
    <m/>
    <s v="The Wandle Valley"/>
    <n v="15"/>
    <m/>
    <n v="0.25"/>
    <n v="0.25"/>
    <n v="0.25"/>
    <n v="0.25"/>
    <m/>
    <m/>
    <m/>
    <m/>
    <m/>
    <m/>
    <m/>
    <m/>
    <m/>
    <m/>
    <m/>
    <m/>
    <m/>
    <m/>
    <m/>
    <n v="1"/>
    <n v="1"/>
  </r>
  <r>
    <n v="7840"/>
    <x v="1"/>
    <s v="2022/1763"/>
    <s v="346 Upper Richmond Road"/>
    <s v=""/>
    <n v="523441"/>
    <n v="175272"/>
    <s v="West Putney"/>
    <m/>
    <m/>
    <n v="0"/>
    <n v="1"/>
    <n v="1"/>
    <n v="1"/>
    <n v="1"/>
    <m/>
    <s v="Alterations including change of use from HMO (9 bedsits) (Sui Generis)  into single dwelling.(Class C3)."/>
    <s v="PFLA"/>
    <d v="2022-06-28T00:00:00"/>
    <d v="2022-12-21T00:00:00"/>
    <s v="Y"/>
    <s v="Nil"/>
    <m/>
    <s v="BF"/>
    <s v="CON"/>
    <x v="2"/>
    <x v="8"/>
    <n v="1.17E-2"/>
    <m/>
    <x v="0"/>
    <m/>
    <s v="Open Market"/>
    <s v="M"/>
    <s v=""/>
    <m/>
    <n v="0"/>
    <m/>
    <n v="0"/>
    <m/>
    <n v="0"/>
    <n v="0"/>
    <n v="0"/>
    <n v="0"/>
    <n v="0"/>
    <n v="1"/>
    <n v="0"/>
    <n v="0"/>
    <n v="0"/>
    <n v="0"/>
    <n v="0"/>
    <n v="0"/>
    <n v="0"/>
    <n v="0"/>
    <n v="0"/>
    <n v="0"/>
    <n v="0"/>
    <n v="0"/>
    <n v="0"/>
    <n v="1"/>
    <n v="0"/>
    <n v="0"/>
    <n v="0"/>
    <n v="0"/>
    <n v="0"/>
    <n v="0"/>
    <n v="0"/>
    <n v="0"/>
    <m/>
    <m/>
    <s v="Rest of Borough"/>
    <n v="15"/>
    <m/>
    <n v="0.25"/>
    <n v="0.25"/>
    <n v="0.25"/>
    <n v="0.25"/>
    <m/>
    <m/>
    <m/>
    <m/>
    <m/>
    <m/>
    <m/>
    <m/>
    <m/>
    <m/>
    <m/>
    <m/>
    <m/>
    <m/>
    <m/>
    <n v="1"/>
    <n v="1"/>
  </r>
  <r>
    <n v="7149"/>
    <x v="1"/>
    <s v="2018/3089"/>
    <s v="Garages east of, 147 Whitlock Drive"/>
    <s v=""/>
    <n v="524351"/>
    <n v="173350"/>
    <s v="West Hill"/>
    <m/>
    <m/>
    <n v="0"/>
    <n v="3"/>
    <n v="3"/>
    <n v="3"/>
    <n v="3"/>
    <m/>
    <s v="Erection of 3 x  2-bedroom houses to a shell and core stage as part of a pilot known as the Resident Custom Housebuilding Scheme"/>
    <s v="PF"/>
    <d v="2018-07-03T00:00:00"/>
    <d v="2018-09-18T00:00:00"/>
    <m/>
    <s v="Nil"/>
    <m/>
    <s v="BF"/>
    <s v="NB"/>
    <x v="2"/>
    <x v="1"/>
    <n v="2.5000000000000001E-2"/>
    <m/>
    <x v="0"/>
    <m/>
    <s v="Open Market"/>
    <s v="M"/>
    <s v=""/>
    <m/>
    <n v="0"/>
    <m/>
    <n v="0"/>
    <m/>
    <n v="0"/>
    <n v="0"/>
    <n v="3"/>
    <n v="0"/>
    <n v="0"/>
    <n v="0"/>
    <n v="0"/>
    <n v="0"/>
    <n v="0"/>
    <n v="0"/>
    <n v="0"/>
    <n v="0"/>
    <n v="0"/>
    <n v="0"/>
    <n v="0"/>
    <n v="0"/>
    <n v="3"/>
    <n v="0"/>
    <n v="0"/>
    <n v="0"/>
    <n v="0"/>
    <n v="0"/>
    <n v="0"/>
    <n v="0"/>
    <n v="0"/>
    <n v="0"/>
    <n v="0"/>
    <n v="0"/>
    <m/>
    <m/>
    <s v="Rest of Borough"/>
    <n v="7"/>
    <m/>
    <m/>
    <n v="0.75"/>
    <n v="0.75"/>
    <n v="0.75"/>
    <n v="0.75"/>
    <m/>
    <m/>
    <m/>
    <m/>
    <m/>
    <m/>
    <m/>
    <m/>
    <m/>
    <m/>
    <m/>
    <m/>
    <m/>
    <m/>
    <n v="3"/>
    <n v="3"/>
  </r>
  <r>
    <n v="6238"/>
    <x v="1"/>
    <s v="2019/1231"/>
    <s v="235a - 237a, 235-237 Wimbledon Park road"/>
    <s v=""/>
    <n v="524777"/>
    <n v="173324"/>
    <s v="Southfields"/>
    <m/>
    <m/>
    <n v="0"/>
    <n v="3"/>
    <n v="3"/>
    <n v="3"/>
    <n v="3"/>
    <m/>
    <s v="Erection of a three storey rear extension in connection with formation of 1 x 1 bedroomed flat and 2 x 2 bedroomed flats with external terraces, and associated cycle and refuse storage."/>
    <s v="PF"/>
    <d v="2019-03-18T00:00:00"/>
    <d v="2020-06-24T00:00:00"/>
    <m/>
    <s v="Nil"/>
    <m/>
    <s v="BF"/>
    <s v="NB"/>
    <x v="2"/>
    <x v="1"/>
    <n v="8.0000000000000002E-3"/>
    <m/>
    <x v="0"/>
    <m/>
    <s v="Open Market"/>
    <s v="M"/>
    <s v=""/>
    <m/>
    <n v="0"/>
    <m/>
    <n v="0"/>
    <m/>
    <n v="0"/>
    <n v="1"/>
    <n v="2"/>
    <n v="0"/>
    <n v="0"/>
    <n v="0"/>
    <n v="0"/>
    <n v="0"/>
    <n v="1"/>
    <n v="2"/>
    <n v="0"/>
    <n v="0"/>
    <n v="0"/>
    <n v="0"/>
    <n v="0"/>
    <n v="0"/>
    <n v="0"/>
    <n v="0"/>
    <n v="0"/>
    <n v="0"/>
    <n v="0"/>
    <n v="0"/>
    <n v="0"/>
    <n v="0"/>
    <n v="0"/>
    <n v="0"/>
    <n v="0"/>
    <n v="0"/>
    <m/>
    <m/>
    <s v="Rest of Borough"/>
    <n v="7"/>
    <m/>
    <m/>
    <n v="0.75"/>
    <n v="0.75"/>
    <n v="0.75"/>
    <n v="0.75"/>
    <m/>
    <m/>
    <m/>
    <m/>
    <m/>
    <m/>
    <m/>
    <m/>
    <m/>
    <m/>
    <m/>
    <m/>
    <m/>
    <m/>
    <n v="3"/>
    <n v="3"/>
  </r>
  <r>
    <n v="7214"/>
    <x v="1"/>
    <s v="2019/3061"/>
    <s v="39 Balham Hill"/>
    <s v=""/>
    <n v="528816"/>
    <n v="174167"/>
    <s v="Balham"/>
    <m/>
    <m/>
    <n v="0"/>
    <n v="1"/>
    <n v="1"/>
    <n v="1"/>
    <n v="1"/>
    <m/>
    <s v="Determination as to whether prior approval is required for part change of use from retail (Class A1) to 1 x studio flat (Class C3)."/>
    <s v="PANR"/>
    <d v="2019-07-18T00:00:00"/>
    <d v="2019-09-10T00:00:00"/>
    <m/>
    <s v="Nil"/>
    <m/>
    <s v="BF"/>
    <s v="COU"/>
    <x v="2"/>
    <x v="4"/>
    <n v="1.1999999999999999E-3"/>
    <m/>
    <x v="0"/>
    <m/>
    <s v="Open Market"/>
    <s v="M"/>
    <s v=""/>
    <m/>
    <n v="0"/>
    <m/>
    <n v="0"/>
    <m/>
    <n v="1"/>
    <n v="0"/>
    <n v="0"/>
    <n v="0"/>
    <n v="0"/>
    <n v="0"/>
    <n v="0"/>
    <n v="1"/>
    <n v="0"/>
    <n v="0"/>
    <n v="0"/>
    <n v="0"/>
    <n v="0"/>
    <n v="0"/>
    <n v="0"/>
    <n v="0"/>
    <n v="0"/>
    <n v="0"/>
    <n v="0"/>
    <n v="0"/>
    <n v="0"/>
    <n v="0"/>
    <n v="0"/>
    <n v="0"/>
    <n v="0"/>
    <n v="0"/>
    <n v="0"/>
    <n v="0"/>
    <m/>
    <m/>
    <s v="Rest of Borough"/>
    <n v="15"/>
    <m/>
    <n v="0.25"/>
    <n v="0.25"/>
    <n v="0.25"/>
    <n v="0.25"/>
    <m/>
    <m/>
    <m/>
    <m/>
    <m/>
    <m/>
    <m/>
    <m/>
    <m/>
    <m/>
    <m/>
    <m/>
    <m/>
    <m/>
    <m/>
    <n v="1"/>
    <n v="1"/>
  </r>
  <r>
    <n v="4643"/>
    <x v="1"/>
    <s v="2018/0366"/>
    <s v="4 Hildreth Street"/>
    <s v=""/>
    <n v="528560"/>
    <n v="173342"/>
    <s v="Balham"/>
    <m/>
    <m/>
    <n v="1"/>
    <n v="2"/>
    <n v="1"/>
    <n v="2"/>
    <n v="1"/>
    <m/>
    <s v="Conversion of upper floor flat into 1 x studio flat on first floor and 1 x 1-bedroom maisonette on 2nd and 3rd floors"/>
    <s v="PF"/>
    <d v="2018-01-24T00:00:00"/>
    <d v="2018-10-08T00:00:00"/>
    <m/>
    <s v="Nil"/>
    <m/>
    <s v="BF"/>
    <s v="CON"/>
    <x v="2"/>
    <x v="7"/>
    <n v="3.0000000000000001E-3"/>
    <m/>
    <x v="0"/>
    <m/>
    <s v="Open Market"/>
    <s v="M"/>
    <s v=""/>
    <m/>
    <n v="0"/>
    <m/>
    <n v="0"/>
    <m/>
    <n v="1"/>
    <n v="1"/>
    <n v="-1"/>
    <n v="0"/>
    <n v="0"/>
    <n v="0"/>
    <n v="0"/>
    <n v="1"/>
    <n v="1"/>
    <n v="-1"/>
    <n v="0"/>
    <n v="0"/>
    <n v="0"/>
    <n v="0"/>
    <n v="0"/>
    <n v="0"/>
    <n v="0"/>
    <n v="0"/>
    <n v="0"/>
    <n v="0"/>
    <n v="0"/>
    <n v="0"/>
    <n v="0"/>
    <n v="0"/>
    <n v="0"/>
    <n v="0"/>
    <n v="0"/>
    <n v="0"/>
    <s v="Balham"/>
    <m/>
    <s v="Balham"/>
    <n v="15"/>
    <m/>
    <n v="0.25"/>
    <n v="0.25"/>
    <n v="0.25"/>
    <n v="0.25"/>
    <m/>
    <m/>
    <m/>
    <m/>
    <m/>
    <m/>
    <m/>
    <m/>
    <m/>
    <m/>
    <m/>
    <m/>
    <m/>
    <m/>
    <m/>
    <n v="1"/>
    <n v="1"/>
  </r>
  <r>
    <n v="7157"/>
    <x v="1"/>
    <s v="2022/2884"/>
    <s v="40 Lavender Hill"/>
    <s v=""/>
    <n v="528409"/>
    <n v="175769"/>
    <s v="Shaftesbury &amp; Queenstown"/>
    <m/>
    <m/>
    <n v="0"/>
    <n v="1"/>
    <n v="1"/>
    <n v="1"/>
    <n v="1"/>
    <m/>
    <s v="Alterations in connection with change of use of hot food takeaway (Class A5) to retail (Class E) and residential (Class C3) to provide 1 x 1-bedroom flat. Extension to basement, installation of glazed pavement lenses, forecourt wall and replacement shopfront."/>
    <s v="PF"/>
    <d v="2022-11-01T00:00:00"/>
    <d v="2022-12-21T00:00:00"/>
    <s v="Y"/>
    <s v="Nil"/>
    <m/>
    <s v="BF"/>
    <s v="MIX"/>
    <x v="2"/>
    <x v="3"/>
    <n v="0.01"/>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501"/>
    <x v="1"/>
    <s v="2020/4875"/>
    <s v="40a Oakmead Road"/>
    <s v=""/>
    <n v="528574"/>
    <n v="173102"/>
    <s v="South Balham"/>
    <m/>
    <m/>
    <n v="0"/>
    <n v="1"/>
    <n v="1"/>
    <n v="1"/>
    <n v="1"/>
    <m/>
    <s v="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
    <s v="PF"/>
    <d v="2020-12-15T00:00:00"/>
    <d v="2021-02-09T00:00:00"/>
    <m/>
    <s v="Nil"/>
    <m/>
    <s v="BF"/>
    <s v="EXT"/>
    <x v="2"/>
    <x v="2"/>
    <n v="2E-3"/>
    <m/>
    <x v="0"/>
    <m/>
    <s v="Open Market"/>
    <s v="M"/>
    <s v=""/>
    <m/>
    <n v="0"/>
    <m/>
    <n v="0"/>
    <m/>
    <n v="0"/>
    <n v="1"/>
    <n v="0"/>
    <n v="0"/>
    <n v="0"/>
    <n v="0"/>
    <n v="0"/>
    <n v="0"/>
    <n v="1"/>
    <n v="0"/>
    <n v="0"/>
    <n v="0"/>
    <n v="0"/>
    <n v="0"/>
    <n v="0"/>
    <n v="0"/>
    <n v="0"/>
    <n v="0"/>
    <n v="0"/>
    <n v="0"/>
    <n v="0"/>
    <n v="0"/>
    <n v="0"/>
    <n v="0"/>
    <n v="0"/>
    <n v="0"/>
    <n v="0"/>
    <n v="0"/>
    <m/>
    <m/>
    <s v="Balham"/>
    <n v="15"/>
    <m/>
    <n v="0.25"/>
    <n v="0.25"/>
    <n v="0.25"/>
    <n v="0.25"/>
    <m/>
    <m/>
    <m/>
    <m/>
    <m/>
    <m/>
    <m/>
    <m/>
    <m/>
    <m/>
    <m/>
    <m/>
    <m/>
    <m/>
    <m/>
    <n v="1"/>
    <n v="1"/>
  </r>
  <r>
    <n v="7766"/>
    <x v="1"/>
    <s v="2022/0494"/>
    <s v="421 Upper Richmond Road"/>
    <s v=""/>
    <n v="522160"/>
    <n v="175461"/>
    <s v="Roehampton"/>
    <m/>
    <m/>
    <n v="0"/>
    <n v="1"/>
    <n v="1"/>
    <n v="1"/>
    <n v="1"/>
    <m/>
    <s v="Use of property as a single dwelling (Class C3)."/>
    <s v="PFLA"/>
    <d v="2022-02-23T00:00:00"/>
    <d v="2022-11-29T00:00:00"/>
    <s v="Y"/>
    <s v="Nil"/>
    <m/>
    <s v="BF"/>
    <s v="CON"/>
    <x v="2"/>
    <x v="8"/>
    <n v="8.0000000000000002E-3"/>
    <m/>
    <x v="0"/>
    <m/>
    <s v="Open Market"/>
    <s v="M"/>
    <s v=""/>
    <m/>
    <n v="0"/>
    <m/>
    <n v="0"/>
    <m/>
    <n v="0"/>
    <n v="0"/>
    <n v="0"/>
    <n v="0"/>
    <n v="0"/>
    <n v="1"/>
    <n v="0"/>
    <n v="0"/>
    <n v="0"/>
    <n v="0"/>
    <n v="0"/>
    <n v="0"/>
    <n v="0"/>
    <n v="0"/>
    <n v="0"/>
    <n v="0"/>
    <n v="0"/>
    <n v="0"/>
    <n v="0"/>
    <n v="1"/>
    <n v="0"/>
    <n v="0"/>
    <n v="0"/>
    <n v="0"/>
    <n v="0"/>
    <n v="0"/>
    <n v="0"/>
    <n v="0"/>
    <m/>
    <m/>
    <s v="Rest of Borough"/>
    <n v="15"/>
    <m/>
    <n v="0.25"/>
    <n v="0.25"/>
    <n v="0.25"/>
    <n v="0.25"/>
    <m/>
    <m/>
    <m/>
    <m/>
    <m/>
    <m/>
    <m/>
    <m/>
    <m/>
    <m/>
    <m/>
    <m/>
    <m/>
    <m/>
    <m/>
    <n v="1"/>
    <n v="1"/>
  </r>
  <r>
    <n v="7765"/>
    <x v="1"/>
    <s v="2022/0480"/>
    <s v="423 Upper Richmond Road"/>
    <s v=""/>
    <n v="522152"/>
    <n v="175463"/>
    <s v="Roehampton"/>
    <m/>
    <m/>
    <n v="0"/>
    <n v="1"/>
    <n v="1"/>
    <n v="1"/>
    <n v="1"/>
    <m/>
    <s v="Use as a single dwelling house (Class C3) including alteratuions to fenestration."/>
    <s v="PFLA"/>
    <d v="2022-02-23T00:00:00"/>
    <d v="2022-11-29T00:00:00"/>
    <s v="Y"/>
    <s v="Nil"/>
    <m/>
    <s v="BF"/>
    <s v="CON"/>
    <x v="2"/>
    <x v="8"/>
    <n v="7.6400000000000001E-3"/>
    <m/>
    <x v="0"/>
    <m/>
    <s v="Open Market"/>
    <s v="M"/>
    <s v=""/>
    <m/>
    <n v="0"/>
    <m/>
    <n v="0"/>
    <m/>
    <n v="0"/>
    <n v="0"/>
    <n v="0"/>
    <n v="0"/>
    <n v="0"/>
    <n v="1"/>
    <n v="0"/>
    <n v="0"/>
    <n v="0"/>
    <n v="0"/>
    <n v="0"/>
    <n v="0"/>
    <n v="0"/>
    <n v="0"/>
    <n v="0"/>
    <n v="0"/>
    <n v="0"/>
    <n v="0"/>
    <n v="0"/>
    <n v="1"/>
    <n v="0"/>
    <n v="0"/>
    <n v="0"/>
    <n v="0"/>
    <n v="0"/>
    <n v="0"/>
    <n v="0"/>
    <n v="0"/>
    <m/>
    <m/>
    <s v="Rest of Borough"/>
    <n v="15"/>
    <m/>
    <n v="0.25"/>
    <n v="0.25"/>
    <n v="0.25"/>
    <n v="0.25"/>
    <m/>
    <m/>
    <m/>
    <m/>
    <m/>
    <m/>
    <m/>
    <m/>
    <m/>
    <m/>
    <m/>
    <m/>
    <m/>
    <m/>
    <m/>
    <n v="1"/>
    <n v="1"/>
  </r>
  <r>
    <n v="2807"/>
    <x v="1"/>
    <s v="2021/1873"/>
    <s v="45 Balham High Road"/>
    <s v=""/>
    <n v="528724"/>
    <n v="173597"/>
    <s v="Balham"/>
    <m/>
    <m/>
    <n v="1"/>
    <n v="2"/>
    <n v="1"/>
    <n v="2"/>
    <n v="1"/>
    <m/>
    <s v="Alterations including erection of part single/part two storey rear extension at first and second floors in connection with creation of 1 x 1-bedroom and 1 x studio flats. Replacement of 2 x first floor side windows."/>
    <s v="PF"/>
    <d v="2021-05-11T00:00:00"/>
    <d v="2021-10-18T00:00:00"/>
    <m/>
    <s v="Nil"/>
    <m/>
    <s v="BF"/>
    <s v="MIX"/>
    <x v="2"/>
    <x v="2"/>
    <n v="2E-3"/>
    <m/>
    <x v="0"/>
    <m/>
    <s v="Open Market"/>
    <s v="M"/>
    <s v=""/>
    <m/>
    <n v="0"/>
    <m/>
    <n v="0"/>
    <m/>
    <n v="1"/>
    <n v="1"/>
    <n v="0"/>
    <n v="-1"/>
    <n v="0"/>
    <n v="0"/>
    <n v="0"/>
    <n v="1"/>
    <n v="1"/>
    <n v="0"/>
    <n v="-1"/>
    <n v="0"/>
    <n v="0"/>
    <n v="0"/>
    <n v="0"/>
    <n v="0"/>
    <n v="0"/>
    <n v="0"/>
    <n v="0"/>
    <n v="0"/>
    <n v="0"/>
    <n v="0"/>
    <n v="0"/>
    <n v="0"/>
    <n v="0"/>
    <n v="0"/>
    <n v="0"/>
    <n v="0"/>
    <s v="Balham"/>
    <m/>
    <s v="Balham"/>
    <n v="15"/>
    <m/>
    <n v="0.25"/>
    <n v="0.25"/>
    <n v="0.25"/>
    <n v="0.25"/>
    <m/>
    <m/>
    <m/>
    <m/>
    <m/>
    <m/>
    <m/>
    <m/>
    <m/>
    <m/>
    <m/>
    <m/>
    <m/>
    <m/>
    <m/>
    <n v="1"/>
    <n v="1"/>
  </r>
  <r>
    <n v="7851"/>
    <x v="1"/>
    <s v="2022/2098"/>
    <s v="50-53 Denton Street"/>
    <s v=""/>
    <n v="525884"/>
    <n v="174406"/>
    <s v="Wandsworth Town"/>
    <m/>
    <m/>
    <n v="0"/>
    <n v="1"/>
    <n v="1"/>
    <n v="1"/>
    <n v="1"/>
    <m/>
    <s v="Erection of mansard roof extension to main rear roof and extension above part of two-storey back addition and formation of roof terrace with 1.8m high screen surround in connection with creation of 1 x 2-bedroom flat. Alterations including raising the ridge by 400mm."/>
    <s v="PF"/>
    <d v="2022-06-22T00:00:00"/>
    <d v="2022-08-09T00:00:00"/>
    <s v="Y"/>
    <s v="Nil"/>
    <m/>
    <s v="BF"/>
    <s v="EXT"/>
    <x v="2"/>
    <x v="2"/>
    <n v="6.2100000000000002E-3"/>
    <m/>
    <x v="0"/>
    <m/>
    <s v="Open Market"/>
    <s v="M"/>
    <s v=""/>
    <m/>
    <n v="0"/>
    <m/>
    <n v="0"/>
    <m/>
    <n v="0"/>
    <n v="0"/>
    <n v="1"/>
    <n v="0"/>
    <n v="0"/>
    <n v="0"/>
    <n v="0"/>
    <n v="0"/>
    <n v="0"/>
    <n v="1"/>
    <n v="0"/>
    <n v="0"/>
    <n v="0"/>
    <n v="0"/>
    <n v="0"/>
    <n v="0"/>
    <n v="0"/>
    <n v="0"/>
    <n v="0"/>
    <n v="0"/>
    <n v="0"/>
    <n v="0"/>
    <n v="0"/>
    <n v="0"/>
    <n v="0"/>
    <n v="0"/>
    <n v="0"/>
    <n v="0"/>
    <m/>
    <m/>
    <s v="Wandsworth Town, including the Wandle Delta Masterplan Area"/>
    <n v="15"/>
    <m/>
    <n v="0.25"/>
    <n v="0.25"/>
    <n v="0.25"/>
    <n v="0.25"/>
    <m/>
    <m/>
    <m/>
    <m/>
    <m/>
    <m/>
    <m/>
    <m/>
    <m/>
    <m/>
    <m/>
    <m/>
    <m/>
    <m/>
    <m/>
    <n v="1"/>
    <n v="1"/>
  </r>
  <r>
    <n v="7483"/>
    <x v="1"/>
    <s v="2020/4072"/>
    <s v="509 Merton Road"/>
    <s v=""/>
    <n v="525448"/>
    <n v="172822"/>
    <s v="Southfields"/>
    <m/>
    <m/>
    <n v="0"/>
    <n v="1"/>
    <n v="1"/>
    <n v="1"/>
    <n v="1"/>
    <m/>
    <s v="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
    <s v="PF"/>
    <d v="2020-10-27T00:00:00"/>
    <d v="2020-12-18T00:00:00"/>
    <m/>
    <s v="Nil"/>
    <m/>
    <s v="BF"/>
    <s v="EXT"/>
    <x v="2"/>
    <x v="2"/>
    <n v="3.0000000000000001E-3"/>
    <m/>
    <x v="0"/>
    <m/>
    <s v="Open Market"/>
    <s v="M"/>
    <s v=""/>
    <m/>
    <n v="0"/>
    <m/>
    <n v="0"/>
    <m/>
    <n v="0"/>
    <n v="1"/>
    <n v="0"/>
    <n v="0"/>
    <n v="0"/>
    <n v="0"/>
    <n v="0"/>
    <n v="0"/>
    <n v="1"/>
    <n v="0"/>
    <n v="0"/>
    <n v="0"/>
    <n v="0"/>
    <n v="0"/>
    <n v="0"/>
    <n v="0"/>
    <n v="0"/>
    <n v="0"/>
    <n v="0"/>
    <n v="0"/>
    <n v="0"/>
    <n v="0"/>
    <n v="0"/>
    <n v="0"/>
    <n v="0"/>
    <n v="0"/>
    <n v="0"/>
    <n v="0"/>
    <m/>
    <m/>
    <s v="The Wandle Valley"/>
    <n v="15"/>
    <m/>
    <n v="0.25"/>
    <n v="0.25"/>
    <n v="0.25"/>
    <n v="0.25"/>
    <m/>
    <m/>
    <m/>
    <m/>
    <m/>
    <m/>
    <m/>
    <m/>
    <m/>
    <m/>
    <m/>
    <m/>
    <m/>
    <m/>
    <m/>
    <n v="1"/>
    <n v="1"/>
  </r>
  <r>
    <n v="7338"/>
    <x v="1"/>
    <s v="2020/1358"/>
    <s v="51-53 Northcote Road"/>
    <s v=""/>
    <n v="527505"/>
    <n v="174973"/>
    <s v="Lavender"/>
    <d v="2021-08-21T00:00:00"/>
    <m/>
    <n v="0"/>
    <n v="1"/>
    <n v="1"/>
    <n v="3"/>
    <n v="1"/>
    <m/>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m/>
    <s v="Nil"/>
    <m/>
    <s v="BF"/>
    <s v="MIX"/>
    <x v="2"/>
    <x v="2"/>
    <n v="5.0000000000000001E-3"/>
    <m/>
    <x v="0"/>
    <m/>
    <s v="Open Market"/>
    <s v="M"/>
    <s v=""/>
    <m/>
    <n v="0"/>
    <m/>
    <n v="0"/>
    <m/>
    <n v="0"/>
    <n v="1"/>
    <n v="0"/>
    <n v="0"/>
    <n v="0"/>
    <n v="0"/>
    <n v="0"/>
    <n v="0"/>
    <n v="1"/>
    <n v="0"/>
    <n v="0"/>
    <n v="0"/>
    <n v="0"/>
    <n v="0"/>
    <n v="0"/>
    <n v="0"/>
    <n v="0"/>
    <n v="0"/>
    <n v="0"/>
    <n v="0"/>
    <n v="0"/>
    <n v="0"/>
    <n v="0"/>
    <n v="0"/>
    <n v="0"/>
    <n v="0"/>
    <n v="0"/>
    <n v="0"/>
    <s v="Clapham Junction"/>
    <m/>
    <s v="Clapham Junction Spatial Area Strategy"/>
    <n v="15"/>
    <m/>
    <n v="0.25"/>
    <n v="0.25"/>
    <n v="0.25"/>
    <n v="0.25"/>
    <m/>
    <m/>
    <m/>
    <m/>
    <m/>
    <m/>
    <m/>
    <m/>
    <m/>
    <m/>
    <m/>
    <m/>
    <m/>
    <m/>
    <m/>
    <n v="1"/>
    <n v="1"/>
  </r>
  <r>
    <n v="6846"/>
    <x v="1"/>
    <s v="2018/1104"/>
    <s v="52 Northcote Road"/>
    <s v=""/>
    <n v="527474"/>
    <n v="174921"/>
    <s v="Northcote"/>
    <m/>
    <m/>
    <n v="1"/>
    <n v="2"/>
    <n v="1"/>
    <n v="2"/>
    <n v="1"/>
    <m/>
    <s v="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
    <s v="PF"/>
    <d v="2018-03-15T00:00:00"/>
    <d v="2018-04-26T00:00:00"/>
    <m/>
    <s v="Nil"/>
    <m/>
    <s v="BF"/>
    <s v="EXT"/>
    <x v="2"/>
    <x v="2"/>
    <n v="8.9999999999999993E-3"/>
    <m/>
    <x v="0"/>
    <m/>
    <s v="Open Market"/>
    <s v="M"/>
    <s v=""/>
    <m/>
    <n v="0"/>
    <m/>
    <n v="0"/>
    <m/>
    <n v="0"/>
    <n v="0"/>
    <n v="1"/>
    <n v="0"/>
    <n v="0"/>
    <n v="0"/>
    <n v="0"/>
    <n v="0"/>
    <n v="0"/>
    <n v="1"/>
    <n v="0"/>
    <n v="0"/>
    <n v="0"/>
    <n v="0"/>
    <n v="0"/>
    <n v="0"/>
    <n v="0"/>
    <n v="0"/>
    <n v="0"/>
    <n v="0"/>
    <n v="0"/>
    <n v="0"/>
    <n v="0"/>
    <n v="0"/>
    <n v="0"/>
    <n v="0"/>
    <n v="0"/>
    <n v="0"/>
    <s v="Clapham Junction"/>
    <m/>
    <s v="Clapham Junction Spatial Area Strategy"/>
    <n v="15"/>
    <m/>
    <n v="0.25"/>
    <n v="0.25"/>
    <n v="0.25"/>
    <n v="0.25"/>
    <m/>
    <m/>
    <m/>
    <m/>
    <m/>
    <m/>
    <m/>
    <m/>
    <m/>
    <m/>
    <m/>
    <m/>
    <m/>
    <m/>
    <m/>
    <n v="1"/>
    <n v="1"/>
  </r>
  <r>
    <n v="672"/>
    <x v="1"/>
    <s v="2021/3778"/>
    <s v="54 West Hill"/>
    <s v=""/>
    <n v="525011"/>
    <n v="174633"/>
    <s v="East Putney"/>
    <m/>
    <m/>
    <n v="0"/>
    <n v="1"/>
    <n v="1"/>
    <n v="1"/>
    <n v="1"/>
    <m/>
    <s v="Determination as to whether prior approval is required for change of use of rear part of the ground floor from retail (Class A1) to a studio flat (Class C3)."/>
    <s v="PAG"/>
    <d v="2021-07-28T00:00:00"/>
    <d v="2021-09-30T00:00:00"/>
    <m/>
    <s v="Nil"/>
    <m/>
    <s v="BF"/>
    <s v="COU"/>
    <x v="2"/>
    <x v="4"/>
    <n v="1E-3"/>
    <m/>
    <x v="0"/>
    <m/>
    <s v="Open Market"/>
    <s v="M"/>
    <s v=""/>
    <m/>
    <n v="0"/>
    <m/>
    <n v="0"/>
    <m/>
    <n v="1"/>
    <n v="0"/>
    <n v="0"/>
    <n v="0"/>
    <n v="0"/>
    <n v="0"/>
    <n v="0"/>
    <n v="1"/>
    <n v="0"/>
    <n v="0"/>
    <n v="0"/>
    <n v="0"/>
    <n v="0"/>
    <n v="0"/>
    <n v="0"/>
    <n v="0"/>
    <n v="0"/>
    <n v="0"/>
    <n v="0"/>
    <n v="0"/>
    <n v="0"/>
    <n v="0"/>
    <n v="0"/>
    <n v="0"/>
    <n v="0"/>
    <n v="0"/>
    <n v="0"/>
    <n v="0"/>
    <m/>
    <m/>
    <s v="Rest of Borough"/>
    <n v="15"/>
    <m/>
    <n v="0.25"/>
    <n v="0.25"/>
    <n v="0.25"/>
    <n v="0.25"/>
    <m/>
    <m/>
    <m/>
    <m/>
    <m/>
    <m/>
    <m/>
    <m/>
    <m/>
    <m/>
    <m/>
    <m/>
    <m/>
    <m/>
    <m/>
    <n v="1"/>
    <n v="1"/>
  </r>
  <r>
    <n v="672"/>
    <x v="1"/>
    <s v="2021/5276"/>
    <s v="54 West Hill"/>
    <s v=""/>
    <n v="525011"/>
    <n v="174633"/>
    <s v="East Putney"/>
    <m/>
    <m/>
    <n v="0"/>
    <n v="1"/>
    <n v="1"/>
    <n v="1"/>
    <n v="1"/>
    <m/>
    <s v="Alterations including erection of single storey rear extension in connection with conversion of ground floor rear into 1 x 1-bedroom flat."/>
    <s v="PF"/>
    <d v="2021-12-02T00:00:00"/>
    <d v="2022-02-21T00:00:00"/>
    <m/>
    <s v="Nil"/>
    <m/>
    <s v="BF"/>
    <s v="CON"/>
    <x v="2"/>
    <x v="4"/>
    <n v="5.5999999999999999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753"/>
    <x v="1"/>
    <s v="2021/4001"/>
    <s v="54A Renmuir Street"/>
    <s v=""/>
    <n v="527778"/>
    <n v="170719"/>
    <s v="Tooting Broadway"/>
    <m/>
    <m/>
    <n v="1"/>
    <n v="2"/>
    <n v="1"/>
    <n v="2"/>
    <n v="1"/>
    <m/>
    <s v="Alterations including erection of mansard roof extension to main rear roof slope with French doors and juliette balcony and extension above part of two-storey rear addidtion. Formation of a roof terrace with obscure glazed screen. In connection with the creation of an additional 1x1 bedroom unit."/>
    <s v="PF"/>
    <d v="2021-12-31T00:00:00"/>
    <d v="2022-02-28T00:00:00"/>
    <m/>
    <s v="Nil"/>
    <m/>
    <s v="BF"/>
    <s v="EXT"/>
    <x v="2"/>
    <x v="2"/>
    <n v="4.9500000000000004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487"/>
    <x v="1"/>
    <s v="2020/4441"/>
    <s v="54c Charlmont Road"/>
    <s v=""/>
    <n v="527564"/>
    <n v="170910"/>
    <s v="Tooting Broadway"/>
    <m/>
    <m/>
    <n v="0"/>
    <n v="1"/>
    <n v="1"/>
    <n v="2"/>
    <n v="1"/>
    <m/>
    <s v="Alterations including erection of mansard roof extension to main rear roof (with 0.7m ridge raise, French doors and safety railings), alterations to front roof pitch and raising existing gable in connection with the creation of  1 x1 bedroom flat."/>
    <s v="PF"/>
    <d v="2020-11-20T00:00:00"/>
    <d v="2021-04-14T00:00:00"/>
    <m/>
    <s v="Nil"/>
    <m/>
    <s v="BF"/>
    <s v="MIX"/>
    <x v="2"/>
    <x v="2"/>
    <n v="5.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130"/>
    <x v="1"/>
    <s v="2019/0899"/>
    <s v="55 Gayville Road"/>
    <s v=""/>
    <n v="527830"/>
    <n v="174273"/>
    <s v="Northcote"/>
    <m/>
    <m/>
    <n v="0"/>
    <n v="1"/>
    <n v="1"/>
    <n v="2"/>
    <n v="1"/>
    <m/>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m/>
    <s v="Nil"/>
    <m/>
    <s v="BF"/>
    <s v="MIX"/>
    <x v="2"/>
    <x v="2"/>
    <n v="7.0000000000000001E-3"/>
    <m/>
    <x v="0"/>
    <m/>
    <s v="Open Market"/>
    <s v="M"/>
    <s v=""/>
    <m/>
    <n v="0"/>
    <m/>
    <n v="0"/>
    <m/>
    <n v="0"/>
    <n v="0"/>
    <n v="1"/>
    <n v="0"/>
    <n v="0"/>
    <n v="0"/>
    <n v="0"/>
    <n v="0"/>
    <n v="0"/>
    <n v="1"/>
    <n v="0"/>
    <n v="0"/>
    <n v="0"/>
    <n v="0"/>
    <n v="0"/>
    <n v="0"/>
    <n v="0"/>
    <n v="0"/>
    <n v="0"/>
    <n v="0"/>
    <n v="0"/>
    <n v="0"/>
    <n v="0"/>
    <n v="0"/>
    <n v="0"/>
    <n v="0"/>
    <n v="0"/>
    <n v="0"/>
    <m/>
    <m/>
    <s v="Rest of Borough"/>
    <n v="15"/>
    <m/>
    <n v="0.25"/>
    <n v="0.25"/>
    <n v="0.25"/>
    <n v="0.25"/>
    <m/>
    <m/>
    <m/>
    <m/>
    <m/>
    <m/>
    <m/>
    <m/>
    <m/>
    <m/>
    <m/>
    <m/>
    <m/>
    <m/>
    <m/>
    <n v="1"/>
    <n v="1"/>
  </r>
  <r>
    <n v="7585"/>
    <x v="1"/>
    <s v="2022/2622"/>
    <s v="55 Trinity Road"/>
    <s v=""/>
    <n v="528963"/>
    <n v="171321"/>
    <s v="Furzedown"/>
    <m/>
    <m/>
    <n v="0"/>
    <n v="1"/>
    <n v="1"/>
    <n v="1"/>
    <n v="1"/>
    <m/>
    <s v="Determination as to whether prior approval is required for change of use from retail (Class E) to mixed use as a  1 x studio (Class C3) and shop (Class E) with associated external and internal alterations."/>
    <s v="PAG"/>
    <d v="2022-06-24T00:00:00"/>
    <d v="2022-08-15T00:00:00"/>
    <s v="Y"/>
    <s v="Nil"/>
    <m/>
    <s v="BF"/>
    <s v="COU"/>
    <x v="2"/>
    <x v="4"/>
    <n v="4.0000000000000001E-3"/>
    <m/>
    <x v="0"/>
    <m/>
    <s v="Open Market"/>
    <s v="M"/>
    <s v=""/>
    <m/>
    <n v="0"/>
    <m/>
    <n v="0"/>
    <m/>
    <n v="1"/>
    <n v="0"/>
    <n v="0"/>
    <n v="0"/>
    <n v="0"/>
    <n v="0"/>
    <n v="0"/>
    <n v="1"/>
    <n v="0"/>
    <n v="0"/>
    <n v="0"/>
    <n v="0"/>
    <n v="0"/>
    <n v="0"/>
    <n v="0"/>
    <n v="0"/>
    <n v="0"/>
    <n v="0"/>
    <n v="0"/>
    <n v="0"/>
    <n v="0"/>
    <n v="0"/>
    <n v="0"/>
    <n v="0"/>
    <n v="0"/>
    <n v="0"/>
    <n v="0"/>
    <n v="0"/>
    <m/>
    <m/>
    <s v="Rest of Borough"/>
    <n v="15"/>
    <m/>
    <n v="0.25"/>
    <n v="0.25"/>
    <n v="0.25"/>
    <n v="0.25"/>
    <m/>
    <m/>
    <m/>
    <m/>
    <m/>
    <m/>
    <m/>
    <m/>
    <m/>
    <m/>
    <m/>
    <m/>
    <m/>
    <m/>
    <m/>
    <n v="1"/>
    <n v="1"/>
  </r>
  <r>
    <n v="7839"/>
    <x v="1"/>
    <s v="2022/1741"/>
    <s v="56 Lavender Hill"/>
    <s v=""/>
    <n v="528345"/>
    <n v="175748"/>
    <s v="Shaftesbury &amp; Queenstown"/>
    <m/>
    <m/>
    <n v="0"/>
    <n v="1"/>
    <n v="1"/>
    <n v="1"/>
    <n v="1"/>
    <m/>
    <s v="Alterations including two-storey rear extension and change of use to part of the existing commercial unit (class E) to provide a two-bedroom dwelling (Class C3) with associated amenity space."/>
    <s v="PF"/>
    <d v="2022-04-27T00:00:00"/>
    <d v="2022-08-15T00:00:00"/>
    <s v="Y"/>
    <s v="Nil"/>
    <m/>
    <s v="BF"/>
    <s v="MIX"/>
    <x v="2"/>
    <x v="3"/>
    <n v="4.4000000000000003E-3"/>
    <m/>
    <x v="0"/>
    <m/>
    <s v="Open Market"/>
    <s v="MR"/>
    <s v=""/>
    <m/>
    <n v="0"/>
    <m/>
    <n v="0"/>
    <m/>
    <n v="0"/>
    <n v="0"/>
    <n v="1"/>
    <n v="0"/>
    <n v="0"/>
    <n v="0"/>
    <n v="0"/>
    <n v="0"/>
    <n v="0"/>
    <n v="1"/>
    <n v="0"/>
    <n v="0"/>
    <n v="0"/>
    <n v="0"/>
    <n v="0"/>
    <n v="0"/>
    <n v="0"/>
    <n v="0"/>
    <n v="0"/>
    <n v="0"/>
    <n v="0"/>
    <n v="0"/>
    <n v="0"/>
    <n v="0"/>
    <n v="0"/>
    <n v="0"/>
    <n v="0"/>
    <n v="0"/>
    <m/>
    <m/>
    <s v="Rest of Borough"/>
    <n v="15"/>
    <m/>
    <n v="0.25"/>
    <n v="0.25"/>
    <n v="0.25"/>
    <n v="0.25"/>
    <m/>
    <m/>
    <m/>
    <m/>
    <m/>
    <m/>
    <m/>
    <m/>
    <m/>
    <m/>
    <m/>
    <m/>
    <m/>
    <m/>
    <m/>
    <n v="1"/>
    <n v="1"/>
  </r>
  <r>
    <n v="7245"/>
    <x v="1"/>
    <s v="2019/4316"/>
    <s v="58a Gosberton Road"/>
    <s v=""/>
    <n v="528090"/>
    <n v="173486"/>
    <s v="Balham"/>
    <m/>
    <m/>
    <n v="0"/>
    <n v="1"/>
    <n v="1"/>
    <n v="1"/>
    <n v="1"/>
    <m/>
    <s v="Alterations including dormer extension to main rear roof and erection of part-single, part-two storey rear/side extension in connection with conversion to 1 x 2-bed and 1 x studio flat."/>
    <s v="PF"/>
    <d v="2019-12-10T00:00:00"/>
    <d v="2020-08-19T00:00:00"/>
    <m/>
    <s v="Nil"/>
    <m/>
    <s v="BF"/>
    <s v="EXT"/>
    <x v="2"/>
    <x v="2"/>
    <n v="4.0000000000000001E-3"/>
    <m/>
    <x v="0"/>
    <m/>
    <s v="Open Market"/>
    <s v="M"/>
    <s v=""/>
    <m/>
    <n v="0"/>
    <m/>
    <n v="0"/>
    <m/>
    <n v="1"/>
    <n v="0"/>
    <n v="0"/>
    <n v="0"/>
    <n v="0"/>
    <n v="0"/>
    <n v="0"/>
    <n v="1"/>
    <n v="0"/>
    <n v="0"/>
    <n v="0"/>
    <n v="0"/>
    <n v="0"/>
    <n v="0"/>
    <n v="0"/>
    <n v="0"/>
    <n v="0"/>
    <n v="0"/>
    <n v="0"/>
    <n v="0"/>
    <n v="0"/>
    <n v="0"/>
    <n v="0"/>
    <n v="0"/>
    <n v="0"/>
    <n v="0"/>
    <n v="0"/>
    <n v="0"/>
    <m/>
    <m/>
    <s v="Rest of Borough"/>
    <n v="15"/>
    <m/>
    <n v="0.25"/>
    <n v="0.25"/>
    <n v="0.25"/>
    <n v="0.25"/>
    <m/>
    <m/>
    <m/>
    <m/>
    <m/>
    <m/>
    <m/>
    <m/>
    <m/>
    <m/>
    <m/>
    <m/>
    <m/>
    <m/>
    <m/>
    <n v="1"/>
    <n v="1"/>
  </r>
  <r>
    <n v="7077"/>
    <x v="1"/>
    <s v="2018/5898"/>
    <s v="6 Ravenslea Road"/>
    <s v=""/>
    <n v="527815"/>
    <n v="173666"/>
    <s v="Balham"/>
    <m/>
    <m/>
    <n v="1"/>
    <n v="2"/>
    <n v="1"/>
    <n v="2"/>
    <n v="1"/>
    <m/>
    <s v="Alterations in connection with conversion of existing flat into 1x 3-bedroom flat and 1x 2-bedroom flat."/>
    <s v="PF"/>
    <d v="2018-12-12T00:00:00"/>
    <d v="2019-02-06T00:00:00"/>
    <m/>
    <s v="Nil"/>
    <m/>
    <s v="BF"/>
    <s v="CON"/>
    <x v="2"/>
    <x v="7"/>
    <n v="0.03"/>
    <m/>
    <x v="0"/>
    <m/>
    <s v="Open Market"/>
    <s v="M"/>
    <s v=""/>
    <m/>
    <n v="0"/>
    <m/>
    <n v="0"/>
    <m/>
    <n v="0"/>
    <n v="0"/>
    <n v="1"/>
    <n v="1"/>
    <n v="-1"/>
    <n v="0"/>
    <n v="0"/>
    <n v="0"/>
    <n v="0"/>
    <n v="1"/>
    <n v="1"/>
    <n v="-1"/>
    <n v="0"/>
    <n v="0"/>
    <n v="0"/>
    <n v="0"/>
    <n v="0"/>
    <n v="0"/>
    <n v="0"/>
    <n v="0"/>
    <n v="0"/>
    <n v="0"/>
    <n v="0"/>
    <n v="0"/>
    <n v="0"/>
    <n v="0"/>
    <n v="0"/>
    <n v="0"/>
    <m/>
    <m/>
    <s v="Rest of Borough"/>
    <n v="15"/>
    <m/>
    <n v="0.25"/>
    <n v="0.25"/>
    <n v="0.25"/>
    <n v="0.25"/>
    <m/>
    <m/>
    <m/>
    <m/>
    <m/>
    <m/>
    <m/>
    <m/>
    <m/>
    <m/>
    <m/>
    <m/>
    <m/>
    <m/>
    <m/>
    <n v="1"/>
    <n v="1"/>
  </r>
  <r>
    <n v="5147"/>
    <x v="1"/>
    <s v="2019/1181"/>
    <s v="60 Fairfield Street"/>
    <s v=""/>
    <n v="525825"/>
    <n v="174893"/>
    <s v="Wandsworth Town"/>
    <m/>
    <m/>
    <n v="0"/>
    <n v="1"/>
    <n v="1"/>
    <n v="1"/>
    <n v="1"/>
    <m/>
    <s v="Alterations to ground floor front, rear and side elevation in connection with change of use from cafe (Class A3) to two bedroom flat (Class C3) ."/>
    <s v="PF"/>
    <d v="2019-03-15T00:00:00"/>
    <d v="2019-07-16T00:00:00"/>
    <m/>
    <s v="Nil"/>
    <m/>
    <s v="BF"/>
    <s v="COU"/>
    <x v="2"/>
    <x v="3"/>
    <n v="6.0000000000000001E-3"/>
    <m/>
    <x v="0"/>
    <m/>
    <s v="Open Market"/>
    <s v="M"/>
    <s v=""/>
    <m/>
    <n v="0"/>
    <m/>
    <n v="0"/>
    <m/>
    <n v="0"/>
    <n v="1"/>
    <n v="0"/>
    <n v="0"/>
    <n v="0"/>
    <n v="0"/>
    <n v="0"/>
    <n v="0"/>
    <n v="1"/>
    <n v="0"/>
    <n v="0"/>
    <n v="0"/>
    <n v="0"/>
    <n v="0"/>
    <n v="0"/>
    <n v="0"/>
    <n v="0"/>
    <n v="0"/>
    <n v="0"/>
    <n v="0"/>
    <n v="0"/>
    <n v="0"/>
    <n v="0"/>
    <n v="0"/>
    <n v="0"/>
    <n v="0"/>
    <n v="0"/>
    <n v="0"/>
    <m/>
    <m/>
    <s v="Wandsworth Town, including the Wandle Delta Masterplan Area"/>
    <n v="15"/>
    <m/>
    <n v="0.25"/>
    <n v="0.25"/>
    <n v="0.25"/>
    <n v="0.25"/>
    <m/>
    <m/>
    <m/>
    <m/>
    <m/>
    <m/>
    <m/>
    <m/>
    <m/>
    <m/>
    <m/>
    <m/>
    <m/>
    <m/>
    <m/>
    <n v="1"/>
    <n v="1"/>
  </r>
  <r>
    <n v="7340"/>
    <x v="1"/>
    <s v="2020/0412"/>
    <s v="62 Lavender Hill"/>
    <s v=""/>
    <n v="528330"/>
    <n v="175742"/>
    <s v="Shaftesbury &amp; Queenstown"/>
    <m/>
    <m/>
    <n v="0"/>
    <n v="1"/>
    <n v="1"/>
    <n v="1"/>
    <n v="1"/>
    <m/>
    <s v="Alterations including part change of use of exisitng restaurant (Class A3) at ground and lower ground levels to create a one-bedroom flat (Class C3). Erection of dwarf wall and glass pavement lenses to front forecourt. Alteration to shop front entrance"/>
    <s v="PF"/>
    <d v="2020-02-13T00:00:00"/>
    <d v="2020-04-23T00:00:00"/>
    <m/>
    <s v="Nil"/>
    <m/>
    <s v="BF"/>
    <s v="MIX"/>
    <x v="2"/>
    <x v="3"/>
    <n v="7.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1183"/>
    <x v="1"/>
    <s v="2021/3311"/>
    <s v="66 West Hill"/>
    <s v=""/>
    <n v="524979"/>
    <n v="174628"/>
    <s v="East Putney"/>
    <m/>
    <m/>
    <n v="0"/>
    <n v="1"/>
    <n v="1"/>
    <n v="1"/>
    <n v="1"/>
    <m/>
    <s v="Determination as to whether prior approval is required for change of_x000a_use of front part of shop from retail (Class A1) to residential (Class _x000a_C3)"/>
    <s v="PAG"/>
    <d v="2021-07-13T00:00:00"/>
    <d v="2021-08-31T00:00:00"/>
    <m/>
    <s v="Nil"/>
    <m/>
    <s v="BF"/>
    <s v="MIX"/>
    <x v="2"/>
    <x v="4"/>
    <n v="4.1999999999999997E-3"/>
    <m/>
    <x v="0"/>
    <m/>
    <s v="Open Market"/>
    <s v="MR"/>
    <s v=""/>
    <m/>
    <n v="0"/>
    <m/>
    <n v="0"/>
    <m/>
    <n v="1"/>
    <n v="0"/>
    <n v="0"/>
    <n v="0"/>
    <n v="0"/>
    <n v="0"/>
    <n v="0"/>
    <n v="1"/>
    <n v="0"/>
    <n v="0"/>
    <n v="0"/>
    <n v="0"/>
    <n v="0"/>
    <n v="0"/>
    <n v="0"/>
    <n v="0"/>
    <n v="0"/>
    <n v="0"/>
    <n v="0"/>
    <n v="0"/>
    <n v="0"/>
    <n v="0"/>
    <n v="0"/>
    <n v="0"/>
    <n v="0"/>
    <n v="0"/>
    <n v="0"/>
    <n v="0"/>
    <m/>
    <m/>
    <s v="Rest of Borough"/>
    <n v="15"/>
    <m/>
    <n v="0.25"/>
    <n v="0.25"/>
    <n v="0.25"/>
    <n v="0.25"/>
    <m/>
    <m/>
    <m/>
    <m/>
    <m/>
    <m/>
    <m/>
    <m/>
    <m/>
    <m/>
    <m/>
    <m/>
    <m/>
    <m/>
    <m/>
    <n v="1"/>
    <n v="1"/>
  </r>
  <r>
    <n v="2689"/>
    <x v="1"/>
    <s v="2023/0148"/>
    <s v="663-665 Garratt Lane"/>
    <s v=""/>
    <n v="526166"/>
    <n v="172343"/>
    <s v="Wandsworth Common"/>
    <m/>
    <m/>
    <n v="0"/>
    <n v="1"/>
    <n v="1"/>
    <n v="1"/>
    <n v="1"/>
    <m/>
    <s v="Alterations including erection of mansard roof extension to main rear roof of both properties (with French doors and safety railings) and extension above two-storey back addition to 663; installation of external access stair from existing first floor level rear walkway up to third floor level entrance of proposed 1 x 2 bedroom flat with associated refuse and cycle storage."/>
    <s v="PF"/>
    <d v="2023-01-16T00:00:00"/>
    <d v="2023-03-13T00:00:00"/>
    <s v="Y"/>
    <s v="Nil"/>
    <m/>
    <s v="BF"/>
    <s v="EXT"/>
    <x v="2"/>
    <x v="2"/>
    <n v="3.5000000000000003E-2"/>
    <m/>
    <x v="0"/>
    <m/>
    <s v="Open Market"/>
    <s v="MR"/>
    <s v=""/>
    <m/>
    <n v="0"/>
    <m/>
    <n v="0"/>
    <m/>
    <n v="0"/>
    <n v="0"/>
    <n v="1"/>
    <n v="0"/>
    <n v="0"/>
    <n v="0"/>
    <n v="0"/>
    <n v="0"/>
    <n v="0"/>
    <n v="1"/>
    <n v="0"/>
    <n v="0"/>
    <n v="0"/>
    <n v="0"/>
    <n v="0"/>
    <n v="0"/>
    <n v="0"/>
    <n v="0"/>
    <n v="0"/>
    <n v="0"/>
    <n v="0"/>
    <n v="0"/>
    <n v="0"/>
    <n v="0"/>
    <n v="0"/>
    <n v="0"/>
    <n v="0"/>
    <n v="0"/>
    <m/>
    <m/>
    <s v="The Wandle Valley"/>
    <n v="15"/>
    <m/>
    <n v="0.25"/>
    <n v="0.25"/>
    <n v="0.25"/>
    <n v="0.25"/>
    <m/>
    <m/>
    <m/>
    <m/>
    <m/>
    <m/>
    <m/>
    <m/>
    <m/>
    <m/>
    <m/>
    <m/>
    <m/>
    <m/>
    <m/>
    <n v="1"/>
    <n v="1"/>
  </r>
  <r>
    <n v="7152"/>
    <x v="1"/>
    <s v="2018/5605"/>
    <s v="66A North Side Wandsworth Common"/>
    <s v=""/>
    <n v="526518"/>
    <n v="174839"/>
    <s v="Wandsworth Town"/>
    <m/>
    <m/>
    <n v="0"/>
    <n v="1"/>
    <n v="1"/>
    <n v="2"/>
    <n v="1"/>
    <m/>
    <s v="Alterations in connection with conversion of basement into 1-bedroom flat."/>
    <s v="PF"/>
    <d v="2018-12-10T00:00:00"/>
    <d v="2019-03-25T00:00:00"/>
    <m/>
    <s v="Nil"/>
    <m/>
    <s v="BF"/>
    <s v="CON"/>
    <x v="2"/>
    <x v="13"/>
    <n v="8.0000000000000002E-3"/>
    <m/>
    <x v="0"/>
    <m/>
    <s v="Open Market"/>
    <s v="M"/>
    <s v=""/>
    <m/>
    <n v="0"/>
    <m/>
    <n v="0"/>
    <m/>
    <n v="0"/>
    <n v="0"/>
    <n v="0"/>
    <n v="0"/>
    <n v="0"/>
    <n v="1"/>
    <n v="0"/>
    <n v="0"/>
    <n v="0"/>
    <n v="0"/>
    <n v="0"/>
    <n v="0"/>
    <n v="0"/>
    <n v="0"/>
    <n v="0"/>
    <n v="0"/>
    <n v="0"/>
    <n v="0"/>
    <n v="0"/>
    <n v="1"/>
    <n v="0"/>
    <n v="0"/>
    <n v="0"/>
    <n v="0"/>
    <n v="0"/>
    <n v="0"/>
    <n v="0"/>
    <n v="0"/>
    <m/>
    <m/>
    <s v="Rest of Borough"/>
    <n v="15"/>
    <m/>
    <n v="0.25"/>
    <n v="0.25"/>
    <n v="0.25"/>
    <n v="0.25"/>
    <m/>
    <m/>
    <m/>
    <m/>
    <m/>
    <m/>
    <m/>
    <m/>
    <m/>
    <m/>
    <m/>
    <m/>
    <m/>
    <m/>
    <m/>
    <n v="1"/>
    <n v="1"/>
  </r>
  <r>
    <n v="7638"/>
    <x v="1"/>
    <s v="2021/1497"/>
    <s v="67 Putney Hill"/>
    <s v=""/>
    <n v="523723"/>
    <n v="174036"/>
    <s v="East Putney"/>
    <m/>
    <m/>
    <n v="0"/>
    <n v="1"/>
    <n v="1"/>
    <n v="1"/>
    <n v="1"/>
    <m/>
    <s v="Conversion of existing ground floorspace to provide a 1 X 1 bedroom flat including the relocation of waste storage for whole building."/>
    <s v="PF"/>
    <d v="2021-03-23T00:00:00"/>
    <d v="2021-10-19T00:00:00"/>
    <m/>
    <s v="Nil"/>
    <m/>
    <s v="BF"/>
    <s v="COU"/>
    <x v="2"/>
    <x v="3"/>
    <n v="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399"/>
    <x v="1"/>
    <s v="2021/2447"/>
    <s v="69 Webbs Road"/>
    <s v=""/>
    <n v="527815"/>
    <n v="174573"/>
    <s v="Northcote"/>
    <m/>
    <m/>
    <n v="1"/>
    <n v="2"/>
    <n v="1"/>
    <n v="2"/>
    <n v="1"/>
    <m/>
    <s v="Alterations including erection of roof extension and formation of roof terrace with 1.7m glazed safety screen surround above two storey back addition and erection of single storey rear extension in connection with conversion to 1 x 3-bedroom and 1 x 2-bedroom flats."/>
    <s v="PF"/>
    <d v="2021-06-23T00:00:00"/>
    <d v="2021-08-16T00:00:00"/>
    <m/>
    <s v="Nil"/>
    <m/>
    <s v="BF"/>
    <s v="MIX"/>
    <x v="2"/>
    <x v="2"/>
    <n v="4.0000000000000001E-3"/>
    <m/>
    <x v="0"/>
    <m/>
    <s v="Open Market"/>
    <s v="M"/>
    <s v=""/>
    <m/>
    <n v="0"/>
    <m/>
    <n v="0"/>
    <m/>
    <n v="0"/>
    <n v="0"/>
    <n v="1"/>
    <n v="0"/>
    <n v="0"/>
    <n v="0"/>
    <n v="0"/>
    <n v="0"/>
    <n v="0"/>
    <n v="1"/>
    <n v="0"/>
    <n v="0"/>
    <n v="0"/>
    <n v="0"/>
    <n v="0"/>
    <n v="0"/>
    <n v="0"/>
    <n v="0"/>
    <n v="0"/>
    <n v="0"/>
    <n v="0"/>
    <n v="0"/>
    <n v="0"/>
    <n v="0"/>
    <n v="0"/>
    <n v="0"/>
    <n v="0"/>
    <n v="0"/>
    <m/>
    <m/>
    <s v="Rest of Borough"/>
    <n v="15"/>
    <m/>
    <n v="0.25"/>
    <n v="0.25"/>
    <n v="0.25"/>
    <n v="0.25"/>
    <m/>
    <m/>
    <m/>
    <m/>
    <m/>
    <m/>
    <m/>
    <m/>
    <m/>
    <m/>
    <m/>
    <m/>
    <m/>
    <m/>
    <m/>
    <n v="1"/>
    <n v="1"/>
  </r>
  <r>
    <n v="7399"/>
    <x v="1"/>
    <s v="2020/2360"/>
    <s v="69 Webbs Road"/>
    <s v=""/>
    <n v="527815"/>
    <n v="174573"/>
    <s v="Northcote"/>
    <m/>
    <m/>
    <n v="0"/>
    <n v="1"/>
    <n v="1"/>
    <n v="1"/>
    <n v="1"/>
    <m/>
    <s v="Determination as to whether prior approval is required for change of use from Ground Floor Shop (Class A1) to 1 x 1-bedroom flat (Class C3) with associated external alterations to front elevation."/>
    <s v="PAG"/>
    <d v="2020-07-03T00:00:00"/>
    <d v="2020-08-28T00:00:00"/>
    <m/>
    <s v="Nil"/>
    <m/>
    <s v="BF"/>
    <s v="COU"/>
    <x v="2"/>
    <x v="4"/>
    <n v="5.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776"/>
    <x v="1"/>
    <s v="2021/3394"/>
    <s v="76A Pendle Road"/>
    <s v=""/>
    <n v="528980"/>
    <n v="171084"/>
    <s v="Furzedown"/>
    <m/>
    <m/>
    <n v="0"/>
    <n v="1"/>
    <n v="1"/>
    <n v="1"/>
    <n v="1"/>
    <m/>
    <s v="Alterations including changes to windows and doors in connection with conversion of existing workshop (Class SG) to 1 x 1 bedroom dwellinghouse (Class C3) with associated landscaping, cycle and refuse storage."/>
    <s v="PF"/>
    <d v="2021-08-06T00:00:00"/>
    <d v="2021-11-10T00:00:00"/>
    <m/>
    <s v="Nil"/>
    <m/>
    <s v="BF"/>
    <s v="CON"/>
    <x v="2"/>
    <x v="3"/>
    <n v="3.0000000000000001E-3"/>
    <m/>
    <x v="0"/>
    <m/>
    <s v="Social/Affordable Rent"/>
    <s v="AA"/>
    <s v=""/>
    <m/>
    <n v="0"/>
    <m/>
    <n v="0"/>
    <m/>
    <n v="0"/>
    <n v="1"/>
    <n v="0"/>
    <n v="0"/>
    <n v="0"/>
    <n v="0"/>
    <n v="0"/>
    <n v="0"/>
    <n v="1"/>
    <n v="0"/>
    <n v="0"/>
    <n v="0"/>
    <n v="0"/>
    <n v="0"/>
    <n v="0"/>
    <n v="0"/>
    <n v="0"/>
    <n v="0"/>
    <n v="0"/>
    <n v="0"/>
    <n v="0"/>
    <n v="0"/>
    <n v="0"/>
    <n v="0"/>
    <n v="0"/>
    <n v="0"/>
    <n v="0"/>
    <n v="0"/>
    <m/>
    <m/>
    <s v="Rest of Borough"/>
    <n v="15"/>
    <m/>
    <n v="0.25"/>
    <n v="0.25"/>
    <n v="0.25"/>
    <n v="0.25"/>
    <m/>
    <m/>
    <m/>
    <m/>
    <m/>
    <m/>
    <m/>
    <m/>
    <m/>
    <m/>
    <m/>
    <m/>
    <m/>
    <m/>
    <m/>
    <n v="1"/>
    <n v="1"/>
  </r>
  <r>
    <n v="7416"/>
    <x v="1"/>
    <s v="2020/1024"/>
    <s v="788 Garratt Lane"/>
    <s v=""/>
    <n v="526860"/>
    <n v="171851"/>
    <s v="Tooting Broadway"/>
    <m/>
    <m/>
    <n v="1"/>
    <n v="2"/>
    <n v="1"/>
    <n v="3"/>
    <n v="2"/>
    <m/>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m/>
    <s v="Nil"/>
    <m/>
    <s v="BF"/>
    <s v="MIX"/>
    <x v="2"/>
    <x v="7"/>
    <n v="5.0000000000000001E-3"/>
    <m/>
    <x v="0"/>
    <m/>
    <s v="Open Market"/>
    <s v="M"/>
    <s v=""/>
    <m/>
    <n v="0"/>
    <m/>
    <n v="0"/>
    <m/>
    <n v="2"/>
    <n v="0"/>
    <n v="-1"/>
    <n v="0"/>
    <n v="0"/>
    <n v="0"/>
    <n v="0"/>
    <n v="2"/>
    <n v="0"/>
    <n v="-1"/>
    <n v="0"/>
    <n v="0"/>
    <n v="0"/>
    <n v="0"/>
    <n v="0"/>
    <n v="0"/>
    <n v="0"/>
    <n v="0"/>
    <n v="0"/>
    <n v="0"/>
    <n v="0"/>
    <n v="0"/>
    <n v="0"/>
    <n v="0"/>
    <n v="0"/>
    <n v="0"/>
    <n v="0"/>
    <n v="0"/>
    <m/>
    <m/>
    <s v="Rest of Borough"/>
    <n v="15"/>
    <m/>
    <n v="0.25"/>
    <n v="0.25"/>
    <n v="0.25"/>
    <n v="0.25"/>
    <m/>
    <m/>
    <m/>
    <m/>
    <m/>
    <m/>
    <m/>
    <m/>
    <m/>
    <m/>
    <m/>
    <m/>
    <m/>
    <m/>
    <m/>
    <n v="1"/>
    <n v="1"/>
  </r>
  <r>
    <n v="7416"/>
    <x v="1"/>
    <s v="2020/1024"/>
    <s v="788 Garratt Lane"/>
    <s v=""/>
    <n v="526860"/>
    <n v="171851"/>
    <s v="Tooting Broadway"/>
    <m/>
    <m/>
    <n v="0"/>
    <n v="1"/>
    <n v="1"/>
    <n v="3"/>
    <n v="2"/>
    <m/>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m/>
    <s v="Nil"/>
    <m/>
    <s v="BF"/>
    <s v="MIX"/>
    <x v="2"/>
    <x v="2"/>
    <n v="4.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232"/>
    <x v="1"/>
    <s v="2019/3241"/>
    <s v="87 Nightingale Lane"/>
    <s v=""/>
    <n v="528139"/>
    <n v="173962"/>
    <s v="Balham"/>
    <m/>
    <m/>
    <n v="1"/>
    <n v="2"/>
    <n v="1"/>
    <n v="2"/>
    <n v="1"/>
    <m/>
    <s v="Conversion of first and second floors to 2 x 1-bedroom flats."/>
    <s v="PF"/>
    <d v="2019-08-20T00:00:00"/>
    <d v="2019-10-02T00:00:00"/>
    <m/>
    <s v="Nil"/>
    <m/>
    <s v="BF"/>
    <s v="CON"/>
    <x v="2"/>
    <x v="7"/>
    <n v="8.9999999999999993E-3"/>
    <m/>
    <x v="0"/>
    <m/>
    <s v="Open Market"/>
    <s v="M"/>
    <s v=""/>
    <m/>
    <n v="0"/>
    <m/>
    <n v="0"/>
    <m/>
    <n v="0"/>
    <n v="2"/>
    <n v="0"/>
    <n v="-1"/>
    <n v="0"/>
    <n v="0"/>
    <n v="0"/>
    <n v="0"/>
    <n v="2"/>
    <n v="0"/>
    <n v="-1"/>
    <n v="0"/>
    <n v="0"/>
    <n v="0"/>
    <n v="0"/>
    <n v="0"/>
    <n v="0"/>
    <n v="0"/>
    <n v="0"/>
    <n v="0"/>
    <n v="0"/>
    <n v="0"/>
    <n v="0"/>
    <n v="0"/>
    <n v="0"/>
    <n v="0"/>
    <n v="0"/>
    <n v="0"/>
    <m/>
    <m/>
    <s v="Rest of Borough"/>
    <n v="15"/>
    <m/>
    <n v="0.25"/>
    <n v="0.25"/>
    <n v="0.25"/>
    <n v="0.25"/>
    <m/>
    <m/>
    <m/>
    <m/>
    <m/>
    <m/>
    <m/>
    <m/>
    <m/>
    <m/>
    <m/>
    <m/>
    <m/>
    <m/>
    <m/>
    <n v="1"/>
    <n v="1"/>
  </r>
  <r>
    <n v="7482"/>
    <x v="1"/>
    <s v="2020/4014"/>
    <s v="87a Thurleigh Road"/>
    <s v=""/>
    <n v="528070"/>
    <n v="174219"/>
    <s v="Northcote"/>
    <m/>
    <m/>
    <n v="0"/>
    <n v="1"/>
    <n v="1"/>
    <n v="1"/>
    <n v="1"/>
    <m/>
    <s v="Alterations to existing outbuilding in connection with its conversion to a 1 x bedroom self contained residential unit; new roof with rooflights lights, new timber fencing and gate to Wroughton Road with associated refuse and cycle storage."/>
    <s v="PF"/>
    <d v="2020-10-23T00:00:00"/>
    <d v="2020-12-18T00:00:00"/>
    <m/>
    <s v="Nil"/>
    <m/>
    <s v="BF"/>
    <s v="CON"/>
    <x v="2"/>
    <x v="3"/>
    <n v="4.0000000000000001E-3"/>
    <m/>
    <x v="0"/>
    <m/>
    <s v="Open Market"/>
    <s v="M"/>
    <s v=""/>
    <m/>
    <n v="0"/>
    <m/>
    <n v="0"/>
    <m/>
    <n v="0"/>
    <n v="1"/>
    <n v="0"/>
    <n v="0"/>
    <n v="0"/>
    <n v="0"/>
    <n v="0"/>
    <n v="0"/>
    <n v="0"/>
    <n v="0"/>
    <n v="0"/>
    <n v="0"/>
    <n v="0"/>
    <n v="0"/>
    <n v="0"/>
    <n v="1"/>
    <n v="0"/>
    <n v="0"/>
    <n v="0"/>
    <n v="0"/>
    <n v="0"/>
    <n v="0"/>
    <n v="0"/>
    <n v="0"/>
    <n v="0"/>
    <n v="0"/>
    <n v="0"/>
    <n v="0"/>
    <m/>
    <m/>
    <s v="Rest of Borough"/>
    <n v="15"/>
    <m/>
    <n v="0.25"/>
    <n v="0.25"/>
    <n v="0.25"/>
    <n v="0.25"/>
    <m/>
    <m/>
    <m/>
    <m/>
    <m/>
    <m/>
    <m/>
    <m/>
    <m/>
    <m/>
    <m/>
    <m/>
    <m/>
    <m/>
    <m/>
    <n v="1"/>
    <n v="1"/>
  </r>
  <r>
    <n v="7612"/>
    <x v="1"/>
    <s v="2021/1975"/>
    <s v="888 Garratt Lane"/>
    <s v=""/>
    <n v="527126"/>
    <n v="171628"/>
    <s v="Tooting Broadway"/>
    <m/>
    <m/>
    <n v="2"/>
    <n v="3"/>
    <n v="1"/>
    <n v="3"/>
    <n v="1"/>
    <m/>
    <s v="Alterations erection of mansard roof extension to main rear roof and above existing two storey back addition, erection of part single, part two-storey side/rear extension and installation of first floor rear French doors and safety railings in connection with conversion of the property into 1 x 2 bedroom, 1 x 1-bedroom and 1 x studio flats."/>
    <s v="PF"/>
    <d v="2021-05-17T00:00:00"/>
    <d v="2021-07-12T00:00:00"/>
    <m/>
    <s v="Nil"/>
    <m/>
    <s v="BF"/>
    <s v="EXT"/>
    <x v="2"/>
    <x v="2"/>
    <n v="5.2166599999999997E-3"/>
    <m/>
    <x v="0"/>
    <m/>
    <s v="Open Market"/>
    <s v="MR"/>
    <s v=""/>
    <m/>
    <n v="0"/>
    <m/>
    <n v="0"/>
    <m/>
    <n v="1"/>
    <n v="0"/>
    <n v="0"/>
    <n v="0"/>
    <n v="0"/>
    <n v="0"/>
    <n v="0"/>
    <n v="1"/>
    <n v="0"/>
    <n v="0"/>
    <n v="0"/>
    <n v="0"/>
    <n v="0"/>
    <n v="0"/>
    <n v="0"/>
    <n v="0"/>
    <n v="0"/>
    <n v="0"/>
    <n v="0"/>
    <n v="0"/>
    <n v="0"/>
    <n v="0"/>
    <n v="0"/>
    <n v="0"/>
    <n v="0"/>
    <n v="0"/>
    <n v="0"/>
    <n v="0"/>
    <m/>
    <m/>
    <s v="Rest of Borough"/>
    <n v="15"/>
    <m/>
    <n v="0.25"/>
    <n v="0.25"/>
    <n v="0.25"/>
    <n v="0.25"/>
    <m/>
    <m/>
    <m/>
    <m/>
    <m/>
    <m/>
    <m/>
    <m/>
    <m/>
    <m/>
    <m/>
    <m/>
    <m/>
    <m/>
    <m/>
    <n v="1"/>
    <n v="1"/>
  </r>
  <r>
    <n v="7055"/>
    <x v="1"/>
    <s v="2020/2038"/>
    <s v="89 Ramsden Road"/>
    <s v=""/>
    <n v="528371"/>
    <n v="173680"/>
    <s v="Balham"/>
    <m/>
    <m/>
    <n v="0"/>
    <n v="1"/>
    <n v="1"/>
    <n v="5"/>
    <n v="0"/>
    <m/>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m/>
    <s v="Nil"/>
    <m/>
    <s v="BF"/>
    <s v="MIX"/>
    <x v="2"/>
    <x v="2"/>
    <n v="4.0000000000000001E-3"/>
    <m/>
    <x v="0"/>
    <m/>
    <s v="Open Market"/>
    <s v="M"/>
    <s v=""/>
    <m/>
    <n v="0"/>
    <m/>
    <n v="0"/>
    <m/>
    <n v="1"/>
    <n v="0"/>
    <n v="0"/>
    <n v="0"/>
    <n v="0"/>
    <n v="0"/>
    <n v="0"/>
    <n v="1"/>
    <n v="0"/>
    <n v="0"/>
    <n v="0"/>
    <n v="0"/>
    <n v="0"/>
    <n v="0"/>
    <n v="0"/>
    <n v="0"/>
    <n v="0"/>
    <n v="0"/>
    <n v="0"/>
    <n v="0"/>
    <n v="0"/>
    <n v="0"/>
    <n v="0"/>
    <n v="0"/>
    <n v="0"/>
    <n v="0"/>
    <n v="0"/>
    <n v="0"/>
    <m/>
    <m/>
    <s v="Rest of Borough"/>
    <n v="15"/>
    <m/>
    <n v="0.25"/>
    <n v="0.25"/>
    <n v="0.25"/>
    <n v="0.25"/>
    <m/>
    <m/>
    <m/>
    <m/>
    <m/>
    <m/>
    <m/>
    <m/>
    <m/>
    <m/>
    <m/>
    <m/>
    <m/>
    <m/>
    <m/>
    <n v="1"/>
    <n v="1"/>
  </r>
  <r>
    <n v="7641"/>
    <x v="1"/>
    <s v="2021/2393"/>
    <s v="8a Replingham Road"/>
    <s v=""/>
    <n v="524772"/>
    <n v="173253"/>
    <s v="Southfields"/>
    <m/>
    <m/>
    <n v="0"/>
    <n v="1"/>
    <n v="1"/>
    <n v="1"/>
    <n v="1"/>
    <m/>
    <s v="Determination as to whether prior approval is required for change of use from office (Class B1) to 1 x 3 -bedroom house (Class C3)."/>
    <s v="PAG"/>
    <d v="2021-05-25T00:00:00"/>
    <d v="2021-07-15T00:00:00"/>
    <m/>
    <s v="Nil"/>
    <m/>
    <s v="BF"/>
    <s v="COU"/>
    <x v="2"/>
    <x v="6"/>
    <n v="5.0000000000000001E-3"/>
    <m/>
    <x v="0"/>
    <m/>
    <s v="Open Market"/>
    <s v="M"/>
    <s v=""/>
    <m/>
    <n v="0"/>
    <m/>
    <n v="0"/>
    <m/>
    <n v="0"/>
    <n v="0"/>
    <n v="0"/>
    <n v="1"/>
    <n v="0"/>
    <n v="0"/>
    <n v="0"/>
    <n v="0"/>
    <n v="0"/>
    <n v="0"/>
    <n v="0"/>
    <n v="0"/>
    <n v="0"/>
    <n v="0"/>
    <n v="0"/>
    <n v="0"/>
    <n v="0"/>
    <n v="1"/>
    <n v="0"/>
    <n v="0"/>
    <n v="0"/>
    <n v="0"/>
    <n v="0"/>
    <n v="0"/>
    <n v="0"/>
    <n v="0"/>
    <n v="0"/>
    <n v="0"/>
    <m/>
    <m/>
    <s v="Rest of Borough"/>
    <n v="15"/>
    <m/>
    <n v="0.25"/>
    <n v="0.25"/>
    <n v="0.25"/>
    <n v="0.25"/>
    <m/>
    <m/>
    <m/>
    <m/>
    <m/>
    <m/>
    <m/>
    <m/>
    <m/>
    <m/>
    <m/>
    <m/>
    <m/>
    <m/>
    <m/>
    <n v="1"/>
    <n v="1"/>
  </r>
  <r>
    <n v="5308"/>
    <x v="1"/>
    <s v="2018/5949"/>
    <s v="900 Garratt Lane"/>
    <s v=""/>
    <n v="527156"/>
    <n v="171614"/>
    <s v="Tooting Broadway"/>
    <m/>
    <m/>
    <n v="0"/>
    <n v="1"/>
    <n v="1"/>
    <n v="1"/>
    <n v="1"/>
    <m/>
    <s v="Determination as to whether prior approval is required for change of use from office (Class B1) to residential (Class C3)."/>
    <s v="PAG"/>
    <d v="2018-12-17T00:00:00"/>
    <d v="2019-01-30T00:00:00"/>
    <m/>
    <s v="Nil"/>
    <m/>
    <s v="BF"/>
    <s v="COU"/>
    <x v="2"/>
    <x v="6"/>
    <n v="3.0000000000000001E-3"/>
    <m/>
    <x v="0"/>
    <m/>
    <s v="Open Market"/>
    <s v="M"/>
    <s v=""/>
    <m/>
    <n v="0"/>
    <m/>
    <n v="0"/>
    <m/>
    <n v="0"/>
    <n v="1"/>
    <n v="0"/>
    <n v="0"/>
    <n v="0"/>
    <n v="0"/>
    <n v="0"/>
    <n v="0"/>
    <n v="1"/>
    <n v="0"/>
    <n v="0"/>
    <n v="0"/>
    <n v="0"/>
    <n v="0"/>
    <n v="0"/>
    <n v="0"/>
    <n v="0"/>
    <n v="0"/>
    <n v="0"/>
    <n v="0"/>
    <n v="0"/>
    <n v="0"/>
    <n v="0"/>
    <n v="0"/>
    <n v="0"/>
    <n v="0"/>
    <n v="0"/>
    <n v="0"/>
    <m/>
    <m/>
    <s v="Tooting"/>
    <n v="15"/>
    <m/>
    <n v="0.25"/>
    <n v="0.25"/>
    <n v="0.25"/>
    <n v="0.25"/>
    <m/>
    <m/>
    <m/>
    <m/>
    <m/>
    <m/>
    <m/>
    <m/>
    <m/>
    <m/>
    <m/>
    <m/>
    <m/>
    <m/>
    <m/>
    <n v="1"/>
    <n v="1"/>
  </r>
  <r>
    <n v="7148"/>
    <x v="1"/>
    <s v="2019/2504"/>
    <s v="91 St Johns Road"/>
    <s v=""/>
    <n v="527437"/>
    <n v="175150"/>
    <s v="Lavender"/>
    <m/>
    <m/>
    <n v="0"/>
    <n v="1"/>
    <n v="1"/>
    <n v="1"/>
    <n v="1"/>
    <m/>
    <s v="Alterations including erection of a two storey extension (top floor mansard roof); new shopfront; in connection with the change of use of part of the ground floor and the whole of the first floor from retail (Class A1) to create a 1 x 1-bedroom flat (Class C3)."/>
    <s v="PF"/>
    <d v="2019-07-02T00:00:00"/>
    <d v="2019-08-02T00:00:00"/>
    <m/>
    <s v="Nil"/>
    <m/>
    <s v="BF"/>
    <s v="MIX"/>
    <x v="2"/>
    <x v="2"/>
    <n v="1E-3"/>
    <m/>
    <x v="0"/>
    <m/>
    <s v="Open Market"/>
    <s v="M"/>
    <s v=""/>
    <m/>
    <n v="0"/>
    <m/>
    <n v="0"/>
    <m/>
    <n v="0"/>
    <n v="1"/>
    <n v="0"/>
    <n v="0"/>
    <n v="0"/>
    <n v="0"/>
    <n v="0"/>
    <n v="0"/>
    <n v="1"/>
    <n v="0"/>
    <n v="0"/>
    <n v="0"/>
    <n v="0"/>
    <n v="0"/>
    <n v="0"/>
    <n v="0"/>
    <n v="0"/>
    <n v="0"/>
    <n v="0"/>
    <n v="0"/>
    <n v="0"/>
    <n v="0"/>
    <n v="0"/>
    <n v="0"/>
    <n v="0"/>
    <n v="0"/>
    <n v="0"/>
    <n v="0"/>
    <s v="Clapham Junction"/>
    <m/>
    <s v="Clapham Junction Spatial Area Strategy"/>
    <n v="15"/>
    <m/>
    <n v="0.25"/>
    <n v="0.25"/>
    <n v="0.25"/>
    <n v="0.25"/>
    <m/>
    <m/>
    <m/>
    <m/>
    <m/>
    <m/>
    <m/>
    <m/>
    <m/>
    <m/>
    <m/>
    <m/>
    <m/>
    <m/>
    <m/>
    <n v="1"/>
    <n v="1"/>
  </r>
  <r>
    <n v="7098"/>
    <x v="1"/>
    <s v="2019/4024"/>
    <s v="92 East Hill"/>
    <s v=""/>
    <n v="526209"/>
    <n v="174797"/>
    <s v="Wandsworth Town"/>
    <m/>
    <m/>
    <n v="0"/>
    <n v="1"/>
    <n v="1"/>
    <n v="1"/>
    <n v="1"/>
    <m/>
    <s v="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
    <s v="PF"/>
    <d v="2019-09-26T00:00:00"/>
    <d v="2020-02-18T00:00:00"/>
    <m/>
    <s v="Nil"/>
    <m/>
    <s v="BF"/>
    <s v="COU"/>
    <x v="2"/>
    <x v="6"/>
    <n v="1.4E-2"/>
    <m/>
    <x v="0"/>
    <m/>
    <s v="Open Market"/>
    <s v="M"/>
    <s v=""/>
    <m/>
    <n v="0"/>
    <m/>
    <n v="0"/>
    <m/>
    <n v="0"/>
    <n v="0"/>
    <n v="0"/>
    <n v="1"/>
    <n v="0"/>
    <n v="0"/>
    <n v="0"/>
    <n v="0"/>
    <n v="0"/>
    <n v="0"/>
    <n v="1"/>
    <n v="0"/>
    <n v="0"/>
    <n v="0"/>
    <n v="0"/>
    <n v="0"/>
    <n v="0"/>
    <n v="0"/>
    <n v="0"/>
    <n v="0"/>
    <n v="0"/>
    <n v="0"/>
    <n v="0"/>
    <n v="0"/>
    <n v="0"/>
    <n v="0"/>
    <n v="0"/>
    <n v="0"/>
    <m/>
    <m/>
    <s v="Rest of Borough"/>
    <n v="15"/>
    <m/>
    <n v="0.25"/>
    <n v="0.25"/>
    <n v="0.25"/>
    <n v="0.25"/>
    <m/>
    <m/>
    <m/>
    <m/>
    <m/>
    <m/>
    <m/>
    <m/>
    <m/>
    <m/>
    <m/>
    <m/>
    <m/>
    <m/>
    <m/>
    <n v="1"/>
    <n v="1"/>
  </r>
  <r>
    <n v="2202"/>
    <x v="1"/>
    <s v="2018/1370"/>
    <s v="Land adjoining 23, Boundaries Road"/>
    <s v=""/>
    <n v="528351"/>
    <n v="173235"/>
    <s v="Balham"/>
    <m/>
    <m/>
    <n v="0"/>
    <n v="2"/>
    <n v="2"/>
    <n v="2"/>
    <n v="2"/>
    <m/>
    <s v="Erection of a three-storey plus basement detached building to provide 2 x 1-bedroom dwellings with associated landscaping, outdoor amenity space, roof garden, cycle parking and refuse storage. (Amended drawings)"/>
    <s v="PF"/>
    <d v="2018-03-29T00:00:00"/>
    <d v="2018-07-20T00:00:00"/>
    <m/>
    <s v="Nil"/>
    <m/>
    <s v="BF"/>
    <s v="NB"/>
    <x v="2"/>
    <x v="1"/>
    <n v="8.0000000000000002E-3"/>
    <m/>
    <x v="0"/>
    <m/>
    <s v="Open Market"/>
    <s v="M"/>
    <s v=""/>
    <m/>
    <n v="0"/>
    <m/>
    <n v="0"/>
    <m/>
    <n v="0"/>
    <n v="2"/>
    <n v="0"/>
    <n v="0"/>
    <n v="0"/>
    <n v="0"/>
    <n v="0"/>
    <n v="0"/>
    <n v="2"/>
    <n v="0"/>
    <n v="0"/>
    <n v="0"/>
    <n v="0"/>
    <n v="0"/>
    <n v="0"/>
    <n v="0"/>
    <n v="0"/>
    <n v="0"/>
    <n v="0"/>
    <n v="0"/>
    <n v="0"/>
    <n v="0"/>
    <n v="0"/>
    <n v="0"/>
    <n v="0"/>
    <n v="0"/>
    <n v="0"/>
    <n v="0"/>
    <m/>
    <m/>
    <s v="Rest of Borough"/>
    <n v="7"/>
    <m/>
    <m/>
    <n v="0.5"/>
    <n v="0.5"/>
    <n v="0.5"/>
    <n v="0.5"/>
    <m/>
    <m/>
    <m/>
    <m/>
    <m/>
    <m/>
    <m/>
    <m/>
    <m/>
    <m/>
    <m/>
    <m/>
    <m/>
    <m/>
    <n v="2"/>
    <n v="2"/>
  </r>
  <r>
    <n v="7213"/>
    <x v="1"/>
    <s v="2019/2315"/>
    <s v="94 Balham High Road"/>
    <s v=""/>
    <n v="528646"/>
    <n v="173527"/>
    <s v="Balham"/>
    <m/>
    <m/>
    <n v="0"/>
    <n v="1"/>
    <n v="1"/>
    <n v="2"/>
    <n v="2"/>
    <m/>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m/>
    <s v="Nil"/>
    <m/>
    <s v="BF"/>
    <s v="MIX"/>
    <x v="2"/>
    <x v="3"/>
    <n v="2E-3"/>
    <m/>
    <x v="0"/>
    <m/>
    <s v="Open Market"/>
    <s v="M"/>
    <s v=""/>
    <m/>
    <n v="0"/>
    <m/>
    <n v="0"/>
    <m/>
    <n v="0"/>
    <n v="1"/>
    <n v="0"/>
    <n v="0"/>
    <n v="0"/>
    <n v="0"/>
    <n v="0"/>
    <n v="0"/>
    <n v="1"/>
    <n v="0"/>
    <n v="0"/>
    <n v="0"/>
    <n v="0"/>
    <n v="0"/>
    <n v="0"/>
    <n v="0"/>
    <n v="0"/>
    <n v="0"/>
    <n v="0"/>
    <n v="0"/>
    <n v="0"/>
    <n v="0"/>
    <n v="0"/>
    <n v="0"/>
    <n v="0"/>
    <n v="0"/>
    <n v="0"/>
    <n v="0"/>
    <s v="Balham"/>
    <m/>
    <s v="Balham"/>
    <n v="15"/>
    <m/>
    <n v="0.25"/>
    <n v="0.25"/>
    <n v="0.25"/>
    <n v="0.25"/>
    <m/>
    <m/>
    <m/>
    <m/>
    <m/>
    <m/>
    <m/>
    <m/>
    <m/>
    <m/>
    <m/>
    <m/>
    <m/>
    <m/>
    <m/>
    <n v="1"/>
    <n v="1"/>
  </r>
  <r>
    <n v="7213"/>
    <x v="1"/>
    <s v="2019/2315"/>
    <s v="94 Balham High Road"/>
    <s v=""/>
    <n v="528646"/>
    <n v="173527"/>
    <s v="Balham"/>
    <m/>
    <m/>
    <n v="0"/>
    <n v="1"/>
    <n v="1"/>
    <n v="2"/>
    <n v="2"/>
    <m/>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m/>
    <s v="Nil"/>
    <m/>
    <s v="BF"/>
    <s v="MIX"/>
    <x v="2"/>
    <x v="2"/>
    <n v="1E-3"/>
    <m/>
    <x v="0"/>
    <m/>
    <s v="Open Market"/>
    <s v="M"/>
    <s v=""/>
    <m/>
    <n v="0"/>
    <m/>
    <n v="0"/>
    <m/>
    <n v="1"/>
    <n v="0"/>
    <n v="0"/>
    <n v="0"/>
    <n v="0"/>
    <n v="0"/>
    <n v="0"/>
    <n v="1"/>
    <n v="0"/>
    <n v="0"/>
    <n v="0"/>
    <n v="0"/>
    <n v="0"/>
    <n v="0"/>
    <n v="0"/>
    <n v="0"/>
    <n v="0"/>
    <n v="0"/>
    <n v="0"/>
    <n v="0"/>
    <n v="0"/>
    <n v="0"/>
    <n v="0"/>
    <n v="0"/>
    <n v="0"/>
    <n v="0"/>
    <n v="0"/>
    <n v="0"/>
    <s v="Balham"/>
    <m/>
    <s v="Balham"/>
    <n v="15"/>
    <m/>
    <n v="0.25"/>
    <n v="0.25"/>
    <n v="0.25"/>
    <n v="0.25"/>
    <m/>
    <m/>
    <m/>
    <m/>
    <m/>
    <m/>
    <m/>
    <m/>
    <m/>
    <m/>
    <m/>
    <m/>
    <m/>
    <m/>
    <m/>
    <n v="1"/>
    <n v="1"/>
  </r>
  <r>
    <n v="7170"/>
    <x v="1"/>
    <s v="2019/1924"/>
    <s v="97 East Hill"/>
    <s v=""/>
    <n v="526060"/>
    <n v="174693"/>
    <s v="Wandsworth Town"/>
    <m/>
    <m/>
    <n v="0"/>
    <n v="1"/>
    <n v="1"/>
    <n v="1"/>
    <n v="1"/>
    <m/>
    <s v="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
    <s v="PF"/>
    <d v="2019-05-22T00:00:00"/>
    <d v="2019-08-29T00:00:00"/>
    <m/>
    <s v="Nil"/>
    <m/>
    <s v="BF"/>
    <s v="EXT"/>
    <x v="2"/>
    <x v="2"/>
    <n v="2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6608"/>
    <x v="1"/>
    <s v="2021/5718"/>
    <s v="98 Tooting High Street"/>
    <s v=""/>
    <n v="527334"/>
    <n v="171328"/>
    <s v="Tooting Broadway"/>
    <m/>
    <m/>
    <n v="1"/>
    <n v="2"/>
    <n v="1"/>
    <n v="2"/>
    <n v="1"/>
    <m/>
    <s v="Alterations to include the erection of a part single, part two-storey rear extension to provide a 1 x2-bedroom flat."/>
    <s v="PF"/>
    <d v="2022-01-04T00:00:00"/>
    <d v="2022-03-01T00:00:00"/>
    <m/>
    <s v="Nil"/>
    <m/>
    <s v="BF"/>
    <s v="EXT"/>
    <x v="2"/>
    <x v="2"/>
    <n v="7.8659999999999997E-3"/>
    <m/>
    <x v="0"/>
    <m/>
    <s v="Open Market"/>
    <s v="MR"/>
    <s v=""/>
    <m/>
    <n v="0"/>
    <m/>
    <n v="0"/>
    <m/>
    <n v="0"/>
    <n v="0"/>
    <n v="1"/>
    <n v="0"/>
    <n v="0"/>
    <n v="0"/>
    <n v="0"/>
    <n v="0"/>
    <n v="0"/>
    <n v="1"/>
    <n v="0"/>
    <n v="0"/>
    <n v="0"/>
    <n v="0"/>
    <n v="0"/>
    <n v="0"/>
    <n v="0"/>
    <n v="0"/>
    <n v="0"/>
    <n v="0"/>
    <n v="0"/>
    <n v="0"/>
    <n v="0"/>
    <n v="0"/>
    <n v="0"/>
    <n v="0"/>
    <n v="0"/>
    <n v="0"/>
    <m/>
    <m/>
    <s v="Tooting"/>
    <n v="15"/>
    <m/>
    <n v="0.25"/>
    <n v="0.25"/>
    <n v="0.25"/>
    <n v="0.25"/>
    <m/>
    <m/>
    <m/>
    <m/>
    <m/>
    <m/>
    <m/>
    <m/>
    <m/>
    <m/>
    <m/>
    <m/>
    <m/>
    <m/>
    <m/>
    <n v="1"/>
    <n v="1"/>
  </r>
  <r>
    <n v="7661"/>
    <x v="1"/>
    <s v="2021/3174"/>
    <s v="99 Lucien Road"/>
    <s v=""/>
    <n v="528399"/>
    <n v="171433"/>
    <s v="Tooting Bec"/>
    <m/>
    <m/>
    <n v="1"/>
    <n v="2"/>
    <n v="1"/>
    <n v="2"/>
    <n v="1"/>
    <m/>
    <s v="Alterations including erection of mansard roof extension to main rear roof (with French doors and safety railings) and extension above part of two-storey back addition; formation of roof terrace above two-storey back addition with 1.7m high screen surround to create 1x 1-bedroom flat"/>
    <s v="PF"/>
    <d v="2021-07-05T00:00:00"/>
    <d v="2021-09-03T00:00:00"/>
    <m/>
    <s v="Nil"/>
    <m/>
    <s v="BF"/>
    <s v="EXT"/>
    <x v="2"/>
    <x v="2"/>
    <n v="3.8333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336"/>
    <x v="1"/>
    <s v="2020/0503"/>
    <s v="99 St Johns Hill"/>
    <s v=""/>
    <n v="526970"/>
    <n v="175172"/>
    <s v="Wandsworth Town"/>
    <m/>
    <m/>
    <n v="1"/>
    <n v="2"/>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m/>
    <s v="Nil"/>
    <m/>
    <s v="BF"/>
    <s v="MIX"/>
    <x v="2"/>
    <x v="7"/>
    <n v="6.0000000000000001E-3"/>
    <m/>
    <x v="0"/>
    <m/>
    <s v="Open Market"/>
    <s v="M"/>
    <s v=""/>
    <m/>
    <n v="0"/>
    <m/>
    <n v="0"/>
    <m/>
    <n v="1"/>
    <n v="-1"/>
    <n v="1"/>
    <n v="0"/>
    <n v="0"/>
    <n v="0"/>
    <n v="0"/>
    <n v="1"/>
    <n v="-1"/>
    <n v="1"/>
    <n v="0"/>
    <n v="0"/>
    <n v="0"/>
    <n v="0"/>
    <n v="0"/>
    <n v="0"/>
    <n v="0"/>
    <n v="0"/>
    <n v="0"/>
    <n v="0"/>
    <n v="0"/>
    <n v="0"/>
    <n v="0"/>
    <n v="0"/>
    <n v="0"/>
    <n v="0"/>
    <n v="0"/>
    <n v="0"/>
    <m/>
    <m/>
    <s v="Clapham Junction Spatial Area Strategy"/>
    <n v="15"/>
    <m/>
    <n v="0.25"/>
    <n v="0.25"/>
    <n v="0.25"/>
    <n v="0.25"/>
    <m/>
    <m/>
    <m/>
    <m/>
    <m/>
    <m/>
    <m/>
    <m/>
    <m/>
    <m/>
    <m/>
    <m/>
    <m/>
    <m/>
    <m/>
    <n v="1"/>
    <n v="1"/>
  </r>
  <r>
    <n v="7336"/>
    <x v="1"/>
    <s v="2020/0503"/>
    <s v="99 St Johns Hill"/>
    <s v=""/>
    <n v="526970"/>
    <n v="175172"/>
    <s v="Wandsworth Town"/>
    <m/>
    <m/>
    <n v="0"/>
    <n v="1"/>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m/>
    <s v="Nil"/>
    <m/>
    <s v="BF"/>
    <s v="MIX"/>
    <x v="2"/>
    <x v="4"/>
    <n v="6.0000000000000001E-3"/>
    <m/>
    <x v="0"/>
    <m/>
    <s v="Open Market"/>
    <s v="M"/>
    <s v=""/>
    <m/>
    <n v="0"/>
    <m/>
    <n v="0"/>
    <m/>
    <n v="0"/>
    <n v="0"/>
    <n v="1"/>
    <n v="0"/>
    <n v="0"/>
    <n v="0"/>
    <n v="0"/>
    <n v="0"/>
    <n v="0"/>
    <n v="1"/>
    <n v="0"/>
    <n v="0"/>
    <n v="0"/>
    <n v="0"/>
    <n v="0"/>
    <n v="0"/>
    <n v="0"/>
    <n v="0"/>
    <n v="0"/>
    <n v="0"/>
    <n v="0"/>
    <n v="0"/>
    <n v="0"/>
    <n v="0"/>
    <n v="0"/>
    <n v="0"/>
    <n v="0"/>
    <n v="0"/>
    <m/>
    <m/>
    <s v="Clapham Junction Spatial Area Strategy"/>
    <n v="15"/>
    <m/>
    <n v="0.25"/>
    <n v="0.25"/>
    <n v="0.25"/>
    <n v="0.25"/>
    <m/>
    <m/>
    <m/>
    <m/>
    <m/>
    <m/>
    <m/>
    <m/>
    <m/>
    <m/>
    <m/>
    <m/>
    <m/>
    <m/>
    <m/>
    <n v="1"/>
    <n v="1"/>
  </r>
  <r>
    <n v="7336"/>
    <x v="1"/>
    <s v="2020/0503"/>
    <s v="99 St Johns Hill"/>
    <s v=""/>
    <n v="526970"/>
    <n v="175172"/>
    <s v="Wandsworth Town"/>
    <m/>
    <m/>
    <n v="0"/>
    <n v="1"/>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m/>
    <s v="Nil"/>
    <m/>
    <s v="BF"/>
    <s v="MIX"/>
    <x v="2"/>
    <x v="2"/>
    <n v="3.0000000000000001E-3"/>
    <m/>
    <x v="0"/>
    <m/>
    <s v="Open Market"/>
    <s v="M"/>
    <s v=""/>
    <m/>
    <n v="0"/>
    <m/>
    <n v="0"/>
    <m/>
    <n v="0"/>
    <n v="1"/>
    <n v="0"/>
    <n v="0"/>
    <n v="0"/>
    <n v="0"/>
    <n v="0"/>
    <n v="0"/>
    <n v="1"/>
    <n v="0"/>
    <n v="0"/>
    <n v="0"/>
    <n v="0"/>
    <n v="0"/>
    <n v="0"/>
    <n v="0"/>
    <n v="0"/>
    <n v="0"/>
    <n v="0"/>
    <n v="0"/>
    <n v="0"/>
    <n v="0"/>
    <n v="0"/>
    <n v="0"/>
    <n v="0"/>
    <n v="0"/>
    <n v="0"/>
    <n v="0"/>
    <m/>
    <m/>
    <s v="Clapham Junction Spatial Area Strategy"/>
    <n v="15"/>
    <m/>
    <n v="0.25"/>
    <n v="0.25"/>
    <n v="0.25"/>
    <n v="0.25"/>
    <m/>
    <m/>
    <m/>
    <m/>
    <m/>
    <m/>
    <m/>
    <m/>
    <m/>
    <m/>
    <m/>
    <m/>
    <m/>
    <m/>
    <m/>
    <n v="1"/>
    <n v="1"/>
  </r>
  <r>
    <n v="7466"/>
    <x v="1"/>
    <s v="2020/3110"/>
    <s v="A &amp; B, 38 Comyn Road"/>
    <s v=""/>
    <n v="527275"/>
    <n v="175225"/>
    <s v="Lavender"/>
    <m/>
    <m/>
    <n v="0"/>
    <n v="1"/>
    <n v="1"/>
    <n v="2"/>
    <n v="1"/>
    <m/>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m/>
    <s v="Nil"/>
    <m/>
    <s v="BF"/>
    <s v="MIX"/>
    <x v="2"/>
    <x v="7"/>
    <n v="8.9999999999999993E-3"/>
    <m/>
    <x v="0"/>
    <m/>
    <s v="Open Market"/>
    <s v="M"/>
    <s v=""/>
    <m/>
    <n v="0"/>
    <m/>
    <n v="0"/>
    <m/>
    <n v="0"/>
    <n v="0"/>
    <n v="0"/>
    <n v="1"/>
    <n v="0"/>
    <n v="0"/>
    <n v="0"/>
    <n v="0"/>
    <n v="0"/>
    <n v="0"/>
    <n v="1"/>
    <n v="0"/>
    <n v="0"/>
    <n v="0"/>
    <n v="0"/>
    <n v="0"/>
    <n v="0"/>
    <n v="0"/>
    <n v="0"/>
    <n v="0"/>
    <n v="0"/>
    <n v="0"/>
    <n v="0"/>
    <n v="0"/>
    <n v="0"/>
    <n v="0"/>
    <n v="0"/>
    <n v="0"/>
    <m/>
    <m/>
    <s v="Clapham Junction Spatial Area Strategy"/>
    <n v="15"/>
    <m/>
    <n v="0.25"/>
    <n v="0.25"/>
    <n v="0.25"/>
    <n v="0.25"/>
    <m/>
    <m/>
    <m/>
    <m/>
    <m/>
    <m/>
    <m/>
    <m/>
    <m/>
    <m/>
    <m/>
    <m/>
    <m/>
    <m/>
    <m/>
    <n v="1"/>
    <n v="1"/>
  </r>
  <r>
    <n v="7662"/>
    <x v="1"/>
    <s v="2021/3198"/>
    <s v="34-36 Thurleigh Road"/>
    <s v=""/>
    <n v="527933"/>
    <n v="174081"/>
    <s v="Balham"/>
    <m/>
    <m/>
    <n v="2"/>
    <n v="2"/>
    <n v="0"/>
    <n v="2"/>
    <n v="0"/>
    <m/>
    <s v="Demolition of one semi-detached and one detached dwellings and erection of three -storey (plus basement) 4-bedroom semi-detached dwellings."/>
    <s v="PF"/>
    <d v="2021-07-06T00:00:00"/>
    <d v="2021-12-22T00:00:00"/>
    <m/>
    <s v="Nil"/>
    <m/>
    <s v="BF"/>
    <s v="NB"/>
    <x v="2"/>
    <x v="1"/>
    <n v="1.7874999999999999E-2"/>
    <m/>
    <x v="0"/>
    <m/>
    <s v="Open Market"/>
    <s v="M"/>
    <s v=""/>
    <m/>
    <n v="0"/>
    <m/>
    <n v="0"/>
    <m/>
    <n v="0"/>
    <n v="0"/>
    <n v="0"/>
    <n v="-2"/>
    <n v="2"/>
    <n v="0"/>
    <n v="0"/>
    <n v="0"/>
    <n v="0"/>
    <n v="0"/>
    <n v="0"/>
    <n v="0"/>
    <n v="0"/>
    <n v="0"/>
    <n v="0"/>
    <n v="0"/>
    <n v="0"/>
    <n v="-2"/>
    <n v="2"/>
    <n v="0"/>
    <n v="0"/>
    <n v="0"/>
    <n v="0"/>
    <n v="0"/>
    <n v="0"/>
    <n v="0"/>
    <n v="0"/>
    <n v="0"/>
    <m/>
    <m/>
    <s v="Rest of Borough"/>
    <n v="7"/>
    <m/>
    <m/>
    <n v="0"/>
    <n v="0"/>
    <n v="0"/>
    <n v="0"/>
    <m/>
    <m/>
    <m/>
    <m/>
    <m/>
    <m/>
    <m/>
    <m/>
    <m/>
    <m/>
    <m/>
    <m/>
    <m/>
    <m/>
    <n v="0"/>
    <n v="0"/>
  </r>
  <r>
    <n v="6798"/>
    <x v="1"/>
    <s v="2021/4064"/>
    <s v="Land rear of 958 Garratt Lane, 28 Garratt Terrace"/>
    <s v=""/>
    <n v="527317"/>
    <n v="171519"/>
    <s v="Tooting Broadway"/>
    <m/>
    <m/>
    <n v="0"/>
    <n v="2"/>
    <n v="2"/>
    <n v="2"/>
    <n v="2"/>
    <m/>
    <s v="Erection of a two-storey house fronting Garratt Terrace with singlestorey rear projection, basement, habitable roof space, first floor balcony and associated refuse and cycle storage to comprise 1x3- bedroom and 1x1-bedroom flats."/>
    <s v="PF"/>
    <d v="2021-09-15T00:00:00"/>
    <d v="2022-01-26T00:00:00"/>
    <m/>
    <s v="Nil"/>
    <m/>
    <s v="BF"/>
    <s v="NB"/>
    <x v="2"/>
    <x v="1"/>
    <n v="5.0666000000000001E-3"/>
    <m/>
    <x v="0"/>
    <m/>
    <s v="Open Market"/>
    <s v="M"/>
    <s v=""/>
    <m/>
    <n v="0"/>
    <m/>
    <n v="0"/>
    <m/>
    <n v="0"/>
    <n v="1"/>
    <n v="0"/>
    <n v="1"/>
    <n v="0"/>
    <n v="0"/>
    <n v="0"/>
    <n v="0"/>
    <n v="1"/>
    <n v="0"/>
    <n v="1"/>
    <n v="0"/>
    <n v="0"/>
    <n v="0"/>
    <n v="0"/>
    <n v="0"/>
    <n v="0"/>
    <n v="0"/>
    <n v="0"/>
    <n v="0"/>
    <n v="0"/>
    <n v="0"/>
    <n v="0"/>
    <n v="0"/>
    <n v="0"/>
    <n v="0"/>
    <n v="0"/>
    <n v="0"/>
    <m/>
    <m/>
    <s v="Tooting"/>
    <n v="7"/>
    <m/>
    <m/>
    <n v="0.5"/>
    <n v="0.5"/>
    <n v="0.5"/>
    <n v="0.5"/>
    <m/>
    <m/>
    <m/>
    <m/>
    <m/>
    <m/>
    <m/>
    <m/>
    <m/>
    <m/>
    <m/>
    <m/>
    <m/>
    <m/>
    <n v="2"/>
    <n v="2"/>
  </r>
  <r>
    <n v="7860"/>
    <x v="1"/>
    <s v="2022/2370"/>
    <s v="1 Furzedown Drive"/>
    <s v=""/>
    <n v="528722"/>
    <n v="171376"/>
    <s v="Furzedown"/>
    <m/>
    <m/>
    <n v="0"/>
    <n v="1"/>
    <n v="1"/>
    <n v="1"/>
    <n v="1"/>
    <m/>
    <s v="Demolition of the existing single-storey garage and construction of a single-storey dwellinghouse."/>
    <s v="PF"/>
    <d v="2022-06-08T00:00:00"/>
    <d v="2022-08-03T00:00:00"/>
    <s v="Y"/>
    <s v="Nil"/>
    <m/>
    <s v="Gdn"/>
    <s v="NB"/>
    <x v="2"/>
    <x v="1"/>
    <n v="4.2399999999999998E-3"/>
    <m/>
    <x v="0"/>
    <m/>
    <s v="Open Market"/>
    <s v="M"/>
    <s v=""/>
    <m/>
    <n v="0"/>
    <m/>
    <n v="0"/>
    <m/>
    <n v="0"/>
    <n v="1"/>
    <n v="0"/>
    <n v="0"/>
    <n v="0"/>
    <n v="0"/>
    <n v="0"/>
    <n v="0"/>
    <n v="0"/>
    <n v="0"/>
    <n v="0"/>
    <n v="0"/>
    <n v="0"/>
    <n v="0"/>
    <n v="0"/>
    <n v="1"/>
    <n v="0"/>
    <n v="0"/>
    <n v="0"/>
    <n v="0"/>
    <n v="0"/>
    <n v="0"/>
    <n v="0"/>
    <n v="0"/>
    <n v="0"/>
    <n v="0"/>
    <n v="0"/>
    <n v="0"/>
    <m/>
    <m/>
    <s v="Rest of Borough"/>
    <n v="7"/>
    <m/>
    <m/>
    <n v="0.25"/>
    <n v="0.25"/>
    <n v="0.25"/>
    <n v="0.25"/>
    <m/>
    <m/>
    <m/>
    <m/>
    <m/>
    <m/>
    <m/>
    <m/>
    <m/>
    <m/>
    <m/>
    <m/>
    <m/>
    <m/>
    <n v="1"/>
    <n v="1"/>
  </r>
  <r>
    <n v="7869"/>
    <x v="1"/>
    <s v="2022/2788"/>
    <s v="Alexander Studios, Unit 4 Haydon Way (The Courtyard)"/>
    <s v=""/>
    <n v="526537"/>
    <n v="175110"/>
    <s v="Wandsworth Town"/>
    <m/>
    <m/>
    <n v="0"/>
    <n v="1"/>
    <n v="1"/>
    <n v="1"/>
    <n v="1"/>
    <m/>
    <s v="Change of use from a photography studio (Class E) into a 3-bed flat (Class C3)."/>
    <s v="PF"/>
    <d v="2022-07-26T00:00:00"/>
    <d v="2022-09-20T00:00:00"/>
    <s v="Y"/>
    <s v="Nil"/>
    <m/>
    <s v="BF"/>
    <s v="CON"/>
    <x v="2"/>
    <x v="4"/>
    <n v="1.3599999999999999E-2"/>
    <m/>
    <x v="0"/>
    <m/>
    <s v="Open Market"/>
    <s v="M"/>
    <s v=""/>
    <m/>
    <n v="0"/>
    <m/>
    <n v="0"/>
    <m/>
    <n v="0"/>
    <n v="0"/>
    <n v="0"/>
    <n v="1"/>
    <n v="0"/>
    <n v="0"/>
    <n v="0"/>
    <n v="0"/>
    <n v="0"/>
    <n v="0"/>
    <n v="1"/>
    <n v="0"/>
    <n v="0"/>
    <n v="0"/>
    <n v="0"/>
    <n v="0"/>
    <n v="0"/>
    <n v="0"/>
    <n v="0"/>
    <n v="0"/>
    <n v="0"/>
    <n v="0"/>
    <n v="0"/>
    <n v="0"/>
    <n v="0"/>
    <n v="0"/>
    <n v="0"/>
    <n v="0"/>
    <m/>
    <m/>
    <s v="Rest of Borough"/>
    <n v="15"/>
    <m/>
    <n v="0.25"/>
    <n v="0.25"/>
    <n v="0.25"/>
    <n v="0.25"/>
    <m/>
    <m/>
    <m/>
    <m/>
    <m/>
    <m/>
    <m/>
    <m/>
    <m/>
    <m/>
    <m/>
    <m/>
    <m/>
    <m/>
    <m/>
    <n v="1"/>
    <n v="1"/>
  </r>
  <r>
    <n v="7460"/>
    <x v="1"/>
    <s v="2020/3361"/>
    <s v="and Flat B 790, 788 Garratt Lane"/>
    <s v=""/>
    <n v="526862"/>
    <n v="171849"/>
    <s v="Tooting Broadway"/>
    <m/>
    <m/>
    <n v="1"/>
    <n v="2"/>
    <n v="1"/>
    <n v="3"/>
    <n v="2"/>
    <m/>
    <s v="Erection of a part single and part two-storey side/rear extension, erection of a dormer roof extension to main rear slope (with French doors and safety railings) and extension above part of rear addition to facilitate the conversion of the property into 4 x 1-bedroom self contained flats at 788 Garratt Lane. Construction of a rear extension at the first floor at 790 Garratt Lane._x000a__x000a_*RE-CONSULTATION FOR AMENDED DESCRIPTION*"/>
    <s v="PF"/>
    <d v="2020-09-09T00:00:00"/>
    <d v="2021-07-13T00:00:00"/>
    <m/>
    <s v="Nil"/>
    <m/>
    <s v="BF"/>
    <s v="MIX"/>
    <x v="2"/>
    <x v="7"/>
    <n v="1.4999999999999999E-2"/>
    <m/>
    <x v="0"/>
    <m/>
    <s v="Open Market"/>
    <s v="M"/>
    <s v=""/>
    <m/>
    <n v="0"/>
    <m/>
    <n v="0"/>
    <m/>
    <n v="0"/>
    <n v="2"/>
    <n v="-1"/>
    <n v="0"/>
    <n v="0"/>
    <n v="0"/>
    <n v="0"/>
    <n v="0"/>
    <n v="2"/>
    <n v="-1"/>
    <n v="0"/>
    <n v="0"/>
    <n v="0"/>
    <n v="0"/>
    <n v="0"/>
    <n v="0"/>
    <n v="0"/>
    <n v="0"/>
    <n v="0"/>
    <n v="0"/>
    <n v="0"/>
    <n v="0"/>
    <n v="0"/>
    <n v="0"/>
    <n v="0"/>
    <n v="0"/>
    <n v="0"/>
    <n v="0"/>
    <m/>
    <m/>
    <s v="Rest of Borough"/>
    <n v="15"/>
    <m/>
    <n v="0.25"/>
    <n v="0.25"/>
    <n v="0.25"/>
    <n v="0.25"/>
    <m/>
    <m/>
    <m/>
    <m/>
    <m/>
    <m/>
    <m/>
    <m/>
    <m/>
    <m/>
    <m/>
    <m/>
    <m/>
    <m/>
    <m/>
    <n v="1"/>
    <n v="1"/>
  </r>
  <r>
    <n v="7460"/>
    <x v="1"/>
    <s v="2020/3361"/>
    <s v="and Flat B 790, 788 Garratt Lane"/>
    <s v=""/>
    <n v="526862"/>
    <n v="171849"/>
    <s v="Tooting Broadway"/>
    <m/>
    <m/>
    <n v="0"/>
    <n v="1"/>
    <n v="1"/>
    <n v="3"/>
    <n v="2"/>
    <m/>
    <s v="Erection of a part single and part two-storey side/rear extension, erection of a dormer roof extension to main rear slope (with French doors and safety railings) and extension above part of rear addition to facilitate the conversion of the property into 4 x 1-bedroom self contained flats at 788 Garratt Lane. Construction of a rear extension at the first floor at 790 Garratt Lane._x000a__x000a_*RE-CONSULTATION FOR AMENDED DESCRIPTION*"/>
    <s v="PF"/>
    <d v="2020-09-09T00:00:00"/>
    <d v="2021-07-13T00:00:00"/>
    <m/>
    <s v="Nil"/>
    <m/>
    <s v="BF"/>
    <s v="MIX"/>
    <x v="2"/>
    <x v="2"/>
    <n v="6.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4565"/>
    <x v="1"/>
    <s v="2022/1322"/>
    <s v="131 Penwith Road"/>
    <s v=""/>
    <n v="525828"/>
    <n v="173035"/>
    <s v="Southfields"/>
    <m/>
    <m/>
    <n v="1"/>
    <n v="3"/>
    <n v="2"/>
    <n v="3"/>
    <n v="2"/>
    <m/>
    <s v="Demolition of the existing building and the erection of a replacement two-storey (plus roof) building, to create 3 self contained flats (2 x 1-bedroom and 1 x 2-bedroom) with formation of rear terraces at first and second floor levels with glass balustrade."/>
    <s v="PF"/>
    <d v="2022-04-05T00:00:00"/>
    <d v="2022-08-02T00:00:00"/>
    <s v="Y"/>
    <s v="Nil"/>
    <m/>
    <s v="BF"/>
    <s v="NB"/>
    <x v="2"/>
    <x v="1"/>
    <n v="6.0000000000000001E-3"/>
    <m/>
    <x v="0"/>
    <m/>
    <s v="Open Market"/>
    <s v="MR"/>
    <s v=""/>
    <m/>
    <n v="0"/>
    <m/>
    <n v="0"/>
    <m/>
    <n v="0"/>
    <n v="1"/>
    <n v="1"/>
    <n v="0"/>
    <n v="0"/>
    <n v="0"/>
    <n v="0"/>
    <n v="0"/>
    <n v="1"/>
    <n v="1"/>
    <n v="0"/>
    <n v="0"/>
    <n v="0"/>
    <n v="0"/>
    <n v="0"/>
    <n v="0"/>
    <n v="0"/>
    <n v="0"/>
    <n v="0"/>
    <n v="0"/>
    <n v="0"/>
    <n v="0"/>
    <n v="0"/>
    <n v="0"/>
    <n v="0"/>
    <n v="0"/>
    <n v="0"/>
    <n v="0"/>
    <m/>
    <m/>
    <s v="The Wandle Valley"/>
    <n v="7"/>
    <m/>
    <m/>
    <n v="0.5"/>
    <n v="0.5"/>
    <n v="0.5"/>
    <n v="0.5"/>
    <m/>
    <m/>
    <m/>
    <m/>
    <m/>
    <m/>
    <m/>
    <m/>
    <m/>
    <m/>
    <m/>
    <m/>
    <m/>
    <m/>
    <n v="2"/>
    <n v="2"/>
  </r>
  <r>
    <n v="7528"/>
    <x v="1"/>
    <s v="2022/0643"/>
    <s v="Basement and Ground Floor, 176 Battersea Park Road"/>
    <s v=""/>
    <n v="527858"/>
    <n v="176582"/>
    <s v="Battersea Park"/>
    <m/>
    <m/>
    <n v="0"/>
    <n v="1"/>
    <n v="1"/>
    <n v="1"/>
    <n v="1"/>
    <m/>
    <s v="Alterations including erection of single-storey rear extension and excavations to enlarge existing basement to facilitate the formation of 1 x 2-bedroom flat with cycle and refuse storage. Part change of use of retail unit (Class E)  to residenrtial (Class C3)."/>
    <s v="PF"/>
    <d v="2022-03-01T00:00:00"/>
    <d v="2022-08-19T00:00:00"/>
    <s v="Y"/>
    <s v="Nil"/>
    <m/>
    <s v="BF"/>
    <s v="CON"/>
    <x v="2"/>
    <x v="4"/>
    <n v="5.0000000000000001E-3"/>
    <m/>
    <x v="0"/>
    <m/>
    <s v="Open Market"/>
    <s v="MR"/>
    <s v=""/>
    <m/>
    <n v="0"/>
    <m/>
    <n v="0"/>
    <m/>
    <n v="0"/>
    <n v="0"/>
    <n v="1"/>
    <n v="0"/>
    <n v="0"/>
    <n v="0"/>
    <n v="0"/>
    <n v="0"/>
    <n v="0"/>
    <n v="1"/>
    <n v="0"/>
    <n v="0"/>
    <n v="0"/>
    <n v="0"/>
    <n v="0"/>
    <n v="0"/>
    <n v="0"/>
    <n v="0"/>
    <n v="0"/>
    <n v="0"/>
    <n v="0"/>
    <n v="0"/>
    <n v="0"/>
    <n v="0"/>
    <n v="0"/>
    <n v="0"/>
    <n v="0"/>
    <n v="0"/>
    <m/>
    <m/>
    <s v="Rest of Borough"/>
    <n v="15"/>
    <m/>
    <n v="0.25"/>
    <n v="0.25"/>
    <n v="0.25"/>
    <n v="0.25"/>
    <m/>
    <m/>
    <m/>
    <m/>
    <m/>
    <m/>
    <m/>
    <m/>
    <m/>
    <m/>
    <m/>
    <m/>
    <m/>
    <m/>
    <m/>
    <n v="1"/>
    <n v="1"/>
  </r>
  <r>
    <n v="6711"/>
    <x v="1"/>
    <s v="2022/3530"/>
    <s v="Basement and Ground floor, 77 Lower Richmond Road"/>
    <s v=""/>
    <n v="523785"/>
    <n v="175744"/>
    <s v="Thamesfield"/>
    <m/>
    <m/>
    <n v="0"/>
    <n v="1"/>
    <n v="1"/>
    <n v="1"/>
    <n v="1"/>
    <m/>
    <s v="Alterations including excavation to enlarge basement, formation of front lightwell, erection of single-storey rear extension, re-siting of rear external staircase in connection with change of use of ground floor and basement from retail (Class E) to residential (class C3) and office (Class E) to provide 1 x 1-bedroom flat with associated bin and cycle storage at rear."/>
    <s v="PF"/>
    <d v="2022-09-26T00:00:00"/>
    <d v="2022-11-18T00:00:00"/>
    <s v="Y"/>
    <s v="Nil"/>
    <m/>
    <s v="BF"/>
    <s v="COU"/>
    <x v="2"/>
    <x v="4"/>
    <n v="5.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643"/>
    <x v="1"/>
    <s v="2021/5111"/>
    <s v="Basement and Ground Floors, 200 Battersea Park Road"/>
    <s v=""/>
    <n v="527806"/>
    <n v="176545"/>
    <s v="Battersea Park"/>
    <m/>
    <m/>
    <n v="0"/>
    <n v="1"/>
    <n v="1"/>
    <n v="1"/>
    <n v="1"/>
    <m/>
    <s v="Alterations including installation of rear window and door in connection with change of use from retail (Class E) to 1 x 1-bedroom flat (Class C3)."/>
    <s v="PF"/>
    <d v="2022-01-11T00:00:00"/>
    <d v="2022-02-07T00:00:00"/>
    <m/>
    <s v="Nil"/>
    <m/>
    <s v="BF"/>
    <s v="COU"/>
    <x v="2"/>
    <x v="4"/>
    <n v="2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5442"/>
    <x v="1"/>
    <s v="2013/3516"/>
    <s v="70A Ravensbury Road"/>
    <s v=""/>
    <n v="525614"/>
    <n v="172864"/>
    <s v="Southfields"/>
    <d v="2014-03-31T00:00:00"/>
    <m/>
    <n v="0"/>
    <n v="1"/>
    <n v="1"/>
    <n v="1"/>
    <n v="1"/>
    <m/>
    <s v="Demolition of existing workshop. Erection of two-storey, 1-bedroom house with first floor level terrace to rear."/>
    <s v="PF"/>
    <d v="2013-07-15T00:00:00"/>
    <d v="2013-10-11T00:00:00"/>
    <m/>
    <s v="Nil"/>
    <m/>
    <s v="BF"/>
    <s v="NB"/>
    <x v="2"/>
    <x v="1"/>
    <n v="4.0000000000000001E-3"/>
    <m/>
    <x v="0"/>
    <m/>
    <s v="Open Market"/>
    <s v="M"/>
    <s v=""/>
    <m/>
    <n v="0"/>
    <m/>
    <n v="0"/>
    <m/>
    <n v="0"/>
    <n v="1"/>
    <n v="0"/>
    <n v="0"/>
    <n v="0"/>
    <n v="0"/>
    <n v="0"/>
    <n v="0"/>
    <n v="0"/>
    <n v="0"/>
    <n v="0"/>
    <n v="0"/>
    <n v="0"/>
    <n v="0"/>
    <n v="0"/>
    <n v="1"/>
    <n v="0"/>
    <n v="0"/>
    <n v="0"/>
    <n v="0"/>
    <n v="0"/>
    <n v="0"/>
    <n v="0"/>
    <n v="0"/>
    <n v="0"/>
    <n v="0"/>
    <n v="0"/>
    <n v="0"/>
    <m/>
    <m/>
    <s v="The Wandle Valley"/>
    <n v="7"/>
    <m/>
    <m/>
    <n v="0.25"/>
    <n v="0.25"/>
    <n v="0.25"/>
    <n v="0.25"/>
    <m/>
    <m/>
    <m/>
    <m/>
    <m/>
    <m/>
    <m/>
    <m/>
    <m/>
    <m/>
    <m/>
    <m/>
    <m/>
    <m/>
    <n v="1"/>
    <n v="1"/>
  </r>
  <r>
    <n v="1765"/>
    <x v="1"/>
    <s v="2018/3590"/>
    <s v="Broadway Centre, 10 Gatton Road (Broadwater Lofts)"/>
    <s v=""/>
    <n v="527401"/>
    <n v="171784"/>
    <s v="Tooting Bec"/>
    <m/>
    <m/>
    <n v="0"/>
    <n v="1"/>
    <n v="1"/>
    <n v="1"/>
    <n v="1"/>
    <m/>
    <s v="Alterations including formation of a front lightwell with railing surround in connection with conversion of part basement into 1 x studio flat."/>
    <s v="PF"/>
    <d v="2018-07-23T00:00:00"/>
    <d v="2018-09-17T00:00:00"/>
    <m/>
    <s v="Nil"/>
    <m/>
    <s v="BF"/>
    <s v="CON"/>
    <x v="2"/>
    <x v="2"/>
    <n v="6.0000000000000001E-3"/>
    <m/>
    <x v="0"/>
    <m/>
    <s v="Open Market"/>
    <s v="M"/>
    <s v=""/>
    <m/>
    <n v="0"/>
    <m/>
    <n v="0"/>
    <m/>
    <n v="1"/>
    <n v="0"/>
    <n v="0"/>
    <n v="0"/>
    <n v="0"/>
    <n v="0"/>
    <n v="0"/>
    <n v="1"/>
    <n v="0"/>
    <n v="0"/>
    <n v="0"/>
    <n v="0"/>
    <n v="0"/>
    <n v="0"/>
    <n v="0"/>
    <n v="0"/>
    <n v="0"/>
    <n v="0"/>
    <n v="0"/>
    <n v="0"/>
    <n v="0"/>
    <n v="0"/>
    <n v="0"/>
    <n v="0"/>
    <n v="0"/>
    <n v="0"/>
    <n v="0"/>
    <n v="0"/>
    <m/>
    <m/>
    <s v="Rest of Borough"/>
    <n v="15"/>
    <m/>
    <n v="0.25"/>
    <n v="0.25"/>
    <n v="0.25"/>
    <n v="0.25"/>
    <m/>
    <m/>
    <m/>
    <m/>
    <m/>
    <m/>
    <m/>
    <m/>
    <m/>
    <m/>
    <m/>
    <m/>
    <m/>
    <m/>
    <m/>
    <n v="1"/>
    <n v="1"/>
  </r>
  <r>
    <n v="2390"/>
    <x v="1"/>
    <s v="2017/6507"/>
    <s v="Land between 1 and 3, 1a Wimbledon Park Road"/>
    <s v=""/>
    <n v="525245"/>
    <n v="174192"/>
    <s v="East Putney"/>
    <m/>
    <m/>
    <n v="0"/>
    <n v="1"/>
    <n v="1"/>
    <n v="1"/>
    <n v="1"/>
    <m/>
    <s v="Erection of a two-storey (basement and ground floor), 4-bedroom house including sunken courtyard, off-street parking, associated landscaping and alterations to boundary treatment included raised front boundary wall and trellis."/>
    <s v="PF"/>
    <d v="2017-11-24T00:00:00"/>
    <d v="2018-04-19T00:00:00"/>
    <m/>
    <s v="Nil"/>
    <m/>
    <s v="Gdn"/>
    <s v="NB"/>
    <x v="2"/>
    <x v="1"/>
    <n v="1.7000000000000001E-2"/>
    <m/>
    <x v="0"/>
    <m/>
    <s v="Open Market"/>
    <s v="M"/>
    <s v=""/>
    <m/>
    <n v="0"/>
    <m/>
    <n v="0"/>
    <m/>
    <n v="0"/>
    <n v="0"/>
    <n v="0"/>
    <n v="0"/>
    <n v="1"/>
    <n v="0"/>
    <n v="0"/>
    <n v="0"/>
    <n v="0"/>
    <n v="0"/>
    <n v="0"/>
    <n v="0"/>
    <n v="0"/>
    <n v="0"/>
    <n v="0"/>
    <n v="0"/>
    <n v="0"/>
    <n v="0"/>
    <n v="1"/>
    <n v="0"/>
    <n v="0"/>
    <n v="0"/>
    <n v="0"/>
    <n v="0"/>
    <n v="0"/>
    <n v="0"/>
    <n v="0"/>
    <n v="0"/>
    <m/>
    <m/>
    <s v="Rest of Borough"/>
    <n v="7"/>
    <m/>
    <m/>
    <n v="0.25"/>
    <n v="0.25"/>
    <n v="0.25"/>
    <n v="0.25"/>
    <m/>
    <m/>
    <m/>
    <m/>
    <m/>
    <m/>
    <m/>
    <m/>
    <m/>
    <m/>
    <m/>
    <m/>
    <m/>
    <m/>
    <n v="1"/>
    <n v="1"/>
  </r>
  <r>
    <n v="7455"/>
    <x v="1"/>
    <s v="2020/2945"/>
    <s v="First and Second Floor, 162 Battersea Park Road"/>
    <s v=""/>
    <n v="527895"/>
    <n v="176598"/>
    <s v="Battersea Park"/>
    <m/>
    <m/>
    <n v="1"/>
    <n v="2"/>
    <n v="1"/>
    <n v="2"/>
    <n v="1"/>
    <m/>
    <s v="Alterations including erection of mansard roof extension to main rear roof and erection of infill to first floor extension in connection with the conversion of 1 x 4 bedroom flat into 2 x 1 bedroom flats."/>
    <s v="PF"/>
    <d v="2020-08-10T00:00:00"/>
    <d v="2021-03-16T00:00:00"/>
    <m/>
    <s v="Nil"/>
    <m/>
    <s v="BF"/>
    <s v="CON"/>
    <x v="2"/>
    <x v="7"/>
    <n v="7.0000000000000001E-3"/>
    <m/>
    <x v="0"/>
    <m/>
    <s v="Open Market"/>
    <s v="M"/>
    <s v=""/>
    <m/>
    <n v="0"/>
    <m/>
    <n v="0"/>
    <m/>
    <n v="0"/>
    <n v="2"/>
    <n v="0"/>
    <n v="0"/>
    <n v="-1"/>
    <n v="0"/>
    <n v="0"/>
    <n v="0"/>
    <n v="2"/>
    <n v="0"/>
    <n v="0"/>
    <n v="-1"/>
    <n v="0"/>
    <n v="0"/>
    <n v="0"/>
    <n v="0"/>
    <n v="0"/>
    <n v="0"/>
    <n v="0"/>
    <n v="0"/>
    <n v="0"/>
    <n v="0"/>
    <n v="0"/>
    <n v="0"/>
    <n v="0"/>
    <n v="0"/>
    <n v="0"/>
    <n v="0"/>
    <m/>
    <m/>
    <s v="Rest of Borough"/>
    <n v="15"/>
    <m/>
    <n v="0.25"/>
    <n v="0.25"/>
    <n v="0.25"/>
    <n v="0.25"/>
    <m/>
    <m/>
    <m/>
    <m/>
    <m/>
    <m/>
    <m/>
    <m/>
    <m/>
    <m/>
    <m/>
    <m/>
    <m/>
    <m/>
    <m/>
    <n v="1"/>
    <n v="1"/>
  </r>
  <r>
    <n v="7248"/>
    <x v="1"/>
    <s v="2019/3459"/>
    <s v="Flat First Floor, 36a Putney High Street"/>
    <s v=""/>
    <n v="524095"/>
    <n v="175524"/>
    <s v="Thamesfield"/>
    <m/>
    <m/>
    <n v="1"/>
    <n v="2"/>
    <n v="1"/>
    <n v="2"/>
    <n v="1"/>
    <m/>
    <s v="Alterations in connection with conversion of flat into 2 x 1-bedroom flats. (description incorrect as per email confirmation)"/>
    <s v="PF"/>
    <d v="2019-09-12T00:00:00"/>
    <d v="2020-06-01T00:00:00"/>
    <m/>
    <s v="Nil"/>
    <m/>
    <s v="BF"/>
    <s v="CON"/>
    <x v="2"/>
    <x v="2"/>
    <n v="7.0000000000000001E-3"/>
    <m/>
    <x v="0"/>
    <m/>
    <s v="Open Market"/>
    <s v="M"/>
    <s v=""/>
    <m/>
    <n v="0"/>
    <m/>
    <n v="0"/>
    <m/>
    <n v="0"/>
    <n v="1"/>
    <n v="0"/>
    <n v="0"/>
    <n v="0"/>
    <n v="0"/>
    <n v="0"/>
    <n v="0"/>
    <n v="1"/>
    <n v="0"/>
    <n v="0"/>
    <n v="0"/>
    <n v="0"/>
    <n v="0"/>
    <n v="0"/>
    <n v="0"/>
    <n v="0"/>
    <n v="0"/>
    <n v="0"/>
    <n v="0"/>
    <n v="0"/>
    <n v="0"/>
    <n v="0"/>
    <n v="0"/>
    <n v="0"/>
    <n v="0"/>
    <n v="0"/>
    <n v="0"/>
    <s v="Putney"/>
    <m/>
    <s v="Putney Town Centre"/>
    <n v="15"/>
    <m/>
    <n v="0.25"/>
    <n v="0.25"/>
    <n v="0.25"/>
    <n v="0.25"/>
    <m/>
    <m/>
    <m/>
    <m/>
    <m/>
    <m/>
    <m/>
    <m/>
    <m/>
    <m/>
    <m/>
    <m/>
    <m/>
    <m/>
    <m/>
    <n v="1"/>
    <n v="1"/>
  </r>
  <r>
    <n v="7846"/>
    <x v="1"/>
    <s v="2022/1986"/>
    <s v="Flat Ground Floor, 188 Trinity Road"/>
    <s v=""/>
    <n v="527522"/>
    <n v="173097"/>
    <s v="Trinity"/>
    <m/>
    <m/>
    <n v="0"/>
    <n v="1"/>
    <n v="1"/>
    <n v="1"/>
    <n v="1"/>
    <m/>
    <s v="Alterations including erection of a two storey rear extension in connection with the conversion of basement into 1 x1 bedroom flat. Formation of a front light-well and stair access and front boundary. Installation of external stairs to garden at rear from ground level. Landscaping to rear garden including formation of rear lower level and pergola."/>
    <s v="PF"/>
    <d v="2022-06-28T00:00:00"/>
    <d v="2022-09-28T00:00:00"/>
    <s v="Y"/>
    <s v="Nil"/>
    <m/>
    <s v="BF"/>
    <s v="CON"/>
    <x v="2"/>
    <x v="2"/>
    <n v="1.06E-2"/>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6212"/>
    <x v="1"/>
    <s v="2018/0885"/>
    <s v="Land rear of, 117 Fernlea Road"/>
    <s v=""/>
    <n v="529084"/>
    <n v="173102"/>
    <s v="Balham"/>
    <m/>
    <m/>
    <n v="0"/>
    <n v="1"/>
    <n v="1"/>
    <n v="1"/>
    <n v="1"/>
    <m/>
    <s v="Demolition of existing garage fronting Cavendish Road and erection of a single storey (plus basement and roof) 3-bedroom detached house, formation of lightwells and refuse storage."/>
    <s v="PF"/>
    <d v="2018-03-01T00:00:00"/>
    <d v="2018-04-20T00:00:00"/>
    <m/>
    <s v="Nil"/>
    <m/>
    <s v="BF"/>
    <s v="NB"/>
    <x v="2"/>
    <x v="1"/>
    <n v="2.5000000000000001E-2"/>
    <m/>
    <x v="0"/>
    <m/>
    <s v="Open Market"/>
    <s v="M"/>
    <s v=""/>
    <m/>
    <n v="0"/>
    <m/>
    <n v="0"/>
    <m/>
    <n v="0"/>
    <n v="0"/>
    <n v="1"/>
    <n v="0"/>
    <n v="0"/>
    <n v="0"/>
    <n v="0"/>
    <n v="0"/>
    <n v="0"/>
    <n v="0"/>
    <n v="0"/>
    <n v="0"/>
    <n v="0"/>
    <n v="0"/>
    <n v="0"/>
    <n v="0"/>
    <n v="1"/>
    <n v="0"/>
    <n v="0"/>
    <n v="0"/>
    <n v="0"/>
    <n v="0"/>
    <n v="0"/>
    <n v="0"/>
    <n v="0"/>
    <n v="0"/>
    <n v="0"/>
    <n v="0"/>
    <m/>
    <m/>
    <s v="Rest of Borough"/>
    <n v="7"/>
    <m/>
    <m/>
    <n v="0.25"/>
    <n v="0.25"/>
    <n v="0.25"/>
    <n v="0.25"/>
    <m/>
    <m/>
    <m/>
    <m/>
    <m/>
    <m/>
    <m/>
    <m/>
    <m/>
    <m/>
    <m/>
    <m/>
    <m/>
    <m/>
    <n v="1"/>
    <n v="1"/>
  </r>
  <r>
    <n v="7871"/>
    <x v="1"/>
    <s v="2022/2900"/>
    <s v="Ground Floor, 10 Trinity Crescent"/>
    <s v=""/>
    <n v="527933"/>
    <n v="172591"/>
    <s v="Trinity"/>
    <m/>
    <m/>
    <n v="0"/>
    <n v="1"/>
    <n v="1"/>
    <n v="1"/>
    <n v="1"/>
    <m/>
    <s v="Determination as to whether prior approval is required for change of use from Nursery (Class E) to residential (Class C3) to provide 1 x 2-bedroom flat."/>
    <s v="PAG"/>
    <d v="2022-07-11T00:00:00"/>
    <d v="2022-09-01T00:00:00"/>
    <s v="Y"/>
    <s v="Nil"/>
    <m/>
    <s v="BF"/>
    <s v="COU"/>
    <x v="2"/>
    <x v="3"/>
    <n v="7.7000000000000002E-3"/>
    <m/>
    <x v="0"/>
    <m/>
    <s v="Open Market"/>
    <s v="M"/>
    <s v=""/>
    <m/>
    <n v="0"/>
    <m/>
    <n v="0"/>
    <m/>
    <n v="0"/>
    <n v="0"/>
    <n v="1"/>
    <n v="0"/>
    <n v="0"/>
    <n v="0"/>
    <n v="0"/>
    <n v="0"/>
    <n v="0"/>
    <n v="1"/>
    <n v="0"/>
    <n v="0"/>
    <n v="0"/>
    <n v="0"/>
    <n v="0"/>
    <n v="0"/>
    <n v="0"/>
    <n v="0"/>
    <n v="0"/>
    <n v="0"/>
    <n v="0"/>
    <n v="0"/>
    <n v="0"/>
    <n v="0"/>
    <n v="0"/>
    <n v="0"/>
    <n v="0"/>
    <n v="0"/>
    <m/>
    <m/>
    <s v="Rest of Borough"/>
    <n v="15"/>
    <m/>
    <n v="0.25"/>
    <n v="0.25"/>
    <n v="0.25"/>
    <n v="0.25"/>
    <m/>
    <m/>
    <m/>
    <m/>
    <m/>
    <m/>
    <m/>
    <m/>
    <m/>
    <m/>
    <m/>
    <m/>
    <m/>
    <m/>
    <m/>
    <n v="1"/>
    <n v="1"/>
  </r>
  <r>
    <n v="1587"/>
    <x v="1"/>
    <s v="2017/5079"/>
    <s v="Ground floor, 280 Earlsfield Road"/>
    <s v=""/>
    <n v="526103"/>
    <n v="173307"/>
    <s v="Wandle"/>
    <m/>
    <m/>
    <n v="0"/>
    <n v="1"/>
    <n v="1"/>
    <n v="1"/>
    <n v="1"/>
    <m/>
    <s v="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
    <s v="PF"/>
    <d v="2018-03-09T00:00:00"/>
    <d v="2018-05-18T00:00:00"/>
    <m/>
    <s v="Nil"/>
    <m/>
    <s v="BF"/>
    <s v="MIX"/>
    <x v="2"/>
    <x v="6"/>
    <n v="8.0000000000000002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664"/>
    <x v="1"/>
    <s v="2021/3248"/>
    <s v="Ground Floor, 63 Broomwood Road"/>
    <s v=""/>
    <n v="527706"/>
    <n v="174318"/>
    <s v="Northcote"/>
    <m/>
    <m/>
    <n v="0"/>
    <n v="1"/>
    <n v="1"/>
    <n v="1"/>
    <n v="1"/>
    <m/>
    <s v="Alterations including erection of replacement single-storey rear/side extensions, in connection with a change of use of the rear part of the ground floor from retail and  ancillary storage use (Class E) to a 1-bedroom residential flat (Class C3)."/>
    <s v="PF"/>
    <d v="2021-07-08T00:00:00"/>
    <d v="2021-11-23T00:00:00"/>
    <m/>
    <s v="Nil"/>
    <m/>
    <s v="BF"/>
    <s v="MIX"/>
    <x v="2"/>
    <x v="4"/>
    <n v="5.1999999999999998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855"/>
    <x v="1"/>
    <s v="2022/4729"/>
    <s v="Land and Building to the South of, 164C Mitcham Road (The Old Bakery)"/>
    <s v=""/>
    <n v="527835"/>
    <n v="171006"/>
    <s v="Tooting Broadway"/>
    <m/>
    <m/>
    <n v="0"/>
    <n v="1"/>
    <n v="1"/>
    <n v="1"/>
    <n v="1"/>
    <m/>
    <s v="Alterations including erection of single, part two-storey extensions with extended roof over in connection with conversion of buildings to 1 x 2-bedroom dwellinghouse (Class C3)."/>
    <s v="PF"/>
    <d v="2022-11-29T00:00:00"/>
    <d v="2023-03-15T00:00:00"/>
    <s v="Y"/>
    <s v="Nil"/>
    <m/>
    <s v="BF"/>
    <s v="CON"/>
    <x v="2"/>
    <x v="6"/>
    <n v="5.0000000000000001E-3"/>
    <m/>
    <x v="0"/>
    <m/>
    <s v="Open Market"/>
    <s v="M"/>
    <s v=""/>
    <m/>
    <n v="0"/>
    <m/>
    <n v="0"/>
    <m/>
    <n v="0"/>
    <n v="0"/>
    <n v="1"/>
    <n v="0"/>
    <n v="0"/>
    <n v="0"/>
    <n v="0"/>
    <n v="0"/>
    <n v="0"/>
    <n v="0"/>
    <n v="0"/>
    <n v="0"/>
    <n v="0"/>
    <n v="0"/>
    <n v="0"/>
    <n v="0"/>
    <n v="1"/>
    <n v="0"/>
    <n v="0"/>
    <n v="0"/>
    <n v="0"/>
    <n v="0"/>
    <n v="0"/>
    <n v="0"/>
    <n v="0"/>
    <n v="0"/>
    <n v="0"/>
    <n v="0"/>
    <m/>
    <m/>
    <s v="Tooting"/>
    <n v="15"/>
    <m/>
    <n v="0.25"/>
    <n v="0.25"/>
    <n v="0.25"/>
    <n v="0.25"/>
    <m/>
    <m/>
    <m/>
    <m/>
    <m/>
    <m/>
    <m/>
    <m/>
    <m/>
    <m/>
    <m/>
    <m/>
    <m/>
    <m/>
    <m/>
    <n v="1"/>
    <n v="1"/>
  </r>
  <r>
    <n v="7855"/>
    <x v="1"/>
    <s v="2022/2164"/>
    <s v="Land and Building to the South of, 164C Mitcham Road (The Old Bakery)"/>
    <s v=""/>
    <n v="527835"/>
    <n v="171006"/>
    <s v="Tooting Broadway"/>
    <m/>
    <m/>
    <n v="0"/>
    <n v="1"/>
    <n v="1"/>
    <n v="1"/>
    <n v="1"/>
    <m/>
    <s v="Determination as to whether prior approval is required for change of use  from office (Class E) to residential (Class C3) to provide 1 x 1-bedroom house."/>
    <s v="PAG"/>
    <d v="2022-05-09T00:00:00"/>
    <d v="2022-06-30T00:00:00"/>
    <s v="Y"/>
    <s v="Nil"/>
    <m/>
    <s v="BF"/>
    <s v="CON"/>
    <x v="2"/>
    <x v="6"/>
    <n v="8.0700000000000008E-3"/>
    <m/>
    <x v="0"/>
    <m/>
    <s v="Open Market"/>
    <s v="M"/>
    <s v=""/>
    <m/>
    <n v="0"/>
    <m/>
    <n v="0"/>
    <m/>
    <n v="0"/>
    <n v="1"/>
    <n v="0"/>
    <n v="0"/>
    <n v="0"/>
    <n v="0"/>
    <n v="0"/>
    <n v="0"/>
    <n v="0"/>
    <n v="0"/>
    <n v="0"/>
    <n v="0"/>
    <n v="0"/>
    <n v="0"/>
    <n v="0"/>
    <n v="1"/>
    <n v="0"/>
    <n v="0"/>
    <n v="0"/>
    <n v="0"/>
    <n v="0"/>
    <n v="0"/>
    <n v="0"/>
    <n v="0"/>
    <n v="0"/>
    <n v="0"/>
    <n v="0"/>
    <n v="0"/>
    <m/>
    <m/>
    <s v="Tooting"/>
    <n v="15"/>
    <m/>
    <n v="0.25"/>
    <n v="0.25"/>
    <n v="0.25"/>
    <n v="0.25"/>
    <m/>
    <m/>
    <m/>
    <m/>
    <m/>
    <m/>
    <m/>
    <m/>
    <m/>
    <m/>
    <m/>
    <m/>
    <m/>
    <m/>
    <m/>
    <n v="1"/>
    <n v="1"/>
  </r>
  <r>
    <n v="5887"/>
    <x v="1"/>
    <s v="2018/1835"/>
    <s v="2 Balham Grove"/>
    <s v=""/>
    <n v="528584"/>
    <n v="173489"/>
    <s v="Balham"/>
    <m/>
    <m/>
    <n v="0"/>
    <n v="1"/>
    <n v="1"/>
    <n v="1"/>
    <n v="1"/>
    <m/>
    <s v="Erection of three-storey (plus basement and habitable roofspace] 4-bedroom house with rear terraces and associated cycle and refuse storage."/>
    <s v="PF"/>
    <d v="2018-04-27T00:00:00"/>
    <d v="2018-06-07T00:00:00"/>
    <m/>
    <s v="Nil"/>
    <m/>
    <s v="BF"/>
    <s v="NB"/>
    <x v="2"/>
    <x v="1"/>
    <n v="1.4999999999999999E-2"/>
    <m/>
    <x v="0"/>
    <m/>
    <s v="Open Market"/>
    <s v="M"/>
    <s v=""/>
    <m/>
    <n v="0"/>
    <m/>
    <n v="0"/>
    <m/>
    <n v="0"/>
    <n v="0"/>
    <n v="0"/>
    <n v="0"/>
    <n v="1"/>
    <n v="0"/>
    <n v="0"/>
    <n v="0"/>
    <n v="0"/>
    <n v="0"/>
    <n v="0"/>
    <n v="0"/>
    <n v="0"/>
    <n v="0"/>
    <n v="0"/>
    <n v="0"/>
    <n v="0"/>
    <n v="0"/>
    <n v="1"/>
    <n v="0"/>
    <n v="0"/>
    <n v="0"/>
    <n v="0"/>
    <n v="0"/>
    <n v="0"/>
    <n v="0"/>
    <n v="0"/>
    <n v="0"/>
    <m/>
    <m/>
    <s v="Balham"/>
    <n v="7"/>
    <m/>
    <m/>
    <n v="0.25"/>
    <n v="0.25"/>
    <n v="0.25"/>
    <n v="0.25"/>
    <m/>
    <m/>
    <m/>
    <m/>
    <m/>
    <m/>
    <m/>
    <m/>
    <m/>
    <m/>
    <m/>
    <m/>
    <m/>
    <m/>
    <n v="1"/>
    <n v="1"/>
  </r>
  <r>
    <n v="7010"/>
    <x v="1"/>
    <s v="2018/4165"/>
    <s v="One Westbury Parade, Balham Hill"/>
    <s v=""/>
    <n v="528787"/>
    <n v="174236"/>
    <s v="Balham"/>
    <m/>
    <m/>
    <n v="0"/>
    <n v="1"/>
    <n v="1"/>
    <n v="1"/>
    <n v="1"/>
    <m/>
    <s v="Determination as to whether prior approval is required for change of use from retail (Class A1) to single dwelling house (Class C3)."/>
    <s v="PAG"/>
    <d v="2018-08-29T00:00:00"/>
    <d v="2018-10-23T00:00:00"/>
    <m/>
    <s v="Nil"/>
    <m/>
    <s v="BF"/>
    <s v="COU"/>
    <x v="2"/>
    <x v="4"/>
    <n v="2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2517"/>
    <x v="1"/>
    <s v="2018/3232"/>
    <s v="Land rear of 144, Wandsworth High Street"/>
    <s v=""/>
    <n v="525267"/>
    <n v="174685"/>
    <s v="East Putney"/>
    <m/>
    <m/>
    <n v="0"/>
    <n v="1"/>
    <n v="1"/>
    <n v="1"/>
    <n v="1"/>
    <m/>
    <s v="Erection of a two-storey (plus basement) 3-bedroom house with associated refuse and cycle storage."/>
    <s v="PF"/>
    <d v="2018-07-10T00:00:00"/>
    <d v="2018-10-19T00:00:00"/>
    <m/>
    <s v="Nil"/>
    <m/>
    <s v="BF"/>
    <s v="NB"/>
    <x v="2"/>
    <x v="1"/>
    <n v="8.0000000000000002E-3"/>
    <m/>
    <x v="0"/>
    <m/>
    <s v="Open Market"/>
    <s v="M"/>
    <s v=""/>
    <m/>
    <n v="0"/>
    <m/>
    <n v="0"/>
    <m/>
    <n v="0"/>
    <n v="0"/>
    <n v="0"/>
    <n v="1"/>
    <n v="0"/>
    <n v="0"/>
    <n v="0"/>
    <n v="0"/>
    <n v="0"/>
    <n v="0"/>
    <n v="0"/>
    <n v="0"/>
    <n v="0"/>
    <n v="0"/>
    <n v="0"/>
    <n v="0"/>
    <n v="0"/>
    <n v="1"/>
    <n v="0"/>
    <n v="0"/>
    <n v="0"/>
    <n v="0"/>
    <n v="0"/>
    <n v="0"/>
    <n v="0"/>
    <n v="0"/>
    <n v="0"/>
    <n v="0"/>
    <m/>
    <m/>
    <s v="Wandsworth Town, including the Wandle Delta Masterplan Area"/>
    <n v="7"/>
    <m/>
    <m/>
    <n v="0.25"/>
    <n v="0.25"/>
    <n v="0.25"/>
    <n v="0.25"/>
    <m/>
    <m/>
    <m/>
    <m/>
    <m/>
    <m/>
    <m/>
    <m/>
    <m/>
    <m/>
    <m/>
    <m/>
    <m/>
    <m/>
    <n v="1"/>
    <n v="1"/>
  </r>
  <r>
    <n v="2684"/>
    <x v="1"/>
    <s v="2022/3642"/>
    <s v="Professional Centre School House, Franciscan Road"/>
    <s v=""/>
    <n v="527873"/>
    <n v="171365"/>
    <s v="Tooting Broadway"/>
    <m/>
    <m/>
    <n v="0"/>
    <n v="1"/>
    <n v="1"/>
    <n v="1"/>
    <n v="1"/>
    <m/>
    <s v="Change of use from office (Class E) to residential (Class C3) in connection with provision of 1 x 3 bedroom dwelling with associated refuse store (concurrent listed building consent ref. 2022/3602)."/>
    <s v="PF"/>
    <d v="2022-09-01T00:00:00"/>
    <d v="2022-11-01T00:00:00"/>
    <s v="Y"/>
    <s v="Nil"/>
    <m/>
    <s v="BF"/>
    <s v="CON"/>
    <x v="2"/>
    <x v="6"/>
    <n v="4.7499999999999999E-3"/>
    <m/>
    <x v="0"/>
    <m/>
    <s v="Open Market"/>
    <s v="M"/>
    <s v=""/>
    <m/>
    <n v="0"/>
    <m/>
    <n v="0"/>
    <m/>
    <n v="0"/>
    <n v="0"/>
    <n v="1"/>
    <n v="0"/>
    <n v="0"/>
    <n v="0"/>
    <n v="0"/>
    <n v="0"/>
    <n v="0"/>
    <n v="0"/>
    <n v="0"/>
    <n v="0"/>
    <n v="0"/>
    <n v="0"/>
    <n v="0"/>
    <n v="0"/>
    <n v="1"/>
    <n v="0"/>
    <n v="0"/>
    <n v="0"/>
    <n v="0"/>
    <n v="0"/>
    <n v="0"/>
    <n v="0"/>
    <n v="0"/>
    <n v="0"/>
    <n v="0"/>
    <n v="0"/>
    <m/>
    <m/>
    <s v="Rest of Borough"/>
    <n v="15"/>
    <m/>
    <n v="0.25"/>
    <n v="0.25"/>
    <n v="0.25"/>
    <n v="0.25"/>
    <m/>
    <m/>
    <m/>
    <m/>
    <m/>
    <m/>
    <m/>
    <m/>
    <m/>
    <m/>
    <m/>
    <m/>
    <m/>
    <m/>
    <m/>
    <n v="1"/>
    <n v="1"/>
  </r>
  <r>
    <n v="7368"/>
    <x v="1"/>
    <s v="2018/4505"/>
    <s v="Garages West of 2a, 2a Isis Street"/>
    <s v=""/>
    <n v="526149"/>
    <n v="172683"/>
    <s v="Wandsworth Common"/>
    <m/>
    <m/>
    <n v="0"/>
    <n v="1"/>
    <n v="1"/>
    <n v="1"/>
    <n v="1"/>
    <m/>
    <s v="Erection of single storey plus basement 1-bedroom house with front lightwell and associated refuse storage."/>
    <s v="PF"/>
    <d v="2018-09-19T00:00:00"/>
    <d v="2018-11-14T00:00:00"/>
    <m/>
    <s v="Nil"/>
    <m/>
    <s v="BF"/>
    <s v="NB"/>
    <x v="2"/>
    <x v="1"/>
    <n v="6.0000000000000001E-3"/>
    <m/>
    <x v="0"/>
    <m/>
    <s v="Open Market"/>
    <s v="M"/>
    <s v=""/>
    <m/>
    <n v="0"/>
    <m/>
    <n v="0"/>
    <m/>
    <n v="0"/>
    <n v="1"/>
    <n v="0"/>
    <n v="0"/>
    <n v="0"/>
    <n v="0"/>
    <n v="0"/>
    <n v="0"/>
    <n v="0"/>
    <n v="0"/>
    <n v="0"/>
    <n v="0"/>
    <n v="0"/>
    <n v="0"/>
    <n v="0"/>
    <n v="1"/>
    <n v="0"/>
    <n v="0"/>
    <n v="0"/>
    <n v="0"/>
    <n v="0"/>
    <n v="0"/>
    <n v="0"/>
    <n v="0"/>
    <n v="0"/>
    <n v="0"/>
    <n v="0"/>
    <n v="0"/>
    <m/>
    <m/>
    <s v="The Wandle Valley"/>
    <n v="7"/>
    <m/>
    <m/>
    <n v="0.25"/>
    <n v="0.25"/>
    <n v="0.25"/>
    <n v="0.25"/>
    <m/>
    <m/>
    <m/>
    <m/>
    <m/>
    <m/>
    <m/>
    <m/>
    <m/>
    <m/>
    <m/>
    <m/>
    <m/>
    <m/>
    <n v="1"/>
    <n v="1"/>
  </r>
  <r>
    <n v="7042"/>
    <x v="1"/>
    <s v="2018/4919"/>
    <s v="12 St Margarets Crescent"/>
    <s v=""/>
    <n v="522867"/>
    <n v="174692"/>
    <s v="West Putney"/>
    <m/>
    <m/>
    <n v="1"/>
    <n v="1"/>
    <n v="0"/>
    <n v="1"/>
    <n v="0"/>
    <m/>
    <s v="Demolition of the existing house and and erection of replacement three-storey (plus basement) 7-bedroom house  with associated landscaping and boundary treatment, bin storage and provision for parking for two cars."/>
    <s v="PF"/>
    <d v="2018-10-23T00:00:00"/>
    <d v="2019-02-28T00:00:00"/>
    <m/>
    <s v="Nil"/>
    <m/>
    <s v="BF"/>
    <s v="NB"/>
    <x v="2"/>
    <x v="1"/>
    <n v="5.2999999999999999E-2"/>
    <m/>
    <x v="0"/>
    <m/>
    <s v="Open Market"/>
    <s v="M"/>
    <s v=""/>
    <m/>
    <n v="0"/>
    <m/>
    <n v="0"/>
    <m/>
    <n v="0"/>
    <n v="0"/>
    <n v="0"/>
    <n v="0"/>
    <n v="-1"/>
    <n v="1"/>
    <n v="0"/>
    <n v="0"/>
    <n v="0"/>
    <n v="0"/>
    <n v="0"/>
    <n v="0"/>
    <n v="0"/>
    <n v="0"/>
    <n v="0"/>
    <n v="0"/>
    <n v="0"/>
    <n v="0"/>
    <n v="-1"/>
    <n v="1"/>
    <n v="0"/>
    <n v="0"/>
    <n v="0"/>
    <n v="0"/>
    <n v="0"/>
    <n v="0"/>
    <n v="0"/>
    <n v="0"/>
    <m/>
    <m/>
    <s v="Rest of Borough"/>
    <n v="7"/>
    <m/>
    <m/>
    <n v="0"/>
    <n v="0"/>
    <n v="0"/>
    <n v="0"/>
    <m/>
    <m/>
    <m/>
    <m/>
    <m/>
    <m/>
    <m/>
    <m/>
    <m/>
    <m/>
    <m/>
    <m/>
    <m/>
    <m/>
    <n v="0"/>
    <n v="0"/>
  </r>
  <r>
    <n v="6690"/>
    <x v="1"/>
    <s v="2018/5069"/>
    <s v="292 Upper Richmond Road"/>
    <s v=""/>
    <n v="523675"/>
    <n v="175182"/>
    <s v="West Putney"/>
    <m/>
    <m/>
    <n v="0"/>
    <n v="1"/>
    <n v="1"/>
    <n v="1"/>
    <n v="1"/>
    <m/>
    <s v="Demolition of rear toilet block and erection of a single-storey (plus basement) 1-bedroom house."/>
    <s v="PF"/>
    <d v="2018-11-14T00:00:00"/>
    <d v="2019-01-21T00:00:00"/>
    <m/>
    <s v="Nil"/>
    <m/>
    <s v="BF"/>
    <s v="NB"/>
    <x v="2"/>
    <x v="1"/>
    <n v="5.0000000000000001E-3"/>
    <m/>
    <x v="0"/>
    <m/>
    <s v="Open Market"/>
    <s v="M"/>
    <s v=""/>
    <m/>
    <n v="0"/>
    <m/>
    <n v="0"/>
    <m/>
    <n v="0"/>
    <n v="1"/>
    <n v="0"/>
    <n v="0"/>
    <n v="0"/>
    <n v="0"/>
    <n v="0"/>
    <n v="0"/>
    <n v="0"/>
    <n v="0"/>
    <n v="0"/>
    <n v="0"/>
    <n v="0"/>
    <n v="0"/>
    <n v="0"/>
    <n v="1"/>
    <n v="0"/>
    <n v="0"/>
    <n v="0"/>
    <n v="0"/>
    <n v="0"/>
    <n v="0"/>
    <n v="0"/>
    <n v="0"/>
    <n v="0"/>
    <n v="0"/>
    <n v="0"/>
    <n v="0"/>
    <s v="Putney"/>
    <m/>
    <s v="Putney Town Centre"/>
    <n v="7"/>
    <m/>
    <m/>
    <n v="0.25"/>
    <n v="0.25"/>
    <n v="0.25"/>
    <n v="0.25"/>
    <m/>
    <m/>
    <m/>
    <m/>
    <m/>
    <m/>
    <m/>
    <m/>
    <m/>
    <m/>
    <m/>
    <m/>
    <m/>
    <m/>
    <n v="1"/>
    <n v="1"/>
  </r>
  <r>
    <n v="5607"/>
    <x v="1"/>
    <s v="2019/1825"/>
    <s v="Rayne House, Sudbrooke Road"/>
    <s v=""/>
    <n v="528038"/>
    <n v="174028"/>
    <s v="Balham"/>
    <m/>
    <m/>
    <n v="1"/>
    <n v="2"/>
    <n v="1"/>
    <n v="2"/>
    <n v="-1"/>
    <m/>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m/>
    <s v="Nil"/>
    <m/>
    <s v="BF"/>
    <s v="MIX"/>
    <x v="2"/>
    <x v="2"/>
    <n v="1.03E-2"/>
    <m/>
    <x v="0"/>
    <m/>
    <s v="Open Market"/>
    <s v="M"/>
    <s v=""/>
    <m/>
    <n v="0"/>
    <m/>
    <n v="0"/>
    <m/>
    <n v="0"/>
    <n v="0"/>
    <n v="1"/>
    <n v="0"/>
    <n v="0"/>
    <n v="0"/>
    <n v="0"/>
    <n v="0"/>
    <n v="0"/>
    <n v="1"/>
    <n v="0"/>
    <n v="0"/>
    <n v="0"/>
    <n v="0"/>
    <n v="0"/>
    <n v="0"/>
    <n v="0"/>
    <n v="0"/>
    <n v="0"/>
    <n v="0"/>
    <n v="0"/>
    <n v="0"/>
    <n v="0"/>
    <n v="0"/>
    <n v="0"/>
    <n v="0"/>
    <n v="0"/>
    <n v="0"/>
    <m/>
    <m/>
    <s v="Rest of Borough"/>
    <n v="15"/>
    <m/>
    <n v="0.25"/>
    <n v="0.25"/>
    <n v="0.25"/>
    <n v="0.25"/>
    <m/>
    <m/>
    <m/>
    <m/>
    <m/>
    <m/>
    <m/>
    <m/>
    <m/>
    <m/>
    <m/>
    <m/>
    <m/>
    <m/>
    <m/>
    <n v="1"/>
    <n v="1"/>
  </r>
  <r>
    <n v="6503"/>
    <x v="1"/>
    <s v="2018/5195"/>
    <s v="Land rear of 79, 79 Falcon Road"/>
    <s v=""/>
    <n v="527225"/>
    <n v="175866"/>
    <s v="Falconbrook"/>
    <m/>
    <m/>
    <n v="0"/>
    <n v="1"/>
    <n v="1"/>
    <n v="1"/>
    <n v="1"/>
    <m/>
    <s v="Erection of two-storey 3 bedroom house (accessed from Falcon Grove) with associated boundary treatment and vehicle access."/>
    <s v="PF"/>
    <d v="2018-11-02T00:00:00"/>
    <d v="2019-03-29T00:00:00"/>
    <m/>
    <s v="Nil"/>
    <m/>
    <s v="BF"/>
    <s v="NB"/>
    <x v="2"/>
    <x v="1"/>
    <n v="3.5000000000000003E-2"/>
    <m/>
    <x v="0"/>
    <m/>
    <s v="Open Market"/>
    <s v="M"/>
    <s v=""/>
    <m/>
    <n v="0"/>
    <n v="1"/>
    <n v="0"/>
    <m/>
    <n v="0"/>
    <n v="0"/>
    <n v="0"/>
    <n v="1"/>
    <n v="0"/>
    <n v="0"/>
    <n v="0"/>
    <n v="0"/>
    <n v="0"/>
    <n v="0"/>
    <n v="0"/>
    <n v="0"/>
    <n v="0"/>
    <n v="0"/>
    <n v="0"/>
    <n v="0"/>
    <n v="0"/>
    <n v="1"/>
    <n v="0"/>
    <n v="0"/>
    <n v="0"/>
    <n v="0"/>
    <n v="0"/>
    <n v="0"/>
    <n v="0"/>
    <n v="0"/>
    <n v="0"/>
    <n v="0"/>
    <m/>
    <m/>
    <s v="Clapham Junction Spatial Area Strategy"/>
    <n v="7"/>
    <m/>
    <m/>
    <n v="0.25"/>
    <n v="0.25"/>
    <n v="0.25"/>
    <n v="0.25"/>
    <m/>
    <m/>
    <m/>
    <m/>
    <m/>
    <m/>
    <m/>
    <m/>
    <m/>
    <m/>
    <m/>
    <m/>
    <m/>
    <m/>
    <n v="1"/>
    <n v="1"/>
  </r>
  <r>
    <n v="7532"/>
    <x v="1"/>
    <s v="2020/3753"/>
    <s v="rear of, 51-53 Northcote Road"/>
    <s v=""/>
    <n v="527567"/>
    <n v="174875"/>
    <s v="Northcote"/>
    <m/>
    <m/>
    <n v="0"/>
    <n v="1"/>
    <n v="1"/>
    <n v="1"/>
    <n v="1"/>
    <m/>
    <s v="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
    <s v="PF"/>
    <d v="2020-10-20T00:00:00"/>
    <d v="2020-12-15T00:00:00"/>
    <m/>
    <s v="Nil"/>
    <m/>
    <s v="BF"/>
    <s v="MIX"/>
    <x v="2"/>
    <x v="4"/>
    <n v="0.01"/>
    <m/>
    <x v="0"/>
    <m/>
    <s v="Open Market"/>
    <s v="M"/>
    <s v=""/>
    <m/>
    <n v="0"/>
    <m/>
    <n v="0"/>
    <m/>
    <n v="0"/>
    <n v="0"/>
    <n v="1"/>
    <n v="0"/>
    <n v="0"/>
    <n v="0"/>
    <n v="0"/>
    <n v="0"/>
    <n v="0"/>
    <n v="0"/>
    <n v="0"/>
    <n v="0"/>
    <n v="0"/>
    <n v="0"/>
    <n v="0"/>
    <n v="0"/>
    <n v="1"/>
    <n v="0"/>
    <n v="0"/>
    <n v="0"/>
    <n v="0"/>
    <n v="0"/>
    <n v="0"/>
    <n v="0"/>
    <n v="0"/>
    <n v="0"/>
    <n v="0"/>
    <n v="0"/>
    <m/>
    <m/>
    <s v="Clapham Junction Spatial Area Strategy"/>
    <n v="15"/>
    <m/>
    <n v="0.25"/>
    <n v="0.25"/>
    <n v="0.25"/>
    <n v="0.25"/>
    <m/>
    <m/>
    <m/>
    <m/>
    <m/>
    <m/>
    <m/>
    <m/>
    <m/>
    <m/>
    <m/>
    <m/>
    <m/>
    <m/>
    <m/>
    <n v="1"/>
    <n v="1"/>
  </r>
  <r>
    <n v="7484"/>
    <x v="1"/>
    <s v="2020/4074"/>
    <s v="St. Mary-Le-Park Court, 52 Parkgate Road"/>
    <s v=""/>
    <n v="527470"/>
    <n v="177172"/>
    <s v="Battersea Park"/>
    <m/>
    <m/>
    <n v="0"/>
    <n v="1"/>
    <n v="1"/>
    <n v="1"/>
    <n v="1"/>
    <m/>
    <s v="Alterations including enlargement of 7th floor and erection of two-storey roof extension (to create 10-storey building) in connection with creation of 2 x 3-bedroom and 2 x 2-bedroom flats with terraces and associated car parking and cycle storage facilities. Replacement windows and panels and changes to ground floor doors and boundary."/>
    <s v="PF"/>
    <d v="2020-10-27T00:00:00"/>
    <d v="2021-08-06T00:00:00"/>
    <m/>
    <s v="Nil"/>
    <m/>
    <s v="BF"/>
    <s v="EXT"/>
    <x v="2"/>
    <x v="1"/>
    <n v="0.02"/>
    <m/>
    <x v="0"/>
    <m/>
    <s v="Open Market"/>
    <s v="M"/>
    <s v=""/>
    <m/>
    <n v="0"/>
    <m/>
    <n v="0"/>
    <m/>
    <n v="0"/>
    <n v="0"/>
    <n v="0"/>
    <n v="1"/>
    <n v="0"/>
    <n v="0"/>
    <n v="0"/>
    <n v="0"/>
    <n v="0"/>
    <n v="0"/>
    <n v="1"/>
    <n v="0"/>
    <n v="0"/>
    <n v="0"/>
    <n v="0"/>
    <n v="0"/>
    <n v="0"/>
    <n v="0"/>
    <n v="0"/>
    <n v="0"/>
    <n v="0"/>
    <n v="0"/>
    <n v="0"/>
    <n v="0"/>
    <n v="0"/>
    <n v="0"/>
    <n v="0"/>
    <n v="0"/>
    <m/>
    <m/>
    <s v="Wandsworth riverside"/>
    <n v="15"/>
    <m/>
    <n v="0.25"/>
    <n v="0.25"/>
    <n v="0.25"/>
    <n v="0.25"/>
    <m/>
    <m/>
    <m/>
    <m/>
    <m/>
    <m/>
    <m/>
    <m/>
    <m/>
    <m/>
    <m/>
    <m/>
    <m/>
    <m/>
    <m/>
    <n v="1"/>
    <n v="1"/>
  </r>
  <r>
    <n v="5218"/>
    <x v="1"/>
    <s v="2018/4051"/>
    <s v="Tailors Court, 2 North Drive"/>
    <s v=""/>
    <n v="529350"/>
    <n v="171755"/>
    <s v="Furzedown"/>
    <m/>
    <m/>
    <n v="0"/>
    <n v="1"/>
    <n v="1"/>
    <n v="1"/>
    <n v="1"/>
    <m/>
    <s v="Conversion of assisted bathroom and ancillary rooms into a self-contained one-bedroom flat."/>
    <s v="PF"/>
    <d v="2018-08-21T00:00:00"/>
    <d v="2018-10-16T00:00:00"/>
    <m/>
    <s v="Nil"/>
    <m/>
    <s v="BF"/>
    <s v="COU"/>
    <x v="2"/>
    <x v="3"/>
    <n v="4.0000000000000001E-3"/>
    <m/>
    <x v="0"/>
    <m/>
    <s v="Social/Affordable Rent"/>
    <s v="AS"/>
    <s v=""/>
    <m/>
    <n v="0"/>
    <m/>
    <n v="0"/>
    <m/>
    <n v="0"/>
    <n v="1"/>
    <n v="0"/>
    <n v="0"/>
    <n v="0"/>
    <n v="0"/>
    <n v="0"/>
    <n v="0"/>
    <n v="1"/>
    <n v="0"/>
    <n v="0"/>
    <n v="0"/>
    <n v="0"/>
    <n v="0"/>
    <n v="0"/>
    <n v="0"/>
    <n v="0"/>
    <n v="0"/>
    <n v="0"/>
    <n v="0"/>
    <n v="0"/>
    <n v="0"/>
    <n v="0"/>
    <n v="0"/>
    <n v="0"/>
    <n v="0"/>
    <n v="0"/>
    <n v="0"/>
    <m/>
    <m/>
    <s v="Rest of Borough"/>
    <n v="15"/>
    <m/>
    <n v="0.25"/>
    <n v="0.25"/>
    <n v="0.25"/>
    <n v="0.25"/>
    <m/>
    <m/>
    <m/>
    <m/>
    <m/>
    <m/>
    <m/>
    <m/>
    <m/>
    <m/>
    <m/>
    <m/>
    <m/>
    <m/>
    <m/>
    <n v="1"/>
    <n v="1"/>
  </r>
  <r>
    <n v="7898"/>
    <x v="1"/>
    <s v="2022/4122"/>
    <s v="Taylors Yard, Unit 1 Alderbrook Road"/>
    <s v=""/>
    <n v="528686"/>
    <n v="173938"/>
    <s v="Balham"/>
    <m/>
    <m/>
    <n v="0"/>
    <n v="1"/>
    <n v="1"/>
    <n v="1"/>
    <n v="1"/>
    <m/>
    <s v="Determination as to whether prior approval is required for change of use of office on ground and first floor (Class E) to residential (Class C3) to provide 1 x 3-bedroom dwelling."/>
    <s v="PAG"/>
    <d v="2022-10-05T00:00:00"/>
    <d v="2022-11-29T00:00:00"/>
    <s v="Y"/>
    <s v="Nil"/>
    <m/>
    <s v="BF"/>
    <s v="COU"/>
    <x v="2"/>
    <x v="6"/>
    <n v="1.5100000000000001E-2"/>
    <m/>
    <x v="0"/>
    <m/>
    <s v="Open Market"/>
    <s v="M"/>
    <s v=""/>
    <m/>
    <n v="0"/>
    <m/>
    <n v="0"/>
    <m/>
    <n v="0"/>
    <n v="0"/>
    <n v="0"/>
    <n v="1"/>
    <n v="0"/>
    <n v="0"/>
    <n v="0"/>
    <n v="0"/>
    <n v="0"/>
    <n v="0"/>
    <n v="1"/>
    <n v="0"/>
    <n v="0"/>
    <n v="0"/>
    <n v="0"/>
    <n v="0"/>
    <n v="0"/>
    <n v="0"/>
    <n v="0"/>
    <n v="0"/>
    <n v="0"/>
    <n v="0"/>
    <n v="0"/>
    <n v="0"/>
    <n v="0"/>
    <n v="0"/>
    <n v="0"/>
    <n v="0"/>
    <m/>
    <m/>
    <s v="Rest of Borough"/>
    <n v="15"/>
    <m/>
    <n v="0.25"/>
    <n v="0.25"/>
    <n v="0.25"/>
    <n v="0.25"/>
    <m/>
    <m/>
    <m/>
    <m/>
    <m/>
    <m/>
    <m/>
    <m/>
    <m/>
    <m/>
    <m/>
    <m/>
    <m/>
    <m/>
    <m/>
    <n v="1"/>
    <n v="1"/>
  </r>
  <r>
    <n v="6822"/>
    <x v="1"/>
    <s v="2018/0813"/>
    <s v="Unit 19 Ransomes Dock Business Centre, 35-37 Parkgate Road (Ransomes Dock Business Centre)"/>
    <s v=""/>
    <n v="527295"/>
    <n v="177182"/>
    <s v="Battersea Park"/>
    <m/>
    <m/>
    <n v="0"/>
    <n v="1"/>
    <n v="1"/>
    <n v="1"/>
    <n v="1"/>
    <m/>
    <s v="Determination as to whether prior approval is required for change of use of office at first floor level (Use Class B1(a)) to residential (Use Class C3) to provide 1 x studio flat."/>
    <s v="PANR"/>
    <d v="2018-02-20T00:00:00"/>
    <d v="2018-04-06T00:00:00"/>
    <m/>
    <s v="Nil"/>
    <m/>
    <s v="BF"/>
    <s v="COU"/>
    <x v="2"/>
    <x v="6"/>
    <n v="1.4E-2"/>
    <m/>
    <x v="0"/>
    <m/>
    <s v="Open Market"/>
    <s v="M"/>
    <s v=""/>
    <m/>
    <n v="0"/>
    <m/>
    <n v="0"/>
    <m/>
    <n v="1"/>
    <n v="0"/>
    <n v="0"/>
    <n v="0"/>
    <n v="0"/>
    <n v="0"/>
    <n v="0"/>
    <n v="1"/>
    <n v="0"/>
    <n v="0"/>
    <n v="0"/>
    <n v="0"/>
    <n v="0"/>
    <n v="0"/>
    <n v="0"/>
    <n v="0"/>
    <n v="0"/>
    <n v="0"/>
    <n v="0"/>
    <n v="0"/>
    <n v="0"/>
    <n v="0"/>
    <n v="0"/>
    <n v="0"/>
    <n v="0"/>
    <n v="0"/>
    <n v="0"/>
    <n v="0"/>
    <m/>
    <m/>
    <s v="Wandsworth riverside"/>
    <n v="15"/>
    <m/>
    <n v="0.25"/>
    <n v="0.25"/>
    <n v="0.25"/>
    <n v="0.25"/>
    <m/>
    <m/>
    <m/>
    <m/>
    <m/>
    <m/>
    <m/>
    <m/>
    <m/>
    <m/>
    <m/>
    <m/>
    <m/>
    <m/>
    <m/>
    <n v="1"/>
    <n v="1"/>
  </r>
  <r>
    <n v="5605"/>
    <x v="1"/>
    <s v="2020/0683"/>
    <s v="Unit 2 Windward House, Square Rigger Row (Plantation Wharf)"/>
    <s v=""/>
    <n v="526468"/>
    <n v="175725"/>
    <s v="St Mary's"/>
    <m/>
    <m/>
    <n v="0"/>
    <n v="1"/>
    <n v="1"/>
    <n v="1"/>
    <n v="1"/>
    <m/>
    <s v="Determination as to whether prior approval is required for change of use from Office (Class B1a) to 1 x 2-bedroom flat (Class C3)."/>
    <s v="PAG"/>
    <d v="2020-03-05T00:00:00"/>
    <d v="2020-04-17T00:00:00"/>
    <m/>
    <s v="Nil"/>
    <m/>
    <s v="BF"/>
    <s v="COU"/>
    <x v="2"/>
    <x v="6"/>
    <n v="6.0000000000000001E-3"/>
    <m/>
    <x v="0"/>
    <m/>
    <s v="Open Market"/>
    <s v="M"/>
    <s v="10.15"/>
    <m/>
    <n v="0"/>
    <m/>
    <n v="0"/>
    <m/>
    <n v="0"/>
    <n v="0"/>
    <n v="1"/>
    <n v="0"/>
    <n v="0"/>
    <n v="0"/>
    <n v="0"/>
    <n v="0"/>
    <n v="0"/>
    <n v="1"/>
    <n v="0"/>
    <n v="0"/>
    <n v="0"/>
    <n v="0"/>
    <n v="0"/>
    <n v="0"/>
    <n v="0"/>
    <n v="0"/>
    <n v="0"/>
    <n v="0"/>
    <n v="0"/>
    <n v="0"/>
    <n v="0"/>
    <n v="0"/>
    <n v="0"/>
    <n v="0"/>
    <n v="0"/>
    <n v="0"/>
    <m/>
    <m/>
    <s v="Wandsworth riverside"/>
    <n v="15"/>
    <m/>
    <n v="0.25"/>
    <n v="0.25"/>
    <n v="0.25"/>
    <n v="0.25"/>
    <m/>
    <m/>
    <m/>
    <m/>
    <m/>
    <m/>
    <m/>
    <m/>
    <m/>
    <m/>
    <m/>
    <m/>
    <m/>
    <m/>
    <m/>
    <n v="1"/>
    <n v="1"/>
  </r>
  <r>
    <n v="4980"/>
    <x v="1"/>
    <s v="2018/0812"/>
    <s v="Unit 21-24, 35-37 Parkgate Road (Ransomes Dock Business Centre)"/>
    <s v=""/>
    <n v="527292"/>
    <n v="177189"/>
    <s v="Battersea Park"/>
    <m/>
    <m/>
    <n v="0"/>
    <n v="1"/>
    <n v="1"/>
    <n v="1"/>
    <n v="1"/>
    <m/>
    <s v="Determination as to whether prior approval is required for change of use of office at second floor level (Use Class B1(a)) to residential (Use Class C3) to provide 1 x 1 bedroom flat."/>
    <s v="PANR"/>
    <d v="2018-02-20T00:00:00"/>
    <d v="2018-04-05T00:00:00"/>
    <m/>
    <s v="Nil"/>
    <m/>
    <s v="BF"/>
    <s v="COU"/>
    <x v="2"/>
    <x v="6"/>
    <n v="7.0000000000000001E-3"/>
    <m/>
    <x v="0"/>
    <m/>
    <s v="Open Market"/>
    <s v="M"/>
    <s v=""/>
    <m/>
    <n v="0"/>
    <m/>
    <n v="0"/>
    <m/>
    <n v="0"/>
    <n v="1"/>
    <n v="0"/>
    <n v="0"/>
    <n v="0"/>
    <n v="0"/>
    <n v="0"/>
    <n v="0"/>
    <n v="1"/>
    <n v="0"/>
    <n v="0"/>
    <n v="0"/>
    <n v="0"/>
    <n v="0"/>
    <n v="0"/>
    <n v="0"/>
    <n v="0"/>
    <n v="0"/>
    <n v="0"/>
    <n v="0"/>
    <n v="0"/>
    <n v="0"/>
    <n v="0"/>
    <n v="0"/>
    <n v="0"/>
    <n v="0"/>
    <n v="0"/>
    <n v="0"/>
    <m/>
    <m/>
    <s v="Wandsworth riverside"/>
    <n v="15"/>
    <m/>
    <n v="0.25"/>
    <n v="0.25"/>
    <n v="0.25"/>
    <n v="0.25"/>
    <m/>
    <m/>
    <m/>
    <m/>
    <m/>
    <m/>
    <m/>
    <m/>
    <m/>
    <m/>
    <m/>
    <m/>
    <m/>
    <m/>
    <m/>
    <n v="1"/>
    <n v="1"/>
  </r>
  <r>
    <n v="2318"/>
    <x v="1"/>
    <s v="2018/5212"/>
    <s v="South Lodge, Putney Park Lane"/>
    <s v=""/>
    <n v="522870"/>
    <n v="174041"/>
    <s v="West Putney"/>
    <m/>
    <m/>
    <n v="1"/>
    <n v="1"/>
    <n v="0"/>
    <n v="1"/>
    <n v="0"/>
    <m/>
    <s v="Erection of replacement two-storey 3-bedroom dwelling with associated boundary treatment."/>
    <s v="PF"/>
    <d v="2018-11-05T00:00:00"/>
    <d v="2019-02-28T00:00:00"/>
    <m/>
    <s v="Nil"/>
    <m/>
    <s v="BF"/>
    <s v="NB"/>
    <x v="2"/>
    <x v="1"/>
    <n v="1.7999999999999999E-2"/>
    <m/>
    <x v="0"/>
    <m/>
    <s v="Open Market"/>
    <s v="M"/>
    <s v=""/>
    <m/>
    <n v="0"/>
    <m/>
    <n v="0"/>
    <m/>
    <n v="0"/>
    <n v="0"/>
    <n v="0"/>
    <n v="0"/>
    <n v="0"/>
    <n v="0"/>
    <n v="0"/>
    <n v="0"/>
    <n v="0"/>
    <n v="0"/>
    <n v="0"/>
    <n v="0"/>
    <n v="0"/>
    <n v="0"/>
    <n v="0"/>
    <n v="0"/>
    <n v="0"/>
    <n v="0"/>
    <n v="0"/>
    <n v="0"/>
    <n v="0"/>
    <n v="0"/>
    <n v="0"/>
    <n v="0"/>
    <n v="0"/>
    <n v="0"/>
    <n v="0"/>
    <n v="0"/>
    <m/>
    <m/>
    <s v="Rest of Borough"/>
    <n v="7"/>
    <m/>
    <m/>
    <n v="0"/>
    <n v="0"/>
    <n v="0"/>
    <n v="0"/>
    <m/>
    <m/>
    <m/>
    <m/>
    <m/>
    <m/>
    <m/>
    <m/>
    <m/>
    <m/>
    <m/>
    <m/>
    <m/>
    <m/>
    <n v="0"/>
    <n v="0"/>
  </r>
  <r>
    <n v="6523"/>
    <x v="1"/>
    <s v="2018/6143"/>
    <s v="Unit 3 Taylors Yard, 67 Alderbrook Road"/>
    <s v=""/>
    <n v="528682"/>
    <n v="173943"/>
    <s v="Balham"/>
    <m/>
    <m/>
    <n v="0"/>
    <n v="1"/>
    <n v="1"/>
    <n v="1"/>
    <n v="1"/>
    <m/>
    <s v="Determination as to whether prior approval is required for change of use from office (Class B1) to 1 x 1-bedroom self contained unit (Class C3)."/>
    <s v="PAG"/>
    <d v="2018-12-13T00:00:00"/>
    <d v="2019-01-30T00:00:00"/>
    <m/>
    <s v="Nil"/>
    <m/>
    <s v="BF"/>
    <s v="COU"/>
    <x v="2"/>
    <x v="6"/>
    <n v="6.0999999999999999E-2"/>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7341"/>
    <x v="1"/>
    <s v="2022/3696"/>
    <s v="Unit A, Molasses House, Clove Hitch Quay (Plantation Wharf)"/>
    <s v=""/>
    <n v="526448"/>
    <n v="175829"/>
    <s v="St Mary's"/>
    <m/>
    <m/>
    <n v="0"/>
    <n v="1"/>
    <n v="1"/>
    <n v="1"/>
    <n v="1"/>
    <m/>
    <s v="Determination as to whether prior approval is required for change of use of office at ground floor level from (Class E) to residential (Class C3) to provide 1 x 1-bedroom flat."/>
    <s v="PAG"/>
    <d v="2022-09-02T00:00:00"/>
    <d v="2022-10-21T00:00:00"/>
    <s v="Y"/>
    <s v="Nil"/>
    <m/>
    <s v="BF"/>
    <s v="CON"/>
    <x v="2"/>
    <x v="6"/>
    <n v="6.4000000000000003E-3"/>
    <m/>
    <x v="0"/>
    <m/>
    <s v="Open Market"/>
    <s v="M"/>
    <s v=""/>
    <m/>
    <n v="0"/>
    <m/>
    <n v="0"/>
    <m/>
    <n v="0"/>
    <n v="1"/>
    <n v="0"/>
    <n v="0"/>
    <n v="0"/>
    <n v="0"/>
    <n v="0"/>
    <n v="0"/>
    <n v="1"/>
    <n v="0"/>
    <n v="0"/>
    <n v="0"/>
    <n v="0"/>
    <n v="0"/>
    <n v="0"/>
    <n v="0"/>
    <n v="0"/>
    <n v="0"/>
    <n v="0"/>
    <n v="0"/>
    <n v="0"/>
    <n v="0"/>
    <n v="0"/>
    <n v="0"/>
    <n v="0"/>
    <n v="0"/>
    <n v="0"/>
    <n v="0"/>
    <m/>
    <m/>
    <s v="Wandsworth riverside"/>
    <n v="15"/>
    <m/>
    <n v="0.25"/>
    <n v="0.25"/>
    <n v="0.25"/>
    <n v="0.25"/>
    <m/>
    <m/>
    <m/>
    <m/>
    <m/>
    <m/>
    <m/>
    <m/>
    <m/>
    <m/>
    <m/>
    <m/>
    <m/>
    <m/>
    <m/>
    <n v="1"/>
    <n v="1"/>
  </r>
  <r>
    <n v="7962"/>
    <x v="1"/>
    <s v="2020/2247"/>
    <s v="1 Duchess Court Live Work Unit, 2 Dinsmore Road"/>
    <s v=""/>
    <n v="528809"/>
    <n v="173792"/>
    <s v="Balham"/>
    <m/>
    <m/>
    <n v="1"/>
    <n v="1"/>
    <n v="0"/>
    <n v="1"/>
    <n v="0"/>
    <m/>
    <s v="Alterations including erection of first floor extension and creation of roof terrace with 1.8m screen surround and pitched roof section to front in association with the change of use from live-work unit (C3/B1) to solely residential (C3)."/>
    <s v="PF"/>
    <d v="2020-07-09T00:00:00"/>
    <d v="2020-10-12T00:00:00"/>
    <m/>
    <s v="Nil"/>
    <m/>
    <s v="BF"/>
    <s v="COU"/>
    <x v="2"/>
    <x v="6"/>
    <n v="6.0000000000000001E-3"/>
    <m/>
    <x v="0"/>
    <m/>
    <s v="Open Market"/>
    <s v="M"/>
    <s v=""/>
    <m/>
    <n v="0"/>
    <m/>
    <n v="0"/>
    <m/>
    <n v="0"/>
    <n v="-1"/>
    <n v="1"/>
    <n v="0"/>
    <n v="0"/>
    <n v="0"/>
    <n v="0"/>
    <n v="0"/>
    <n v="0"/>
    <n v="0"/>
    <n v="0"/>
    <n v="0"/>
    <n v="0"/>
    <n v="0"/>
    <n v="0"/>
    <n v="0"/>
    <n v="1"/>
    <n v="0"/>
    <n v="0"/>
    <n v="0"/>
    <n v="0"/>
    <n v="0"/>
    <n v="-1"/>
    <n v="0"/>
    <n v="0"/>
    <n v="0"/>
    <n v="0"/>
    <n v="0"/>
    <m/>
    <m/>
    <s v="Rest of Borough"/>
    <n v="15"/>
    <m/>
    <n v="0"/>
    <n v="0"/>
    <n v="0"/>
    <n v="0"/>
    <m/>
    <m/>
    <m/>
    <m/>
    <m/>
    <m/>
    <m/>
    <m/>
    <m/>
    <m/>
    <m/>
    <m/>
    <m/>
    <m/>
    <m/>
    <n v="0"/>
    <n v="0"/>
  </r>
  <r>
    <n v="7709"/>
    <x v="1"/>
    <s v="2021/2155"/>
    <s v="10 Granidson Road"/>
    <s v=""/>
    <n v="527842"/>
    <n v="174955"/>
    <s v="Northcote"/>
    <m/>
    <m/>
    <n v="1"/>
    <n v="1"/>
    <n v="0"/>
    <n v="1"/>
    <n v="0"/>
    <m/>
    <s v="Demolition of existing dwellinghouse except for front facade and erection of three-storey (plus basement) dwellinghouse and replacement front wall and railings."/>
    <s v="PF"/>
    <d v="2021-05-28T00:00:00"/>
    <d v="2021-08-09T00:00:00"/>
    <m/>
    <s v="Nil"/>
    <m/>
    <s v="BF"/>
    <s v="MIX"/>
    <x v="2"/>
    <x v="1"/>
    <n v="6.3749999999999996E-3"/>
    <m/>
    <x v="0"/>
    <m/>
    <s v="Open Market"/>
    <s v="M"/>
    <s v=""/>
    <m/>
    <n v="0"/>
    <m/>
    <n v="0"/>
    <m/>
    <n v="0"/>
    <n v="0"/>
    <n v="0"/>
    <n v="0"/>
    <n v="-1"/>
    <n v="1"/>
    <n v="0"/>
    <n v="0"/>
    <n v="0"/>
    <n v="0"/>
    <n v="0"/>
    <n v="0"/>
    <n v="0"/>
    <n v="0"/>
    <n v="0"/>
    <n v="0"/>
    <n v="0"/>
    <n v="0"/>
    <n v="-1"/>
    <n v="1"/>
    <n v="0"/>
    <n v="0"/>
    <n v="0"/>
    <n v="0"/>
    <n v="0"/>
    <n v="0"/>
    <n v="0"/>
    <n v="0"/>
    <m/>
    <m/>
    <s v="Rest of Borough"/>
    <n v="15"/>
    <m/>
    <n v="0"/>
    <n v="0"/>
    <n v="0"/>
    <n v="0"/>
    <m/>
    <m/>
    <m/>
    <m/>
    <m/>
    <m/>
    <m/>
    <m/>
    <m/>
    <m/>
    <m/>
    <m/>
    <m/>
    <m/>
    <m/>
    <n v="0"/>
    <n v="0"/>
  </r>
  <r>
    <n v="7034"/>
    <x v="1"/>
    <s v="2018/5025"/>
    <s v="111 Elspeth Road"/>
    <s v=""/>
    <n v="527877"/>
    <n v="175239"/>
    <s v="Lavender"/>
    <m/>
    <m/>
    <n v="1"/>
    <n v="1"/>
    <n v="0"/>
    <n v="1"/>
    <n v="0"/>
    <m/>
    <s v="Change of use from dwelling house (Class C3) to 10 person House in Multiple Occupation (Sui Generis)."/>
    <s v="PF"/>
    <d v="2018-10-23T00:00:00"/>
    <d v="2018-12-18T00:00:00"/>
    <m/>
    <s v="Nil"/>
    <m/>
    <s v="BF"/>
    <s v="COU"/>
    <x v="2"/>
    <x v="12"/>
    <n v="1.2E-2"/>
    <m/>
    <x v="0"/>
    <m/>
    <s v="Open Market"/>
    <s v="M"/>
    <s v=""/>
    <m/>
    <n v="0"/>
    <m/>
    <n v="0"/>
    <m/>
    <n v="0"/>
    <n v="0"/>
    <n v="0"/>
    <n v="0"/>
    <n v="0"/>
    <n v="0"/>
    <n v="0"/>
    <n v="0"/>
    <n v="0"/>
    <n v="0"/>
    <n v="0"/>
    <n v="0"/>
    <n v="1"/>
    <n v="0"/>
    <n v="0"/>
    <n v="0"/>
    <n v="0"/>
    <n v="0"/>
    <n v="0"/>
    <n v="-1"/>
    <n v="0"/>
    <n v="0"/>
    <n v="0"/>
    <n v="0"/>
    <n v="0"/>
    <n v="0"/>
    <n v="0"/>
    <n v="0"/>
    <m/>
    <m/>
    <s v="Clapham Junction Spatial Area Strategy"/>
    <n v="15"/>
    <m/>
    <n v="0"/>
    <n v="0"/>
    <n v="0"/>
    <n v="0"/>
    <m/>
    <m/>
    <m/>
    <m/>
    <m/>
    <m/>
    <m/>
    <m/>
    <m/>
    <m/>
    <m/>
    <m/>
    <m/>
    <m/>
    <m/>
    <n v="0"/>
    <n v="0"/>
  </r>
  <r>
    <n v="6744"/>
    <x v="1"/>
    <s v="2018/5540"/>
    <s v="Land adjacent, 101 Moring Road"/>
    <s v=""/>
    <n v="528468"/>
    <n v="171491"/>
    <s v="Tooting Bec"/>
    <m/>
    <m/>
    <n v="0"/>
    <n v="1"/>
    <n v="1"/>
    <n v="1"/>
    <n v="1"/>
    <m/>
    <s v="Erection of single storey (plus basement and lightwells) 1-bedroom house with associated refuse and cycle storage."/>
    <s v="PFLA"/>
    <d v="2018-12-12T00:00:00"/>
    <d v="2020-08-03T00:00:00"/>
    <m/>
    <s v="Nil"/>
    <m/>
    <s v="BF"/>
    <s v="NB"/>
    <x v="2"/>
    <x v="1"/>
    <n v="6.0000000000000001E-3"/>
    <m/>
    <x v="0"/>
    <m/>
    <s v="Open Market"/>
    <s v="M"/>
    <s v=""/>
    <m/>
    <n v="0"/>
    <m/>
    <n v="0"/>
    <m/>
    <n v="0"/>
    <n v="1"/>
    <n v="0"/>
    <n v="0"/>
    <n v="0"/>
    <n v="0"/>
    <n v="0"/>
    <n v="0"/>
    <n v="0"/>
    <n v="0"/>
    <n v="0"/>
    <n v="0"/>
    <n v="0"/>
    <n v="0"/>
    <n v="0"/>
    <n v="1"/>
    <n v="0"/>
    <n v="0"/>
    <n v="0"/>
    <n v="0"/>
    <n v="0"/>
    <n v="0"/>
    <n v="0"/>
    <n v="0"/>
    <n v="0"/>
    <n v="0"/>
    <n v="0"/>
    <n v="0"/>
    <m/>
    <m/>
    <s v="Rest of Borough"/>
    <n v="7"/>
    <m/>
    <m/>
    <n v="0.25"/>
    <n v="0.25"/>
    <n v="0.25"/>
    <n v="0.25"/>
    <m/>
    <m/>
    <m/>
    <m/>
    <m/>
    <m/>
    <m/>
    <m/>
    <m/>
    <m/>
    <m/>
    <m/>
    <m/>
    <m/>
    <n v="1"/>
    <n v="1"/>
  </r>
  <r>
    <n v="3246"/>
    <x v="1"/>
    <s v="2020/1286"/>
    <s v="157 Lower Richmond Road"/>
    <s v=""/>
    <n v="523446"/>
    <n v="175860"/>
    <s v="Thamesfield"/>
    <m/>
    <m/>
    <n v="1"/>
    <n v="1"/>
    <n v="0"/>
    <n v="2"/>
    <n v="1"/>
    <m/>
    <s v="Alterations in connection with conversion of existing mansard roof extension to main rear roof and roof extension above part of two storey back addition into 1 x 1-bedroom flat."/>
    <s v="PF"/>
    <d v="2020-04-07T00:00:00"/>
    <d v="2020-06-01T00:00:00"/>
    <m/>
    <s v="Nil"/>
    <m/>
    <s v="BF"/>
    <s v="MIX"/>
    <x v="2"/>
    <x v="9"/>
    <n v="4.0000000000000001E-3"/>
    <m/>
    <x v="0"/>
    <m/>
    <s v="Open Market"/>
    <s v="M"/>
    <s v=""/>
    <m/>
    <n v="0"/>
    <m/>
    <n v="0"/>
    <m/>
    <n v="0"/>
    <n v="1"/>
    <n v="-1"/>
    <n v="0"/>
    <n v="0"/>
    <n v="0"/>
    <n v="0"/>
    <n v="0"/>
    <n v="1"/>
    <n v="-1"/>
    <n v="0"/>
    <n v="0"/>
    <n v="0"/>
    <n v="0"/>
    <n v="0"/>
    <n v="0"/>
    <n v="0"/>
    <n v="0"/>
    <n v="0"/>
    <n v="0"/>
    <n v="0"/>
    <n v="0"/>
    <n v="0"/>
    <n v="0"/>
    <n v="0"/>
    <n v="0"/>
    <n v="0"/>
    <n v="0"/>
    <m/>
    <m/>
    <s v="Rest of Borough"/>
    <n v="15"/>
    <m/>
    <n v="0"/>
    <n v="0"/>
    <n v="0"/>
    <n v="0"/>
    <m/>
    <m/>
    <m/>
    <m/>
    <m/>
    <m/>
    <m/>
    <m/>
    <m/>
    <m/>
    <m/>
    <m/>
    <m/>
    <m/>
    <m/>
    <n v="0"/>
    <n v="0"/>
  </r>
  <r>
    <n v="7396"/>
    <x v="1"/>
    <s v="2020/1910"/>
    <s v="161 Battersea High Street"/>
    <s v=""/>
    <n v="527053"/>
    <n v="176220"/>
    <s v="St Mary's"/>
    <m/>
    <m/>
    <n v="1"/>
    <n v="1"/>
    <n v="0"/>
    <n v="1"/>
    <n v="0"/>
    <m/>
    <s v="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
    <s v="PF"/>
    <d v="2020-06-15T00:00:00"/>
    <d v="2020-08-19T00:00:00"/>
    <m/>
    <s v="Nil"/>
    <m/>
    <s v="BF"/>
    <s v="EXT"/>
    <x v="2"/>
    <x v="4"/>
    <n v="5.0000000000000001E-3"/>
    <m/>
    <x v="0"/>
    <m/>
    <s v="Open Market"/>
    <s v="M"/>
    <s v=""/>
    <m/>
    <n v="0"/>
    <m/>
    <n v="0"/>
    <m/>
    <n v="0"/>
    <n v="0"/>
    <n v="-1"/>
    <n v="0"/>
    <n v="1"/>
    <n v="0"/>
    <n v="0"/>
    <n v="0"/>
    <n v="0"/>
    <n v="-1"/>
    <n v="0"/>
    <n v="1"/>
    <n v="0"/>
    <n v="0"/>
    <n v="0"/>
    <n v="0"/>
    <n v="0"/>
    <n v="0"/>
    <n v="0"/>
    <n v="0"/>
    <n v="0"/>
    <n v="0"/>
    <n v="0"/>
    <n v="0"/>
    <n v="0"/>
    <n v="0"/>
    <n v="0"/>
    <n v="0"/>
    <m/>
    <m/>
    <s v="Rest of Borough"/>
    <n v="15"/>
    <m/>
    <n v="0"/>
    <n v="0"/>
    <n v="0"/>
    <n v="0"/>
    <m/>
    <m/>
    <m/>
    <m/>
    <m/>
    <m/>
    <m/>
    <m/>
    <m/>
    <m/>
    <m/>
    <m/>
    <m/>
    <m/>
    <m/>
    <n v="0"/>
    <n v="0"/>
  </r>
  <r>
    <n v="7024"/>
    <x v="1"/>
    <s v="2019/1908"/>
    <s v="17-19 St Anns Park Road"/>
    <s v=""/>
    <n v="526226"/>
    <n v="174119"/>
    <s v="Wandle"/>
    <m/>
    <m/>
    <n v="5"/>
    <n v="5"/>
    <n v="0"/>
    <n v="5"/>
    <n v="0"/>
    <m/>
    <s v="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
    <s v="PF"/>
    <d v="2019-05-22T00:00:00"/>
    <d v="2019-10-29T00:00:00"/>
    <m/>
    <s v="Nil"/>
    <m/>
    <s v="BF"/>
    <s v="CON"/>
    <x v="2"/>
    <x v="7"/>
    <n v="4.3999999999999997E-2"/>
    <m/>
    <x v="0"/>
    <m/>
    <s v="Open Market"/>
    <s v="M"/>
    <s v=""/>
    <m/>
    <n v="0"/>
    <m/>
    <n v="0"/>
    <m/>
    <n v="-1"/>
    <n v="-1"/>
    <n v="2"/>
    <n v="0"/>
    <n v="0"/>
    <n v="0"/>
    <n v="0"/>
    <n v="-1"/>
    <n v="-1"/>
    <n v="2"/>
    <n v="0"/>
    <n v="0"/>
    <n v="0"/>
    <n v="0"/>
    <n v="0"/>
    <n v="0"/>
    <n v="0"/>
    <n v="0"/>
    <n v="0"/>
    <n v="0"/>
    <n v="0"/>
    <n v="0"/>
    <n v="0"/>
    <n v="0"/>
    <n v="0"/>
    <n v="0"/>
    <n v="0"/>
    <n v="0"/>
    <m/>
    <m/>
    <s v="Rest of Borough"/>
    <n v="15"/>
    <m/>
    <n v="0"/>
    <n v="0"/>
    <n v="0"/>
    <n v="0"/>
    <m/>
    <m/>
    <m/>
    <m/>
    <m/>
    <m/>
    <m/>
    <m/>
    <m/>
    <m/>
    <m/>
    <m/>
    <m/>
    <m/>
    <m/>
    <n v="0"/>
    <n v="0"/>
  </r>
  <r>
    <n v="2060"/>
    <x v="1"/>
    <s v="2020/3209"/>
    <s v="181-185 Wandsworth High Street"/>
    <s v=""/>
    <n v="525346"/>
    <n v="174649"/>
    <s v="Wandsworth Town"/>
    <m/>
    <m/>
    <n v="3"/>
    <n v="3"/>
    <n v="0"/>
    <n v="6"/>
    <n v="3"/>
    <m/>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m/>
    <s v="Nil"/>
    <m/>
    <s v="BF"/>
    <s v="MIX"/>
    <x v="2"/>
    <x v="7"/>
    <n v="6.0000000000000001E-3"/>
    <m/>
    <x v="0"/>
    <m/>
    <s v="Open Market"/>
    <s v="M"/>
    <s v=""/>
    <m/>
    <n v="0"/>
    <m/>
    <n v="0"/>
    <m/>
    <n v="1"/>
    <n v="2"/>
    <n v="-1"/>
    <n v="-2"/>
    <n v="0"/>
    <n v="0"/>
    <n v="0"/>
    <n v="1"/>
    <n v="2"/>
    <n v="-1"/>
    <n v="-2"/>
    <n v="0"/>
    <n v="0"/>
    <n v="0"/>
    <n v="0"/>
    <n v="0"/>
    <n v="0"/>
    <n v="0"/>
    <n v="0"/>
    <n v="0"/>
    <n v="0"/>
    <n v="0"/>
    <n v="0"/>
    <n v="0"/>
    <n v="0"/>
    <n v="0"/>
    <n v="0"/>
    <n v="0"/>
    <s v="Wandsworth"/>
    <m/>
    <s v="Wandsworth Town, including the Wandle Delta Masterplan Area"/>
    <n v="15"/>
    <m/>
    <n v="0"/>
    <n v="0"/>
    <n v="0"/>
    <n v="0"/>
    <m/>
    <m/>
    <m/>
    <m/>
    <m/>
    <m/>
    <m/>
    <m/>
    <m/>
    <m/>
    <m/>
    <m/>
    <m/>
    <m/>
    <m/>
    <n v="0"/>
    <n v="0"/>
  </r>
  <r>
    <n v="7134"/>
    <x v="1"/>
    <s v="2019/0922"/>
    <s v="Land rear of, 26 Roehampton High Street"/>
    <s v=""/>
    <n v="522411"/>
    <n v="173805"/>
    <s v="Roehampton"/>
    <m/>
    <m/>
    <n v="0"/>
    <n v="1"/>
    <n v="1"/>
    <n v="1"/>
    <n v="1"/>
    <m/>
    <s v="Erection of part single/part two-storey 1-bedroom house with associated boundary treatment, cycle and refuse storage."/>
    <s v="PF"/>
    <d v="2019-03-21T00:00:00"/>
    <d v="2019-10-14T00:00:00"/>
    <m/>
    <s v="Nil"/>
    <m/>
    <s v="BF"/>
    <s v="NB"/>
    <x v="2"/>
    <x v="1"/>
    <n v="6.0000000000000001E-3"/>
    <m/>
    <x v="0"/>
    <m/>
    <s v="Open Market"/>
    <s v="M"/>
    <s v=""/>
    <m/>
    <n v="0"/>
    <m/>
    <n v="0"/>
    <m/>
    <n v="0"/>
    <n v="1"/>
    <n v="0"/>
    <n v="0"/>
    <n v="0"/>
    <n v="0"/>
    <n v="0"/>
    <n v="0"/>
    <n v="0"/>
    <n v="0"/>
    <n v="0"/>
    <n v="0"/>
    <n v="0"/>
    <n v="0"/>
    <n v="0"/>
    <n v="1"/>
    <n v="0"/>
    <n v="0"/>
    <n v="0"/>
    <n v="0"/>
    <n v="0"/>
    <n v="0"/>
    <n v="0"/>
    <n v="0"/>
    <n v="0"/>
    <n v="0"/>
    <n v="0"/>
    <n v="0"/>
    <m/>
    <m/>
    <s v="Roehampton Regeneration Area"/>
    <n v="7"/>
    <m/>
    <m/>
    <n v="0.25"/>
    <n v="0.25"/>
    <n v="0.25"/>
    <n v="0.25"/>
    <m/>
    <m/>
    <m/>
    <m/>
    <m/>
    <m/>
    <m/>
    <m/>
    <m/>
    <m/>
    <m/>
    <m/>
    <m/>
    <m/>
    <n v="1"/>
    <n v="1"/>
  </r>
  <r>
    <n v="2274"/>
    <x v="1"/>
    <s v="2019/2196"/>
    <s v="Land adj. 206, 206 Franciscan Road (204)"/>
    <s v=""/>
    <n v="527891"/>
    <n v="171427"/>
    <s v="Tooting Bec"/>
    <m/>
    <m/>
    <n v="0"/>
    <n v="1"/>
    <n v="1"/>
    <n v="1"/>
    <n v="1"/>
    <m/>
    <s v="Erection of two-storey dwellinghouse with roof level accommodation."/>
    <s v="PF"/>
    <d v="2019-05-21T00:00:00"/>
    <d v="2019-07-16T00:00:00"/>
    <m/>
    <s v="Nil"/>
    <m/>
    <s v="BF"/>
    <s v="NB"/>
    <x v="2"/>
    <x v="1"/>
    <n v="1.7999999999999999E-2"/>
    <m/>
    <x v="0"/>
    <m/>
    <s v="Open Market"/>
    <s v="M"/>
    <s v=""/>
    <m/>
    <n v="0"/>
    <m/>
    <n v="0"/>
    <m/>
    <n v="0"/>
    <n v="0"/>
    <n v="0"/>
    <n v="1"/>
    <n v="0"/>
    <n v="0"/>
    <n v="0"/>
    <n v="0"/>
    <n v="0"/>
    <n v="0"/>
    <n v="0"/>
    <n v="0"/>
    <n v="0"/>
    <n v="0"/>
    <n v="0"/>
    <n v="0"/>
    <n v="0"/>
    <n v="1"/>
    <n v="0"/>
    <n v="0"/>
    <n v="0"/>
    <n v="0"/>
    <n v="0"/>
    <n v="0"/>
    <n v="0"/>
    <n v="0"/>
    <n v="0"/>
    <n v="0"/>
    <m/>
    <m/>
    <s v="Rest of Borough"/>
    <n v="7"/>
    <m/>
    <m/>
    <n v="0.25"/>
    <n v="0.25"/>
    <n v="0.25"/>
    <n v="0.25"/>
    <m/>
    <m/>
    <m/>
    <m/>
    <m/>
    <m/>
    <m/>
    <m/>
    <m/>
    <m/>
    <m/>
    <m/>
    <m/>
    <m/>
    <n v="1"/>
    <n v="1"/>
  </r>
  <r>
    <n v="5699"/>
    <x v="1"/>
    <s v="2019/2929"/>
    <s v="Land Adjacent, 33 Vandyke Close"/>
    <s v=""/>
    <n v="523902"/>
    <n v="174030"/>
    <s v="East Putney"/>
    <m/>
    <m/>
    <n v="0"/>
    <n v="1"/>
    <n v="1"/>
    <n v="1"/>
    <n v="1"/>
    <m/>
    <s v="Erection of two storey 2-bedroom house with first floor level rear terrace, associated cycle and bin storage."/>
    <s v="PF"/>
    <d v="2019-07-17T00:00:00"/>
    <d v="2019-10-04T00:00:00"/>
    <m/>
    <s v="Nil"/>
    <m/>
    <s v="BF"/>
    <s v="NB"/>
    <x v="2"/>
    <x v="1"/>
    <n v="1.0999999999999999E-2"/>
    <m/>
    <x v="0"/>
    <m/>
    <s v="Open Market"/>
    <s v="M"/>
    <s v=""/>
    <m/>
    <n v="0"/>
    <m/>
    <n v="0"/>
    <m/>
    <n v="0"/>
    <n v="0"/>
    <n v="1"/>
    <n v="0"/>
    <n v="0"/>
    <n v="0"/>
    <n v="0"/>
    <n v="0"/>
    <n v="0"/>
    <n v="0"/>
    <n v="0"/>
    <n v="0"/>
    <n v="0"/>
    <n v="0"/>
    <n v="0"/>
    <n v="0"/>
    <n v="1"/>
    <n v="0"/>
    <n v="0"/>
    <n v="0"/>
    <n v="0"/>
    <n v="0"/>
    <n v="0"/>
    <n v="0"/>
    <n v="0"/>
    <n v="0"/>
    <n v="0"/>
    <n v="0"/>
    <m/>
    <m/>
    <s v="Rest of Borough"/>
    <n v="7"/>
    <m/>
    <m/>
    <n v="0.25"/>
    <n v="0.25"/>
    <n v="0.25"/>
    <n v="0.25"/>
    <m/>
    <m/>
    <m/>
    <m/>
    <m/>
    <m/>
    <m/>
    <m/>
    <m/>
    <m/>
    <m/>
    <m/>
    <m/>
    <m/>
    <n v="1"/>
    <n v="1"/>
  </r>
  <r>
    <n v="5995"/>
    <x v="1"/>
    <s v="2019/3077"/>
    <s v="3 Roedean Crescent"/>
    <s v=""/>
    <n v="521248"/>
    <n v="174669"/>
    <s v="Roehampton"/>
    <m/>
    <m/>
    <n v="1"/>
    <n v="1"/>
    <n v="0"/>
    <n v="1"/>
    <n v="0"/>
    <m/>
    <s v="Demolition of existing property and erection of two storey (plus roof and basement) 7-bedroom house with associated parking and boundary treatment."/>
    <s v="PF"/>
    <d v="2019-08-09T00:00:00"/>
    <d v="2019-09-26T00:00:00"/>
    <m/>
    <s v="Nil"/>
    <m/>
    <s v="BF"/>
    <s v="NB"/>
    <x v="2"/>
    <x v="1"/>
    <n v="0.123"/>
    <m/>
    <x v="0"/>
    <m/>
    <s v="Open Market"/>
    <s v="M"/>
    <s v=""/>
    <m/>
    <n v="0"/>
    <m/>
    <n v="0"/>
    <m/>
    <n v="0"/>
    <n v="0"/>
    <n v="0"/>
    <n v="0"/>
    <n v="0"/>
    <n v="0"/>
    <n v="0"/>
    <n v="0"/>
    <n v="0"/>
    <n v="0"/>
    <n v="0"/>
    <n v="0"/>
    <n v="0"/>
    <n v="0"/>
    <n v="0"/>
    <n v="0"/>
    <n v="0"/>
    <n v="0"/>
    <n v="0"/>
    <n v="0"/>
    <n v="0"/>
    <n v="0"/>
    <n v="0"/>
    <n v="0"/>
    <n v="0"/>
    <n v="0"/>
    <n v="0"/>
    <n v="0"/>
    <m/>
    <m/>
    <s v="Rest of Borough"/>
    <n v="7"/>
    <m/>
    <m/>
    <n v="0"/>
    <n v="0"/>
    <n v="0"/>
    <n v="0"/>
    <m/>
    <m/>
    <m/>
    <m/>
    <m/>
    <m/>
    <m/>
    <m/>
    <m/>
    <m/>
    <m/>
    <m/>
    <m/>
    <m/>
    <n v="0"/>
    <n v="0"/>
  </r>
  <r>
    <n v="5353"/>
    <x v="1"/>
    <s v="2021/3214"/>
    <s v="218 Tooting High Street"/>
    <s v=""/>
    <n v="527084"/>
    <n v="170956"/>
    <s v="Tooting Broadway"/>
    <m/>
    <m/>
    <n v="1"/>
    <n v="1"/>
    <n v="0"/>
    <n v="1"/>
    <n v="0"/>
    <m/>
    <s v="Erection of two storey rear building with link to main front building and first floor terraces, provision of cycle and bin storage. Change of use of rear ground floor of front building from residential (C3) to commercial (A1) in connection with provision of 1 x 3 bedroom unit."/>
    <s v="PF"/>
    <d v="2021-08-04T00:00:00"/>
    <d v="2021-11-03T00:00:00"/>
    <m/>
    <s v="Nil"/>
    <m/>
    <s v="BF"/>
    <s v="MIX"/>
    <x v="2"/>
    <x v="4"/>
    <n v="1.17E-2"/>
    <m/>
    <x v="0"/>
    <m/>
    <s v="Open Market"/>
    <s v="M"/>
    <s v=""/>
    <m/>
    <n v="0"/>
    <m/>
    <n v="0"/>
    <m/>
    <n v="0"/>
    <n v="0"/>
    <n v="-1"/>
    <n v="1"/>
    <n v="0"/>
    <n v="0"/>
    <n v="0"/>
    <n v="0"/>
    <n v="0"/>
    <n v="-1"/>
    <n v="0"/>
    <n v="0"/>
    <n v="0"/>
    <n v="0"/>
    <n v="0"/>
    <n v="0"/>
    <n v="0"/>
    <n v="1"/>
    <n v="0"/>
    <n v="0"/>
    <n v="0"/>
    <n v="0"/>
    <n v="0"/>
    <n v="0"/>
    <n v="0"/>
    <n v="0"/>
    <n v="0"/>
    <n v="0"/>
    <m/>
    <m/>
    <s v="Rest of Borough"/>
    <n v="15"/>
    <m/>
    <n v="0"/>
    <n v="0"/>
    <n v="0"/>
    <n v="0"/>
    <m/>
    <m/>
    <m/>
    <m/>
    <m/>
    <m/>
    <m/>
    <m/>
    <m/>
    <m/>
    <m/>
    <m/>
    <m/>
    <m/>
    <m/>
    <n v="0"/>
    <n v="0"/>
  </r>
  <r>
    <n v="7300"/>
    <x v="1"/>
    <s v="2019/4559"/>
    <s v="5 Queensmere Road"/>
    <s v=""/>
    <n v="523807"/>
    <n v="172574"/>
    <s v="West Hill"/>
    <m/>
    <m/>
    <n v="0"/>
    <n v="1"/>
    <n v="1"/>
    <n v="1"/>
    <n v="1"/>
    <m/>
    <s v="Erection of 2-storey 5-bedroom detached house."/>
    <s v="PF"/>
    <d v="2019-11-20T00:00:00"/>
    <d v="2020-10-20T00:00:00"/>
    <m/>
    <s v="Nil"/>
    <m/>
    <s v="BF"/>
    <s v="NB"/>
    <x v="2"/>
    <x v="1"/>
    <n v="0.01"/>
    <m/>
    <x v="0"/>
    <m/>
    <s v="Open Market"/>
    <s v="M"/>
    <s v=""/>
    <m/>
    <n v="0"/>
    <m/>
    <n v="0"/>
    <m/>
    <n v="0"/>
    <n v="0"/>
    <n v="0"/>
    <n v="0"/>
    <n v="0"/>
    <n v="1"/>
    <n v="0"/>
    <n v="0"/>
    <n v="0"/>
    <n v="0"/>
    <n v="0"/>
    <n v="0"/>
    <n v="0"/>
    <n v="0"/>
    <n v="0"/>
    <n v="0"/>
    <n v="0"/>
    <n v="0"/>
    <n v="0"/>
    <n v="1"/>
    <n v="0"/>
    <n v="0"/>
    <n v="0"/>
    <n v="0"/>
    <n v="0"/>
    <n v="0"/>
    <n v="0"/>
    <n v="0"/>
    <m/>
    <m/>
    <s v="Rest of Borough"/>
    <n v="7"/>
    <m/>
    <m/>
    <n v="0.25"/>
    <n v="0.25"/>
    <n v="0.25"/>
    <n v="0.25"/>
    <m/>
    <m/>
    <m/>
    <m/>
    <m/>
    <m/>
    <m/>
    <m/>
    <m/>
    <m/>
    <m/>
    <m/>
    <m/>
    <m/>
    <n v="1"/>
    <n v="1"/>
  </r>
  <r>
    <n v="211"/>
    <x v="1"/>
    <s v="2019/4916"/>
    <s v="Land front of, 1-3 Candahar Road"/>
    <s v=""/>
    <n v="527282"/>
    <n v="176235"/>
    <s v="Falconbrook"/>
    <m/>
    <m/>
    <n v="0"/>
    <n v="1"/>
    <n v="1"/>
    <n v="1"/>
    <n v="1"/>
    <m/>
    <s v="Erection of three-storey three bedroom house with associated bin and cycle storage."/>
    <s v="PF"/>
    <d v="2019-12-05T00:00:00"/>
    <d v="2020-01-07T00:00:00"/>
    <m/>
    <s v="Nil"/>
    <m/>
    <s v="BF"/>
    <s v="NB"/>
    <x v="2"/>
    <x v="1"/>
    <n v="0.107"/>
    <m/>
    <x v="0"/>
    <m/>
    <s v="Open Market"/>
    <s v="M"/>
    <s v=""/>
    <m/>
    <n v="0"/>
    <m/>
    <n v="0"/>
    <m/>
    <n v="0"/>
    <n v="0"/>
    <n v="0"/>
    <n v="1"/>
    <n v="0"/>
    <n v="0"/>
    <n v="0"/>
    <n v="0"/>
    <n v="0"/>
    <n v="0"/>
    <n v="0"/>
    <n v="0"/>
    <n v="0"/>
    <n v="0"/>
    <n v="0"/>
    <n v="0"/>
    <n v="0"/>
    <n v="1"/>
    <n v="0"/>
    <n v="0"/>
    <n v="0"/>
    <n v="0"/>
    <n v="0"/>
    <n v="0"/>
    <n v="0"/>
    <n v="0"/>
    <n v="0"/>
    <n v="0"/>
    <m/>
    <m/>
    <s v="Rest of Borough"/>
    <n v="7"/>
    <m/>
    <m/>
    <n v="0.25"/>
    <n v="0.25"/>
    <n v="0.25"/>
    <n v="0.25"/>
    <m/>
    <m/>
    <m/>
    <m/>
    <m/>
    <m/>
    <m/>
    <m/>
    <m/>
    <m/>
    <m/>
    <m/>
    <m/>
    <m/>
    <n v="1"/>
    <n v="1"/>
  </r>
  <r>
    <n v="3268"/>
    <x v="1"/>
    <s v="2019/5429"/>
    <s v="Land adjoining 37, Gracedale Road"/>
    <s v=""/>
    <n v="528819"/>
    <n v="171232"/>
    <s v="Furzedown"/>
    <m/>
    <m/>
    <n v="0"/>
    <n v="1"/>
    <n v="1"/>
    <n v="1"/>
    <n v="1"/>
    <m/>
    <s v="Erection of a single-storey 2-bedroom dwelling house with basement."/>
    <s v="PF"/>
    <d v="2020-01-15T00:00:00"/>
    <d v="2020-02-10T00:00:00"/>
    <m/>
    <s v="Nil"/>
    <m/>
    <s v="BF"/>
    <s v="NB"/>
    <x v="2"/>
    <x v="1"/>
    <n v="8.0000000000000002E-3"/>
    <m/>
    <x v="0"/>
    <m/>
    <s v="Open Market"/>
    <s v="M"/>
    <s v=""/>
    <m/>
    <n v="0"/>
    <m/>
    <n v="0"/>
    <m/>
    <n v="0"/>
    <n v="0"/>
    <n v="1"/>
    <n v="0"/>
    <n v="0"/>
    <n v="0"/>
    <n v="0"/>
    <n v="0"/>
    <n v="0"/>
    <n v="0"/>
    <n v="0"/>
    <n v="0"/>
    <n v="0"/>
    <n v="0"/>
    <n v="0"/>
    <n v="0"/>
    <n v="1"/>
    <n v="0"/>
    <n v="0"/>
    <n v="0"/>
    <n v="0"/>
    <n v="0"/>
    <n v="0"/>
    <n v="0"/>
    <n v="0"/>
    <n v="0"/>
    <n v="0"/>
    <n v="0"/>
    <m/>
    <m/>
    <s v="Rest of Borough"/>
    <n v="7"/>
    <m/>
    <m/>
    <n v="0.25"/>
    <n v="0.25"/>
    <n v="0.25"/>
    <n v="0.25"/>
    <m/>
    <m/>
    <m/>
    <m/>
    <m/>
    <m/>
    <m/>
    <m/>
    <m/>
    <m/>
    <m/>
    <m/>
    <m/>
    <m/>
    <n v="1"/>
    <n v="1"/>
  </r>
  <r>
    <n v="7953"/>
    <x v="1"/>
    <s v="2023/0349"/>
    <s v="32 Avarn Road"/>
    <s v=""/>
    <n v="527838"/>
    <n v="170943"/>
    <s v="Tooting Broadway"/>
    <m/>
    <m/>
    <n v="1"/>
    <n v="1"/>
    <n v="0"/>
    <n v="1"/>
    <n v="0"/>
    <m/>
    <s v="Alterations including erection of mansard roof extension to main rear roof (with French doors and safety railings) and extension above part of two-storey back addition; Formation of roof terrace above two-storey back addition with 1.7m _x000a_high screen surround in connection with the change of use from first floor flat (Class C3) into a four bedroom HMO (Class C4)."/>
    <s v="PF"/>
    <d v="2023-02-01T00:00:00"/>
    <d v="2023-03-29T00:00:00"/>
    <s v="Y"/>
    <s v="Nil"/>
    <m/>
    <s v="BF"/>
    <s v="MIX"/>
    <x v="2"/>
    <x v="2"/>
    <n v="5.45E-3"/>
    <m/>
    <x v="0"/>
    <m/>
    <s v="Open Market"/>
    <s v="MR"/>
    <s v=""/>
    <m/>
    <n v="0"/>
    <m/>
    <n v="0"/>
    <m/>
    <n v="0"/>
    <n v="0"/>
    <n v="-1"/>
    <n v="0"/>
    <n v="1"/>
    <n v="0"/>
    <n v="0"/>
    <n v="0"/>
    <n v="0"/>
    <n v="-1"/>
    <n v="0"/>
    <n v="1"/>
    <n v="0"/>
    <n v="0"/>
    <n v="0"/>
    <n v="0"/>
    <n v="0"/>
    <n v="0"/>
    <n v="0"/>
    <n v="0"/>
    <n v="0"/>
    <n v="0"/>
    <n v="0"/>
    <n v="0"/>
    <n v="0"/>
    <n v="0"/>
    <n v="0"/>
    <n v="0"/>
    <m/>
    <m/>
    <s v="Rest of Borough"/>
    <n v="15"/>
    <m/>
    <n v="0"/>
    <n v="0"/>
    <n v="0"/>
    <n v="0"/>
    <m/>
    <m/>
    <m/>
    <m/>
    <m/>
    <m/>
    <m/>
    <m/>
    <m/>
    <m/>
    <m/>
    <m/>
    <m/>
    <m/>
    <m/>
    <n v="0"/>
    <n v="0"/>
  </r>
  <r>
    <n v="7697"/>
    <x v="1"/>
    <s v="2021/3391"/>
    <s v="32 Gaskarth Road"/>
    <s v=""/>
    <n v="528911"/>
    <n v="174102"/>
    <s v="Balham"/>
    <m/>
    <m/>
    <n v="1"/>
    <n v="1"/>
    <n v="0"/>
    <n v="1"/>
    <n v="0"/>
    <m/>
    <s v="Use of the property as House of Multiple Occupation (HMO) for five people."/>
    <s v="LDC Prop"/>
    <d v="2021-07-27T00:00:00"/>
    <d v="2021-09-21T00:00:00"/>
    <m/>
    <s v="Nil"/>
    <m/>
    <s v="BF"/>
    <s v="COU"/>
    <x v="2"/>
    <x v="10"/>
    <n v="1.23E-2"/>
    <m/>
    <x v="0"/>
    <m/>
    <s v="Open Market"/>
    <s v="MR"/>
    <s v=""/>
    <m/>
    <n v="0"/>
    <m/>
    <n v="0"/>
    <m/>
    <n v="0"/>
    <n v="0"/>
    <n v="0"/>
    <n v="0"/>
    <n v="0"/>
    <n v="0"/>
    <n v="0"/>
    <n v="0"/>
    <n v="0"/>
    <n v="0"/>
    <n v="0"/>
    <n v="0"/>
    <n v="0"/>
    <n v="0"/>
    <n v="0"/>
    <n v="0"/>
    <n v="0"/>
    <n v="0"/>
    <n v="0"/>
    <n v="0"/>
    <n v="0"/>
    <n v="0"/>
    <n v="0"/>
    <n v="0"/>
    <n v="0"/>
    <n v="0"/>
    <n v="0"/>
    <n v="0"/>
    <m/>
    <m/>
    <s v="Rest of Borough"/>
    <n v="15"/>
    <m/>
    <n v="0"/>
    <n v="0"/>
    <n v="0"/>
    <n v="0"/>
    <m/>
    <m/>
    <m/>
    <m/>
    <m/>
    <m/>
    <m/>
    <m/>
    <m/>
    <m/>
    <m/>
    <m/>
    <m/>
    <m/>
    <m/>
    <n v="0"/>
    <n v="0"/>
  </r>
  <r>
    <n v="7533"/>
    <x v="1"/>
    <s v="2020/4264"/>
    <s v="373 Upper Richmond Road"/>
    <s v=""/>
    <n v="522503"/>
    <n v="175408"/>
    <s v="West Putney"/>
    <m/>
    <m/>
    <n v="1"/>
    <n v="1"/>
    <n v="0"/>
    <n v="1"/>
    <n v="0"/>
    <m/>
    <s v="Alterations including erection of dormer extension to main rear roof, Erection of single storey outbuilding for storage and office use. Relocation of external staircase."/>
    <s v="PF"/>
    <d v="2020-11-10T00:00:00"/>
    <d v="2021-01-04T00:00:00"/>
    <m/>
    <s v="Nil"/>
    <m/>
    <s v="BF"/>
    <s v="EXT"/>
    <x v="2"/>
    <x v="11"/>
    <n v="3.0000000000000001E-3"/>
    <m/>
    <x v="0"/>
    <m/>
    <s v="Open Market"/>
    <s v="M"/>
    <s v=""/>
    <m/>
    <n v="0"/>
    <m/>
    <n v="0"/>
    <m/>
    <n v="0"/>
    <n v="-1"/>
    <n v="0"/>
    <n v="1"/>
    <n v="0"/>
    <n v="0"/>
    <n v="0"/>
    <n v="0"/>
    <n v="-1"/>
    <n v="0"/>
    <n v="1"/>
    <n v="0"/>
    <n v="0"/>
    <n v="0"/>
    <n v="0"/>
    <n v="0"/>
    <n v="0"/>
    <n v="0"/>
    <n v="0"/>
    <n v="0"/>
    <n v="0"/>
    <n v="0"/>
    <n v="0"/>
    <n v="0"/>
    <n v="0"/>
    <n v="0"/>
    <n v="0"/>
    <n v="0"/>
    <m/>
    <m/>
    <s v="Rest of Borough"/>
    <n v="15"/>
    <m/>
    <n v="0"/>
    <n v="0"/>
    <n v="0"/>
    <n v="0"/>
    <m/>
    <m/>
    <m/>
    <m/>
    <m/>
    <m/>
    <m/>
    <m/>
    <m/>
    <m/>
    <m/>
    <m/>
    <m/>
    <m/>
    <m/>
    <n v="0"/>
    <n v="0"/>
  </r>
  <r>
    <n v="7830"/>
    <x v="1"/>
    <s v="2022/1603"/>
    <s v="39 Southolm Street"/>
    <s v=""/>
    <n v="528791"/>
    <n v="176757"/>
    <s v="Shaftesbury &amp; Queenstown"/>
    <m/>
    <m/>
    <n v="1"/>
    <n v="1"/>
    <n v="0"/>
    <n v="1"/>
    <n v="0"/>
    <m/>
    <s v="Alterations including erection of a three-storey side/rear extension, roof terrace at third floor level and dormer extension to main rear roof in connection with the change of use from single dwellinghouse (Class C3) into a six bedroom HMO (Sui Generis)."/>
    <s v="PF"/>
    <d v="2022-05-24T00:00:00"/>
    <d v="2022-09-15T00:00:00"/>
    <s v="Y"/>
    <s v="Nil"/>
    <m/>
    <s v="BF"/>
    <s v="MIX"/>
    <x v="2"/>
    <x v="5"/>
    <n v="3.725E-3"/>
    <m/>
    <x v="0"/>
    <m/>
    <s v="Open Market"/>
    <s v="MR"/>
    <s v=""/>
    <m/>
    <n v="0"/>
    <m/>
    <n v="0"/>
    <m/>
    <n v="0"/>
    <n v="0"/>
    <n v="0"/>
    <n v="0"/>
    <n v="-1"/>
    <n v="1"/>
    <n v="0"/>
    <n v="0"/>
    <n v="0"/>
    <n v="0"/>
    <n v="0"/>
    <n v="0"/>
    <n v="1"/>
    <n v="0"/>
    <n v="0"/>
    <n v="0"/>
    <n v="0"/>
    <n v="0"/>
    <n v="-1"/>
    <n v="0"/>
    <n v="0"/>
    <n v="0"/>
    <n v="0"/>
    <n v="0"/>
    <n v="0"/>
    <n v="0"/>
    <n v="0"/>
    <n v="0"/>
    <m/>
    <s v="Y"/>
    <s v="Nine Elms Vauxhall Opportunity Area"/>
    <n v="15"/>
    <m/>
    <n v="0"/>
    <n v="0"/>
    <n v="0"/>
    <n v="0"/>
    <m/>
    <m/>
    <m/>
    <m/>
    <m/>
    <m/>
    <m/>
    <m/>
    <m/>
    <m/>
    <m/>
    <m/>
    <m/>
    <m/>
    <m/>
    <n v="0"/>
    <n v="0"/>
  </r>
  <r>
    <n v="5684"/>
    <x v="1"/>
    <s v="2019/5524"/>
    <s v="20 Routh Road"/>
    <s v=""/>
    <n v="527218"/>
    <n v="173669"/>
    <s v="Wandsworth Common"/>
    <m/>
    <m/>
    <n v="1"/>
    <n v="1"/>
    <n v="0"/>
    <n v="1"/>
    <n v="0"/>
    <m/>
    <s v="Demolition of existing property; erection of replacement two-storey house with accommodation at roof level."/>
    <s v="PF"/>
    <d v="2020-01-21T00:00:00"/>
    <d v="2020-02-27T00:00:00"/>
    <m/>
    <s v="Nil"/>
    <m/>
    <s v="BF"/>
    <s v="NB"/>
    <x v="2"/>
    <x v="1"/>
    <n v="4.7E-2"/>
    <m/>
    <x v="0"/>
    <m/>
    <s v="Open Market"/>
    <s v="M"/>
    <s v=""/>
    <m/>
    <n v="0"/>
    <m/>
    <n v="0"/>
    <m/>
    <n v="0"/>
    <n v="0"/>
    <n v="0"/>
    <n v="-1"/>
    <n v="1"/>
    <n v="0"/>
    <n v="0"/>
    <n v="0"/>
    <n v="0"/>
    <n v="0"/>
    <n v="0"/>
    <n v="0"/>
    <n v="0"/>
    <n v="0"/>
    <n v="0"/>
    <n v="0"/>
    <n v="0"/>
    <n v="-1"/>
    <n v="1"/>
    <n v="0"/>
    <n v="0"/>
    <n v="0"/>
    <n v="0"/>
    <n v="0"/>
    <n v="0"/>
    <n v="0"/>
    <n v="0"/>
    <n v="0"/>
    <m/>
    <m/>
    <s v="Rest of Borough"/>
    <n v="7"/>
    <m/>
    <m/>
    <n v="0"/>
    <n v="0"/>
    <n v="0"/>
    <n v="0"/>
    <m/>
    <m/>
    <m/>
    <m/>
    <m/>
    <m/>
    <m/>
    <m/>
    <m/>
    <m/>
    <m/>
    <m/>
    <m/>
    <m/>
    <n v="0"/>
    <n v="0"/>
  </r>
  <r>
    <n v="6022"/>
    <x v="1"/>
    <s v="2020/1076"/>
    <s v="Land rear of 240, 240 Battersea Bridge Road"/>
    <s v=""/>
    <n v="527477"/>
    <n v="176443"/>
    <s v="St Mary's"/>
    <m/>
    <m/>
    <n v="0"/>
    <n v="1"/>
    <n v="1"/>
    <n v="1"/>
    <n v="1"/>
    <m/>
    <s v="Demolition of single storey garage and erection of a two storey (with basement) 1 x 1 bed house. Re-consultation- updated drawings and reports received."/>
    <s v="PF"/>
    <d v="2020-04-09T00:00:00"/>
    <d v="2021-05-28T00:00:00"/>
    <m/>
    <s v="Nil"/>
    <m/>
    <s v="BF"/>
    <s v="NB"/>
    <x v="2"/>
    <x v="1"/>
    <n v="1.4E-2"/>
    <m/>
    <x v="0"/>
    <m/>
    <s v="Open Market"/>
    <s v="M"/>
    <s v=""/>
    <m/>
    <n v="0"/>
    <m/>
    <n v="0"/>
    <m/>
    <n v="0"/>
    <n v="1"/>
    <n v="0"/>
    <n v="0"/>
    <n v="0"/>
    <n v="0"/>
    <n v="0"/>
    <n v="0"/>
    <n v="0"/>
    <n v="0"/>
    <n v="0"/>
    <n v="0"/>
    <n v="0"/>
    <n v="0"/>
    <n v="0"/>
    <n v="1"/>
    <n v="0"/>
    <n v="0"/>
    <n v="0"/>
    <n v="0"/>
    <n v="0"/>
    <n v="0"/>
    <n v="0"/>
    <n v="0"/>
    <n v="0"/>
    <n v="0"/>
    <n v="0"/>
    <n v="0"/>
    <m/>
    <m/>
    <s v="Rest of Borough"/>
    <n v="7"/>
    <m/>
    <m/>
    <n v="0.25"/>
    <n v="0.25"/>
    <n v="0.25"/>
    <n v="0.25"/>
    <m/>
    <m/>
    <m/>
    <m/>
    <m/>
    <m/>
    <m/>
    <m/>
    <m/>
    <m/>
    <m/>
    <m/>
    <m/>
    <m/>
    <n v="1"/>
    <n v="1"/>
  </r>
  <r>
    <n v="2846"/>
    <x v="1"/>
    <s v="2021/4253"/>
    <s v="41 Felsham Road"/>
    <s v=""/>
    <n v="523883"/>
    <n v="175563"/>
    <s v="Thamesfield"/>
    <m/>
    <m/>
    <n v="1"/>
    <n v="1"/>
    <n v="0"/>
    <n v="1"/>
    <n v="0"/>
    <m/>
    <s v="Alterations including erection of mansard roof extension to main rear roof (with French doors and safety railings); erection of a three storey (plus basement) rear extension and excavation to enlarge existing basement including formation of a rear lightwell with glazed surround; installation of replacement ground floor front elevation; installation of 2 x air source heat pumps and solar panels to rear roof; in connection with change of use to 1 x 6-bed dwellinghouse (Class C3)"/>
    <s v="PF"/>
    <d v="2021-09-22T00:00:00"/>
    <d v="2022-01-25T00:00:00"/>
    <m/>
    <s v="Nil"/>
    <m/>
    <s v="BF"/>
    <s v="CON"/>
    <x v="2"/>
    <x v="8"/>
    <n v="3.3600000000000001E-3"/>
    <m/>
    <x v="0"/>
    <m/>
    <s v="Open Market"/>
    <s v="MR"/>
    <s v=""/>
    <m/>
    <n v="0"/>
    <m/>
    <n v="0"/>
    <m/>
    <n v="0"/>
    <n v="0"/>
    <n v="-1"/>
    <n v="0"/>
    <n v="0"/>
    <n v="1"/>
    <n v="0"/>
    <n v="0"/>
    <n v="0"/>
    <n v="-1"/>
    <n v="0"/>
    <n v="0"/>
    <n v="0"/>
    <n v="0"/>
    <n v="0"/>
    <n v="0"/>
    <n v="0"/>
    <n v="0"/>
    <n v="0"/>
    <n v="1"/>
    <n v="0"/>
    <n v="0"/>
    <n v="0"/>
    <n v="0"/>
    <n v="0"/>
    <n v="0"/>
    <n v="0"/>
    <n v="0"/>
    <m/>
    <m/>
    <s v="Rest of Borough"/>
    <n v="15"/>
    <m/>
    <n v="0"/>
    <n v="0"/>
    <n v="0"/>
    <n v="0"/>
    <m/>
    <m/>
    <m/>
    <m/>
    <m/>
    <m/>
    <m/>
    <m/>
    <m/>
    <m/>
    <m/>
    <m/>
    <m/>
    <m/>
    <m/>
    <n v="0"/>
    <n v="0"/>
  </r>
  <r>
    <n v="5903"/>
    <x v="1"/>
    <s v="2021/2182"/>
    <s v="493 Garratt Lane"/>
    <s v=""/>
    <n v="525997"/>
    <n v="173088"/>
    <s v="Wandle"/>
    <m/>
    <m/>
    <n v="1"/>
    <n v="1"/>
    <n v="0"/>
    <n v="1"/>
    <n v="0"/>
    <m/>
    <s v="Alterations including change of use from residential (Class C3) to 4- bedroom HMO (Class C4)"/>
    <s v="LDC Prop"/>
    <d v="2021-05-21T00:00:00"/>
    <d v="2021-07-13T00:00:00"/>
    <m/>
    <s v="Nil"/>
    <m/>
    <s v="BF"/>
    <s v="COU"/>
    <x v="2"/>
    <x v="7"/>
    <n v="1.03E-2"/>
    <m/>
    <x v="0"/>
    <m/>
    <s v="Open Market"/>
    <s v="MR"/>
    <s v=""/>
    <m/>
    <n v="0"/>
    <m/>
    <n v="0"/>
    <m/>
    <n v="0"/>
    <n v="0"/>
    <n v="0"/>
    <n v="-1"/>
    <n v="1"/>
    <n v="0"/>
    <n v="0"/>
    <n v="0"/>
    <n v="0"/>
    <n v="0"/>
    <n v="-1"/>
    <n v="1"/>
    <n v="0"/>
    <n v="0"/>
    <n v="0"/>
    <n v="0"/>
    <n v="0"/>
    <n v="0"/>
    <n v="0"/>
    <n v="0"/>
    <n v="0"/>
    <n v="0"/>
    <n v="0"/>
    <n v="0"/>
    <n v="0"/>
    <n v="0"/>
    <n v="0"/>
    <n v="0"/>
    <m/>
    <m/>
    <s v="The Wandle Valley"/>
    <n v="15"/>
    <m/>
    <n v="0"/>
    <n v="0"/>
    <n v="0"/>
    <n v="0"/>
    <m/>
    <m/>
    <m/>
    <m/>
    <m/>
    <m/>
    <m/>
    <m/>
    <m/>
    <m/>
    <m/>
    <m/>
    <m/>
    <m/>
    <m/>
    <n v="0"/>
    <n v="0"/>
  </r>
  <r>
    <n v="7143"/>
    <x v="1"/>
    <s v="2020/1262"/>
    <s v="Land rear of, 94 Bolingbroke Grove"/>
    <s v=""/>
    <n v="527274"/>
    <n v="174744"/>
    <s v="Northcote"/>
    <m/>
    <m/>
    <n v="0"/>
    <n v="1"/>
    <n v="1"/>
    <n v="1"/>
    <n v="1"/>
    <m/>
    <s v="Demolition of existing garage and erection of two-storey (plus basement) 1-bedroom dwellinghouse."/>
    <s v="PF"/>
    <d v="2020-04-03T00:00:00"/>
    <d v="2020-08-13T00:00:00"/>
    <m/>
    <s v="Nil"/>
    <m/>
    <s v="BF"/>
    <s v="NB"/>
    <x v="2"/>
    <x v="1"/>
    <n v="2.8000000000000001E-2"/>
    <m/>
    <x v="0"/>
    <m/>
    <s v="Open Market"/>
    <s v="M"/>
    <s v=""/>
    <m/>
    <n v="0"/>
    <m/>
    <n v="0"/>
    <m/>
    <n v="0"/>
    <n v="1"/>
    <n v="0"/>
    <n v="0"/>
    <n v="0"/>
    <n v="0"/>
    <n v="0"/>
    <n v="0"/>
    <n v="0"/>
    <n v="0"/>
    <n v="0"/>
    <n v="0"/>
    <n v="0"/>
    <n v="0"/>
    <n v="0"/>
    <n v="1"/>
    <n v="0"/>
    <n v="0"/>
    <n v="0"/>
    <n v="0"/>
    <n v="0"/>
    <n v="0"/>
    <n v="0"/>
    <n v="0"/>
    <n v="0"/>
    <n v="0"/>
    <n v="0"/>
    <n v="0"/>
    <m/>
    <m/>
    <s v="Rest of Borough"/>
    <n v="7"/>
    <m/>
    <m/>
    <n v="0.25"/>
    <n v="0.25"/>
    <n v="0.25"/>
    <n v="0.25"/>
    <m/>
    <m/>
    <m/>
    <m/>
    <m/>
    <m/>
    <m/>
    <m/>
    <m/>
    <m/>
    <m/>
    <m/>
    <m/>
    <m/>
    <n v="1"/>
    <n v="1"/>
  </r>
  <r>
    <n v="7487"/>
    <x v="1"/>
    <s v="2020/4441"/>
    <s v="54c Charlmont Road"/>
    <s v=""/>
    <n v="527564"/>
    <n v="170910"/>
    <s v="Tooting Broadway"/>
    <m/>
    <m/>
    <n v="1"/>
    <n v="1"/>
    <n v="0"/>
    <n v="2"/>
    <n v="1"/>
    <m/>
    <s v="Alterations including erection of mansard roof extension to main rear roof (with 0.7m ridge raise, French doors and safety railings), alterations to front roof pitch and raising existing gable in connection with the creation of  1 x1 bedroom flat."/>
    <s v="PF"/>
    <d v="2020-11-20T00:00:00"/>
    <d v="2021-04-14T00:00:00"/>
    <m/>
    <s v="Nil"/>
    <m/>
    <s v="BF"/>
    <s v="MIX"/>
    <x v="2"/>
    <x v="7"/>
    <n v="8.0000000000000002E-3"/>
    <m/>
    <x v="0"/>
    <m/>
    <s v="Open Market"/>
    <s v="M"/>
    <s v=""/>
    <m/>
    <n v="0"/>
    <m/>
    <n v="0"/>
    <m/>
    <n v="0"/>
    <n v="0"/>
    <n v="1"/>
    <n v="-1"/>
    <n v="0"/>
    <n v="0"/>
    <n v="0"/>
    <n v="0"/>
    <n v="0"/>
    <n v="1"/>
    <n v="-1"/>
    <n v="0"/>
    <n v="0"/>
    <n v="0"/>
    <n v="0"/>
    <n v="0"/>
    <n v="0"/>
    <n v="0"/>
    <n v="0"/>
    <n v="0"/>
    <n v="0"/>
    <n v="0"/>
    <n v="0"/>
    <n v="0"/>
    <n v="0"/>
    <n v="0"/>
    <n v="0"/>
    <n v="0"/>
    <m/>
    <m/>
    <s v="Rest of Borough"/>
    <n v="15"/>
    <m/>
    <n v="0"/>
    <n v="0"/>
    <n v="0"/>
    <n v="0"/>
    <m/>
    <m/>
    <m/>
    <m/>
    <m/>
    <m/>
    <m/>
    <m/>
    <m/>
    <m/>
    <m/>
    <m/>
    <m/>
    <m/>
    <m/>
    <n v="0"/>
    <n v="0"/>
  </r>
  <r>
    <n v="7130"/>
    <x v="1"/>
    <s v="2019/0899"/>
    <s v="55 Gayville Road"/>
    <s v=""/>
    <n v="527830"/>
    <n v="174273"/>
    <s v="Northcote"/>
    <m/>
    <m/>
    <n v="1"/>
    <n v="1"/>
    <n v="0"/>
    <n v="2"/>
    <n v="1"/>
    <m/>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m/>
    <s v="Nil"/>
    <m/>
    <s v="BF"/>
    <s v="MIX"/>
    <x v="2"/>
    <x v="5"/>
    <n v="7.0000000000000001E-3"/>
    <m/>
    <x v="0"/>
    <m/>
    <s v="Open Market"/>
    <s v="M"/>
    <s v=""/>
    <m/>
    <n v="0"/>
    <m/>
    <n v="0"/>
    <m/>
    <n v="0"/>
    <n v="0"/>
    <n v="0"/>
    <n v="1"/>
    <n v="-1"/>
    <n v="0"/>
    <n v="0"/>
    <n v="0"/>
    <n v="0"/>
    <n v="0"/>
    <n v="1"/>
    <n v="0"/>
    <n v="0"/>
    <n v="0"/>
    <n v="0"/>
    <n v="0"/>
    <n v="0"/>
    <n v="0"/>
    <n v="-1"/>
    <n v="0"/>
    <n v="0"/>
    <n v="0"/>
    <n v="0"/>
    <n v="0"/>
    <n v="0"/>
    <n v="0"/>
    <n v="0"/>
    <n v="0"/>
    <m/>
    <m/>
    <s v="Rest of Borough"/>
    <n v="15"/>
    <m/>
    <n v="0"/>
    <n v="0"/>
    <n v="0"/>
    <n v="0"/>
    <m/>
    <m/>
    <m/>
    <m/>
    <m/>
    <m/>
    <m/>
    <m/>
    <m/>
    <m/>
    <m/>
    <m/>
    <m/>
    <m/>
    <m/>
    <n v="0"/>
    <n v="0"/>
  </r>
  <r>
    <n v="7522"/>
    <x v="1"/>
    <s v="2020/2002"/>
    <s v="Land Adjacent, 77 Festing Road (Embankment - embankment Studios)"/>
    <s v=""/>
    <n v="523648"/>
    <n v="176066"/>
    <s v="Thamesfield"/>
    <m/>
    <m/>
    <n v="0"/>
    <n v="1"/>
    <n v="1"/>
    <n v="1"/>
    <n v="1"/>
    <m/>
    <s v="Demolition of existing office building and erection of a 2/3-bedroom house (Class C3)."/>
    <s v="PF"/>
    <d v="2020-06-09T00:00:00"/>
    <d v="2021-03-08T00:00:00"/>
    <m/>
    <s v="Nil"/>
    <m/>
    <s v="BF"/>
    <s v="NB"/>
    <x v="2"/>
    <x v="1"/>
    <n v="1.9E-2"/>
    <m/>
    <x v="0"/>
    <m/>
    <s v="Open Market"/>
    <s v="M"/>
    <s v=""/>
    <m/>
    <n v="0"/>
    <m/>
    <n v="0"/>
    <m/>
    <n v="0"/>
    <n v="0"/>
    <n v="1"/>
    <n v="0"/>
    <n v="0"/>
    <n v="0"/>
    <n v="0"/>
    <n v="0"/>
    <n v="0"/>
    <n v="0"/>
    <n v="0"/>
    <n v="0"/>
    <n v="0"/>
    <n v="0"/>
    <n v="0"/>
    <n v="0"/>
    <n v="1"/>
    <n v="0"/>
    <n v="0"/>
    <n v="0"/>
    <n v="0"/>
    <n v="0"/>
    <n v="0"/>
    <n v="0"/>
    <n v="0"/>
    <n v="0"/>
    <n v="0"/>
    <n v="0"/>
    <m/>
    <m/>
    <s v="Wandsworth riverside"/>
    <n v="7"/>
    <m/>
    <m/>
    <n v="0.25"/>
    <n v="0.25"/>
    <n v="0.25"/>
    <n v="0.25"/>
    <m/>
    <m/>
    <m/>
    <m/>
    <m/>
    <m/>
    <m/>
    <m/>
    <m/>
    <m/>
    <m/>
    <m/>
    <m/>
    <m/>
    <n v="1"/>
    <n v="1"/>
  </r>
  <r>
    <n v="7152"/>
    <x v="1"/>
    <s v="2018/5605"/>
    <s v="66A North Side Wandsworth Common"/>
    <s v=""/>
    <n v="526518"/>
    <n v="174839"/>
    <s v="Wandsworth Town"/>
    <m/>
    <m/>
    <n v="1"/>
    <n v="1"/>
    <n v="0"/>
    <n v="2"/>
    <n v="1"/>
    <m/>
    <s v="Alterations in connection with conversion of basement into 1-bedroom flat."/>
    <s v="PF"/>
    <d v="2018-12-10T00:00:00"/>
    <d v="2019-03-25T00:00:00"/>
    <m/>
    <s v="Nil"/>
    <m/>
    <s v="BF"/>
    <s v="CON"/>
    <x v="2"/>
    <x v="5"/>
    <n v="3.0000000000000001E-3"/>
    <m/>
    <x v="0"/>
    <m/>
    <s v="Open Market"/>
    <s v="M"/>
    <s v=""/>
    <m/>
    <n v="0"/>
    <m/>
    <n v="0"/>
    <m/>
    <n v="0"/>
    <n v="1"/>
    <n v="0"/>
    <n v="0"/>
    <n v="0"/>
    <n v="-1"/>
    <n v="0"/>
    <n v="0"/>
    <n v="1"/>
    <n v="0"/>
    <n v="0"/>
    <n v="0"/>
    <n v="0"/>
    <n v="0"/>
    <n v="0"/>
    <n v="0"/>
    <n v="0"/>
    <n v="0"/>
    <n v="0"/>
    <n v="-1"/>
    <n v="0"/>
    <n v="0"/>
    <n v="0"/>
    <n v="0"/>
    <n v="0"/>
    <n v="0"/>
    <n v="0"/>
    <n v="0"/>
    <m/>
    <m/>
    <s v="Rest of Borough"/>
    <n v="15"/>
    <m/>
    <n v="0"/>
    <n v="0"/>
    <n v="0"/>
    <n v="0"/>
    <m/>
    <m/>
    <m/>
    <m/>
    <m/>
    <m/>
    <m/>
    <m/>
    <m/>
    <m/>
    <m/>
    <m/>
    <m/>
    <m/>
    <m/>
    <n v="0"/>
    <n v="0"/>
  </r>
  <r>
    <n v="7468"/>
    <x v="1"/>
    <s v="2020/3111"/>
    <s v="Garages at, 169-183 Elsenham Street"/>
    <s v=""/>
    <n v="524935"/>
    <n v="172719"/>
    <s v="Southfields"/>
    <d v="2022-07-01T00:00:00"/>
    <m/>
    <n v="0"/>
    <n v="1"/>
    <n v="1"/>
    <n v="1"/>
    <n v="1"/>
    <m/>
    <s v="Demolition of existing garages and erection of a two-storey (plus accommodation at roof level) 5-bedroom house."/>
    <s v="PF"/>
    <d v="2020-09-09T00:00:00"/>
    <d v="2020-12-16T00:00:00"/>
    <m/>
    <s v="Nil"/>
    <m/>
    <s v="BF"/>
    <s v="NB"/>
    <x v="2"/>
    <x v="1"/>
    <n v="1.7999999999999999E-2"/>
    <m/>
    <x v="0"/>
    <m/>
    <s v="Open Market"/>
    <s v="M"/>
    <s v=""/>
    <m/>
    <n v="0"/>
    <m/>
    <n v="0"/>
    <m/>
    <n v="0"/>
    <n v="0"/>
    <n v="0"/>
    <n v="0"/>
    <n v="0"/>
    <n v="1"/>
    <n v="0"/>
    <n v="0"/>
    <n v="0"/>
    <n v="0"/>
    <n v="0"/>
    <n v="0"/>
    <n v="0"/>
    <n v="0"/>
    <n v="0"/>
    <n v="0"/>
    <n v="0"/>
    <n v="0"/>
    <n v="0"/>
    <n v="1"/>
    <n v="0"/>
    <n v="0"/>
    <n v="0"/>
    <n v="0"/>
    <n v="0"/>
    <n v="0"/>
    <n v="0"/>
    <n v="0"/>
    <m/>
    <m/>
    <s v="Rest of Borough"/>
    <n v="7"/>
    <m/>
    <m/>
    <n v="0.25"/>
    <n v="0.25"/>
    <n v="0.25"/>
    <n v="0.25"/>
    <m/>
    <m/>
    <m/>
    <m/>
    <m/>
    <m/>
    <m/>
    <m/>
    <m/>
    <m/>
    <m/>
    <m/>
    <m/>
    <m/>
    <n v="1"/>
    <n v="1"/>
  </r>
  <r>
    <n v="7466"/>
    <x v="1"/>
    <s v="2020/3110"/>
    <s v="A &amp; B, 38 Comyn Road"/>
    <s v=""/>
    <n v="527275"/>
    <n v="175225"/>
    <s v="Lavender"/>
    <m/>
    <m/>
    <n v="1"/>
    <n v="1"/>
    <n v="0"/>
    <n v="2"/>
    <n v="1"/>
    <m/>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m/>
    <s v="Nil"/>
    <m/>
    <s v="BF"/>
    <s v="MIX"/>
    <x v="2"/>
    <x v="2"/>
    <n v="6.0000000000000001E-3"/>
    <m/>
    <x v="0"/>
    <m/>
    <s v="Open Market"/>
    <s v="M"/>
    <s v=""/>
    <m/>
    <n v="0"/>
    <m/>
    <n v="0"/>
    <m/>
    <n v="0"/>
    <n v="1"/>
    <n v="0"/>
    <n v="0"/>
    <n v="-1"/>
    <n v="0"/>
    <n v="0"/>
    <n v="0"/>
    <n v="1"/>
    <n v="0"/>
    <n v="0"/>
    <n v="-1"/>
    <n v="0"/>
    <n v="0"/>
    <n v="0"/>
    <n v="0"/>
    <n v="0"/>
    <n v="0"/>
    <n v="0"/>
    <n v="0"/>
    <n v="0"/>
    <n v="0"/>
    <n v="0"/>
    <n v="0"/>
    <n v="0"/>
    <n v="0"/>
    <n v="0"/>
    <n v="0"/>
    <m/>
    <m/>
    <s v="Clapham Junction Spatial Area Strategy"/>
    <n v="15"/>
    <m/>
    <n v="0"/>
    <n v="0"/>
    <n v="0"/>
    <n v="0"/>
    <m/>
    <m/>
    <m/>
    <m/>
    <m/>
    <m/>
    <m/>
    <m/>
    <m/>
    <m/>
    <m/>
    <m/>
    <m/>
    <m/>
    <m/>
    <n v="0"/>
    <n v="0"/>
  </r>
  <r>
    <n v="7864"/>
    <x v="1"/>
    <s v="2022/3059"/>
    <s v="Cemetery Lodge, 240 Lower Richmond Road"/>
    <s v=""/>
    <n v="522892"/>
    <n v="175932"/>
    <s v="Thamesfield"/>
    <m/>
    <m/>
    <n v="1"/>
    <n v="1"/>
    <n v="0"/>
    <n v="1"/>
    <n v="0"/>
    <m/>
    <s v="Change of use of the ground floor from residential (Class C3) to cafe (Class E) with residential on first floor. Alterations to include the erection of a ground floor extension and removal of boundary walls."/>
    <s v="PF"/>
    <d v="2022-07-21T00:00:00"/>
    <d v="2022-09-23T00:00:00"/>
    <s v="Y"/>
    <s v="Nil"/>
    <m/>
    <s v="BF"/>
    <s v="CON"/>
    <x v="2"/>
    <x v="12"/>
    <n v="3.5000000000000001E-3"/>
    <m/>
    <x v="0"/>
    <m/>
    <s v="Open Market"/>
    <s v="M"/>
    <s v=""/>
    <m/>
    <n v="0"/>
    <m/>
    <n v="0"/>
    <m/>
    <n v="0"/>
    <n v="1"/>
    <n v="-1"/>
    <n v="0"/>
    <n v="0"/>
    <n v="0"/>
    <n v="0"/>
    <n v="0"/>
    <n v="1"/>
    <n v="0"/>
    <n v="0"/>
    <n v="0"/>
    <n v="0"/>
    <n v="0"/>
    <n v="0"/>
    <n v="0"/>
    <n v="-1"/>
    <n v="0"/>
    <n v="0"/>
    <n v="0"/>
    <n v="0"/>
    <n v="0"/>
    <n v="0"/>
    <n v="0"/>
    <n v="0"/>
    <n v="0"/>
    <n v="0"/>
    <n v="0"/>
    <m/>
    <m/>
    <s v="Rest of Borough"/>
    <n v="15"/>
    <m/>
    <n v="0"/>
    <n v="0"/>
    <n v="0"/>
    <n v="0"/>
    <m/>
    <m/>
    <m/>
    <m/>
    <m/>
    <m/>
    <m/>
    <m/>
    <m/>
    <m/>
    <m/>
    <m/>
    <m/>
    <m/>
    <m/>
    <n v="0"/>
    <n v="0"/>
  </r>
  <r>
    <n v="5171"/>
    <x v="1"/>
    <s v="2018/5668"/>
    <s v="Flat 7 Fountain House, 138 West Hill"/>
    <s v=""/>
    <n v="524335"/>
    <n v="174296"/>
    <s v="East Putney"/>
    <m/>
    <m/>
    <n v="1"/>
    <n v="1"/>
    <n v="0"/>
    <n v="1"/>
    <n v="0"/>
    <m/>
    <s v="Alterations in connection with conversion of studio flat into 1-bedroom flat."/>
    <s v="PF"/>
    <d v="2018-11-28T00:00:00"/>
    <d v="2019-01-30T00:00:00"/>
    <m/>
    <s v="Nil"/>
    <m/>
    <s v="BF"/>
    <s v="CON"/>
    <x v="2"/>
    <x v="7"/>
    <n v="1.4E-2"/>
    <m/>
    <x v="0"/>
    <m/>
    <s v="Open Market"/>
    <s v="M"/>
    <s v=""/>
    <m/>
    <n v="0"/>
    <m/>
    <n v="0"/>
    <m/>
    <n v="-1"/>
    <n v="1"/>
    <n v="0"/>
    <n v="0"/>
    <n v="0"/>
    <n v="0"/>
    <n v="0"/>
    <n v="-1"/>
    <n v="1"/>
    <n v="0"/>
    <n v="0"/>
    <n v="0"/>
    <n v="0"/>
    <n v="0"/>
    <n v="0"/>
    <n v="0"/>
    <n v="0"/>
    <n v="0"/>
    <n v="0"/>
    <n v="0"/>
    <n v="0"/>
    <n v="0"/>
    <n v="0"/>
    <n v="0"/>
    <n v="0"/>
    <n v="0"/>
    <n v="0"/>
    <n v="0"/>
    <m/>
    <m/>
    <s v="Rest of Borough"/>
    <n v="15"/>
    <m/>
    <n v="0"/>
    <n v="0"/>
    <n v="0"/>
    <n v="0"/>
    <m/>
    <m/>
    <m/>
    <m/>
    <m/>
    <m/>
    <m/>
    <m/>
    <m/>
    <m/>
    <m/>
    <m/>
    <m/>
    <m/>
    <m/>
    <n v="0"/>
    <n v="0"/>
  </r>
  <r>
    <n v="6952"/>
    <x v="1"/>
    <s v="2022/1440"/>
    <s v="Post Office, 355 Upper Richmond Road"/>
    <s v=""/>
    <n v="522554"/>
    <n v="175400"/>
    <s v="West Putney"/>
    <m/>
    <m/>
    <n v="1"/>
    <n v="1"/>
    <n v="0"/>
    <n v="1"/>
    <n v="0"/>
    <m/>
    <s v="Alterations including erection of rear dormer, single storey rear extensions and formation of rear first floor level roof terrace with screen surround in connection with use of rear ground floor and upper floors as 1 x 3-bedroom flat with rear access."/>
    <s v="PF"/>
    <d v="2022-05-03T00:00:00"/>
    <d v="2022-06-28T00:00:00"/>
    <s v="Y"/>
    <s v="Nil"/>
    <m/>
    <s v="BF"/>
    <s v="MIX"/>
    <x v="2"/>
    <x v="7"/>
    <n v="8.9999999999999993E-3"/>
    <m/>
    <x v="0"/>
    <m/>
    <s v="Open Market"/>
    <s v="M"/>
    <s v=""/>
    <m/>
    <n v="0"/>
    <m/>
    <n v="0"/>
    <m/>
    <n v="0"/>
    <n v="-1"/>
    <n v="0"/>
    <n v="1"/>
    <n v="0"/>
    <n v="0"/>
    <n v="0"/>
    <n v="0"/>
    <n v="-1"/>
    <n v="0"/>
    <n v="1"/>
    <n v="0"/>
    <n v="0"/>
    <n v="0"/>
    <n v="0"/>
    <n v="0"/>
    <n v="0"/>
    <n v="0"/>
    <n v="0"/>
    <n v="0"/>
    <n v="0"/>
    <n v="0"/>
    <n v="0"/>
    <n v="0"/>
    <n v="0"/>
    <n v="0"/>
    <n v="0"/>
    <n v="0"/>
    <m/>
    <m/>
    <s v="Rest of Borough"/>
    <n v="15"/>
    <m/>
    <n v="0"/>
    <n v="0"/>
    <n v="0"/>
    <n v="0"/>
    <m/>
    <m/>
    <m/>
    <m/>
    <m/>
    <m/>
    <m/>
    <m/>
    <m/>
    <m/>
    <m/>
    <m/>
    <m/>
    <m/>
    <m/>
    <n v="0"/>
    <n v="0"/>
  </r>
  <r>
    <n v="7913"/>
    <x v="1"/>
    <s v="2022/3891"/>
    <s v="1 and 2 Malbrook Court, 9 Malbrook Road"/>
    <s v=""/>
    <n v="522974"/>
    <n v="175158"/>
    <s v="West Putney"/>
    <m/>
    <m/>
    <n v="2"/>
    <n v="1"/>
    <n v="-1"/>
    <n v="1"/>
    <n v="-1"/>
    <m/>
    <s v="Alterations including erection of a dormer extension to main rear roof, erection of part single, part two-storey side/rear extension and excavation to enlarge basement in connection with the use of properties as a single family dwelling; alterations to front boundary including installation of gates and formation of hardstanding in front garden."/>
    <s v="PF"/>
    <d v="2022-11-16T00:00:00"/>
    <d v="2023-01-26T00:00:00"/>
    <s v="Y"/>
    <s v="Nil"/>
    <m/>
    <s v="BF"/>
    <s v="MIX"/>
    <x v="2"/>
    <x v="8"/>
    <n v="6.2E-2"/>
    <m/>
    <x v="0"/>
    <m/>
    <s v="Open Market"/>
    <s v="M"/>
    <s v=""/>
    <m/>
    <n v="0"/>
    <m/>
    <n v="0"/>
    <m/>
    <n v="0"/>
    <n v="0"/>
    <n v="0"/>
    <n v="0"/>
    <n v="0"/>
    <n v="1"/>
    <n v="-2"/>
    <n v="0"/>
    <n v="0"/>
    <n v="0"/>
    <n v="0"/>
    <n v="0"/>
    <n v="0"/>
    <n v="-2"/>
    <n v="0"/>
    <n v="0"/>
    <n v="0"/>
    <n v="0"/>
    <n v="0"/>
    <n v="1"/>
    <n v="0"/>
    <n v="0"/>
    <n v="0"/>
    <n v="0"/>
    <n v="0"/>
    <n v="0"/>
    <n v="0"/>
    <n v="0"/>
    <m/>
    <m/>
    <s v="Rest of Borough"/>
    <n v="15"/>
    <m/>
    <n v="-0.25"/>
    <n v="-0.25"/>
    <n v="-0.25"/>
    <n v="-0.25"/>
    <m/>
    <m/>
    <m/>
    <m/>
    <m/>
    <m/>
    <m/>
    <m/>
    <m/>
    <m/>
    <m/>
    <m/>
    <m/>
    <m/>
    <m/>
    <n v="-1"/>
    <n v="-1"/>
  </r>
  <r>
    <n v="7875"/>
    <x v="1"/>
    <s v="2022/3125"/>
    <s v="122 Dowdeswell Close"/>
    <s v=""/>
    <n v="521424"/>
    <n v="175172"/>
    <s v="Roehampton"/>
    <m/>
    <m/>
    <n v="1"/>
    <n v="0"/>
    <n v="-1"/>
    <n v="0"/>
    <n v="-1"/>
    <m/>
    <s v="Continue use as a single dwelling house."/>
    <s v="PF"/>
    <d v="2022-08-30T00:00:00"/>
    <d v="2022-11-16T00:00:00"/>
    <s v="Y"/>
    <s v="Nil"/>
    <m/>
    <s v="BF"/>
    <s v="CON"/>
    <x v="2"/>
    <x v="13"/>
    <n v="1.8E-3"/>
    <m/>
    <x v="0"/>
    <m/>
    <s v="Open Market"/>
    <s v="M"/>
    <s v=""/>
    <m/>
    <n v="0"/>
    <m/>
    <n v="0"/>
    <m/>
    <n v="-1"/>
    <n v="0"/>
    <n v="0"/>
    <n v="0"/>
    <n v="0"/>
    <n v="0"/>
    <n v="0"/>
    <n v="-1"/>
    <n v="0"/>
    <n v="0"/>
    <n v="0"/>
    <n v="0"/>
    <n v="0"/>
    <n v="0"/>
    <n v="0"/>
    <n v="0"/>
    <n v="0"/>
    <n v="0"/>
    <n v="0"/>
    <n v="0"/>
    <n v="0"/>
    <n v="0"/>
    <n v="0"/>
    <n v="0"/>
    <n v="0"/>
    <n v="0"/>
    <n v="0"/>
    <n v="0"/>
    <m/>
    <m/>
    <s v="Rest of Borough"/>
    <n v="15"/>
    <m/>
    <n v="-0.25"/>
    <n v="-0.25"/>
    <n v="-0.25"/>
    <n v="-0.25"/>
    <m/>
    <m/>
    <m/>
    <m/>
    <m/>
    <m/>
    <m/>
    <m/>
    <m/>
    <m/>
    <m/>
    <m/>
    <m/>
    <m/>
    <m/>
    <n v="-1"/>
    <n v="-1"/>
  </r>
  <r>
    <n v="7859"/>
    <x v="1"/>
    <s v="2022/2352"/>
    <s v="13 Gwendolen Avenue"/>
    <s v=""/>
    <n v="523549"/>
    <n v="175035"/>
    <s v="West Putney"/>
    <m/>
    <m/>
    <n v="2"/>
    <n v="1"/>
    <n v="-1"/>
    <n v="1"/>
    <n v="-1"/>
    <m/>
    <s v="Alterations including demolition and replacement of single and two-storey rear additions; excavation to enlarge basement and install front and rear lightwells and construction of a swimming pool;  erection of extension to main roof with rear and side dormers; erection of front boundary wall with railings and gates, external repairs and refurbishment works in connection with use as a single dwelling house."/>
    <s v="PF"/>
    <d v="2022-06-28T00:00:00"/>
    <d v="2022-12-06T00:00:00"/>
    <s v="Y"/>
    <s v="Nil"/>
    <m/>
    <s v="BF"/>
    <s v="CON"/>
    <x v="2"/>
    <x v="8"/>
    <n v="2.5100000000000001E-2"/>
    <m/>
    <x v="0"/>
    <m/>
    <s v="Open Market"/>
    <s v="M"/>
    <s v=""/>
    <m/>
    <n v="0"/>
    <m/>
    <n v="0"/>
    <m/>
    <n v="0"/>
    <n v="-1"/>
    <n v="0"/>
    <n v="0"/>
    <n v="0"/>
    <n v="0"/>
    <n v="0"/>
    <n v="0"/>
    <n v="-1"/>
    <n v="0"/>
    <n v="0"/>
    <n v="0"/>
    <n v="-1"/>
    <n v="0"/>
    <n v="0"/>
    <n v="0"/>
    <n v="0"/>
    <n v="0"/>
    <n v="0"/>
    <n v="1"/>
    <n v="0"/>
    <n v="0"/>
    <n v="0"/>
    <n v="0"/>
    <n v="0"/>
    <n v="0"/>
    <n v="0"/>
    <n v="0"/>
    <m/>
    <m/>
    <s v="Rest of Borough"/>
    <n v="15"/>
    <m/>
    <n v="-0.25"/>
    <n v="-0.25"/>
    <n v="-0.25"/>
    <n v="-0.25"/>
    <m/>
    <m/>
    <m/>
    <m/>
    <m/>
    <m/>
    <m/>
    <m/>
    <m/>
    <m/>
    <m/>
    <m/>
    <m/>
    <m/>
    <m/>
    <n v="-1"/>
    <n v="-1"/>
  </r>
  <r>
    <n v="7824"/>
    <x v="1"/>
    <s v="2022/1396"/>
    <s v="14 Alternburg Gardens"/>
    <s v=""/>
    <n v="527774"/>
    <n v="175242"/>
    <s v="Lavender"/>
    <m/>
    <m/>
    <n v="2"/>
    <n v="1"/>
    <n v="-1"/>
    <n v="1"/>
    <n v="-1"/>
    <m/>
    <s v="Alterations including erection of mansard roof extension (with French doors and safety railings); Erection of single-storey rear/side extension; Front side boundary fence; Excavation to create basment including formation of front and rear lightwells in connection with conversion of 2 flats into single dwelling house."/>
    <s v="PF"/>
    <d v="2022-04-01T00:00:00"/>
    <d v="2022-06-06T00:00:00"/>
    <s v="Y"/>
    <s v="Nil"/>
    <m/>
    <s v="BF"/>
    <s v="MIX"/>
    <x v="2"/>
    <x v="8"/>
    <n v="6.1500000000000001E-3"/>
    <m/>
    <x v="0"/>
    <m/>
    <s v="Open Market"/>
    <s v="M"/>
    <s v=""/>
    <m/>
    <n v="0"/>
    <m/>
    <n v="0"/>
    <m/>
    <n v="0"/>
    <n v="-1"/>
    <n v="-1"/>
    <n v="0"/>
    <n v="0"/>
    <n v="1"/>
    <n v="0"/>
    <n v="0"/>
    <n v="-1"/>
    <n v="-1"/>
    <n v="0"/>
    <n v="0"/>
    <n v="0"/>
    <n v="0"/>
    <n v="0"/>
    <n v="0"/>
    <n v="0"/>
    <n v="0"/>
    <n v="0"/>
    <n v="1"/>
    <n v="0"/>
    <n v="0"/>
    <n v="0"/>
    <n v="0"/>
    <n v="0"/>
    <n v="0"/>
    <n v="0"/>
    <n v="0"/>
    <m/>
    <m/>
    <s v="Clapham Junction Spatial Area Strategy"/>
    <n v="15"/>
    <m/>
    <n v="-0.25"/>
    <n v="-0.25"/>
    <n v="-0.25"/>
    <n v="-0.25"/>
    <m/>
    <m/>
    <m/>
    <m/>
    <m/>
    <m/>
    <m/>
    <m/>
    <m/>
    <m/>
    <m/>
    <m/>
    <m/>
    <m/>
    <m/>
    <n v="-1"/>
    <n v="-1"/>
  </r>
  <r>
    <n v="7518"/>
    <x v="1"/>
    <s v="2021/0951"/>
    <s v="23 Elspeth Road"/>
    <s v=""/>
    <n v="527807"/>
    <n v="175455"/>
    <s v="Lavender"/>
    <m/>
    <m/>
    <n v="1"/>
    <n v="0"/>
    <n v="-1"/>
    <n v="0"/>
    <n v="-1"/>
    <m/>
    <s v="Alterations including erection of single-storey rear/side extension and rear roof extension in connection with of change of use from 5-bedroom House of Multiple Occupation (Class C4) to 7-bedroom House of Multiple Occupation (Sui Generis)."/>
    <s v="PF"/>
    <d v="2021-03-18T00:00:00"/>
    <d v="2022-06-27T00:00:00"/>
    <s v="Y"/>
    <s v="Nil"/>
    <m/>
    <s v="BF"/>
    <s v="COU"/>
    <x v="2"/>
    <x v="10"/>
    <n v="0"/>
    <m/>
    <x v="0"/>
    <m/>
    <s v="Open Market"/>
    <s v="MR"/>
    <s v=""/>
    <m/>
    <n v="0"/>
    <m/>
    <n v="0"/>
    <m/>
    <n v="0"/>
    <n v="0"/>
    <n v="0"/>
    <n v="0"/>
    <n v="0"/>
    <n v="-1"/>
    <n v="0"/>
    <n v="0"/>
    <n v="0"/>
    <n v="0"/>
    <n v="0"/>
    <n v="0"/>
    <n v="0"/>
    <n v="0"/>
    <n v="0"/>
    <n v="0"/>
    <n v="0"/>
    <n v="0"/>
    <n v="0"/>
    <n v="-1"/>
    <n v="0"/>
    <n v="0"/>
    <n v="0"/>
    <n v="0"/>
    <n v="0"/>
    <n v="0"/>
    <n v="0"/>
    <n v="0"/>
    <m/>
    <m/>
    <s v="Clapham Junction Spatial Area Strategy"/>
    <n v="15"/>
    <m/>
    <n v="-0.25"/>
    <n v="-0.25"/>
    <n v="-0.25"/>
    <n v="-0.25"/>
    <m/>
    <m/>
    <m/>
    <m/>
    <m/>
    <m/>
    <m/>
    <m/>
    <m/>
    <m/>
    <m/>
    <m/>
    <m/>
    <m/>
    <m/>
    <n v="-1"/>
    <n v="-1"/>
  </r>
  <r>
    <n v="5958"/>
    <x v="1"/>
    <s v="2020/4021"/>
    <s v="250 Upper Tooting Road"/>
    <s v=""/>
    <n v="527576"/>
    <n v="171713"/>
    <s v="Tooting Bec"/>
    <m/>
    <m/>
    <n v="2"/>
    <n v="1"/>
    <n v="-1"/>
    <n v="4"/>
    <n v="2"/>
    <m/>
    <s v="Reconfiguration of first and second floors to form 4 units (1 x 2-bedroom and 3 x 1-bedroom) with the erection of ground, first and second floor rear and side extensions and installation of AC units."/>
    <s v="PF"/>
    <d v="2020-10-23T00:00:00"/>
    <d v="2020-12-18T00:00:00"/>
    <m/>
    <s v="Nil"/>
    <m/>
    <s v="BF"/>
    <s v="MIX"/>
    <x v="2"/>
    <x v="9"/>
    <n v="2E-3"/>
    <m/>
    <x v="0"/>
    <m/>
    <s v="Open Market"/>
    <s v="M"/>
    <s v=""/>
    <m/>
    <n v="0"/>
    <m/>
    <n v="0"/>
    <m/>
    <n v="0"/>
    <n v="0"/>
    <n v="-1"/>
    <n v="0"/>
    <n v="0"/>
    <n v="0"/>
    <n v="0"/>
    <n v="0"/>
    <n v="0"/>
    <n v="-1"/>
    <n v="0"/>
    <n v="0"/>
    <n v="0"/>
    <n v="0"/>
    <n v="0"/>
    <n v="0"/>
    <n v="0"/>
    <n v="0"/>
    <n v="0"/>
    <n v="0"/>
    <n v="0"/>
    <n v="0"/>
    <n v="0"/>
    <n v="0"/>
    <n v="0"/>
    <n v="0"/>
    <n v="0"/>
    <n v="0"/>
    <s v="Tooting"/>
    <m/>
    <s v="Tooting"/>
    <n v="15"/>
    <m/>
    <n v="-0.25"/>
    <n v="-0.25"/>
    <n v="-0.25"/>
    <n v="-0.25"/>
    <m/>
    <m/>
    <m/>
    <m/>
    <m/>
    <m/>
    <m/>
    <m/>
    <m/>
    <m/>
    <m/>
    <m/>
    <m/>
    <m/>
    <m/>
    <n v="-1"/>
    <n v="-1"/>
  </r>
  <r>
    <n v="2767"/>
    <x v="1"/>
    <s v="2020/3575"/>
    <s v="Springfield, 332 Upper Richmond Road"/>
    <s v=""/>
    <n v="523548"/>
    <n v="175265"/>
    <s v="West Putney"/>
    <m/>
    <m/>
    <n v="0"/>
    <n v="1"/>
    <n v="1"/>
    <n v="1"/>
    <n v="1"/>
    <m/>
    <s v="Erection of a single-storey (plus basement) 3-bedroom detached dwellinghouse on land to the side of the existing dwelling at 332 Upper Richmond Road."/>
    <s v="PF"/>
    <d v="2020-09-25T00:00:00"/>
    <d v="2021-02-01T00:00:00"/>
    <m/>
    <s v="Nil"/>
    <m/>
    <s v="BF"/>
    <s v="NB"/>
    <x v="2"/>
    <x v="1"/>
    <n v="1.2E-2"/>
    <m/>
    <x v="0"/>
    <m/>
    <s v="Open Market"/>
    <s v="M"/>
    <s v=""/>
    <m/>
    <n v="0"/>
    <m/>
    <n v="0"/>
    <m/>
    <n v="0"/>
    <n v="0"/>
    <n v="0"/>
    <n v="1"/>
    <n v="0"/>
    <n v="0"/>
    <n v="0"/>
    <n v="0"/>
    <n v="0"/>
    <n v="0"/>
    <n v="0"/>
    <n v="0"/>
    <n v="0"/>
    <n v="0"/>
    <n v="0"/>
    <n v="0"/>
    <n v="0"/>
    <n v="1"/>
    <n v="0"/>
    <n v="0"/>
    <n v="0"/>
    <n v="0"/>
    <n v="0"/>
    <n v="0"/>
    <n v="0"/>
    <n v="0"/>
    <n v="0"/>
    <n v="0"/>
    <m/>
    <m/>
    <s v="Rest of Borough"/>
    <n v="7"/>
    <m/>
    <m/>
    <n v="0.25"/>
    <n v="0.25"/>
    <n v="0.25"/>
    <n v="0.25"/>
    <m/>
    <m/>
    <m/>
    <m/>
    <m/>
    <m/>
    <m/>
    <m/>
    <m/>
    <m/>
    <m/>
    <m/>
    <m/>
    <m/>
    <n v="1"/>
    <n v="1"/>
  </r>
  <r>
    <n v="7734"/>
    <x v="1"/>
    <s v="2021/5257"/>
    <s v="Land to the rear of 43, Southfields Road"/>
    <s v=""/>
    <n v="525211"/>
    <n v="174287"/>
    <s v="East Putney"/>
    <m/>
    <m/>
    <n v="0"/>
    <n v="5"/>
    <n v="5"/>
    <n v="5"/>
    <n v="5"/>
    <m/>
    <s v="Redevelopment including erection of a terrace of 5 x two-storey houses (4 x 3-bedroom and 1 x 2 bedroom) with 3 no. off-street parkingspaces, cycle and refuse storage."/>
    <s v="PFLA"/>
    <d v="2021-11-25T00:00:00"/>
    <d v="2022-08-01T00:00:00"/>
    <s v="Y"/>
    <s v="Nil"/>
    <m/>
    <s v="BF"/>
    <s v="NB"/>
    <x v="2"/>
    <x v="1"/>
    <n v="2.1000000000000001E-2"/>
    <m/>
    <x v="0"/>
    <m/>
    <s v="Open Market"/>
    <s v="M"/>
    <s v=""/>
    <m/>
    <n v="0"/>
    <m/>
    <n v="0"/>
    <m/>
    <n v="0"/>
    <n v="0"/>
    <n v="1"/>
    <n v="4"/>
    <n v="0"/>
    <n v="0"/>
    <n v="0"/>
    <n v="0"/>
    <n v="0"/>
    <n v="1"/>
    <n v="4"/>
    <n v="0"/>
    <n v="0"/>
    <n v="0"/>
    <n v="0"/>
    <n v="0"/>
    <n v="0"/>
    <n v="0"/>
    <n v="0"/>
    <n v="0"/>
    <n v="0"/>
    <n v="0"/>
    <n v="0"/>
    <n v="0"/>
    <n v="0"/>
    <n v="0"/>
    <n v="0"/>
    <n v="0"/>
    <m/>
    <m/>
    <s v="Rest of Borough"/>
    <n v="7"/>
    <m/>
    <m/>
    <n v="1.25"/>
    <n v="1.25"/>
    <n v="1.25"/>
    <n v="1.25"/>
    <m/>
    <m/>
    <m/>
    <m/>
    <m/>
    <m/>
    <m/>
    <m/>
    <m/>
    <m/>
    <m/>
    <m/>
    <m/>
    <m/>
    <n v="5"/>
    <n v="5"/>
  </r>
  <r>
    <n v="7397"/>
    <x v="1"/>
    <s v="2020/5071"/>
    <s v="The Studio, 81 Elmfield Road"/>
    <s v=""/>
    <n v="528375"/>
    <n v="172919"/>
    <s v="South Balham"/>
    <m/>
    <m/>
    <n v="0"/>
    <n v="1"/>
    <n v="1"/>
    <n v="1"/>
    <n v="1"/>
    <m/>
    <s v="Demolition of existing single storey office building (Class E) and erection of two-storey (plus basement) 1-bedroom 1 x person house (Class C3)."/>
    <s v="PF"/>
    <d v="2020-12-28T00:00:00"/>
    <d v="2021-03-24T00:00:00"/>
    <m/>
    <s v="Nil"/>
    <m/>
    <s v="BF"/>
    <s v="NB"/>
    <x v="2"/>
    <x v="1"/>
    <n v="4.0000000000000001E-3"/>
    <m/>
    <x v="0"/>
    <m/>
    <s v="Open Market"/>
    <s v="M"/>
    <s v=""/>
    <m/>
    <n v="0"/>
    <m/>
    <n v="0"/>
    <m/>
    <n v="0"/>
    <n v="1"/>
    <n v="0"/>
    <n v="0"/>
    <n v="0"/>
    <n v="0"/>
    <n v="0"/>
    <n v="0"/>
    <n v="0"/>
    <n v="0"/>
    <n v="0"/>
    <n v="0"/>
    <n v="0"/>
    <n v="0"/>
    <n v="0"/>
    <n v="1"/>
    <n v="0"/>
    <n v="0"/>
    <n v="0"/>
    <n v="0"/>
    <n v="0"/>
    <n v="0"/>
    <n v="0"/>
    <n v="0"/>
    <n v="0"/>
    <n v="0"/>
    <n v="0"/>
    <n v="0"/>
    <m/>
    <m/>
    <s v="Rest of Borough"/>
    <n v="7"/>
    <m/>
    <m/>
    <n v="0.25"/>
    <n v="0.25"/>
    <n v="0.25"/>
    <n v="0.25"/>
    <m/>
    <m/>
    <m/>
    <m/>
    <m/>
    <m/>
    <m/>
    <m/>
    <m/>
    <m/>
    <m/>
    <m/>
    <m/>
    <m/>
    <n v="1"/>
    <n v="1"/>
  </r>
  <r>
    <n v="5748"/>
    <x v="1"/>
    <s v="2021/0457"/>
    <s v="Oyster Wharf Inlet, Oyster Wharf, 18 Lombard Road"/>
    <s v=""/>
    <n v="526622"/>
    <n v="176212"/>
    <s v="St Mary's"/>
    <m/>
    <m/>
    <n v="0"/>
    <n v="1"/>
    <n v="1"/>
    <n v="1"/>
    <n v="1"/>
    <m/>
    <s v="Construction of a floating residential vessel in the dock known as Oyster Wharf inlet."/>
    <s v="PF"/>
    <d v="2021-02-03T00:00:00"/>
    <d v="2021-06-29T00:00:00"/>
    <m/>
    <s v="Nil"/>
    <m/>
    <s v="BF"/>
    <s v="NB"/>
    <x v="2"/>
    <x v="1"/>
    <n v="0.26300000000000001"/>
    <m/>
    <x v="0"/>
    <m/>
    <s v="Open Market"/>
    <s v="M"/>
    <s v=""/>
    <m/>
    <n v="0"/>
    <m/>
    <n v="0"/>
    <m/>
    <n v="0"/>
    <n v="0"/>
    <n v="0"/>
    <n v="1"/>
    <n v="0"/>
    <n v="0"/>
    <n v="0"/>
    <n v="0"/>
    <n v="0"/>
    <n v="0"/>
    <n v="0"/>
    <n v="0"/>
    <n v="0"/>
    <n v="0"/>
    <n v="0"/>
    <n v="0"/>
    <n v="0"/>
    <n v="1"/>
    <n v="0"/>
    <n v="0"/>
    <n v="0"/>
    <n v="0"/>
    <n v="0"/>
    <n v="0"/>
    <n v="0"/>
    <n v="0"/>
    <n v="0"/>
    <n v="0"/>
    <m/>
    <m/>
    <s v="Wandsworth riverside"/>
    <n v="7"/>
    <m/>
    <m/>
    <n v="0.25"/>
    <n v="0.25"/>
    <n v="0.25"/>
    <n v="0.25"/>
    <m/>
    <m/>
    <m/>
    <m/>
    <m/>
    <m/>
    <m/>
    <m/>
    <m/>
    <m/>
    <m/>
    <m/>
    <m/>
    <m/>
    <n v="1"/>
    <n v="1"/>
  </r>
  <r>
    <n v="7511"/>
    <x v="1"/>
    <s v="2021/0663"/>
    <s v="16 Briar Walk"/>
    <s v=""/>
    <n v="522721"/>
    <n v="175237"/>
    <s v="West Putney"/>
    <m/>
    <m/>
    <n v="0"/>
    <n v="1"/>
    <n v="1"/>
    <n v="1"/>
    <n v="1"/>
    <m/>
    <s v="Demolition of existing garage and erection of a 2-bedroom two-storey house with accommodation at basement level including off street parking, cycle and refuse storage."/>
    <s v="PF"/>
    <d v="2021-02-12T00:00:00"/>
    <d v="2021-07-14T00:00:00"/>
    <m/>
    <s v="Nil"/>
    <m/>
    <s v="BF"/>
    <s v="NB"/>
    <x v="2"/>
    <x v="1"/>
    <n v="5.3350000000000003E-3"/>
    <m/>
    <x v="0"/>
    <m/>
    <s v="Open Market"/>
    <s v="M"/>
    <s v=""/>
    <m/>
    <n v="0"/>
    <m/>
    <n v="0"/>
    <m/>
    <n v="0"/>
    <n v="0"/>
    <n v="1"/>
    <n v="0"/>
    <n v="0"/>
    <n v="0"/>
    <n v="0"/>
    <n v="0"/>
    <n v="0"/>
    <n v="0"/>
    <n v="0"/>
    <n v="0"/>
    <n v="0"/>
    <n v="0"/>
    <n v="0"/>
    <n v="0"/>
    <n v="1"/>
    <n v="0"/>
    <n v="0"/>
    <n v="0"/>
    <n v="0"/>
    <n v="0"/>
    <n v="0"/>
    <n v="0"/>
    <n v="0"/>
    <n v="0"/>
    <n v="0"/>
    <n v="0"/>
    <m/>
    <m/>
    <s v="Rest of Borough"/>
    <n v="7"/>
    <m/>
    <m/>
    <n v="0.25"/>
    <n v="0.25"/>
    <n v="0.25"/>
    <n v="0.25"/>
    <m/>
    <m/>
    <m/>
    <m/>
    <m/>
    <m/>
    <m/>
    <m/>
    <m/>
    <m/>
    <m/>
    <m/>
    <m/>
    <m/>
    <n v="1"/>
    <n v="1"/>
  </r>
  <r>
    <n v="7531"/>
    <x v="1"/>
    <s v="2020/3741"/>
    <s v="253 Franciscan Road"/>
    <s v=""/>
    <n v="527917"/>
    <n v="171390"/>
    <s v="Tooting Bec"/>
    <m/>
    <m/>
    <n v="4"/>
    <n v="3"/>
    <n v="-1"/>
    <n v="3"/>
    <n v="-1"/>
    <m/>
    <s v="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
    <s v="PF"/>
    <d v="2020-10-06T00:00:00"/>
    <d v="2020-12-01T00:00:00"/>
    <m/>
    <s v="Nil"/>
    <m/>
    <s v="BF"/>
    <s v="CON"/>
    <x v="2"/>
    <x v="4"/>
    <n v="1.2E-2"/>
    <m/>
    <x v="0"/>
    <m/>
    <s v="Open Market"/>
    <s v="M"/>
    <s v=""/>
    <m/>
    <n v="0"/>
    <m/>
    <n v="0"/>
    <m/>
    <n v="-1"/>
    <n v="1"/>
    <n v="-1"/>
    <n v="0"/>
    <n v="0"/>
    <n v="0"/>
    <n v="0"/>
    <n v="-1"/>
    <n v="1"/>
    <n v="-1"/>
    <n v="0"/>
    <n v="0"/>
    <n v="0"/>
    <n v="0"/>
    <n v="0"/>
    <n v="0"/>
    <n v="0"/>
    <n v="0"/>
    <n v="0"/>
    <n v="0"/>
    <n v="0"/>
    <n v="0"/>
    <n v="0"/>
    <n v="0"/>
    <n v="0"/>
    <n v="0"/>
    <n v="0"/>
    <n v="0"/>
    <m/>
    <m/>
    <s v="Rest of Borough"/>
    <n v="15"/>
    <m/>
    <n v="-0.25"/>
    <n v="-0.25"/>
    <n v="-0.25"/>
    <n v="-0.25"/>
    <m/>
    <m/>
    <m/>
    <m/>
    <m/>
    <m/>
    <m/>
    <m/>
    <m/>
    <m/>
    <m/>
    <m/>
    <m/>
    <m/>
    <m/>
    <n v="-1"/>
    <n v="-1"/>
  </r>
  <r>
    <n v="7404"/>
    <x v="1"/>
    <s v="2022/3600"/>
    <s v="30 Juer Street"/>
    <s v=""/>
    <n v="527387"/>
    <n v="177038"/>
    <s v="Battersea Park"/>
    <m/>
    <m/>
    <n v="2"/>
    <n v="1"/>
    <n v="-1"/>
    <n v="1"/>
    <n v="-1"/>
    <m/>
    <s v="Alterations including installation of solar panels to flat roof of existing roof extension; Extension to roof of three-storey back addition with formation of a roof terrace with raised access stair enclosure and 1.7m high screen surround extending above main roof; Removal of first floor rear access door and stair and installation of replacement window; Erection of a single storey rear /side extension; Excavation to enlarge existing basement, including formation of front lightwell with grille over. Alterations and extensions in connection with conversion of two flats to a single dwellinghouse."/>
    <s v="PF"/>
    <d v="2022-11-21T00:00:00"/>
    <d v="2023-01-31T00:00:00"/>
    <s v="Y"/>
    <s v="Nil"/>
    <m/>
    <s v="BF"/>
    <s v="MIX"/>
    <x v="2"/>
    <x v="8"/>
    <n v="1.2E-2"/>
    <m/>
    <x v="0"/>
    <m/>
    <s v="Open Market"/>
    <s v="M"/>
    <s v=""/>
    <m/>
    <n v="0"/>
    <m/>
    <n v="0"/>
    <m/>
    <n v="0"/>
    <n v="-1"/>
    <n v="0"/>
    <n v="-1"/>
    <n v="1"/>
    <n v="0"/>
    <n v="0"/>
    <n v="0"/>
    <n v="-1"/>
    <n v="0"/>
    <n v="-1"/>
    <n v="0"/>
    <n v="0"/>
    <n v="0"/>
    <n v="0"/>
    <n v="0"/>
    <n v="0"/>
    <n v="0"/>
    <n v="1"/>
    <n v="0"/>
    <n v="0"/>
    <n v="0"/>
    <n v="0"/>
    <n v="0"/>
    <n v="0"/>
    <n v="0"/>
    <n v="0"/>
    <n v="0"/>
    <m/>
    <m/>
    <s v="Rest of Borough"/>
    <n v="15"/>
    <m/>
    <n v="-0.25"/>
    <n v="-0.25"/>
    <n v="-0.25"/>
    <n v="-0.25"/>
    <m/>
    <m/>
    <m/>
    <m/>
    <m/>
    <m/>
    <m/>
    <m/>
    <m/>
    <m/>
    <m/>
    <m/>
    <m/>
    <m/>
    <m/>
    <n v="-1"/>
    <n v="-1"/>
  </r>
  <r>
    <n v="7935"/>
    <x v="1"/>
    <s v="2022/5011"/>
    <s v="31 Rush Hill Road"/>
    <s v=""/>
    <n v="528329"/>
    <n v="175608"/>
    <s v="Lavender"/>
    <m/>
    <m/>
    <n v="2"/>
    <n v="1"/>
    <n v="-1"/>
    <n v="1"/>
    <n v="-1"/>
    <m/>
    <s v="Alterations including erection of single-storey rear/side extension in connection with conversion of two flats back into single family dwelling house."/>
    <s v="PF"/>
    <d v="2022-12-19T00:00:00"/>
    <d v="2023-03-27T00:00:00"/>
    <s v="Y"/>
    <s v="Nil"/>
    <m/>
    <s v="BF"/>
    <s v="CON"/>
    <x v="2"/>
    <x v="8"/>
    <n v="0.05"/>
    <m/>
    <x v="0"/>
    <m/>
    <s v="Open Market"/>
    <s v="M"/>
    <s v=""/>
    <m/>
    <n v="0"/>
    <m/>
    <n v="0"/>
    <m/>
    <n v="0"/>
    <n v="-1"/>
    <n v="0"/>
    <n v="-1"/>
    <n v="0"/>
    <n v="1"/>
    <n v="0"/>
    <n v="0"/>
    <n v="-1"/>
    <n v="0"/>
    <n v="-1"/>
    <n v="0"/>
    <n v="0"/>
    <n v="0"/>
    <n v="0"/>
    <n v="0"/>
    <n v="0"/>
    <n v="0"/>
    <n v="0"/>
    <n v="1"/>
    <n v="0"/>
    <n v="0"/>
    <n v="0"/>
    <n v="0"/>
    <n v="0"/>
    <n v="0"/>
    <n v="0"/>
    <n v="0"/>
    <m/>
    <m/>
    <s v="Rest of Borough"/>
    <n v="15"/>
    <m/>
    <n v="-0.25"/>
    <n v="-0.25"/>
    <n v="-0.25"/>
    <n v="-0.25"/>
    <m/>
    <m/>
    <m/>
    <m/>
    <m/>
    <m/>
    <m/>
    <m/>
    <m/>
    <m/>
    <m/>
    <m/>
    <m/>
    <m/>
    <m/>
    <n v="-1"/>
    <n v="-1"/>
  </r>
  <r>
    <n v="7865"/>
    <x v="1"/>
    <s v="2022/2643"/>
    <s v="32 Glycena Road"/>
    <s v=""/>
    <n v="527998"/>
    <n v="175724"/>
    <s v="Shaftesbury &amp; Queenstown"/>
    <m/>
    <m/>
    <n v="1"/>
    <n v="0"/>
    <n v="-1"/>
    <n v="0"/>
    <n v="-1"/>
    <m/>
    <s v="Alterations in connection with change of use from single family dwellinghouse to 7 person House of Multiple Occupation (Sui Generis)."/>
    <s v="PF"/>
    <d v="2022-07-21T00:00:00"/>
    <d v="2022-09-15T00:00:00"/>
    <s v="Y"/>
    <s v="Nil"/>
    <m/>
    <s v="BF"/>
    <s v="CON"/>
    <x v="2"/>
    <x v="5"/>
    <n v="4.4000000000000003E-3"/>
    <m/>
    <x v="0"/>
    <m/>
    <s v="Open Market"/>
    <s v="MR"/>
    <s v=""/>
    <m/>
    <n v="0"/>
    <m/>
    <n v="0"/>
    <m/>
    <n v="0"/>
    <n v="0"/>
    <n v="0"/>
    <n v="0"/>
    <n v="0"/>
    <n v="-1"/>
    <n v="0"/>
    <n v="0"/>
    <n v="0"/>
    <n v="0"/>
    <n v="0"/>
    <n v="0"/>
    <n v="0"/>
    <n v="0"/>
    <n v="0"/>
    <n v="0"/>
    <n v="0"/>
    <n v="0"/>
    <n v="0"/>
    <n v="-1"/>
    <n v="0"/>
    <n v="0"/>
    <n v="0"/>
    <n v="0"/>
    <n v="0"/>
    <n v="0"/>
    <n v="0"/>
    <n v="0"/>
    <m/>
    <m/>
    <s v="Rest of Borough"/>
    <n v="15"/>
    <m/>
    <n v="-0.25"/>
    <n v="-0.25"/>
    <n v="-0.25"/>
    <n v="-0.25"/>
    <m/>
    <m/>
    <m/>
    <m/>
    <m/>
    <m/>
    <m/>
    <m/>
    <m/>
    <m/>
    <m/>
    <m/>
    <m/>
    <m/>
    <m/>
    <n v="-1"/>
    <n v="-1"/>
  </r>
  <r>
    <n v="7233"/>
    <x v="1"/>
    <s v="2021/2260"/>
    <s v="77 Broomwood Road"/>
    <s v=""/>
    <n v="527787"/>
    <n v="174343"/>
    <s v="Northcote"/>
    <m/>
    <m/>
    <n v="0"/>
    <n v="1"/>
    <n v="1"/>
    <n v="1"/>
    <n v="1"/>
    <m/>
    <s v="Demolition of existing double garages and erection of a two storey plus basement two-bedroom dwelling house (Class C3)."/>
    <s v="PF"/>
    <d v="2021-06-03T00:00:00"/>
    <d v="2021-08-26T00:00:00"/>
    <m/>
    <s v="Nil"/>
    <m/>
    <s v="BF"/>
    <s v="NB"/>
    <x v="2"/>
    <x v="1"/>
    <n v="3.0000000000000001E-3"/>
    <m/>
    <x v="0"/>
    <m/>
    <s v="Open Market"/>
    <s v="M"/>
    <s v=""/>
    <m/>
    <n v="0"/>
    <m/>
    <n v="0"/>
    <m/>
    <n v="0"/>
    <n v="0"/>
    <n v="0"/>
    <n v="1"/>
    <n v="0"/>
    <n v="0"/>
    <n v="0"/>
    <n v="0"/>
    <n v="0"/>
    <n v="0"/>
    <n v="0"/>
    <n v="0"/>
    <n v="0"/>
    <n v="0"/>
    <n v="0"/>
    <n v="0"/>
    <n v="0"/>
    <n v="1"/>
    <n v="0"/>
    <n v="0"/>
    <n v="0"/>
    <n v="0"/>
    <n v="0"/>
    <n v="0"/>
    <n v="0"/>
    <n v="0"/>
    <n v="0"/>
    <n v="0"/>
    <m/>
    <m/>
    <s v="Rest of Borough"/>
    <n v="7"/>
    <m/>
    <m/>
    <n v="0.25"/>
    <n v="0.25"/>
    <n v="0.25"/>
    <n v="0.25"/>
    <m/>
    <m/>
    <m/>
    <m/>
    <m/>
    <m/>
    <m/>
    <m/>
    <m/>
    <m/>
    <m/>
    <m/>
    <m/>
    <m/>
    <n v="1"/>
    <n v="1"/>
  </r>
  <r>
    <n v="7787"/>
    <x v="1"/>
    <s v="2021/3294"/>
    <s v="34 Rogers Road"/>
    <s v=""/>
    <n v="527051"/>
    <n v="171896"/>
    <s v="Tooting Broadway"/>
    <m/>
    <m/>
    <n v="1"/>
    <n v="0"/>
    <n v="-1"/>
    <n v="0"/>
    <n v="-1"/>
    <m/>
    <s v="Change of use from House of Multiple Occupation (Class C4) for up to 6 occupants to House of Multiple Occupation (Sui generis) for up to 10 occupants and provision of cycle and refuse storage within the front garden."/>
    <s v="PF"/>
    <d v="2021-07-27T00:00:00"/>
    <d v="2021-09-21T00:00:00"/>
    <m/>
    <s v="Nil"/>
    <m/>
    <s v="BF"/>
    <s v="COU"/>
    <x v="2"/>
    <x v="12"/>
    <n v="0.182"/>
    <m/>
    <x v="0"/>
    <m/>
    <s v="Open Market"/>
    <s v="M"/>
    <s v=""/>
    <m/>
    <n v="0"/>
    <m/>
    <n v="0"/>
    <m/>
    <n v="0"/>
    <n v="0"/>
    <n v="0"/>
    <n v="0"/>
    <n v="0"/>
    <n v="-1"/>
    <n v="0"/>
    <n v="0"/>
    <n v="0"/>
    <n v="0"/>
    <n v="0"/>
    <n v="0"/>
    <n v="-1"/>
    <n v="0"/>
    <n v="0"/>
    <n v="0"/>
    <n v="0"/>
    <n v="0"/>
    <n v="0"/>
    <n v="0"/>
    <n v="0"/>
    <n v="0"/>
    <n v="0"/>
    <n v="0"/>
    <n v="0"/>
    <n v="0"/>
    <n v="0"/>
    <n v="0"/>
    <m/>
    <m/>
    <s v="Rest of Borough"/>
    <n v="15"/>
    <m/>
    <n v="-0.25"/>
    <n v="-0.25"/>
    <n v="-0.25"/>
    <n v="-0.25"/>
    <m/>
    <m/>
    <m/>
    <m/>
    <m/>
    <m/>
    <m/>
    <m/>
    <m/>
    <m/>
    <m/>
    <m/>
    <m/>
    <m/>
    <m/>
    <n v="-1"/>
    <n v="-1"/>
  </r>
  <r>
    <n v="7118"/>
    <x v="1"/>
    <s v="2019/4906"/>
    <s v="36 Graveney Road"/>
    <s v=""/>
    <n v="527344"/>
    <n v="171674"/>
    <s v="Tooting Broadway"/>
    <m/>
    <m/>
    <n v="1"/>
    <n v="0"/>
    <n v="-1"/>
    <n v="0"/>
    <n v="-1"/>
    <m/>
    <s v="Alterations in connection with change of use from House in Multiple Occupation (Class C4) to a large House in Multiple Occupation (Sui Generis) for 7 persons."/>
    <s v="PF"/>
    <d v="2019-02-20T00:00:00"/>
    <d v="2020-10-28T00:00:00"/>
    <m/>
    <s v="Nil"/>
    <m/>
    <s v="BF"/>
    <s v="COU"/>
    <x v="2"/>
    <x v="12"/>
    <n v="6.4000000000000001E-2"/>
    <m/>
    <x v="0"/>
    <m/>
    <s v="Open Market"/>
    <s v="M"/>
    <s v=""/>
    <m/>
    <n v="0"/>
    <m/>
    <n v="0"/>
    <m/>
    <n v="0"/>
    <n v="0"/>
    <n v="0"/>
    <n v="0"/>
    <n v="0"/>
    <n v="-1"/>
    <n v="0"/>
    <n v="0"/>
    <n v="0"/>
    <n v="0"/>
    <n v="0"/>
    <n v="0"/>
    <n v="-1"/>
    <n v="0"/>
    <n v="0"/>
    <n v="0"/>
    <n v="0"/>
    <n v="0"/>
    <n v="0"/>
    <n v="0"/>
    <n v="0"/>
    <n v="0"/>
    <n v="0"/>
    <n v="0"/>
    <n v="0"/>
    <n v="0"/>
    <n v="0"/>
    <n v="0"/>
    <m/>
    <m/>
    <s v="Rest of Borough"/>
    <n v="15"/>
    <m/>
    <n v="-0.25"/>
    <n v="-0.25"/>
    <n v="-0.25"/>
    <n v="-0.25"/>
    <m/>
    <m/>
    <m/>
    <m/>
    <m/>
    <m/>
    <m/>
    <m/>
    <m/>
    <m/>
    <m/>
    <m/>
    <m/>
    <m/>
    <m/>
    <n v="-1"/>
    <n v="-1"/>
  </r>
  <r>
    <n v="7936"/>
    <x v="1"/>
    <s v="2022/5295"/>
    <s v="39 Dornton Road"/>
    <s v=""/>
    <n v="529018"/>
    <n v="172727"/>
    <s v="South Balham"/>
    <m/>
    <m/>
    <n v="2"/>
    <n v="1"/>
    <n v="-1"/>
    <n v="1"/>
    <n v="-1"/>
    <m/>
    <s v="Conversion of two flats into one single dwellinghouse, to include alterations to install new glazed door on ground floor and addition of five roof lights on the front and side roof slopes."/>
    <s v="PF"/>
    <d v="2022-12-23T00:00:00"/>
    <d v="2023-02-24T00:00:00"/>
    <s v="Y"/>
    <s v="Nil"/>
    <m/>
    <s v="BF"/>
    <s v="CON"/>
    <x v="2"/>
    <x v="8"/>
    <n v="7.0000000000000001E-3"/>
    <m/>
    <x v="0"/>
    <m/>
    <s v="Open Market"/>
    <s v="M"/>
    <s v=""/>
    <m/>
    <n v="0"/>
    <m/>
    <n v="0"/>
    <m/>
    <n v="0"/>
    <n v="-1"/>
    <n v="0"/>
    <n v="-1"/>
    <n v="0"/>
    <n v="1"/>
    <n v="0"/>
    <n v="0"/>
    <n v="-1"/>
    <n v="0"/>
    <n v="-1"/>
    <n v="0"/>
    <n v="0"/>
    <n v="0"/>
    <n v="0"/>
    <n v="0"/>
    <n v="0"/>
    <n v="0"/>
    <n v="0"/>
    <n v="1"/>
    <n v="0"/>
    <n v="0"/>
    <n v="0"/>
    <n v="0"/>
    <n v="0"/>
    <n v="0"/>
    <n v="0"/>
    <n v="0"/>
    <m/>
    <m/>
    <s v="Rest of Borough"/>
    <n v="15"/>
    <m/>
    <n v="-0.25"/>
    <n v="-0.25"/>
    <n v="-0.25"/>
    <n v="-0.25"/>
    <m/>
    <m/>
    <m/>
    <m/>
    <m/>
    <m/>
    <m/>
    <m/>
    <m/>
    <m/>
    <m/>
    <m/>
    <m/>
    <m/>
    <m/>
    <n v="-1"/>
    <n v="-1"/>
  </r>
  <r>
    <n v="886"/>
    <x v="1"/>
    <s v="2020/4390"/>
    <s v="39 Selkirk Road"/>
    <s v=""/>
    <n v="527401"/>
    <n v="171675"/>
    <s v="Tooting Broadway"/>
    <m/>
    <m/>
    <n v="2"/>
    <n v="1"/>
    <n v="-1"/>
    <n v="1"/>
    <n v="-1"/>
    <m/>
    <s v="Erection of single storey side/rear extension and installation of single front entrance door in connection with conversion of property from 2 x 2 bedroom flats to single dwelling."/>
    <s v="PF"/>
    <d v="2020-12-18T00:00:00"/>
    <d v="2021-02-12T00:00:00"/>
    <m/>
    <s v="Nil"/>
    <m/>
    <s v="BF"/>
    <s v="CON"/>
    <x v="2"/>
    <x v="8"/>
    <n v="0.06"/>
    <m/>
    <x v="0"/>
    <m/>
    <s v="Open Market"/>
    <s v="M"/>
    <s v=""/>
    <m/>
    <n v="0"/>
    <m/>
    <n v="0"/>
    <m/>
    <n v="0"/>
    <n v="0"/>
    <n v="-2"/>
    <n v="1"/>
    <n v="0"/>
    <n v="0"/>
    <n v="0"/>
    <n v="0"/>
    <n v="0"/>
    <n v="-2"/>
    <n v="0"/>
    <n v="0"/>
    <n v="0"/>
    <n v="0"/>
    <n v="0"/>
    <n v="0"/>
    <n v="0"/>
    <n v="1"/>
    <n v="0"/>
    <n v="0"/>
    <n v="0"/>
    <n v="0"/>
    <n v="0"/>
    <n v="0"/>
    <n v="0"/>
    <n v="0"/>
    <n v="0"/>
    <n v="0"/>
    <m/>
    <m/>
    <s v="Rest of Borough"/>
    <n v="15"/>
    <m/>
    <n v="-0.25"/>
    <n v="-0.25"/>
    <n v="-0.25"/>
    <n v="-0.25"/>
    <m/>
    <m/>
    <m/>
    <m/>
    <m/>
    <m/>
    <m/>
    <m/>
    <m/>
    <m/>
    <m/>
    <m/>
    <m/>
    <m/>
    <m/>
    <n v="-1"/>
    <n v="-1"/>
  </r>
  <r>
    <n v="7876"/>
    <x v="1"/>
    <s v="2022/3165"/>
    <s v="43 Pulborough Road"/>
    <s v=""/>
    <n v="524744"/>
    <n v="173640"/>
    <s v="Southfields"/>
    <m/>
    <m/>
    <n v="2"/>
    <n v="1"/>
    <n v="-1"/>
    <n v="1"/>
    <n v="-1"/>
    <m/>
    <s v="Alterations in connection with de-conversion of two flats into single dwelling house."/>
    <s v="PF"/>
    <d v="2022-08-17T00:00:00"/>
    <d v="2022-10-21T00:00:00"/>
    <s v="Y"/>
    <s v="Nil"/>
    <m/>
    <s v="BF"/>
    <s v="CON"/>
    <x v="2"/>
    <x v="8"/>
    <n v="5.566667E-3"/>
    <m/>
    <x v="0"/>
    <m/>
    <s v="Open Market"/>
    <s v="M"/>
    <s v=""/>
    <m/>
    <n v="0"/>
    <m/>
    <n v="0"/>
    <m/>
    <n v="0"/>
    <n v="0"/>
    <n v="-2"/>
    <n v="0"/>
    <n v="0"/>
    <n v="1"/>
    <n v="0"/>
    <n v="0"/>
    <n v="0"/>
    <n v="-2"/>
    <n v="0"/>
    <n v="0"/>
    <n v="0"/>
    <n v="0"/>
    <n v="0"/>
    <n v="0"/>
    <n v="0"/>
    <n v="0"/>
    <n v="0"/>
    <n v="1"/>
    <n v="0"/>
    <n v="0"/>
    <n v="0"/>
    <n v="0"/>
    <n v="0"/>
    <n v="0"/>
    <n v="0"/>
    <n v="0"/>
    <m/>
    <m/>
    <s v="Rest of Borough"/>
    <n v="15"/>
    <m/>
    <n v="-0.25"/>
    <n v="-0.25"/>
    <n v="-0.25"/>
    <n v="-0.25"/>
    <m/>
    <m/>
    <m/>
    <m/>
    <m/>
    <m/>
    <m/>
    <m/>
    <m/>
    <m/>
    <m/>
    <m/>
    <m/>
    <m/>
    <m/>
    <n v="-1"/>
    <n v="-1"/>
  </r>
  <r>
    <n v="5123"/>
    <x v="1"/>
    <s v="2020/0258"/>
    <s v="48 Disraeli Road"/>
    <s v=""/>
    <n v="524195"/>
    <n v="175062"/>
    <s v="Thamesfield"/>
    <m/>
    <m/>
    <n v="2"/>
    <n v="1"/>
    <n v="-1"/>
    <n v="1"/>
    <n v="-1"/>
    <m/>
    <s v="Alterations including erection of a mansard roof extension above part of rear two-storey addition, single-storey rear extension and installation of front and rear rooflights to main roof; associated with the conversion to one dwelling from two flats."/>
    <s v="PF"/>
    <d v="2020-02-04T00:00:00"/>
    <d v="2020-03-26T00:00:00"/>
    <m/>
    <s v="Nil"/>
    <m/>
    <s v="BF"/>
    <s v="CON"/>
    <x v="2"/>
    <x v="8"/>
    <n v="1.9E-2"/>
    <m/>
    <x v="0"/>
    <m/>
    <s v="Open Market"/>
    <s v="M"/>
    <s v=""/>
    <m/>
    <n v="0"/>
    <m/>
    <n v="0"/>
    <m/>
    <n v="0"/>
    <n v="-1"/>
    <n v="0"/>
    <n v="-1"/>
    <n v="0"/>
    <n v="1"/>
    <n v="0"/>
    <n v="0"/>
    <n v="-1"/>
    <n v="0"/>
    <n v="-1"/>
    <n v="0"/>
    <n v="0"/>
    <n v="0"/>
    <n v="0"/>
    <n v="0"/>
    <n v="0"/>
    <n v="0"/>
    <n v="0"/>
    <n v="1"/>
    <n v="0"/>
    <n v="0"/>
    <n v="0"/>
    <n v="0"/>
    <n v="0"/>
    <n v="0"/>
    <n v="0"/>
    <n v="0"/>
    <m/>
    <m/>
    <s v="Putney Town Centre"/>
    <n v="15"/>
    <m/>
    <n v="-0.25"/>
    <n v="-0.25"/>
    <n v="-0.25"/>
    <n v="-0.25"/>
    <m/>
    <m/>
    <m/>
    <m/>
    <m/>
    <m/>
    <m/>
    <m/>
    <m/>
    <m/>
    <m/>
    <m/>
    <m/>
    <m/>
    <m/>
    <n v="-1"/>
    <n v="-1"/>
  </r>
  <r>
    <n v="7519"/>
    <x v="1"/>
    <s v="2021/0952"/>
    <s v="56 Elspeth Road"/>
    <s v=""/>
    <n v="527864"/>
    <n v="175385"/>
    <s v="Lavender"/>
    <m/>
    <m/>
    <n v="1"/>
    <n v="0"/>
    <n v="-1"/>
    <n v="0"/>
    <n v="-1"/>
    <m/>
    <s v="Alterations including erection of single-storey rear/side extension and rear roof extension in connection with of change of use from 5-bedroom House of Multiple Occupation (Class C4) to 7-bedroom House of Multiple Occupation (Sui Generis)."/>
    <s v="PF"/>
    <d v="2021-03-18T00:00:00"/>
    <d v="2022-06-27T00:00:00"/>
    <s v="Y"/>
    <s v="Nil"/>
    <m/>
    <s v="BF"/>
    <s v="COU"/>
    <x v="2"/>
    <x v="10"/>
    <n v="0"/>
    <m/>
    <x v="0"/>
    <m/>
    <s v="Open Market"/>
    <s v="MR"/>
    <s v=""/>
    <m/>
    <n v="0"/>
    <m/>
    <n v="0"/>
    <m/>
    <n v="0"/>
    <n v="0"/>
    <n v="0"/>
    <n v="0"/>
    <n v="0"/>
    <n v="-1"/>
    <n v="0"/>
    <n v="0"/>
    <n v="0"/>
    <n v="0"/>
    <n v="0"/>
    <n v="0"/>
    <n v="0"/>
    <n v="0"/>
    <n v="0"/>
    <n v="0"/>
    <n v="0"/>
    <n v="0"/>
    <n v="0"/>
    <n v="-1"/>
    <n v="0"/>
    <n v="0"/>
    <n v="0"/>
    <n v="0"/>
    <n v="0"/>
    <n v="0"/>
    <n v="0"/>
    <n v="0"/>
    <m/>
    <m/>
    <s v="Clapham Junction Spatial Area Strategy"/>
    <n v="15"/>
    <m/>
    <n v="-0.25"/>
    <n v="-0.25"/>
    <n v="-0.25"/>
    <n v="-0.25"/>
    <m/>
    <m/>
    <m/>
    <m/>
    <m/>
    <m/>
    <m/>
    <m/>
    <m/>
    <m/>
    <m/>
    <m/>
    <m/>
    <m/>
    <m/>
    <n v="-1"/>
    <n v="-1"/>
  </r>
  <r>
    <n v="1627"/>
    <x v="1"/>
    <s v="2019/0517"/>
    <s v="57 Gilbey Road"/>
    <s v=""/>
    <n v="527243"/>
    <n v="171511"/>
    <s v="Tooting Broadway"/>
    <m/>
    <m/>
    <n v="2"/>
    <n v="1"/>
    <n v="-1"/>
    <n v="1"/>
    <n v="-1"/>
    <m/>
    <s v="Alterations in connection with conversion of two flats into a single dwellinghouse."/>
    <s v="PF"/>
    <d v="2019-02-05T00:00:00"/>
    <d v="2019-04-02T00:00:00"/>
    <m/>
    <s v="Nil"/>
    <m/>
    <s v="BF"/>
    <s v="CON"/>
    <x v="2"/>
    <x v="8"/>
    <n v="1.0999999999999999E-2"/>
    <m/>
    <x v="0"/>
    <m/>
    <s v="Open Market"/>
    <s v="M"/>
    <s v=""/>
    <m/>
    <n v="0"/>
    <m/>
    <n v="0"/>
    <m/>
    <n v="0"/>
    <n v="0"/>
    <n v="-1"/>
    <n v="-1"/>
    <n v="0"/>
    <n v="1"/>
    <n v="0"/>
    <n v="0"/>
    <n v="0"/>
    <n v="-1"/>
    <n v="-1"/>
    <n v="0"/>
    <n v="0"/>
    <n v="0"/>
    <n v="0"/>
    <n v="0"/>
    <n v="0"/>
    <n v="0"/>
    <n v="0"/>
    <n v="1"/>
    <n v="0"/>
    <n v="0"/>
    <n v="0"/>
    <n v="0"/>
    <n v="0"/>
    <n v="0"/>
    <n v="0"/>
    <n v="0"/>
    <m/>
    <m/>
    <s v="Tooting"/>
    <n v="15"/>
    <m/>
    <n v="-0.25"/>
    <n v="-0.25"/>
    <n v="-0.25"/>
    <n v="-0.25"/>
    <m/>
    <m/>
    <m/>
    <m/>
    <m/>
    <m/>
    <m/>
    <m/>
    <m/>
    <m/>
    <m/>
    <m/>
    <m/>
    <m/>
    <m/>
    <n v="-1"/>
    <n v="-1"/>
  </r>
  <r>
    <n v="7878"/>
    <x v="1"/>
    <s v="2022/2387"/>
    <s v="7 Herndon Road"/>
    <s v=""/>
    <n v="526073"/>
    <n v="174663"/>
    <s v="Wandsworth Town"/>
    <m/>
    <m/>
    <n v="2"/>
    <n v="1"/>
    <n v="-1"/>
    <n v="1"/>
    <n v="-1"/>
    <m/>
    <s v="Alterations including erection of mansard roof extension to main rear roof (with glazed door and safety railing) and single storey rear/side extension in connection with use as a single dwellinghouse."/>
    <s v="PF"/>
    <d v="2022-08-01T00:00:00"/>
    <d v="2022-09-26T00:00:00"/>
    <s v="Y"/>
    <s v="Nil"/>
    <m/>
    <s v="BF"/>
    <s v="MIX"/>
    <x v="2"/>
    <x v="8"/>
    <n v="1.085E-2"/>
    <m/>
    <x v="0"/>
    <m/>
    <s v="Open Market"/>
    <s v="M"/>
    <s v=""/>
    <m/>
    <n v="0"/>
    <m/>
    <n v="0"/>
    <m/>
    <n v="0"/>
    <n v="0"/>
    <n v="-2"/>
    <n v="0"/>
    <n v="1"/>
    <n v="0"/>
    <n v="0"/>
    <n v="0"/>
    <n v="0"/>
    <n v="-2"/>
    <n v="0"/>
    <n v="0"/>
    <n v="0"/>
    <n v="0"/>
    <n v="0"/>
    <n v="0"/>
    <n v="0"/>
    <n v="0"/>
    <n v="1"/>
    <n v="0"/>
    <n v="0"/>
    <n v="0"/>
    <n v="0"/>
    <n v="0"/>
    <n v="0"/>
    <n v="0"/>
    <n v="0"/>
    <n v="0"/>
    <m/>
    <m/>
    <s v="Rest of Borough"/>
    <n v="15"/>
    <m/>
    <n v="-0.25"/>
    <n v="-0.25"/>
    <n v="-0.25"/>
    <n v="-0.25"/>
    <m/>
    <m/>
    <m/>
    <m/>
    <m/>
    <m/>
    <m/>
    <m/>
    <m/>
    <m/>
    <m/>
    <m/>
    <m/>
    <m/>
    <m/>
    <n v="-1"/>
    <n v="-1"/>
  </r>
  <r>
    <n v="5832"/>
    <x v="1"/>
    <s v="2021/1236"/>
    <s v="Garages in, Heathwall Street"/>
    <s v=""/>
    <n v="527798"/>
    <n v="175779"/>
    <s v="Shaftesbury &amp; Queenstown"/>
    <m/>
    <m/>
    <n v="0"/>
    <n v="1"/>
    <n v="1"/>
    <n v="1"/>
    <n v="1"/>
    <m/>
    <s v="Demolition of existing garages erection of one-storey (plus basement) 2-bedroom house"/>
    <s v="PF"/>
    <d v="2021-03-16T00:00:00"/>
    <d v="2022-07-29T00:00:00"/>
    <s v="Y"/>
    <s v="Nil"/>
    <m/>
    <s v="BF"/>
    <s v="NB"/>
    <x v="2"/>
    <x v="1"/>
    <n v="1.0999999999999999E-2"/>
    <m/>
    <x v="0"/>
    <m/>
    <s v="Open Market"/>
    <s v="M"/>
    <s v=""/>
    <m/>
    <n v="0"/>
    <m/>
    <n v="0"/>
    <m/>
    <n v="0"/>
    <n v="0"/>
    <n v="1"/>
    <n v="0"/>
    <n v="0"/>
    <n v="0"/>
    <n v="0"/>
    <n v="0"/>
    <n v="0"/>
    <n v="0"/>
    <n v="0"/>
    <n v="0"/>
    <n v="0"/>
    <n v="0"/>
    <n v="0"/>
    <n v="0"/>
    <n v="1"/>
    <n v="0"/>
    <n v="0"/>
    <n v="0"/>
    <n v="0"/>
    <n v="0"/>
    <n v="0"/>
    <n v="0"/>
    <n v="0"/>
    <n v="0"/>
    <n v="0"/>
    <n v="0"/>
    <m/>
    <m/>
    <s v="Rest of Borough"/>
    <n v="7"/>
    <m/>
    <m/>
    <n v="0.25"/>
    <n v="0.25"/>
    <n v="0.25"/>
    <n v="0.25"/>
    <m/>
    <m/>
    <m/>
    <m/>
    <m/>
    <m/>
    <m/>
    <m/>
    <m/>
    <m/>
    <m/>
    <m/>
    <m/>
    <m/>
    <n v="1"/>
    <n v="1"/>
  </r>
  <r>
    <n v="6982"/>
    <x v="1"/>
    <s v="2018/3147"/>
    <s v="81a Albert Bridge Road"/>
    <s v=""/>
    <n v="527516"/>
    <n v="177050"/>
    <s v="Battersea Park"/>
    <m/>
    <m/>
    <n v="2"/>
    <n v="1"/>
    <n v="-1"/>
    <n v="1"/>
    <n v="-1"/>
    <m/>
    <s v="Alterations including the erection of mansard roof extension to main rear roof (with french doors and safety railings); alterations to the second floor balcony to the front elevation. Amalgamation of first, second and third floor maisonettes into 1 x 3-bedroom maisonette."/>
    <s v="PF"/>
    <d v="2018-06-26T00:00:00"/>
    <d v="2018-09-24T00:00:00"/>
    <m/>
    <s v="Nil"/>
    <m/>
    <s v="BF"/>
    <s v="MIX"/>
    <x v="2"/>
    <x v="7"/>
    <n v="1.4E-2"/>
    <m/>
    <x v="0"/>
    <m/>
    <s v="Open Market"/>
    <s v="M"/>
    <s v=""/>
    <m/>
    <n v="0"/>
    <m/>
    <n v="0"/>
    <m/>
    <n v="0"/>
    <n v="-2"/>
    <n v="0"/>
    <n v="1"/>
    <n v="0"/>
    <n v="0"/>
    <n v="0"/>
    <n v="0"/>
    <n v="-2"/>
    <n v="0"/>
    <n v="1"/>
    <n v="0"/>
    <n v="0"/>
    <n v="0"/>
    <n v="0"/>
    <n v="0"/>
    <n v="0"/>
    <n v="0"/>
    <n v="0"/>
    <n v="0"/>
    <n v="0"/>
    <n v="0"/>
    <n v="0"/>
    <n v="0"/>
    <n v="0"/>
    <n v="0"/>
    <n v="0"/>
    <n v="0"/>
    <m/>
    <m/>
    <s v="Wandsworth riverside"/>
    <n v="15"/>
    <m/>
    <n v="-0.25"/>
    <n v="-0.25"/>
    <n v="-0.25"/>
    <n v="-0.25"/>
    <m/>
    <m/>
    <m/>
    <m/>
    <m/>
    <m/>
    <m/>
    <m/>
    <m/>
    <m/>
    <m/>
    <m/>
    <m/>
    <m/>
    <m/>
    <n v="-1"/>
    <n v="-1"/>
  </r>
  <r>
    <n v="7055"/>
    <x v="1"/>
    <s v="2020/2038"/>
    <s v="89 Ramsden Road"/>
    <s v=""/>
    <n v="528371"/>
    <n v="173680"/>
    <s v="Balham"/>
    <m/>
    <m/>
    <n v="5"/>
    <n v="4"/>
    <n v="-1"/>
    <n v="5"/>
    <n v="0"/>
    <m/>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m/>
    <s v="Nil"/>
    <m/>
    <s v="BF"/>
    <s v="MIX"/>
    <x v="2"/>
    <x v="7"/>
    <n v="3.6999999999999998E-2"/>
    <m/>
    <x v="0"/>
    <m/>
    <s v="Open Market"/>
    <s v="M"/>
    <s v=""/>
    <m/>
    <n v="0"/>
    <m/>
    <n v="0"/>
    <m/>
    <n v="-2"/>
    <n v="-1"/>
    <n v="1"/>
    <n v="1"/>
    <n v="0"/>
    <n v="0"/>
    <n v="0"/>
    <n v="-2"/>
    <n v="-1"/>
    <n v="1"/>
    <n v="1"/>
    <n v="0"/>
    <n v="0"/>
    <n v="0"/>
    <n v="0"/>
    <n v="0"/>
    <n v="0"/>
    <n v="0"/>
    <n v="0"/>
    <n v="0"/>
    <n v="0"/>
    <n v="0"/>
    <n v="0"/>
    <n v="0"/>
    <n v="0"/>
    <n v="0"/>
    <n v="0"/>
    <n v="0"/>
    <m/>
    <m/>
    <s v="Rest of Borough"/>
    <n v="15"/>
    <m/>
    <n v="-0.25"/>
    <n v="-0.25"/>
    <n v="-0.25"/>
    <n v="-0.25"/>
    <m/>
    <m/>
    <m/>
    <m/>
    <m/>
    <m/>
    <m/>
    <m/>
    <m/>
    <m/>
    <m/>
    <m/>
    <m/>
    <m/>
    <m/>
    <n v="-1"/>
    <n v="-1"/>
  </r>
  <r>
    <n v="7739"/>
    <x v="1"/>
    <s v="2021/5292"/>
    <s v="The Lodge, 120 Bolingbroke Grove"/>
    <s v=""/>
    <n v="527166"/>
    <n v="174991"/>
    <s v="Lavender"/>
    <m/>
    <m/>
    <n v="1"/>
    <n v="1"/>
    <n v="0"/>
    <n v="1"/>
    <n v="0"/>
    <m/>
    <s v="Demolition of existing dwellinghouse and erection of two storey (plus basement and roof level accommodation) 4-bedroom dwellinghouse."/>
    <s v="PF"/>
    <d v="2021-11-30T00:00:00"/>
    <d v="2022-07-29T00:00:00"/>
    <s v="Y"/>
    <s v="Nil"/>
    <m/>
    <s v="BF"/>
    <s v="NB"/>
    <x v="2"/>
    <x v="1"/>
    <n v="1.025E-2"/>
    <m/>
    <x v="0"/>
    <m/>
    <s v="Open Market"/>
    <s v="M"/>
    <s v=""/>
    <m/>
    <n v="0"/>
    <m/>
    <n v="0"/>
    <m/>
    <n v="0"/>
    <n v="0"/>
    <n v="0"/>
    <n v="0"/>
    <n v="0"/>
    <n v="0"/>
    <n v="0"/>
    <n v="0"/>
    <n v="0"/>
    <n v="0"/>
    <n v="0"/>
    <n v="0"/>
    <n v="0"/>
    <n v="0"/>
    <n v="0"/>
    <n v="0"/>
    <n v="0"/>
    <n v="0"/>
    <n v="0"/>
    <n v="0"/>
    <n v="0"/>
    <n v="0"/>
    <n v="0"/>
    <n v="0"/>
    <n v="0"/>
    <n v="0"/>
    <n v="0"/>
    <n v="0"/>
    <m/>
    <m/>
    <s v="Rest of Borough"/>
    <n v="7"/>
    <m/>
    <m/>
    <n v="0"/>
    <n v="0"/>
    <n v="0"/>
    <n v="0"/>
    <m/>
    <m/>
    <m/>
    <m/>
    <m/>
    <m/>
    <m/>
    <m/>
    <m/>
    <m/>
    <m/>
    <m/>
    <m/>
    <m/>
    <n v="0"/>
    <n v="0"/>
  </r>
  <r>
    <n v="7622"/>
    <x v="1"/>
    <s v="2021/2885"/>
    <s v="Apartments 78 &amp; 79, 1 Riverlight Quay (Riverlight)"/>
    <s v=""/>
    <n v="529505"/>
    <n v="177593"/>
    <s v="Nine Elms"/>
    <m/>
    <m/>
    <n v="2"/>
    <n v="1"/>
    <n v="-1"/>
    <n v="1"/>
    <n v="-1"/>
    <m/>
    <s v="The amalgamation of two adjacent two-bed units to create one four-bed unit and extension of the unit to incorporate 4 sqm of the communal hallway."/>
    <s v="PF"/>
    <d v="2021-06-18T00:00:00"/>
    <d v="2021-08-31T00:00:00"/>
    <m/>
    <s v="Nil"/>
    <m/>
    <s v="BF"/>
    <s v="CON"/>
    <x v="2"/>
    <x v="9"/>
    <n v="1.9099999999999999E-2"/>
    <m/>
    <x v="0"/>
    <m/>
    <s v="Open Market"/>
    <s v="M"/>
    <s v="2.1.9"/>
    <m/>
    <n v="0"/>
    <m/>
    <n v="0"/>
    <m/>
    <n v="0"/>
    <n v="0"/>
    <n v="-2"/>
    <n v="0"/>
    <n v="1"/>
    <n v="0"/>
    <n v="0"/>
    <n v="0"/>
    <n v="0"/>
    <n v="-2"/>
    <n v="0"/>
    <n v="1"/>
    <n v="0"/>
    <n v="0"/>
    <n v="0"/>
    <n v="0"/>
    <n v="0"/>
    <n v="0"/>
    <n v="0"/>
    <n v="0"/>
    <n v="0"/>
    <n v="0"/>
    <n v="0"/>
    <n v="0"/>
    <n v="0"/>
    <n v="0"/>
    <n v="0"/>
    <n v="0"/>
    <m/>
    <s v="Y"/>
    <s v="Nine Elms Vauxhall Opportunity Area"/>
    <n v="15"/>
    <m/>
    <n v="-0.25"/>
    <n v="-0.25"/>
    <n v="-0.25"/>
    <n v="-0.25"/>
    <m/>
    <m/>
    <m/>
    <m/>
    <m/>
    <m/>
    <m/>
    <m/>
    <m/>
    <m/>
    <m/>
    <m/>
    <m/>
    <m/>
    <m/>
    <n v="-1"/>
    <n v="-1"/>
  </r>
  <r>
    <n v="7258"/>
    <x v="1"/>
    <s v="2022/2673"/>
    <s v="Flat B &amp; C, 39 Bolingbroke Grove"/>
    <s v=""/>
    <n v="527490"/>
    <n v="174270"/>
    <s v="Northcote"/>
    <m/>
    <m/>
    <n v="2"/>
    <n v="1"/>
    <n v="-1"/>
    <n v="1"/>
    <n v="-1"/>
    <m/>
    <s v="Alterations to include the erection of part single/ part two storey rear extension and first floor rear extension in connection with conversion of Flats B and C into a 4-bedroom flat."/>
    <s v="PF"/>
    <d v="2022-09-22T00:00:00"/>
    <d v="2023-03-14T00:00:00"/>
    <s v="Y"/>
    <s v="Nil"/>
    <m/>
    <s v="BF"/>
    <s v="CON"/>
    <x v="2"/>
    <x v="9"/>
    <n v="7.9000000000000008E-3"/>
    <m/>
    <x v="0"/>
    <m/>
    <s v="Open Market"/>
    <s v="M"/>
    <s v=""/>
    <m/>
    <n v="0"/>
    <m/>
    <n v="0"/>
    <m/>
    <n v="0"/>
    <n v="-2"/>
    <n v="0"/>
    <n v="0"/>
    <n v="1"/>
    <n v="0"/>
    <n v="0"/>
    <n v="0"/>
    <n v="-2"/>
    <n v="0"/>
    <n v="0"/>
    <n v="1"/>
    <n v="0"/>
    <n v="0"/>
    <n v="0"/>
    <n v="0"/>
    <n v="0"/>
    <n v="0"/>
    <n v="0"/>
    <n v="0"/>
    <n v="0"/>
    <n v="0"/>
    <n v="0"/>
    <n v="0"/>
    <n v="0"/>
    <n v="0"/>
    <n v="0"/>
    <n v="0"/>
    <m/>
    <m/>
    <s v="Rest of Borough"/>
    <n v="15"/>
    <m/>
    <n v="-0.25"/>
    <n v="-0.25"/>
    <n v="-0.25"/>
    <n v="-0.25"/>
    <m/>
    <m/>
    <m/>
    <m/>
    <m/>
    <m/>
    <m/>
    <m/>
    <m/>
    <m/>
    <m/>
    <m/>
    <m/>
    <m/>
    <m/>
    <n v="-1"/>
    <n v="-1"/>
  </r>
  <r>
    <n v="7038"/>
    <x v="1"/>
    <s v="2018/4850"/>
    <s v="Flats 26 &amp; 27 Waterside Point, 2 Anhalt Road"/>
    <s v=""/>
    <n v="527377"/>
    <n v="177378"/>
    <s v="Battersea Park"/>
    <m/>
    <m/>
    <n v="2"/>
    <n v="1"/>
    <n v="-1"/>
    <n v="1"/>
    <n v="-1"/>
    <m/>
    <s v="Conversion of existing 1 x 2 bed and 1 x 3 bed second floor self-contained flats into one x 6 bedroom second floor self-contained flat."/>
    <s v="PF"/>
    <d v="2018-11-13T00:00:00"/>
    <d v="2019-01-08T00:00:00"/>
    <m/>
    <s v="Nil"/>
    <m/>
    <s v="BF"/>
    <s v="CON"/>
    <x v="2"/>
    <x v="9"/>
    <n v="5.0000000000000001E-3"/>
    <m/>
    <x v="0"/>
    <m/>
    <s v="Open Market"/>
    <s v="M"/>
    <s v=""/>
    <m/>
    <n v="0"/>
    <m/>
    <n v="0"/>
    <m/>
    <n v="0"/>
    <n v="0"/>
    <n v="-1"/>
    <n v="-1"/>
    <n v="0"/>
    <n v="1"/>
    <n v="0"/>
    <n v="0"/>
    <n v="0"/>
    <n v="-1"/>
    <n v="-1"/>
    <n v="0"/>
    <n v="1"/>
    <n v="0"/>
    <n v="0"/>
    <n v="0"/>
    <n v="0"/>
    <n v="0"/>
    <n v="0"/>
    <n v="0"/>
    <n v="0"/>
    <n v="0"/>
    <n v="0"/>
    <n v="0"/>
    <n v="0"/>
    <n v="0"/>
    <n v="0"/>
    <n v="0"/>
    <m/>
    <m/>
    <s v="Wandsworth riverside"/>
    <n v="15"/>
    <m/>
    <n v="-0.25"/>
    <n v="-0.25"/>
    <n v="-0.25"/>
    <n v="-0.25"/>
    <m/>
    <m/>
    <m/>
    <m/>
    <m/>
    <m/>
    <m/>
    <m/>
    <m/>
    <m/>
    <m/>
    <m/>
    <m/>
    <m/>
    <m/>
    <n v="-1"/>
    <n v="-1"/>
  </r>
  <r>
    <n v="7817"/>
    <x v="1"/>
    <s v="2022/1132"/>
    <s v="Formerly Flats A&amp;B, 131 St James Drive"/>
    <s v=""/>
    <n v="527600"/>
    <n v="173459"/>
    <s v="Trinity"/>
    <m/>
    <m/>
    <n v="2"/>
    <n v="1"/>
    <n v="-1"/>
    <n v="1"/>
    <n v="-1"/>
    <m/>
    <s v="Conversion of property into single-family dwellinghouse and alterations including erection of mansard roof extension to provide an additional floor of accommodation; erection of three-storey rear extension; extension above back addition and frormation of roof terrace."/>
    <s v="PF"/>
    <d v="2022-05-20T00:00:00"/>
    <d v="2022-08-31T00:00:00"/>
    <s v="Y"/>
    <s v="Nil"/>
    <m/>
    <s v="BF"/>
    <s v="CON"/>
    <x v="2"/>
    <x v="8"/>
    <n v="6.1425000000000004E-3"/>
    <m/>
    <x v="0"/>
    <m/>
    <s v="Open Market"/>
    <s v="M"/>
    <s v=""/>
    <m/>
    <n v="0"/>
    <m/>
    <n v="0"/>
    <m/>
    <n v="0"/>
    <n v="-1"/>
    <n v="0"/>
    <n v="-1"/>
    <n v="0"/>
    <n v="1"/>
    <n v="0"/>
    <n v="0"/>
    <n v="-1"/>
    <n v="0"/>
    <n v="-1"/>
    <n v="0"/>
    <n v="0"/>
    <n v="0"/>
    <n v="0"/>
    <n v="0"/>
    <n v="0"/>
    <n v="0"/>
    <n v="0"/>
    <n v="1"/>
    <n v="0"/>
    <n v="0"/>
    <n v="0"/>
    <n v="0"/>
    <n v="0"/>
    <n v="0"/>
    <n v="0"/>
    <n v="0"/>
    <m/>
    <m/>
    <s v="Rest of Borough"/>
    <n v="15"/>
    <m/>
    <n v="-0.25"/>
    <n v="-0.25"/>
    <n v="-0.25"/>
    <n v="-0.25"/>
    <m/>
    <m/>
    <m/>
    <m/>
    <m/>
    <m/>
    <m/>
    <m/>
    <m/>
    <m/>
    <m/>
    <m/>
    <m/>
    <m/>
    <m/>
    <n v="-1"/>
    <n v="-1"/>
  </r>
  <r>
    <n v="7862"/>
    <x v="1"/>
    <s v="2022/2521"/>
    <s v="Ground and First Floor Flats, 56 Luttrell Avenue"/>
    <s v=""/>
    <n v="522956"/>
    <n v="174649"/>
    <s v="West Putney"/>
    <m/>
    <m/>
    <n v="2"/>
    <n v="1"/>
    <n v="-1"/>
    <n v="1"/>
    <n v="-1"/>
    <m/>
    <s v="Erection of a replacement single-storey rear/side extension in connection with use of ground and first floor flats as a single dwelling."/>
    <s v="PF"/>
    <d v="2022-06-15T00:00:00"/>
    <d v="2022-10-14T00:00:00"/>
    <s v="Y"/>
    <s v="Nil"/>
    <m/>
    <s v="BF"/>
    <s v="CON"/>
    <x v="2"/>
    <x v="8"/>
    <n v="1.54E-2"/>
    <m/>
    <x v="0"/>
    <m/>
    <s v="Open Market"/>
    <s v="M"/>
    <s v=""/>
    <m/>
    <n v="0"/>
    <m/>
    <n v="0"/>
    <m/>
    <n v="0"/>
    <n v="-1"/>
    <n v="-1"/>
    <n v="0"/>
    <n v="1"/>
    <n v="0"/>
    <n v="0"/>
    <n v="0"/>
    <n v="-1"/>
    <n v="-1"/>
    <n v="0"/>
    <n v="1"/>
    <n v="0"/>
    <n v="0"/>
    <n v="0"/>
    <n v="0"/>
    <n v="0"/>
    <n v="0"/>
    <n v="0"/>
    <n v="0"/>
    <n v="0"/>
    <n v="0"/>
    <n v="0"/>
    <n v="0"/>
    <n v="0"/>
    <n v="0"/>
    <n v="0"/>
    <n v="0"/>
    <m/>
    <m/>
    <s v="Rest of Borough"/>
    <n v="15"/>
    <m/>
    <n v="-0.25"/>
    <n v="-0.25"/>
    <n v="-0.25"/>
    <n v="-0.25"/>
    <m/>
    <m/>
    <m/>
    <m/>
    <m/>
    <m/>
    <m/>
    <m/>
    <m/>
    <m/>
    <m/>
    <m/>
    <m/>
    <m/>
    <m/>
    <n v="-1"/>
    <n v="-1"/>
  </r>
  <r>
    <n v="3307"/>
    <x v="1"/>
    <s v="2021/2079"/>
    <s v="St Augustine Vicarage, 99 Broadwater Road"/>
    <s v=""/>
    <n v="527098"/>
    <n v="171727"/>
    <s v="Tooting Broadway"/>
    <m/>
    <m/>
    <n v="1"/>
    <n v="0"/>
    <n v="-1"/>
    <n v="0"/>
    <n v="-1"/>
    <m/>
    <s v="Alterations in connection with change of use from residential dwelling (Class C3) to house of multiple occupation (Sui Generis)."/>
    <s v="PF"/>
    <d v="2021-06-14T00:00:00"/>
    <d v="2022-04-20T00:00:00"/>
    <s v="Y"/>
    <s v="Nil"/>
    <m/>
    <s v="BF"/>
    <s v="COU"/>
    <x v="2"/>
    <x v="7"/>
    <n v="0"/>
    <m/>
    <x v="0"/>
    <m/>
    <s v="Open Market"/>
    <s v="MR"/>
    <s v=""/>
    <m/>
    <n v="0"/>
    <m/>
    <n v="0"/>
    <m/>
    <n v="0"/>
    <n v="0"/>
    <n v="0"/>
    <n v="0"/>
    <n v="0"/>
    <n v="-1"/>
    <n v="0"/>
    <n v="0"/>
    <n v="0"/>
    <n v="0"/>
    <n v="0"/>
    <n v="0"/>
    <n v="0"/>
    <n v="0"/>
    <n v="0"/>
    <n v="0"/>
    <n v="0"/>
    <n v="0"/>
    <n v="0"/>
    <n v="-1"/>
    <n v="0"/>
    <n v="0"/>
    <n v="0"/>
    <n v="0"/>
    <n v="0"/>
    <n v="0"/>
    <n v="0"/>
    <n v="0"/>
    <m/>
    <m/>
    <s v="Rest of Borough"/>
    <n v="15"/>
    <m/>
    <n v="-0.25"/>
    <n v="-0.25"/>
    <n v="-0.25"/>
    <n v="-0.25"/>
    <m/>
    <m/>
    <m/>
    <m/>
    <m/>
    <m/>
    <m/>
    <m/>
    <m/>
    <m/>
    <m/>
    <m/>
    <m/>
    <m/>
    <m/>
    <n v="-1"/>
    <n v="-1"/>
  </r>
  <r>
    <n v="7757"/>
    <x v="1"/>
    <s v="2021/5787"/>
    <s v="46 Roedean Crescent"/>
    <s v=""/>
    <n v="521171"/>
    <n v="174284"/>
    <s v="Roehampton"/>
    <m/>
    <m/>
    <n v="1"/>
    <n v="1"/>
    <n v="0"/>
    <n v="1"/>
    <n v="0"/>
    <m/>
    <s v="Demolition of existing house, erection of a two-storey (plus basement) 6-bedroom detached house with a car lift to the front driveway adjacent to the house."/>
    <s v="PF"/>
    <d v="2021-12-22T00:00:00"/>
    <d v="2022-03-07T00:00:00"/>
    <m/>
    <s v="Nil"/>
    <m/>
    <s v="BF"/>
    <s v="NB"/>
    <x v="2"/>
    <x v="1"/>
    <n v="3.6999999999999998E-2"/>
    <m/>
    <x v="0"/>
    <m/>
    <s v="Open Market"/>
    <s v="M"/>
    <s v=""/>
    <m/>
    <n v="0"/>
    <m/>
    <n v="0"/>
    <m/>
    <n v="0"/>
    <n v="0"/>
    <n v="0"/>
    <n v="0"/>
    <n v="0"/>
    <n v="0"/>
    <n v="0"/>
    <n v="0"/>
    <n v="0"/>
    <n v="0"/>
    <n v="0"/>
    <n v="0"/>
    <n v="0"/>
    <n v="0"/>
    <n v="0"/>
    <n v="0"/>
    <n v="0"/>
    <n v="0"/>
    <n v="0"/>
    <n v="0"/>
    <n v="0"/>
    <n v="0"/>
    <n v="0"/>
    <n v="0"/>
    <n v="0"/>
    <n v="0"/>
    <n v="0"/>
    <n v="0"/>
    <m/>
    <m/>
    <s v="Rest of Borough"/>
    <n v="7"/>
    <m/>
    <m/>
    <n v="0"/>
    <n v="0"/>
    <n v="0"/>
    <n v="0"/>
    <m/>
    <m/>
    <m/>
    <m/>
    <m/>
    <m/>
    <m/>
    <m/>
    <m/>
    <m/>
    <m/>
    <m/>
    <m/>
    <m/>
    <n v="0"/>
    <n v="0"/>
  </r>
  <r>
    <n v="7890"/>
    <x v="1"/>
    <s v="2022/3691"/>
    <s v="2 Patten Road"/>
    <s v=""/>
    <n v="527164"/>
    <n v="173740"/>
    <s v="Wandsworth Common"/>
    <m/>
    <m/>
    <n v="3"/>
    <n v="1"/>
    <n v="-2"/>
    <n v="1"/>
    <n v="-2"/>
    <m/>
    <s v="Alterations including erection of a dormer roof extension (with french doors and safety railing) to the main rear roof; Erection of a single storey rear extension; Excavation to enlarge existing basement, including formation of 2 front lightwells with grille over, and 1 rear lightwell with access stair to rear garden; Removal of existing timber fence and erection of a brick wall and metal railing with metal access gates to front boundary; Erection of cycle and refuse storage to front garden, in connection with conversion to a single dwellinghouse."/>
    <s v="PF"/>
    <d v="2022-10-03T00:00:00"/>
    <d v="2023-02-27T00:00:00"/>
    <s v="Y"/>
    <s v="Nil"/>
    <m/>
    <s v="BF"/>
    <s v="MIX"/>
    <x v="2"/>
    <x v="8"/>
    <n v="1.4999999999999999E-2"/>
    <m/>
    <x v="0"/>
    <m/>
    <s v="Open Market"/>
    <s v="M"/>
    <s v=""/>
    <m/>
    <n v="0"/>
    <m/>
    <n v="0"/>
    <m/>
    <n v="0"/>
    <n v="0"/>
    <n v="-2"/>
    <n v="-1"/>
    <n v="0"/>
    <n v="1"/>
    <n v="0"/>
    <n v="0"/>
    <n v="0"/>
    <n v="-2"/>
    <n v="-1"/>
    <n v="0"/>
    <n v="0"/>
    <n v="0"/>
    <n v="0"/>
    <n v="0"/>
    <n v="0"/>
    <n v="0"/>
    <n v="0"/>
    <n v="1"/>
    <n v="0"/>
    <n v="0"/>
    <n v="0"/>
    <n v="0"/>
    <n v="0"/>
    <n v="0"/>
    <n v="0"/>
    <n v="0"/>
    <m/>
    <m/>
    <s v="Rest of Borough"/>
    <n v="15"/>
    <m/>
    <n v="-0.5"/>
    <n v="-0.5"/>
    <n v="-0.5"/>
    <n v="-0.5"/>
    <m/>
    <m/>
    <m/>
    <m/>
    <m/>
    <m/>
    <m/>
    <m/>
    <m/>
    <m/>
    <m/>
    <m/>
    <m/>
    <m/>
    <m/>
    <n v="-2"/>
    <n v="-2"/>
  </r>
  <r>
    <n v="7797"/>
    <x v="1"/>
    <s v="2022/0777"/>
    <s v="21 Chetwode Road"/>
    <s v=""/>
    <n v="528052"/>
    <n v="172514"/>
    <s v="Trinity"/>
    <m/>
    <m/>
    <n v="1"/>
    <n v="8"/>
    <n v="7"/>
    <n v="8"/>
    <n v="7"/>
    <m/>
    <s v="Demolition of existing dwelling house and erection of replacement two storey (plus roof and basement) building to create 2 x 3-bedroom, 4 x 2-bedroom, 2 x 1-bedroom flats with associated cycle and refuse storage."/>
    <s v="PF"/>
    <d v="2022-02-23T00:00:00"/>
    <d v="2022-07-01T00:00:00"/>
    <s v="Y"/>
    <s v="Nil"/>
    <m/>
    <s v="BF"/>
    <s v="NB"/>
    <x v="2"/>
    <x v="1"/>
    <n v="0.01"/>
    <m/>
    <x v="0"/>
    <m/>
    <s v="Open Market"/>
    <s v="M"/>
    <s v=""/>
    <m/>
    <n v="0"/>
    <n v="8"/>
    <n v="0"/>
    <n v="8"/>
    <n v="0"/>
    <n v="3"/>
    <n v="3"/>
    <n v="1"/>
    <n v="0"/>
    <n v="0"/>
    <n v="0"/>
    <n v="0"/>
    <n v="3"/>
    <n v="3"/>
    <n v="2"/>
    <n v="0"/>
    <n v="0"/>
    <n v="0"/>
    <n v="0"/>
    <n v="0"/>
    <n v="0"/>
    <n v="-1"/>
    <n v="0"/>
    <n v="0"/>
    <n v="0"/>
    <n v="0"/>
    <n v="0"/>
    <n v="0"/>
    <n v="0"/>
    <n v="0"/>
    <n v="0"/>
    <n v="0"/>
    <m/>
    <m/>
    <s v="Rest of Borough"/>
    <n v="10"/>
    <m/>
    <m/>
    <m/>
    <m/>
    <n v="2.3333333333333335"/>
    <n v="2.3333333333333335"/>
    <n v="2.3333333333333335"/>
    <m/>
    <m/>
    <m/>
    <m/>
    <m/>
    <m/>
    <m/>
    <m/>
    <m/>
    <m/>
    <m/>
    <m/>
    <m/>
    <n v="4.666666666666667"/>
    <n v="7"/>
  </r>
  <r>
    <n v="6130"/>
    <x v="1"/>
    <s v="2021/4211"/>
    <s v="63 Roehampton Lane"/>
    <s v=""/>
    <n v="522154"/>
    <n v="175135"/>
    <s v="Roehampton"/>
    <m/>
    <m/>
    <n v="1"/>
    <n v="1"/>
    <n v="0"/>
    <n v="1"/>
    <n v="0"/>
    <m/>
    <s v="Demolition of existing dwelling and erection of a two-storey (plus accommodation at roof level) 5-bedroom house."/>
    <s v="PF"/>
    <d v="2021-09-21T00:00:00"/>
    <d v="2022-06-29T00:00:00"/>
    <s v="Y"/>
    <s v="Nil"/>
    <m/>
    <s v="BF"/>
    <s v="NB"/>
    <x v="2"/>
    <x v="1"/>
    <n v="1.8294000000000001E-2"/>
    <m/>
    <x v="0"/>
    <m/>
    <s v="Open Market"/>
    <s v="M"/>
    <s v=""/>
    <m/>
    <n v="0"/>
    <m/>
    <n v="0"/>
    <m/>
    <n v="0"/>
    <n v="0"/>
    <n v="0"/>
    <n v="0"/>
    <n v="-1"/>
    <n v="1"/>
    <n v="0"/>
    <n v="0"/>
    <n v="0"/>
    <n v="0"/>
    <n v="0"/>
    <n v="0"/>
    <n v="0"/>
    <n v="0"/>
    <n v="0"/>
    <n v="0"/>
    <n v="0"/>
    <n v="0"/>
    <n v="-1"/>
    <n v="1"/>
    <n v="0"/>
    <n v="0"/>
    <n v="0"/>
    <n v="0"/>
    <n v="0"/>
    <n v="0"/>
    <n v="0"/>
    <n v="0"/>
    <m/>
    <m/>
    <s v="Rest of Borough"/>
    <n v="7"/>
    <m/>
    <m/>
    <n v="0"/>
    <n v="0"/>
    <n v="0"/>
    <n v="0"/>
    <m/>
    <m/>
    <m/>
    <m/>
    <m/>
    <m/>
    <m/>
    <m/>
    <m/>
    <m/>
    <m/>
    <m/>
    <m/>
    <m/>
    <n v="0"/>
    <n v="0"/>
  </r>
  <r>
    <n v="5128"/>
    <x v="1"/>
    <s v="2021/4728"/>
    <s v="Garages rear of 144, West Hill (Garages west of 48 &amp; 50 Lytton Grove)"/>
    <s v=""/>
    <n v="524267"/>
    <n v="174267"/>
    <s v="East Putney"/>
    <d v="2022-06-29T00:00:00"/>
    <m/>
    <n v="0"/>
    <n v="1"/>
    <n v="1"/>
    <n v="1"/>
    <n v="1"/>
    <m/>
    <s v="Demolition of existing garages and erection of single-storey (plus basement and roof level accommodation) 3-bedroom house. (Amendments to planning permission dated 24/08/20 ref. 2020/1240 to include a basement with lightwell and additional bedroom)."/>
    <s v="PF"/>
    <d v="2021-10-14T00:00:00"/>
    <d v="2022-06-29T00:00:00"/>
    <s v="Y"/>
    <s v="Nil"/>
    <m/>
    <s v="BF"/>
    <s v="NB"/>
    <x v="2"/>
    <x v="1"/>
    <n v="1.8599999999999998E-2"/>
    <m/>
    <x v="0"/>
    <m/>
    <s v="Open Market"/>
    <s v="M"/>
    <s v=""/>
    <m/>
    <n v="0"/>
    <m/>
    <n v="0"/>
    <m/>
    <n v="0"/>
    <n v="0"/>
    <n v="0"/>
    <n v="1"/>
    <n v="0"/>
    <n v="0"/>
    <n v="0"/>
    <n v="0"/>
    <n v="0"/>
    <n v="0"/>
    <n v="0"/>
    <n v="0"/>
    <n v="0"/>
    <n v="0"/>
    <n v="0"/>
    <n v="0"/>
    <n v="0"/>
    <n v="1"/>
    <n v="0"/>
    <n v="0"/>
    <n v="0"/>
    <n v="0"/>
    <n v="0"/>
    <n v="0"/>
    <n v="0"/>
    <n v="0"/>
    <n v="0"/>
    <n v="0"/>
    <m/>
    <m/>
    <s v="Rest of Borough"/>
    <n v="7"/>
    <m/>
    <m/>
    <n v="0.25"/>
    <n v="0.25"/>
    <n v="0.25"/>
    <n v="0.25"/>
    <m/>
    <m/>
    <m/>
    <m/>
    <m/>
    <m/>
    <m/>
    <m/>
    <m/>
    <m/>
    <m/>
    <m/>
    <m/>
    <m/>
    <n v="1"/>
    <n v="1"/>
  </r>
  <r>
    <n v="6497"/>
    <x v="1"/>
    <s v="2019/5520"/>
    <s v="64-64c Battersea Rise"/>
    <s v=""/>
    <n v="527487"/>
    <n v="175150"/>
    <s v="Lavender"/>
    <m/>
    <m/>
    <n v="2"/>
    <n v="0"/>
    <n v="-2"/>
    <n v="0"/>
    <n v="-2"/>
    <m/>
    <s v="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
    <s v="PF"/>
    <d v="2020-01-23T00:00:00"/>
    <d v="2020-04-28T00:00:00"/>
    <m/>
    <s v="Nil"/>
    <m/>
    <s v="BF"/>
    <s v="MIX"/>
    <x v="2"/>
    <x v="3"/>
    <n v="0"/>
    <m/>
    <x v="0"/>
    <m/>
    <s v="Open Market"/>
    <s v="M"/>
    <s v=""/>
    <m/>
    <n v="0"/>
    <m/>
    <n v="0"/>
    <m/>
    <n v="0"/>
    <n v="0"/>
    <n v="0"/>
    <n v="0"/>
    <n v="0"/>
    <n v="0"/>
    <n v="-2"/>
    <n v="0"/>
    <n v="0"/>
    <n v="0"/>
    <n v="0"/>
    <n v="0"/>
    <n v="0"/>
    <n v="-2"/>
    <n v="0"/>
    <n v="0"/>
    <n v="0"/>
    <n v="0"/>
    <n v="0"/>
    <n v="0"/>
    <n v="0"/>
    <n v="0"/>
    <n v="0"/>
    <n v="0"/>
    <n v="0"/>
    <n v="0"/>
    <n v="0"/>
    <n v="0"/>
    <s v="Clapham Junction"/>
    <m/>
    <s v="Clapham Junction Spatial Area Strategy"/>
    <n v="15"/>
    <m/>
    <n v="-0.5"/>
    <n v="-0.5"/>
    <n v="-0.5"/>
    <n v="-0.5"/>
    <m/>
    <m/>
    <m/>
    <m/>
    <m/>
    <m/>
    <m/>
    <m/>
    <m/>
    <m/>
    <m/>
    <m/>
    <m/>
    <m/>
    <m/>
    <n v="-2"/>
    <n v="-2"/>
  </r>
  <r>
    <n v="7874"/>
    <x v="1"/>
    <s v="2022/3040"/>
    <s v="70 Culverden Road"/>
    <s v=""/>
    <n v="529175"/>
    <n v="172575"/>
    <s v="South Balham"/>
    <m/>
    <m/>
    <n v="3"/>
    <n v="1"/>
    <n v="-2"/>
    <n v="1"/>
    <n v="-2"/>
    <m/>
    <s v="Conversion of building from three flats to single dwellinghouse."/>
    <s v="PF"/>
    <d v="2022-07-20T00:00:00"/>
    <d v="2022-09-14T00:00:00"/>
    <s v="Y"/>
    <s v="Nil"/>
    <m/>
    <s v="BF"/>
    <s v="CON"/>
    <x v="2"/>
    <x v="8"/>
    <n v="6.1000000000000004E-3"/>
    <m/>
    <x v="0"/>
    <m/>
    <s v="Open Market"/>
    <s v="M"/>
    <s v=""/>
    <m/>
    <n v="0"/>
    <m/>
    <n v="0"/>
    <m/>
    <n v="0"/>
    <n v="-1"/>
    <n v="-2"/>
    <n v="0"/>
    <n v="0"/>
    <n v="1"/>
    <n v="0"/>
    <n v="0"/>
    <n v="-1"/>
    <n v="-2"/>
    <n v="0"/>
    <n v="0"/>
    <n v="0"/>
    <n v="0"/>
    <n v="0"/>
    <n v="0"/>
    <n v="0"/>
    <n v="0"/>
    <n v="0"/>
    <n v="1"/>
    <n v="0"/>
    <n v="0"/>
    <n v="0"/>
    <n v="0"/>
    <n v="0"/>
    <n v="0"/>
    <n v="0"/>
    <n v="0"/>
    <m/>
    <m/>
    <s v="Rest of Borough"/>
    <n v="15"/>
    <m/>
    <n v="-0.5"/>
    <n v="-0.5"/>
    <n v="-0.5"/>
    <n v="-0.5"/>
    <m/>
    <m/>
    <m/>
    <m/>
    <m/>
    <m/>
    <m/>
    <m/>
    <m/>
    <m/>
    <m/>
    <m/>
    <m/>
    <m/>
    <m/>
    <n v="-2"/>
    <n v="-2"/>
  </r>
  <r>
    <n v="7803"/>
    <x v="1"/>
    <s v="2020/5019"/>
    <s v="Mews House, 2A Chelverton Road"/>
    <s v=""/>
    <n v="523970"/>
    <n v="175247"/>
    <s v="Thamesfield"/>
    <m/>
    <m/>
    <n v="0"/>
    <n v="1"/>
    <n v="1"/>
    <n v="1"/>
    <n v="1"/>
    <m/>
    <s v="Demolition of existing workshop and erection of a 3-bedroom single dwelling house."/>
    <s v="PF"/>
    <d v="2022-04-25T00:00:00"/>
    <d v="2022-06-20T00:00:00"/>
    <s v="Y"/>
    <s v="Nil"/>
    <m/>
    <s v="BF"/>
    <s v="NB"/>
    <x v="2"/>
    <x v="1"/>
    <n v="5.0000000000000001E-3"/>
    <m/>
    <x v="0"/>
    <m/>
    <s v="Open Market"/>
    <s v="M"/>
    <s v=""/>
    <m/>
    <n v="0"/>
    <m/>
    <n v="0"/>
    <m/>
    <n v="0"/>
    <n v="0"/>
    <n v="0"/>
    <n v="1"/>
    <n v="0"/>
    <n v="0"/>
    <n v="0"/>
    <n v="0"/>
    <n v="0"/>
    <n v="0"/>
    <n v="0"/>
    <n v="0"/>
    <n v="0"/>
    <n v="0"/>
    <n v="0"/>
    <n v="0"/>
    <n v="0"/>
    <n v="1"/>
    <n v="0"/>
    <n v="0"/>
    <n v="0"/>
    <n v="0"/>
    <n v="0"/>
    <n v="0"/>
    <n v="0"/>
    <n v="0"/>
    <n v="0"/>
    <n v="0"/>
    <s v="Putney"/>
    <m/>
    <s v="Putney Town Centre"/>
    <n v="7"/>
    <m/>
    <m/>
    <n v="0.25"/>
    <n v="0.25"/>
    <n v="0.25"/>
    <n v="0.25"/>
    <m/>
    <m/>
    <m/>
    <m/>
    <m/>
    <m/>
    <m/>
    <m/>
    <m/>
    <m/>
    <m/>
    <m/>
    <m/>
    <m/>
    <n v="1"/>
    <n v="1"/>
  </r>
  <r>
    <n v="7628"/>
    <x v="1"/>
    <s v="2021/5566"/>
    <s v="Bristol Gardens, 4 Portsmouth Road"/>
    <s v=""/>
    <n v="523110"/>
    <n v="173693"/>
    <s v="West Putney"/>
    <m/>
    <m/>
    <n v="3"/>
    <n v="1"/>
    <n v="-2"/>
    <n v="1"/>
    <n v="-2"/>
    <m/>
    <s v="Alterations including demolition of existing garage and erection of a single storey rear extension; various changes to the facades and fenestration; insertion of rooflights and erection of refuse store against eastern boundary, in connection with deconversion to use as a single dwelling."/>
    <s v="PF"/>
    <d v="2022-01-07T00:00:00"/>
    <d v="2022-03-15T00:00:00"/>
    <m/>
    <s v="Nil"/>
    <m/>
    <s v="BF"/>
    <s v="MIX"/>
    <x v="2"/>
    <x v="8"/>
    <n v="1.396E-2"/>
    <m/>
    <x v="0"/>
    <m/>
    <s v="Open Market"/>
    <s v="M"/>
    <s v=""/>
    <m/>
    <n v="0"/>
    <m/>
    <n v="0"/>
    <m/>
    <n v="0"/>
    <n v="-1"/>
    <n v="-2"/>
    <n v="0"/>
    <n v="0"/>
    <n v="1"/>
    <n v="0"/>
    <n v="0"/>
    <n v="-1"/>
    <n v="-2"/>
    <n v="0"/>
    <n v="0"/>
    <n v="0"/>
    <n v="0"/>
    <n v="0"/>
    <n v="0"/>
    <n v="0"/>
    <n v="0"/>
    <n v="0"/>
    <n v="1"/>
    <n v="0"/>
    <n v="0"/>
    <n v="0"/>
    <n v="0"/>
    <n v="0"/>
    <n v="0"/>
    <n v="0"/>
    <n v="0"/>
    <m/>
    <m/>
    <s v="Rest of Borough"/>
    <n v="15"/>
    <m/>
    <n v="-0.5"/>
    <n v="-0.5"/>
    <n v="-0.5"/>
    <n v="-0.5"/>
    <m/>
    <m/>
    <m/>
    <m/>
    <m/>
    <m/>
    <m/>
    <m/>
    <m/>
    <m/>
    <m/>
    <m/>
    <m/>
    <m/>
    <m/>
    <n v="-2"/>
    <n v="-2"/>
  </r>
  <r>
    <n v="2262"/>
    <x v="1"/>
    <s v="2021/5516"/>
    <s v="Garages adjoining Salter House, Ullathorne Road"/>
    <s v=""/>
    <n v="529325"/>
    <n v="171589"/>
    <s v="Furzedown"/>
    <m/>
    <m/>
    <n v="0"/>
    <n v="4"/>
    <n v="4"/>
    <n v="4"/>
    <n v="4"/>
    <m/>
    <s v="Demolition of existing garages and erection of 4 x three storey houses."/>
    <s v="PF"/>
    <d v="2021-12-02T00:00:00"/>
    <d v="2022-06-13T00:00:00"/>
    <s v="Y"/>
    <s v="Nil"/>
    <m/>
    <s v="BF"/>
    <s v="NB"/>
    <x v="2"/>
    <x v="1"/>
    <n v="1.6E-2"/>
    <m/>
    <x v="0"/>
    <m/>
    <s v="Social/Affordable Rent"/>
    <s v="AS"/>
    <s v=""/>
    <m/>
    <n v="0"/>
    <m/>
    <n v="0"/>
    <m/>
    <n v="0"/>
    <n v="0"/>
    <n v="0"/>
    <n v="2"/>
    <n v="2"/>
    <n v="0"/>
    <n v="0"/>
    <n v="0"/>
    <n v="0"/>
    <n v="0"/>
    <n v="0"/>
    <n v="0"/>
    <n v="0"/>
    <n v="0"/>
    <n v="0"/>
    <n v="0"/>
    <n v="0"/>
    <n v="2"/>
    <n v="2"/>
    <n v="0"/>
    <n v="0"/>
    <n v="0"/>
    <n v="0"/>
    <n v="0"/>
    <n v="0"/>
    <n v="0"/>
    <n v="0"/>
    <n v="0"/>
    <m/>
    <m/>
    <s v="Rest of Borough"/>
    <n v="7"/>
    <m/>
    <m/>
    <n v="1"/>
    <n v="1"/>
    <n v="1"/>
    <n v="1"/>
    <m/>
    <m/>
    <m/>
    <m/>
    <m/>
    <m/>
    <m/>
    <m/>
    <m/>
    <m/>
    <m/>
    <m/>
    <m/>
    <m/>
    <n v="4"/>
    <n v="4"/>
  </r>
  <r>
    <n v="5607"/>
    <x v="1"/>
    <s v="2019/1825"/>
    <s v="Rayne House, Sudbrooke Road"/>
    <s v=""/>
    <n v="528038"/>
    <n v="174028"/>
    <s v="Balham"/>
    <m/>
    <m/>
    <n v="2"/>
    <n v="0"/>
    <n v="-2"/>
    <n v="2"/>
    <n v="-1"/>
    <m/>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m/>
    <s v="Nil"/>
    <m/>
    <s v="BF"/>
    <s v="MIX"/>
    <x v="2"/>
    <x v="12"/>
    <n v="0"/>
    <m/>
    <x v="0"/>
    <m/>
    <s v="Open Market"/>
    <s v="M"/>
    <s v=""/>
    <m/>
    <n v="0"/>
    <m/>
    <n v="0"/>
    <m/>
    <n v="0"/>
    <n v="-1"/>
    <n v="0"/>
    <n v="-1"/>
    <n v="0"/>
    <n v="0"/>
    <n v="0"/>
    <n v="0"/>
    <n v="-1"/>
    <n v="0"/>
    <n v="-1"/>
    <n v="0"/>
    <n v="0"/>
    <n v="0"/>
    <n v="0"/>
    <n v="0"/>
    <n v="0"/>
    <n v="0"/>
    <n v="0"/>
    <n v="0"/>
    <n v="0"/>
    <n v="0"/>
    <n v="0"/>
    <n v="0"/>
    <n v="0"/>
    <n v="0"/>
    <n v="0"/>
    <n v="0"/>
    <m/>
    <m/>
    <s v="Rest of Borough"/>
    <n v="15"/>
    <m/>
    <n v="-0.5"/>
    <n v="-0.5"/>
    <n v="-0.5"/>
    <n v="-0.5"/>
    <m/>
    <m/>
    <m/>
    <m/>
    <m/>
    <m/>
    <m/>
    <m/>
    <m/>
    <m/>
    <m/>
    <m/>
    <m/>
    <m/>
    <m/>
    <n v="-2"/>
    <n v="-2"/>
  </r>
  <r>
    <n v="7515"/>
    <x v="1"/>
    <s v="2022/3049"/>
    <s v="76 Norroy Road"/>
    <s v=""/>
    <n v="523770"/>
    <n v="175233"/>
    <s v="Thamesfield"/>
    <m/>
    <m/>
    <n v="4"/>
    <n v="1"/>
    <n v="-3"/>
    <n v="1"/>
    <n v="-3"/>
    <m/>
    <s v="Alterations including erection of single-storey rear/side extension and extension above two-storey back addition in connection with use as a single dwelling."/>
    <s v="PF"/>
    <d v="2022-08-09T00:00:00"/>
    <d v="2022-10-03T00:00:00"/>
    <s v="Y"/>
    <s v="Nil"/>
    <m/>
    <s v="BF"/>
    <s v="CON"/>
    <x v="2"/>
    <x v="8"/>
    <n v="5.8333329999999996E-3"/>
    <m/>
    <x v="0"/>
    <m/>
    <s v="Open Market"/>
    <s v="M"/>
    <s v=""/>
    <m/>
    <n v="0"/>
    <m/>
    <n v="0"/>
    <m/>
    <n v="-2"/>
    <n v="-2"/>
    <n v="0"/>
    <n v="0"/>
    <n v="0"/>
    <n v="1"/>
    <n v="0"/>
    <n v="-2"/>
    <n v="-2"/>
    <n v="0"/>
    <n v="0"/>
    <n v="0"/>
    <n v="0"/>
    <n v="0"/>
    <n v="0"/>
    <n v="0"/>
    <n v="0"/>
    <n v="0"/>
    <n v="0"/>
    <n v="1"/>
    <n v="0"/>
    <n v="0"/>
    <n v="0"/>
    <n v="0"/>
    <n v="0"/>
    <n v="0"/>
    <n v="0"/>
    <n v="0"/>
    <m/>
    <m/>
    <s v="Putney Town Centre"/>
    <n v="15"/>
    <m/>
    <n v="-0.75"/>
    <n v="-0.75"/>
    <n v="-0.75"/>
    <n v="-0.75"/>
    <m/>
    <m/>
    <m/>
    <m/>
    <m/>
    <m/>
    <m/>
    <m/>
    <m/>
    <m/>
    <m/>
    <m/>
    <m/>
    <m/>
    <m/>
    <n v="-3"/>
    <n v="-3"/>
  </r>
  <r>
    <n v="7818"/>
    <x v="1"/>
    <s v="2022/1177"/>
    <s v="27 Wakehurst Road"/>
    <s v=""/>
    <n v="527417"/>
    <n v="174682"/>
    <s v="Northcote"/>
    <m/>
    <m/>
    <n v="1"/>
    <n v="1"/>
    <n v="0"/>
    <n v="1"/>
    <n v="0"/>
    <m/>
    <s v="Part demolition of existing dwelling and erection of replacement two-storey (plus roof and basement) 4-bedroom dwelling house."/>
    <s v="PF"/>
    <d v="2022-03-21T00:00:00"/>
    <d v="2022-05-27T00:00:00"/>
    <s v="Y"/>
    <s v="Nil"/>
    <m/>
    <s v="BF"/>
    <s v="NB"/>
    <x v="2"/>
    <x v="1"/>
    <n v="1.4E-2"/>
    <m/>
    <x v="0"/>
    <m/>
    <s v="Open Market"/>
    <s v="M"/>
    <s v=""/>
    <m/>
    <n v="0"/>
    <m/>
    <n v="0"/>
    <m/>
    <n v="0"/>
    <n v="0"/>
    <n v="0"/>
    <n v="-1"/>
    <n v="1"/>
    <n v="0"/>
    <n v="0"/>
    <n v="0"/>
    <n v="0"/>
    <n v="0"/>
    <n v="0"/>
    <n v="0"/>
    <n v="0"/>
    <n v="0"/>
    <n v="0"/>
    <n v="0"/>
    <n v="0"/>
    <n v="-1"/>
    <n v="1"/>
    <n v="0"/>
    <n v="0"/>
    <n v="0"/>
    <n v="0"/>
    <n v="0"/>
    <n v="0"/>
    <n v="0"/>
    <n v="0"/>
    <n v="0"/>
    <m/>
    <m/>
    <s v="Clapham Junction Spatial Area Strategy"/>
    <n v="7"/>
    <m/>
    <m/>
    <n v="0"/>
    <n v="0"/>
    <n v="0"/>
    <n v="0"/>
    <m/>
    <m/>
    <m/>
    <m/>
    <m/>
    <m/>
    <m/>
    <m/>
    <m/>
    <m/>
    <m/>
    <m/>
    <m/>
    <m/>
    <n v="0"/>
    <n v="0"/>
  </r>
  <r>
    <n v="7680"/>
    <x v="1"/>
    <s v="2022/1330"/>
    <s v="164 St Johns Hill"/>
    <s v=""/>
    <n v="526540"/>
    <n v="175023"/>
    <s v="Wandsworth Town"/>
    <m/>
    <m/>
    <n v="0"/>
    <n v="8"/>
    <n v="8"/>
    <n v="8"/>
    <n v="8"/>
    <m/>
    <s v="Alterations including erection of a three storey side extension and excavation to create basement including formation of front and rear lightwells in connection with the change of use from office (Class E) to 3 x 2 bedroom and 5 x 1 bedroom flats.(Class C3) with associated refuse and cycle storage._x000a__x000a__x000a_To form eight flats. Three duplex apartments (1x 2-bed and 2 x 1-bed) are accommodated within the ground floor and the extended basement. Two further flats are accommodated upon each of the first and second floors (2 x 2-bed and 2 x 1-bed), with a further flat (a 1-bed unit) on the top floor. The proposal includes a basement extension (with lightwells) and a two-storey side extension (replacing an existing external staircase). A number of windows are changed on the rear elevation, chimneys are removed from the roof and conservation roof lights are added to the rear and side roof slopes."/>
    <s v="PF"/>
    <d v="2022-03-31T00:00:00"/>
    <d v="2022-05-25T00:00:00"/>
    <s v="Y"/>
    <s v="Nil"/>
    <m/>
    <s v="BF"/>
    <s v="MIX"/>
    <x v="2"/>
    <x v="6"/>
    <n v="1.1950000000000001E-2"/>
    <m/>
    <x v="0"/>
    <m/>
    <s v="Open Market"/>
    <s v="M"/>
    <s v=""/>
    <m/>
    <n v="0"/>
    <n v="8"/>
    <n v="0"/>
    <m/>
    <n v="0"/>
    <n v="5"/>
    <n v="3"/>
    <n v="0"/>
    <n v="0"/>
    <n v="0"/>
    <n v="0"/>
    <n v="0"/>
    <n v="5"/>
    <n v="3"/>
    <n v="0"/>
    <n v="0"/>
    <n v="0"/>
    <n v="0"/>
    <n v="0"/>
    <n v="0"/>
    <n v="0"/>
    <n v="0"/>
    <n v="0"/>
    <n v="0"/>
    <n v="0"/>
    <n v="0"/>
    <n v="0"/>
    <n v="0"/>
    <n v="0"/>
    <n v="0"/>
    <n v="0"/>
    <n v="0"/>
    <m/>
    <m/>
    <s v="Rest of Borough"/>
    <n v="16"/>
    <m/>
    <m/>
    <m/>
    <n v="8"/>
    <m/>
    <m/>
    <m/>
    <m/>
    <m/>
    <m/>
    <m/>
    <m/>
    <m/>
    <m/>
    <m/>
    <m/>
    <m/>
    <m/>
    <m/>
    <m/>
    <n v="8"/>
    <n v="8"/>
  </r>
  <r>
    <n v="7738"/>
    <x v="1"/>
    <s v="2021/5404"/>
    <s v="The Garden Cottage, Heath Rise"/>
    <s v=""/>
    <n v="524022"/>
    <n v="174394"/>
    <s v="East Putney"/>
    <m/>
    <m/>
    <n v="1"/>
    <n v="1"/>
    <n v="0"/>
    <n v="1"/>
    <n v="0"/>
    <m/>
    <s v="Demolition of existing house and garages and erection of a two-storey 5-bedroom detached house."/>
    <s v="PF"/>
    <d v="2021-11-29T00:00:00"/>
    <d v="2022-04-27T00:00:00"/>
    <s v="Y"/>
    <s v="Nil"/>
    <m/>
    <s v="BF"/>
    <s v="NB"/>
    <x v="2"/>
    <x v="1"/>
    <n v="1.4E-2"/>
    <m/>
    <x v="0"/>
    <m/>
    <s v="Open Market"/>
    <s v="M"/>
    <s v=""/>
    <m/>
    <n v="0"/>
    <m/>
    <n v="0"/>
    <m/>
    <n v="0"/>
    <n v="0"/>
    <n v="-1"/>
    <n v="0"/>
    <n v="0"/>
    <n v="1"/>
    <n v="0"/>
    <n v="0"/>
    <n v="0"/>
    <n v="0"/>
    <n v="0"/>
    <n v="0"/>
    <n v="0"/>
    <n v="0"/>
    <n v="0"/>
    <n v="0"/>
    <n v="-1"/>
    <n v="0"/>
    <n v="0"/>
    <n v="1"/>
    <n v="0"/>
    <n v="0"/>
    <n v="0"/>
    <n v="0"/>
    <n v="0"/>
    <n v="0"/>
    <n v="0"/>
    <n v="0"/>
    <m/>
    <m/>
    <s v="Rest of Borough"/>
    <n v="7"/>
    <m/>
    <m/>
    <n v="0"/>
    <n v="0"/>
    <n v="0"/>
    <n v="0"/>
    <m/>
    <m/>
    <m/>
    <m/>
    <m/>
    <m/>
    <m/>
    <m/>
    <m/>
    <m/>
    <m/>
    <m/>
    <m/>
    <m/>
    <n v="0"/>
    <n v="0"/>
  </r>
  <r>
    <n v="1896"/>
    <x v="1"/>
    <s v="2021/4902"/>
    <s v="Rear of 950-952, Garratt Lane"/>
    <s v=""/>
    <n v="527305"/>
    <n v="171527"/>
    <s v="Tooting Broadway"/>
    <d v="2022-07-01T00:00:00"/>
    <m/>
    <n v="0"/>
    <n v="4"/>
    <n v="4"/>
    <n v="4"/>
    <n v="4"/>
    <m/>
    <s v="Demolition of existing single storey garage and Erection of two-storey detached building (plus basement and roof levels) to provide 2 x 3 bedroom and 2 x 1 bed flats with first floor rear 'built in terraces' and secure bicycle and refuse storage at front."/>
    <s v="PF"/>
    <d v="2021-10-25T00:00:00"/>
    <d v="2022-04-14T00:00:00"/>
    <s v="Y"/>
    <s v="Nil"/>
    <m/>
    <s v="BF"/>
    <s v="NB"/>
    <x v="2"/>
    <x v="1"/>
    <n v="1.00234E-2"/>
    <m/>
    <x v="0"/>
    <m/>
    <s v="Open Market"/>
    <s v="M"/>
    <s v=""/>
    <m/>
    <n v="0"/>
    <m/>
    <n v="0"/>
    <m/>
    <n v="0"/>
    <n v="2"/>
    <n v="0"/>
    <n v="2"/>
    <n v="0"/>
    <n v="0"/>
    <n v="0"/>
    <n v="0"/>
    <n v="2"/>
    <n v="0"/>
    <n v="2"/>
    <n v="0"/>
    <n v="0"/>
    <n v="0"/>
    <n v="0"/>
    <n v="0"/>
    <n v="0"/>
    <n v="0"/>
    <n v="0"/>
    <n v="0"/>
    <n v="0"/>
    <n v="0"/>
    <n v="0"/>
    <n v="0"/>
    <n v="0"/>
    <n v="0"/>
    <n v="0"/>
    <n v="0"/>
    <m/>
    <m/>
    <s v="Tooting"/>
    <n v="7"/>
    <m/>
    <m/>
    <n v="1"/>
    <n v="1"/>
    <n v="1"/>
    <n v="1"/>
    <m/>
    <m/>
    <m/>
    <m/>
    <m/>
    <m/>
    <m/>
    <m/>
    <m/>
    <m/>
    <m/>
    <m/>
    <m/>
    <m/>
    <n v="4"/>
    <n v="4"/>
  </r>
  <r>
    <n v="5802"/>
    <x v="1"/>
    <s v="2020/0680"/>
    <s v="Units 2-8 &amp; 11-14 Port House, Square Rigger Row (Plantation Wharf)"/>
    <s v=""/>
    <n v="526505"/>
    <n v="175773"/>
    <s v="St Mary's"/>
    <m/>
    <m/>
    <n v="0"/>
    <n v="11"/>
    <n v="11"/>
    <n v="11"/>
    <n v="11"/>
    <s v="Y"/>
    <s v="Determination as to whether prior approval is required for change of use of office at ground to first floor from (Class B1) to residential (Class C3) to provide 7 x 1-bedroom flats and 4 x 2-bedroom flats."/>
    <s v="PAG"/>
    <d v="2020-02-26T00:00:00"/>
    <d v="2020-04-17T00:00:00"/>
    <m/>
    <s v="Nil"/>
    <m/>
    <s v="BF"/>
    <s v="COU"/>
    <x v="6"/>
    <x v="0"/>
    <n v="1.2999999999999999E-2"/>
    <m/>
    <x v="0"/>
    <m/>
    <s v="Open Market"/>
    <s v="M"/>
    <s v="10.15"/>
    <m/>
    <n v="0"/>
    <m/>
    <n v="0"/>
    <m/>
    <n v="0"/>
    <n v="7"/>
    <n v="4"/>
    <n v="0"/>
    <n v="0"/>
    <n v="0"/>
    <n v="0"/>
    <n v="0"/>
    <n v="7"/>
    <n v="4"/>
    <n v="0"/>
    <n v="0"/>
    <n v="0"/>
    <n v="0"/>
    <n v="0"/>
    <n v="0"/>
    <n v="0"/>
    <n v="0"/>
    <n v="0"/>
    <n v="0"/>
    <n v="0"/>
    <n v="0"/>
    <n v="0"/>
    <n v="0"/>
    <n v="0"/>
    <n v="0"/>
    <n v="0"/>
    <n v="0"/>
    <m/>
    <m/>
    <s v="Wandsworth riverside"/>
    <n v="17"/>
    <m/>
    <m/>
    <m/>
    <m/>
    <m/>
    <m/>
    <n v="2.75"/>
    <n v="2.75"/>
    <n v="2.75"/>
    <n v="2.75"/>
    <m/>
    <m/>
    <m/>
    <m/>
    <m/>
    <m/>
    <m/>
    <m/>
    <m/>
    <m/>
    <n v="0"/>
    <n v="11"/>
  </r>
  <r>
    <n v="3758"/>
    <x v="1"/>
    <s v="2022/2245"/>
    <s v="60 Hazlewell Road"/>
    <s v=""/>
    <n v="523099"/>
    <n v="174875"/>
    <s v="West Putney"/>
    <m/>
    <m/>
    <n v="5"/>
    <n v="1"/>
    <n v="-4"/>
    <n v="1"/>
    <n v="-4"/>
    <m/>
    <s v="Conversion from 5x1-bed flats to a single-dwelling house with reinstatement of front entrance door and fanlight."/>
    <s v="PF"/>
    <d v="2022-06-21T00:00:00"/>
    <d v="2022-08-15T00:00:00"/>
    <s v="Y"/>
    <s v="Nil"/>
    <m/>
    <s v="BF"/>
    <s v="CON"/>
    <x v="2"/>
    <x v="8"/>
    <n v="0.01"/>
    <m/>
    <x v="0"/>
    <m/>
    <s v="Open Market"/>
    <s v="M"/>
    <s v=""/>
    <m/>
    <n v="0"/>
    <m/>
    <n v="0"/>
    <m/>
    <n v="0"/>
    <n v="-5"/>
    <n v="0"/>
    <n v="0"/>
    <n v="1"/>
    <n v="0"/>
    <n v="0"/>
    <n v="0"/>
    <n v="-5"/>
    <n v="0"/>
    <n v="0"/>
    <n v="0"/>
    <n v="0"/>
    <n v="0"/>
    <n v="0"/>
    <n v="0"/>
    <n v="0"/>
    <n v="0"/>
    <n v="1"/>
    <n v="0"/>
    <n v="0"/>
    <n v="0"/>
    <n v="0"/>
    <n v="0"/>
    <n v="0"/>
    <n v="0"/>
    <n v="0"/>
    <n v="0"/>
    <m/>
    <m/>
    <s v="Rest of Borough"/>
    <n v="15"/>
    <m/>
    <n v="-1"/>
    <n v="-1"/>
    <n v="-1"/>
    <n v="-1"/>
    <m/>
    <m/>
    <m/>
    <m/>
    <m/>
    <m/>
    <m/>
    <m/>
    <m/>
    <m/>
    <m/>
    <m/>
    <m/>
    <m/>
    <m/>
    <n v="-4"/>
    <n v="-4"/>
  </r>
  <r>
    <n v="7725"/>
    <x v="1"/>
    <s v="2022/5109"/>
    <s v="First &amp; Second Floors, 33 Clarendon Drive"/>
    <s v=""/>
    <n v="523495"/>
    <n v="175369"/>
    <s v="Thamesfield"/>
    <m/>
    <m/>
    <n v="5"/>
    <n v="1"/>
    <n v="-4"/>
    <n v="1"/>
    <n v="-4"/>
    <m/>
    <s v="Alterations including erection of dormer to front roofslope and single storey rear and side extension in connection with change of use from house of multiple occupation (Class C4) to dwellinghouse (Class C3)."/>
    <s v="PF"/>
    <d v="2022-12-16T00:00:00"/>
    <d v="2023-03-07T00:00:00"/>
    <s v="Y"/>
    <s v="Nil"/>
    <m/>
    <s v="BF"/>
    <s v="CON"/>
    <x v="2"/>
    <x v="9"/>
    <n v="3.3000000000000002E-2"/>
    <m/>
    <x v="0"/>
    <m/>
    <s v="Open Market"/>
    <s v="M"/>
    <s v=""/>
    <m/>
    <n v="0"/>
    <m/>
    <n v="0"/>
    <m/>
    <n v="-5"/>
    <n v="0"/>
    <n v="0"/>
    <n v="1"/>
    <n v="0"/>
    <n v="0"/>
    <n v="0"/>
    <n v="-5"/>
    <n v="0"/>
    <n v="0"/>
    <n v="0"/>
    <n v="0"/>
    <n v="0"/>
    <n v="0"/>
    <n v="0"/>
    <n v="0"/>
    <n v="0"/>
    <n v="1"/>
    <n v="0"/>
    <n v="0"/>
    <n v="0"/>
    <n v="0"/>
    <n v="0"/>
    <n v="0"/>
    <n v="0"/>
    <n v="0"/>
    <n v="0"/>
    <n v="0"/>
    <m/>
    <m/>
    <s v="Rest of Borough"/>
    <n v="15"/>
    <m/>
    <n v="-1"/>
    <n v="-1"/>
    <n v="-1"/>
    <n v="-1"/>
    <m/>
    <m/>
    <m/>
    <m/>
    <m/>
    <m/>
    <m/>
    <m/>
    <m/>
    <m/>
    <m/>
    <m/>
    <m/>
    <m/>
    <m/>
    <n v="-4"/>
    <n v="-4"/>
  </r>
  <r>
    <n v="6198"/>
    <x v="1"/>
    <s v="2021/5704"/>
    <s v="34 Roehampton Gate"/>
    <s v=""/>
    <n v="521202"/>
    <n v="174373"/>
    <s v="Roehampton"/>
    <m/>
    <m/>
    <n v="1"/>
    <n v="1"/>
    <n v="0"/>
    <n v="1"/>
    <n v="0"/>
    <m/>
    <s v="Demolition of existing dwelling and erection of a two-storey house with additional accommodation within the roofspace and at basement level including front and rear lightwells."/>
    <s v="PF"/>
    <d v="2022-02-16T00:00:00"/>
    <d v="2022-04-13T00:00:00"/>
    <s v="Y"/>
    <s v="Nil"/>
    <m/>
    <s v="BF"/>
    <s v="NB"/>
    <x v="2"/>
    <x v="1"/>
    <n v="1.2E-2"/>
    <m/>
    <x v="0"/>
    <m/>
    <s v="Open Market"/>
    <s v="M"/>
    <s v=""/>
    <m/>
    <n v="0"/>
    <m/>
    <n v="0"/>
    <m/>
    <n v="0"/>
    <n v="0"/>
    <n v="0"/>
    <n v="0"/>
    <n v="-1"/>
    <n v="1"/>
    <n v="0"/>
    <n v="0"/>
    <n v="0"/>
    <n v="0"/>
    <n v="0"/>
    <n v="0"/>
    <n v="0"/>
    <n v="0"/>
    <n v="0"/>
    <n v="0"/>
    <n v="0"/>
    <n v="0"/>
    <n v="-1"/>
    <n v="1"/>
    <n v="0"/>
    <n v="0"/>
    <n v="0"/>
    <n v="0"/>
    <n v="0"/>
    <n v="0"/>
    <n v="0"/>
    <n v="0"/>
    <m/>
    <m/>
    <s v="Rest of Borough"/>
    <n v="7"/>
    <m/>
    <m/>
    <n v="0"/>
    <n v="0"/>
    <n v="0"/>
    <n v="0"/>
    <m/>
    <m/>
    <m/>
    <m/>
    <m/>
    <m/>
    <m/>
    <m/>
    <m/>
    <m/>
    <m/>
    <m/>
    <m/>
    <m/>
    <n v="0"/>
    <n v="0"/>
  </r>
  <r>
    <n v="7754"/>
    <x v="1"/>
    <s v="2022/4549"/>
    <s v="31 Clarendon Drive"/>
    <s v=""/>
    <n v="523504"/>
    <n v="175361"/>
    <s v="Thamesfield"/>
    <m/>
    <m/>
    <n v="7"/>
    <n v="1"/>
    <n v="-6"/>
    <n v="1"/>
    <n v="-6"/>
    <m/>
    <s v="Deconversion of seven bedsits into a single dwelling house."/>
    <s v="PF"/>
    <d v="2022-11-29T00:00:00"/>
    <d v="2023-02-08T00:00:00"/>
    <s v="Y"/>
    <s v="Nil"/>
    <m/>
    <s v="BF"/>
    <s v="CON"/>
    <x v="2"/>
    <x v="8"/>
    <n v="7.1333330000000004E-3"/>
    <m/>
    <x v="0"/>
    <m/>
    <s v="Open Market"/>
    <s v="M"/>
    <s v=""/>
    <m/>
    <n v="0"/>
    <m/>
    <n v="0"/>
    <m/>
    <n v="-7"/>
    <n v="0"/>
    <n v="0"/>
    <n v="0"/>
    <n v="0"/>
    <n v="1"/>
    <n v="0"/>
    <n v="-7"/>
    <n v="0"/>
    <n v="0"/>
    <n v="0"/>
    <n v="0"/>
    <n v="0"/>
    <n v="0"/>
    <n v="0"/>
    <n v="0"/>
    <n v="0"/>
    <n v="0"/>
    <n v="0"/>
    <n v="1"/>
    <n v="0"/>
    <n v="0"/>
    <n v="0"/>
    <n v="0"/>
    <n v="0"/>
    <n v="0"/>
    <n v="0"/>
    <n v="0"/>
    <m/>
    <m/>
    <s v="Rest of Borough"/>
    <n v="15"/>
    <m/>
    <n v="-1.5"/>
    <n v="-1.5"/>
    <n v="-1.5"/>
    <n v="-1.5"/>
    <m/>
    <m/>
    <m/>
    <m/>
    <m/>
    <m/>
    <m/>
    <m/>
    <m/>
    <m/>
    <m/>
    <m/>
    <m/>
    <m/>
    <m/>
    <n v="-6"/>
    <n v="-6"/>
  </r>
  <r>
    <n v="7025"/>
    <x v="1"/>
    <s v="2018/4477"/>
    <s v="1-3 Byrne Road"/>
    <s v="1 Byrne Road"/>
    <n v="528764"/>
    <n v="173063"/>
    <s v="South Balham"/>
    <m/>
    <m/>
    <n v="0"/>
    <n v="1"/>
    <n v="1"/>
    <n v="2"/>
    <n v="2"/>
    <m/>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m/>
    <s v="Nil"/>
    <m/>
    <s v="BF"/>
    <s v="EXT"/>
    <x v="2"/>
    <x v="2"/>
    <n v="7.0000000000000001E-3"/>
    <m/>
    <x v="0"/>
    <m/>
    <s v="Open Market"/>
    <s v="M"/>
    <s v=""/>
    <m/>
    <n v="0"/>
    <m/>
    <n v="0"/>
    <m/>
    <n v="0"/>
    <n v="0"/>
    <n v="1"/>
    <n v="0"/>
    <n v="0"/>
    <n v="0"/>
    <n v="0"/>
    <n v="0"/>
    <n v="0"/>
    <n v="1"/>
    <n v="0"/>
    <n v="0"/>
    <n v="0"/>
    <n v="0"/>
    <n v="0"/>
    <n v="0"/>
    <n v="0"/>
    <n v="0"/>
    <n v="0"/>
    <n v="0"/>
    <n v="0"/>
    <n v="0"/>
    <n v="0"/>
    <n v="0"/>
    <n v="0"/>
    <n v="0"/>
    <n v="0"/>
    <n v="0"/>
    <m/>
    <m/>
    <s v="Rest of Borough"/>
    <n v="15"/>
    <m/>
    <n v="0.25"/>
    <n v="0.25"/>
    <n v="0.25"/>
    <n v="0.25"/>
    <m/>
    <m/>
    <m/>
    <m/>
    <m/>
    <m/>
    <m/>
    <m/>
    <m/>
    <m/>
    <m/>
    <m/>
    <m/>
    <m/>
    <m/>
    <n v="1"/>
    <n v="1"/>
  </r>
  <r>
    <n v="2530"/>
    <x v="1"/>
    <s v="2019/2924"/>
    <s v="193-197 Upper Tooting Road"/>
    <s v="193"/>
    <n v="527684"/>
    <n v="171814"/>
    <s v="Tooting Bec"/>
    <m/>
    <m/>
    <n v="1"/>
    <n v="1"/>
    <n v="0"/>
    <n v="6"/>
    <n v="3"/>
    <m/>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m/>
    <s v="Nil"/>
    <m/>
    <s v="BF"/>
    <s v="MIX"/>
    <x v="2"/>
    <x v="2"/>
    <n v="8.0000000000000002E-3"/>
    <m/>
    <x v="0"/>
    <m/>
    <s v="Open Market"/>
    <s v="M"/>
    <s v=""/>
    <m/>
    <n v="0"/>
    <m/>
    <n v="0"/>
    <m/>
    <n v="0"/>
    <n v="1"/>
    <n v="-1"/>
    <n v="0"/>
    <n v="0"/>
    <n v="0"/>
    <n v="0"/>
    <n v="0"/>
    <n v="1"/>
    <n v="-1"/>
    <n v="0"/>
    <n v="0"/>
    <n v="0"/>
    <n v="0"/>
    <n v="0"/>
    <n v="0"/>
    <n v="0"/>
    <n v="0"/>
    <n v="0"/>
    <n v="0"/>
    <n v="0"/>
    <n v="0"/>
    <n v="0"/>
    <n v="0"/>
    <n v="0"/>
    <n v="0"/>
    <n v="0"/>
    <n v="0"/>
    <s v="Tooting"/>
    <m/>
    <s v="Tooting"/>
    <n v="15"/>
    <m/>
    <n v="0"/>
    <n v="0"/>
    <n v="0"/>
    <n v="0"/>
    <m/>
    <m/>
    <m/>
    <m/>
    <m/>
    <m/>
    <m/>
    <m/>
    <m/>
    <m/>
    <m/>
    <m/>
    <m/>
    <m/>
    <m/>
    <n v="0"/>
    <n v="0"/>
  </r>
  <r>
    <n v="2530"/>
    <x v="1"/>
    <s v="2019/2924"/>
    <s v="193-197 Upper Tooting Road"/>
    <s v="195"/>
    <n v="527684"/>
    <n v="171814"/>
    <s v="Tooting Bec"/>
    <m/>
    <m/>
    <n v="1"/>
    <n v="2"/>
    <n v="1"/>
    <n v="6"/>
    <n v="3"/>
    <m/>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m/>
    <s v="Nil"/>
    <m/>
    <s v="BF"/>
    <s v="MIX"/>
    <x v="2"/>
    <x v="2"/>
    <n v="8.0000000000000002E-3"/>
    <m/>
    <x v="0"/>
    <m/>
    <s v="Open Market"/>
    <s v="M"/>
    <s v=""/>
    <m/>
    <n v="0"/>
    <m/>
    <n v="0"/>
    <m/>
    <n v="0"/>
    <n v="0"/>
    <n v="1"/>
    <n v="0"/>
    <n v="0"/>
    <n v="0"/>
    <n v="0"/>
    <n v="0"/>
    <n v="0"/>
    <n v="1"/>
    <n v="0"/>
    <n v="0"/>
    <n v="0"/>
    <n v="0"/>
    <n v="0"/>
    <n v="0"/>
    <n v="0"/>
    <n v="0"/>
    <n v="0"/>
    <n v="0"/>
    <n v="0"/>
    <n v="0"/>
    <n v="0"/>
    <n v="0"/>
    <n v="0"/>
    <n v="0"/>
    <n v="0"/>
    <n v="0"/>
    <s v="Tooting"/>
    <m/>
    <s v="Tooting"/>
    <n v="15"/>
    <m/>
    <n v="0.25"/>
    <n v="0.25"/>
    <n v="0.25"/>
    <n v="0.25"/>
    <m/>
    <m/>
    <m/>
    <m/>
    <m/>
    <m/>
    <m/>
    <m/>
    <m/>
    <m/>
    <m/>
    <m/>
    <m/>
    <m/>
    <m/>
    <n v="1"/>
    <n v="1"/>
  </r>
  <r>
    <n v="2530"/>
    <x v="1"/>
    <s v="2019/2924"/>
    <s v="193-197 Upper Tooting Road"/>
    <s v="197"/>
    <n v="527684"/>
    <n v="171814"/>
    <s v="Tooting Bec"/>
    <m/>
    <m/>
    <n v="1"/>
    <n v="3"/>
    <n v="2"/>
    <n v="6"/>
    <n v="3"/>
    <m/>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m/>
    <s v="Nil"/>
    <m/>
    <s v="BF"/>
    <s v="MIX"/>
    <x v="2"/>
    <x v="2"/>
    <n v="7.0000000000000001E-3"/>
    <m/>
    <x v="0"/>
    <m/>
    <s v="Open Market"/>
    <s v="M"/>
    <s v=""/>
    <m/>
    <n v="0"/>
    <m/>
    <n v="0"/>
    <m/>
    <n v="0"/>
    <n v="0"/>
    <n v="2"/>
    <n v="0"/>
    <n v="0"/>
    <n v="0"/>
    <n v="0"/>
    <n v="0"/>
    <n v="0"/>
    <n v="2"/>
    <n v="0"/>
    <n v="0"/>
    <n v="0"/>
    <n v="0"/>
    <n v="0"/>
    <n v="0"/>
    <n v="0"/>
    <n v="0"/>
    <n v="0"/>
    <n v="0"/>
    <n v="0"/>
    <n v="0"/>
    <n v="0"/>
    <n v="0"/>
    <n v="0"/>
    <n v="0"/>
    <n v="0"/>
    <n v="0"/>
    <s v="Tooting"/>
    <m/>
    <s v="Tooting"/>
    <n v="15"/>
    <m/>
    <n v="0.5"/>
    <n v="0.5"/>
    <n v="0.5"/>
    <n v="0.5"/>
    <m/>
    <m/>
    <m/>
    <m/>
    <m/>
    <m/>
    <m/>
    <m/>
    <m/>
    <m/>
    <m/>
    <m/>
    <m/>
    <m/>
    <m/>
    <n v="2"/>
    <n v="2"/>
  </r>
  <r>
    <n v="7722"/>
    <x v="1"/>
    <s v="2021/4549"/>
    <s v="Atlantic House, 51-57 Upper Richmond Road"/>
    <s v="2-storey 2-bed"/>
    <n v="524629"/>
    <n v="174727"/>
    <s v="East Putney"/>
    <m/>
    <m/>
    <n v="0"/>
    <n v="2"/>
    <n v="2"/>
    <n v="6"/>
    <n v="6"/>
    <m/>
    <s v="Demolition of existing two storey warehouse and erection of 1 x 3-bedroom two storey (plus basement), 3 x 4-bedroom three-storey (plus basement) and 2 x 2 bedroom two-storey (plus basement) houses."/>
    <s v="PF"/>
    <d v="2021-10-04T00:00:00"/>
    <d v="2022-04-27T00:00:00"/>
    <s v="Y"/>
    <s v="Nil"/>
    <m/>
    <s v="BF"/>
    <s v="NB"/>
    <x v="2"/>
    <x v="1"/>
    <n v="5.3499999999999997E-3"/>
    <m/>
    <x v="0"/>
    <m/>
    <s v="Open Market"/>
    <s v="M"/>
    <s v=""/>
    <m/>
    <n v="0"/>
    <m/>
    <n v="0"/>
    <m/>
    <n v="0"/>
    <n v="0"/>
    <n v="2"/>
    <n v="0"/>
    <n v="0"/>
    <n v="0"/>
    <n v="0"/>
    <n v="0"/>
    <n v="0"/>
    <n v="0"/>
    <n v="0"/>
    <n v="0"/>
    <n v="0"/>
    <n v="0"/>
    <n v="0"/>
    <n v="0"/>
    <n v="2"/>
    <n v="0"/>
    <n v="0"/>
    <n v="0"/>
    <n v="0"/>
    <n v="0"/>
    <n v="0"/>
    <n v="0"/>
    <n v="0"/>
    <n v="0"/>
    <n v="0"/>
    <n v="0"/>
    <m/>
    <m/>
    <s v="Rest of Borough"/>
    <n v="10"/>
    <m/>
    <m/>
    <m/>
    <m/>
    <n v="0.66666666666666663"/>
    <n v="0.66666666666666663"/>
    <n v="0.66666666666666663"/>
    <m/>
    <m/>
    <m/>
    <m/>
    <m/>
    <m/>
    <m/>
    <m/>
    <m/>
    <m/>
    <m/>
    <m/>
    <m/>
    <n v="1.3333333333333333"/>
    <n v="2"/>
  </r>
  <r>
    <n v="7722"/>
    <x v="1"/>
    <s v="2021/4549"/>
    <s v="Atlantic House, 51-57 Upper Richmond Road"/>
    <s v="2-storey 3-bed"/>
    <n v="524629"/>
    <n v="174727"/>
    <s v="East Putney"/>
    <m/>
    <m/>
    <n v="0"/>
    <n v="1"/>
    <n v="1"/>
    <n v="6"/>
    <n v="6"/>
    <m/>
    <s v="Demolition of existing two storey warehouse and erection of 1 x 3-bedroom two storey (plus basement), 3 x 4-bedroom three-storey (plus basement) and 2 x 2 bedroom two-storey (plus basement) houses."/>
    <s v="PF"/>
    <d v="2021-10-04T00:00:00"/>
    <d v="2022-04-27T00:00:00"/>
    <s v="Y"/>
    <s v="Nil"/>
    <m/>
    <s v="BF"/>
    <s v="NB"/>
    <x v="2"/>
    <x v="1"/>
    <n v="8.5500000000000003E-3"/>
    <m/>
    <x v="0"/>
    <m/>
    <s v="Open Market"/>
    <s v="M"/>
    <s v=""/>
    <m/>
    <n v="0"/>
    <m/>
    <n v="0"/>
    <m/>
    <n v="0"/>
    <n v="0"/>
    <n v="0"/>
    <n v="1"/>
    <n v="0"/>
    <n v="0"/>
    <n v="0"/>
    <n v="0"/>
    <n v="0"/>
    <n v="0"/>
    <n v="0"/>
    <n v="0"/>
    <n v="0"/>
    <n v="0"/>
    <n v="0"/>
    <n v="0"/>
    <n v="0"/>
    <n v="1"/>
    <n v="0"/>
    <n v="0"/>
    <n v="0"/>
    <n v="0"/>
    <n v="0"/>
    <n v="0"/>
    <n v="0"/>
    <n v="0"/>
    <n v="0"/>
    <n v="0"/>
    <m/>
    <m/>
    <s v="Rest of Borough"/>
    <n v="10"/>
    <m/>
    <m/>
    <m/>
    <m/>
    <n v="0.33333333333333331"/>
    <n v="0.33333333333333331"/>
    <n v="0.33333333333333331"/>
    <m/>
    <m/>
    <m/>
    <m/>
    <m/>
    <m/>
    <m/>
    <m/>
    <m/>
    <m/>
    <m/>
    <m/>
    <m/>
    <n v="0.66666666666666663"/>
    <n v="1"/>
  </r>
  <r>
    <n v="7025"/>
    <x v="1"/>
    <s v="2018/4477"/>
    <s v="1-3 Byrne Road"/>
    <s v="3 Byrne Road"/>
    <n v="528764"/>
    <n v="173063"/>
    <s v="South Balham"/>
    <m/>
    <m/>
    <n v="0"/>
    <n v="1"/>
    <n v="1"/>
    <n v="2"/>
    <n v="2"/>
    <m/>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m/>
    <s v="Nil"/>
    <m/>
    <s v="BF"/>
    <s v="EXT"/>
    <x v="2"/>
    <x v="2"/>
    <n v="8.0000000000000002E-3"/>
    <m/>
    <x v="0"/>
    <m/>
    <s v="Open Market"/>
    <s v="M"/>
    <s v=""/>
    <m/>
    <n v="0"/>
    <m/>
    <n v="0"/>
    <m/>
    <n v="0"/>
    <n v="0"/>
    <n v="1"/>
    <n v="0"/>
    <n v="0"/>
    <n v="0"/>
    <n v="0"/>
    <n v="0"/>
    <n v="0"/>
    <n v="1"/>
    <n v="0"/>
    <n v="0"/>
    <n v="0"/>
    <n v="0"/>
    <n v="0"/>
    <n v="0"/>
    <n v="0"/>
    <n v="0"/>
    <n v="0"/>
    <n v="0"/>
    <n v="0"/>
    <n v="0"/>
    <n v="0"/>
    <n v="0"/>
    <n v="0"/>
    <n v="0"/>
    <n v="0"/>
    <n v="0"/>
    <m/>
    <m/>
    <s v="Rest of Borough"/>
    <n v="15"/>
    <m/>
    <n v="0.25"/>
    <n v="0.25"/>
    <n v="0.25"/>
    <n v="0.25"/>
    <m/>
    <m/>
    <m/>
    <m/>
    <m/>
    <m/>
    <m/>
    <m/>
    <m/>
    <m/>
    <m/>
    <m/>
    <m/>
    <m/>
    <m/>
    <n v="1"/>
    <n v="1"/>
  </r>
  <r>
    <n v="7722"/>
    <x v="1"/>
    <s v="2021/4549"/>
    <s v="Atlantic House, 51-57 Upper Richmond Road"/>
    <s v="3-storey 4-bed"/>
    <n v="524629"/>
    <n v="174727"/>
    <s v="East Putney"/>
    <m/>
    <m/>
    <n v="0"/>
    <n v="3"/>
    <n v="3"/>
    <n v="6"/>
    <n v="6"/>
    <m/>
    <s v="Demolition of existing two storey warehouse and erection of 1 x 3-bedroom two storey (plus basement), 3 x 4-bedroom three-storey (plus basement) and 2 x 2 bedroom two-storey (plus basement) houses."/>
    <s v="PF"/>
    <d v="2021-10-04T00:00:00"/>
    <d v="2022-04-27T00:00:00"/>
    <s v="Y"/>
    <s v="Nil"/>
    <m/>
    <s v="BF"/>
    <s v="NB"/>
    <x v="2"/>
    <x v="1"/>
    <n v="1.78E-2"/>
    <m/>
    <x v="0"/>
    <m/>
    <s v="Open Market"/>
    <s v="M"/>
    <s v=""/>
    <m/>
    <n v="0"/>
    <m/>
    <n v="0"/>
    <m/>
    <n v="0"/>
    <n v="0"/>
    <n v="0"/>
    <n v="0"/>
    <n v="3"/>
    <n v="0"/>
    <n v="0"/>
    <n v="0"/>
    <n v="0"/>
    <n v="0"/>
    <n v="0"/>
    <n v="0"/>
    <n v="0"/>
    <n v="0"/>
    <n v="0"/>
    <n v="0"/>
    <n v="0"/>
    <n v="0"/>
    <n v="3"/>
    <n v="0"/>
    <n v="0"/>
    <n v="0"/>
    <n v="0"/>
    <n v="0"/>
    <n v="0"/>
    <n v="0"/>
    <n v="0"/>
    <n v="0"/>
    <m/>
    <m/>
    <s v="Rest of Borough"/>
    <n v="10"/>
    <m/>
    <m/>
    <m/>
    <m/>
    <n v="1"/>
    <n v="1"/>
    <n v="1"/>
    <m/>
    <m/>
    <m/>
    <m/>
    <m/>
    <m/>
    <m/>
    <m/>
    <m/>
    <m/>
    <m/>
    <m/>
    <m/>
    <n v="2"/>
    <n v="3"/>
  </r>
  <r>
    <n v="7828"/>
    <x v="1"/>
    <s v="2022/3398"/>
    <s v="6 Clarendon Drive"/>
    <s v="7 x houses"/>
    <n v="523617"/>
    <n v="175404"/>
    <s v="Thamesfield"/>
    <m/>
    <m/>
    <n v="0"/>
    <n v="7"/>
    <n v="7"/>
    <n v="7"/>
    <n v="7"/>
    <m/>
    <s v="Redevelopment and erection of seven two-storey (plus basement and roof level) houses  (1 x 5-bed and 6 x4 bed) with associated landscaping including removal of two trees and proposed replacement trees;  two on-street parking spaces, on site cycle parking and refuse storage."/>
    <s v="PF"/>
    <d v="2022-08-12T00:00:00"/>
    <d v="2022-12-20T00:00:00"/>
    <s v="Y"/>
    <s v="Nil"/>
    <m/>
    <s v="BF"/>
    <s v="NB"/>
    <x v="2"/>
    <x v="1"/>
    <n v="4.9000000000000002E-2"/>
    <m/>
    <x v="0"/>
    <m/>
    <s v="Open Market"/>
    <s v="M"/>
    <s v=""/>
    <m/>
    <n v="0"/>
    <n v="6"/>
    <n v="0"/>
    <n v="1"/>
    <n v="0"/>
    <n v="0"/>
    <n v="0"/>
    <n v="0"/>
    <n v="6"/>
    <n v="1"/>
    <n v="0"/>
    <n v="0"/>
    <n v="0"/>
    <n v="0"/>
    <n v="0"/>
    <n v="0"/>
    <n v="0"/>
    <n v="0"/>
    <n v="0"/>
    <n v="0"/>
    <n v="0"/>
    <n v="0"/>
    <n v="6"/>
    <n v="1"/>
    <n v="0"/>
    <n v="0"/>
    <n v="0"/>
    <n v="0"/>
    <n v="0"/>
    <n v="0"/>
    <n v="0"/>
    <n v="0"/>
    <m/>
    <m/>
    <s v="Rest of Borough"/>
    <n v="10"/>
    <m/>
    <m/>
    <m/>
    <m/>
    <n v="2.3333333333333335"/>
    <n v="2.3333333333333335"/>
    <n v="2.3333333333333335"/>
    <m/>
    <m/>
    <m/>
    <m/>
    <m/>
    <m/>
    <m/>
    <m/>
    <m/>
    <m/>
    <m/>
    <m/>
    <m/>
    <n v="4.666666666666667"/>
    <n v="7"/>
  </r>
  <r>
    <n v="5966"/>
    <x v="1"/>
    <s v="2015/7662"/>
    <s v="Unit 3 &amp; 20 Ransomes Dock Business Centre, 35-37 Parkgate Road (Ransomes Dock Business Centre)"/>
    <s v="Apartment 3"/>
    <n v="527304"/>
    <n v="177160"/>
    <s v="Battersea Park"/>
    <d v="2017-03-31T00:00:00"/>
    <m/>
    <n v="0"/>
    <n v="1"/>
    <n v="1"/>
    <n v="2"/>
    <n v="2"/>
    <m/>
    <s v="Determination as to whether prior approval is required for change of use from office (Class B1a) to two residential units (Class C3)."/>
    <s v="PANR"/>
    <d v="2015-12-13T00:00:00"/>
    <d v="2016-03-14T00:00:00"/>
    <m/>
    <s v="Nil"/>
    <m/>
    <s v="BF"/>
    <s v="COU"/>
    <x v="2"/>
    <x v="6"/>
    <n v="2E-3"/>
    <m/>
    <x v="0"/>
    <m/>
    <s v="Open Market"/>
    <s v="M"/>
    <s v=""/>
    <m/>
    <n v="0"/>
    <m/>
    <n v="0"/>
    <m/>
    <n v="1"/>
    <n v="0"/>
    <n v="0"/>
    <n v="0"/>
    <n v="0"/>
    <n v="0"/>
    <n v="0"/>
    <n v="1"/>
    <n v="0"/>
    <n v="0"/>
    <n v="0"/>
    <n v="0"/>
    <n v="0"/>
    <n v="0"/>
    <n v="0"/>
    <n v="0"/>
    <n v="0"/>
    <n v="0"/>
    <n v="0"/>
    <n v="0"/>
    <n v="0"/>
    <n v="0"/>
    <n v="0"/>
    <n v="0"/>
    <n v="0"/>
    <n v="0"/>
    <n v="0"/>
    <n v="0"/>
    <m/>
    <m/>
    <s v="Wandsworth riverside"/>
    <n v="15"/>
    <m/>
    <n v="0.25"/>
    <n v="0.25"/>
    <n v="0.25"/>
    <n v="0.25"/>
    <m/>
    <m/>
    <m/>
    <m/>
    <m/>
    <m/>
    <m/>
    <m/>
    <m/>
    <m/>
    <m/>
    <m/>
    <m/>
    <m/>
    <m/>
    <n v="1"/>
    <n v="1"/>
  </r>
  <r>
    <n v="3511"/>
    <x v="1"/>
    <s v="2014/2810"/>
    <s v="New Covent Garden Market, Nine Elms Lane (Combined Main Market, Entrance site and Thessaly College site)"/>
    <s v="Entrance Site - E6"/>
    <n v="529369"/>
    <n v="177317"/>
    <s v="Nine Elms"/>
    <d v="2017-03-31T00:00:00"/>
    <m/>
    <n v="0"/>
    <n v="96"/>
    <n v="9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0.57299999999999995"/>
    <m/>
    <x v="0"/>
    <m/>
    <s v="Intermediate"/>
    <s v="IU"/>
    <s v="2.1.27"/>
    <m/>
    <n v="0"/>
    <n v="86"/>
    <n v="0"/>
    <n v="10"/>
    <n v="12"/>
    <n v="19"/>
    <n v="57"/>
    <n v="8"/>
    <n v="0"/>
    <n v="0"/>
    <n v="0"/>
    <n v="12"/>
    <n v="19"/>
    <n v="57"/>
    <n v="8"/>
    <n v="0"/>
    <n v="0"/>
    <n v="0"/>
    <n v="0"/>
    <n v="0"/>
    <n v="0"/>
    <n v="0"/>
    <n v="0"/>
    <n v="0"/>
    <n v="0"/>
    <n v="0"/>
    <n v="0"/>
    <n v="0"/>
    <n v="0"/>
    <n v="0"/>
    <n v="0"/>
    <n v="0"/>
    <m/>
    <s v="Y"/>
    <s v="Nine Elms Vauxhall Opportunity Area"/>
    <n v="8"/>
    <m/>
    <m/>
    <m/>
    <m/>
    <m/>
    <m/>
    <m/>
    <m/>
    <m/>
    <n v="96"/>
    <m/>
    <m/>
    <m/>
    <m/>
    <m/>
    <m/>
    <m/>
    <m/>
    <m/>
    <m/>
    <n v="0"/>
    <n v="96"/>
  </r>
  <r>
    <n v="3511"/>
    <x v="1"/>
    <s v="2014/2810"/>
    <s v="New Covent Garden Market, Nine Elms Lane (Combined Main Market, Entrance site and Thessaly College site)"/>
    <s v="Entrance Site - E7"/>
    <n v="529369"/>
    <n v="177317"/>
    <s v="Nine Elms"/>
    <d v="2017-03-31T00:00:00"/>
    <m/>
    <n v="0"/>
    <n v="72"/>
    <n v="72"/>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0.435"/>
    <m/>
    <x v="0"/>
    <m/>
    <s v="Social/Affordable Rent"/>
    <s v="AA"/>
    <s v="2.1.27"/>
    <m/>
    <n v="0"/>
    <n v="65"/>
    <n v="0"/>
    <n v="7"/>
    <n v="0"/>
    <n v="11"/>
    <n v="32"/>
    <n v="22"/>
    <n v="7"/>
    <n v="0"/>
    <n v="0"/>
    <n v="0"/>
    <n v="11"/>
    <n v="32"/>
    <n v="22"/>
    <n v="7"/>
    <n v="0"/>
    <n v="0"/>
    <n v="0"/>
    <n v="0"/>
    <n v="0"/>
    <n v="0"/>
    <n v="0"/>
    <n v="0"/>
    <n v="0"/>
    <n v="0"/>
    <n v="0"/>
    <n v="0"/>
    <n v="0"/>
    <n v="0"/>
    <n v="0"/>
    <n v="0"/>
    <m/>
    <s v="Y"/>
    <s v="Nine Elms Vauxhall Opportunity Area"/>
    <n v="8"/>
    <m/>
    <m/>
    <m/>
    <m/>
    <m/>
    <m/>
    <m/>
    <m/>
    <m/>
    <m/>
    <n v="72"/>
    <m/>
    <m/>
    <m/>
    <m/>
    <m/>
    <m/>
    <m/>
    <m/>
    <m/>
    <n v="0"/>
    <n v="72"/>
  </r>
  <r>
    <n v="3511"/>
    <x v="1"/>
    <s v="2014/2810"/>
    <s v="New Covent Garden Market, Nine Elms Lane (Combined Main Market, Entrance site and Thessaly College site)"/>
    <s v="Entrance Site - E8"/>
    <n v="529369"/>
    <n v="177317"/>
    <s v="Nine Elms"/>
    <d v="2017-03-31T00:00:00"/>
    <m/>
    <n v="0"/>
    <n v="86"/>
    <n v="8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0.52400000000000002"/>
    <m/>
    <x v="0"/>
    <m/>
    <s v="Open Market"/>
    <s v="M"/>
    <s v="2.1.27"/>
    <m/>
    <n v="0"/>
    <n v="77"/>
    <n v="0"/>
    <n v="9"/>
    <n v="0"/>
    <n v="17"/>
    <n v="30"/>
    <n v="39"/>
    <n v="0"/>
    <n v="0"/>
    <n v="0"/>
    <n v="0"/>
    <n v="17"/>
    <n v="30"/>
    <n v="39"/>
    <n v="0"/>
    <n v="0"/>
    <n v="0"/>
    <n v="0"/>
    <n v="0"/>
    <n v="0"/>
    <n v="0"/>
    <n v="0"/>
    <n v="0"/>
    <n v="0"/>
    <n v="0"/>
    <n v="0"/>
    <n v="0"/>
    <n v="0"/>
    <n v="0"/>
    <n v="0"/>
    <n v="0"/>
    <m/>
    <s v="Y"/>
    <s v="Nine Elms Vauxhall Opportunity Area"/>
    <n v="8"/>
    <m/>
    <m/>
    <m/>
    <m/>
    <m/>
    <m/>
    <m/>
    <m/>
    <m/>
    <n v="86"/>
    <m/>
    <m/>
    <m/>
    <m/>
    <m/>
    <m/>
    <m/>
    <m/>
    <m/>
    <m/>
    <n v="0"/>
    <n v="86"/>
  </r>
  <r>
    <n v="3511"/>
    <x v="1"/>
    <s v="2014/2810"/>
    <s v="New Covent Garden Market, Nine Elms Lane (Combined Main Market, Entrance site and Thessaly College site)"/>
    <s v="Entrance Site - Existing"/>
    <n v="529369"/>
    <n v="177317"/>
    <s v="Nine Elms"/>
    <d v="2017-03-31T00:00:00"/>
    <m/>
    <n v="5"/>
    <n v="0"/>
    <n v="-5"/>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0"/>
    <m/>
    <x v="0"/>
    <m/>
    <s v="Open Market"/>
    <s v="M"/>
    <s v="2.1.27"/>
    <m/>
    <n v="0"/>
    <m/>
    <n v="0"/>
    <m/>
    <n v="0"/>
    <n v="0"/>
    <n v="0"/>
    <n v="0"/>
    <n v="0"/>
    <n v="0"/>
    <n v="-5"/>
    <n v="0"/>
    <n v="0"/>
    <n v="0"/>
    <n v="0"/>
    <n v="0"/>
    <n v="0"/>
    <n v="-5"/>
    <n v="0"/>
    <n v="0"/>
    <n v="0"/>
    <n v="0"/>
    <n v="0"/>
    <n v="0"/>
    <n v="0"/>
    <n v="0"/>
    <n v="0"/>
    <n v="0"/>
    <n v="0"/>
    <n v="0"/>
    <n v="0"/>
    <n v="0"/>
    <m/>
    <s v="Y"/>
    <s v="Nine Elms Vauxhall Opportunity Area"/>
    <n v="8"/>
    <m/>
    <m/>
    <m/>
    <m/>
    <m/>
    <m/>
    <m/>
    <m/>
    <n v="-5"/>
    <m/>
    <m/>
    <m/>
    <m/>
    <m/>
    <m/>
    <m/>
    <m/>
    <m/>
    <m/>
    <m/>
    <n v="0"/>
    <n v="-5"/>
  </r>
  <r>
    <n v="3511"/>
    <x v="2"/>
    <s v="2019/2995"/>
    <s v="New Covent Garden Market, Nine Elms Lane (Combined Main Market, Entrance site and Thessaly College site)"/>
    <s v="N1"/>
    <n v="529369"/>
    <n v="177317"/>
    <s v="Nine Elms"/>
    <d v="2019-12-01T00:00:00"/>
    <m/>
    <n v="0"/>
    <n v="179"/>
    <n v="179"/>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0"/>
    <x v="0"/>
    <n v="0.17899999999999999"/>
    <d v="2020-05-01T00:00:00"/>
    <x v="0"/>
    <m/>
    <s v="Open Market"/>
    <s v="M"/>
    <s v="2.1.27"/>
    <m/>
    <n v="179"/>
    <m/>
    <n v="0"/>
    <m/>
    <n v="68"/>
    <n v="34"/>
    <n v="71"/>
    <n v="2"/>
    <n v="4"/>
    <n v="0"/>
    <n v="0"/>
    <n v="68"/>
    <n v="34"/>
    <n v="71"/>
    <n v="2"/>
    <n v="4"/>
    <n v="0"/>
    <n v="0"/>
    <n v="0"/>
    <n v="0"/>
    <n v="0"/>
    <n v="0"/>
    <n v="0"/>
    <n v="0"/>
    <n v="0"/>
    <n v="0"/>
    <n v="0"/>
    <n v="0"/>
    <n v="0"/>
    <n v="0"/>
    <n v="0"/>
    <n v="0"/>
    <m/>
    <s v="Y"/>
    <s v="Nine Elms Vauxhall Opportunity Area"/>
    <n v="5"/>
    <m/>
    <m/>
    <m/>
    <m/>
    <n v="179"/>
    <m/>
    <m/>
    <m/>
    <m/>
    <m/>
    <m/>
    <m/>
    <m/>
    <m/>
    <m/>
    <m/>
    <m/>
    <m/>
    <m/>
    <m/>
    <n v="179"/>
    <n v="179"/>
  </r>
  <r>
    <n v="3511"/>
    <x v="2"/>
    <s v="2019/4187"/>
    <s v="New Covent Garden Market, Nine Elms Lane (Combined Main Market, Entrance site and Thessaly College site)"/>
    <s v="N10"/>
    <n v="529369"/>
    <n v="177317"/>
    <s v="Nine Elms"/>
    <d v="2019-07-26T00:00:00"/>
    <m/>
    <n v="0"/>
    <n v="316"/>
    <n v="316"/>
    <n v="542"/>
    <n v="542"/>
    <s v="Y"/>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m/>
    <s v="Nil"/>
    <m/>
    <s v="BF"/>
    <s v="NB"/>
    <x v="0"/>
    <x v="0"/>
    <n v="1.764"/>
    <d v="2019-07-26T00:00:00"/>
    <x v="0"/>
    <m/>
    <s v="Open Market"/>
    <s v="M"/>
    <s v="2.1.27"/>
    <m/>
    <n v="288"/>
    <m/>
    <n v="28"/>
    <m/>
    <n v="0"/>
    <n v="98"/>
    <n v="134"/>
    <n v="74"/>
    <n v="10"/>
    <n v="0"/>
    <n v="0"/>
    <n v="0"/>
    <n v="98"/>
    <n v="134"/>
    <n v="74"/>
    <n v="10"/>
    <n v="0"/>
    <n v="0"/>
    <n v="0"/>
    <n v="0"/>
    <n v="0"/>
    <n v="0"/>
    <n v="0"/>
    <n v="0"/>
    <n v="0"/>
    <n v="0"/>
    <n v="0"/>
    <n v="0"/>
    <n v="0"/>
    <n v="0"/>
    <n v="0"/>
    <n v="0"/>
    <m/>
    <s v="Y"/>
    <s v="Nine Elms Vauxhall Opportunity Area"/>
    <n v="5"/>
    <m/>
    <m/>
    <m/>
    <n v="316"/>
    <m/>
    <m/>
    <m/>
    <m/>
    <m/>
    <m/>
    <m/>
    <m/>
    <m/>
    <m/>
    <m/>
    <m/>
    <m/>
    <m/>
    <m/>
    <m/>
    <n v="316"/>
    <n v="316"/>
  </r>
  <r>
    <n v="7101"/>
    <x v="1"/>
    <s v="2019/0024"/>
    <s v="Site of York Road, Winstanley Road (Part of Estate, York Gardens and Winstanley Estate)"/>
    <s v="Block 1A"/>
    <n v="526922"/>
    <n v="175807"/>
    <s v="Falconbrook"/>
    <d v="2022-02-17T00:00:00"/>
    <m/>
    <n v="0"/>
    <n v="150"/>
    <n v="150"/>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0"/>
    <x v="0"/>
    <n v="0.23"/>
    <m/>
    <x v="0"/>
    <m/>
    <s v="Open Market"/>
    <s v="M"/>
    <s v=""/>
    <m/>
    <n v="0"/>
    <n v="135"/>
    <n v="0"/>
    <n v="15"/>
    <n v="0"/>
    <n v="60"/>
    <n v="61"/>
    <n v="29"/>
    <n v="0"/>
    <n v="0"/>
    <n v="0"/>
    <n v="0"/>
    <n v="60"/>
    <n v="61"/>
    <n v="29"/>
    <n v="0"/>
    <n v="0"/>
    <n v="0"/>
    <n v="0"/>
    <n v="0"/>
    <n v="0"/>
    <n v="0"/>
    <n v="0"/>
    <n v="0"/>
    <n v="0"/>
    <n v="0"/>
    <n v="0"/>
    <n v="0"/>
    <n v="0"/>
    <n v="0"/>
    <n v="0"/>
    <n v="0"/>
    <m/>
    <m/>
    <s v="Clapham Junction Spatial Area Strategy"/>
    <n v="8"/>
    <m/>
    <m/>
    <m/>
    <m/>
    <m/>
    <m/>
    <n v="50"/>
    <n v="50"/>
    <n v="50"/>
    <m/>
    <m/>
    <m/>
    <m/>
    <m/>
    <m/>
    <m/>
    <m/>
    <m/>
    <m/>
    <m/>
    <n v="0"/>
    <n v="150"/>
  </r>
  <r>
    <n v="7101"/>
    <x v="1"/>
    <s v="2019/0024"/>
    <s v="Site of York Road, Winstanley Road (Part of Estate, York Gardens and Winstanley Estate)"/>
    <s v="Block 1C"/>
    <n v="526922"/>
    <n v="175807"/>
    <s v="Falconbrook"/>
    <d v="2022-02-17T00:00:00"/>
    <m/>
    <n v="0"/>
    <n v="89"/>
    <n v="8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0"/>
    <x v="0"/>
    <n v="0.13700000000000001"/>
    <m/>
    <x v="0"/>
    <m/>
    <s v="Open Market"/>
    <s v="M"/>
    <s v=""/>
    <m/>
    <n v="0"/>
    <n v="80"/>
    <n v="0"/>
    <n v="9"/>
    <n v="7"/>
    <n v="30"/>
    <n v="34"/>
    <n v="18"/>
    <n v="0"/>
    <n v="0"/>
    <n v="0"/>
    <n v="7"/>
    <n v="30"/>
    <n v="34"/>
    <n v="18"/>
    <n v="0"/>
    <n v="0"/>
    <n v="0"/>
    <n v="0"/>
    <n v="0"/>
    <n v="0"/>
    <n v="0"/>
    <n v="0"/>
    <n v="0"/>
    <n v="0"/>
    <n v="0"/>
    <n v="0"/>
    <n v="0"/>
    <n v="0"/>
    <n v="0"/>
    <n v="0"/>
    <n v="0"/>
    <m/>
    <m/>
    <s v="Clapham Junction Spatial Area Strategy"/>
    <n v="8"/>
    <m/>
    <m/>
    <m/>
    <m/>
    <m/>
    <m/>
    <n v="29.666666666666668"/>
    <n v="29.666666666666668"/>
    <n v="29.666666666666668"/>
    <m/>
    <m/>
    <m/>
    <m/>
    <m/>
    <m/>
    <m/>
    <m/>
    <m/>
    <m/>
    <m/>
    <n v="0"/>
    <n v="89"/>
  </r>
  <r>
    <n v="7101"/>
    <x v="1"/>
    <s v="2019/0024"/>
    <s v="Site of York Road, Winstanley Road (Part of Estate, York Gardens and Winstanley Estate)"/>
    <s v="Block 6"/>
    <n v="526922"/>
    <n v="175807"/>
    <s v="Falconbrook"/>
    <d v="2022-02-17T00:00:00"/>
    <m/>
    <n v="0"/>
    <n v="64"/>
    <n v="6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0"/>
    <x v="0"/>
    <n v="9.8000000000000004E-2"/>
    <m/>
    <x v="0"/>
    <m/>
    <s v="Open Market"/>
    <s v="M"/>
    <s v=""/>
    <m/>
    <n v="0"/>
    <n v="58"/>
    <n v="0"/>
    <n v="6"/>
    <n v="0"/>
    <n v="18"/>
    <n v="24"/>
    <n v="22"/>
    <n v="0"/>
    <n v="0"/>
    <n v="0"/>
    <n v="0"/>
    <n v="18"/>
    <n v="24"/>
    <n v="22"/>
    <n v="0"/>
    <n v="0"/>
    <n v="0"/>
    <n v="0"/>
    <n v="0"/>
    <n v="0"/>
    <n v="0"/>
    <n v="0"/>
    <n v="0"/>
    <n v="0"/>
    <n v="0"/>
    <n v="0"/>
    <n v="0"/>
    <n v="0"/>
    <n v="0"/>
    <n v="0"/>
    <n v="0"/>
    <m/>
    <m/>
    <s v="Clapham Junction Spatial Area Strategy"/>
    <n v="8"/>
    <m/>
    <m/>
    <m/>
    <m/>
    <m/>
    <m/>
    <n v="21.333333333333332"/>
    <n v="21.333333333333332"/>
    <n v="21.333333333333332"/>
    <m/>
    <m/>
    <m/>
    <m/>
    <m/>
    <m/>
    <m/>
    <m/>
    <m/>
    <m/>
    <m/>
    <n v="0"/>
    <n v="64"/>
  </r>
  <r>
    <n v="7101"/>
    <x v="1"/>
    <s v="2019/0024"/>
    <s v="Site of York Road, Winstanley Road (Part of Estate, York Gardens and Winstanley Estate)"/>
    <s v="Block 6"/>
    <n v="526922"/>
    <n v="175807"/>
    <s v="Falconbrook"/>
    <d v="2022-02-17T00:00:00"/>
    <m/>
    <n v="0"/>
    <n v="54"/>
    <n v="5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0"/>
    <x v="0"/>
    <n v="8.3000000000000004E-2"/>
    <m/>
    <x v="0"/>
    <m/>
    <s v="Social/Affordable Rent"/>
    <s v="AS"/>
    <s v=""/>
    <m/>
    <n v="0"/>
    <n v="48"/>
    <n v="0"/>
    <n v="6"/>
    <n v="0"/>
    <n v="19"/>
    <n v="15"/>
    <n v="17"/>
    <n v="3"/>
    <n v="0"/>
    <n v="0"/>
    <n v="0"/>
    <n v="19"/>
    <n v="15"/>
    <n v="17"/>
    <n v="3"/>
    <n v="0"/>
    <n v="0"/>
    <n v="0"/>
    <n v="0"/>
    <n v="0"/>
    <n v="0"/>
    <n v="0"/>
    <n v="0"/>
    <n v="0"/>
    <n v="0"/>
    <n v="0"/>
    <n v="0"/>
    <n v="0"/>
    <n v="0"/>
    <n v="0"/>
    <n v="0"/>
    <m/>
    <m/>
    <s v="Clapham Junction Spatial Area Strategy"/>
    <n v="8"/>
    <m/>
    <m/>
    <m/>
    <m/>
    <m/>
    <m/>
    <n v="18"/>
    <n v="18"/>
    <n v="18"/>
    <m/>
    <m/>
    <m/>
    <m/>
    <m/>
    <m/>
    <m/>
    <m/>
    <m/>
    <m/>
    <m/>
    <n v="0"/>
    <n v="54"/>
  </r>
  <r>
    <n v="7101"/>
    <x v="1"/>
    <s v="2019/0024"/>
    <s v="Site of York Road, Winstanley Road (Part of Estate, York Gardens and Winstanley Estate)"/>
    <s v="Block 6"/>
    <n v="526922"/>
    <n v="175807"/>
    <s v="Falconbrook"/>
    <d v="2022-02-17T00:00:00"/>
    <m/>
    <n v="0"/>
    <n v="9"/>
    <n v="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0"/>
    <x v="0"/>
    <n v="1.4E-2"/>
    <m/>
    <x v="0"/>
    <m/>
    <s v="Intermediate"/>
    <s v="ISE"/>
    <s v=""/>
    <m/>
    <n v="0"/>
    <n v="8"/>
    <n v="0"/>
    <n v="1"/>
    <n v="0"/>
    <n v="2"/>
    <n v="3"/>
    <n v="3"/>
    <n v="1"/>
    <n v="0"/>
    <n v="0"/>
    <n v="0"/>
    <n v="2"/>
    <n v="3"/>
    <n v="3"/>
    <n v="1"/>
    <n v="0"/>
    <n v="0"/>
    <n v="0"/>
    <n v="0"/>
    <n v="0"/>
    <n v="0"/>
    <n v="0"/>
    <n v="0"/>
    <n v="0"/>
    <n v="0"/>
    <n v="0"/>
    <n v="0"/>
    <n v="0"/>
    <n v="0"/>
    <n v="0"/>
    <n v="0"/>
    <m/>
    <m/>
    <s v="Clapham Junction Spatial Area Strategy"/>
    <n v="8"/>
    <m/>
    <m/>
    <m/>
    <m/>
    <m/>
    <m/>
    <n v="3"/>
    <n v="3"/>
    <n v="3"/>
    <m/>
    <m/>
    <m/>
    <m/>
    <m/>
    <m/>
    <m/>
    <m/>
    <m/>
    <m/>
    <m/>
    <n v="0"/>
    <n v="9"/>
  </r>
  <r>
    <n v="464"/>
    <x v="1"/>
    <s v="2015/6813"/>
    <s v="41-59 Battersea Park Road (Booker and BMW Sites)"/>
    <s v="Block A"/>
    <n v="529321"/>
    <n v="177258"/>
    <s v="Nine Elms"/>
    <d v="2022-02-14T00:00:00"/>
    <m/>
    <n v="0"/>
    <n v="42"/>
    <n v="42"/>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0"/>
    <x v="0"/>
    <n v="3.9E-2"/>
    <m/>
    <x v="0"/>
    <m/>
    <s v="Open Market"/>
    <s v="M"/>
    <s v="2.1.13"/>
    <n v="17320035"/>
    <n v="0"/>
    <n v="38"/>
    <n v="0"/>
    <n v="4"/>
    <n v="0"/>
    <n v="10"/>
    <n v="21"/>
    <n v="10"/>
    <n v="1"/>
    <n v="0"/>
    <n v="0"/>
    <n v="0"/>
    <n v="10"/>
    <n v="21"/>
    <n v="10"/>
    <n v="1"/>
    <n v="0"/>
    <n v="0"/>
    <n v="0"/>
    <n v="0"/>
    <n v="0"/>
    <n v="0"/>
    <n v="0"/>
    <n v="0"/>
    <n v="0"/>
    <n v="0"/>
    <n v="0"/>
    <n v="0"/>
    <n v="0"/>
    <n v="0"/>
    <n v="0"/>
    <n v="0"/>
    <m/>
    <s v="Y"/>
    <s v="Nine Elms Vauxhall Opportunity Area"/>
    <n v="10"/>
    <m/>
    <m/>
    <m/>
    <m/>
    <n v="14"/>
    <n v="14"/>
    <n v="14"/>
    <m/>
    <m/>
    <m/>
    <m/>
    <m/>
    <m/>
    <m/>
    <m/>
    <m/>
    <m/>
    <m/>
    <m/>
    <m/>
    <n v="28"/>
    <n v="42"/>
  </r>
  <r>
    <n v="518"/>
    <x v="1"/>
    <s v="2020/0877"/>
    <s v="6-10 Mitcham Road"/>
    <s v="Block A"/>
    <n v="527485"/>
    <n v="171424"/>
    <s v="Tooting Broadway"/>
    <m/>
    <m/>
    <n v="4"/>
    <n v="5"/>
    <n v="1"/>
    <n v="9"/>
    <n v="5"/>
    <m/>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m/>
    <s v="Nil"/>
    <m/>
    <s v="BF"/>
    <s v="MIX"/>
    <x v="2"/>
    <x v="7"/>
    <n v="1.2E-2"/>
    <m/>
    <x v="0"/>
    <m/>
    <s v="Open Market"/>
    <s v="M"/>
    <s v=""/>
    <m/>
    <n v="0"/>
    <m/>
    <n v="0"/>
    <m/>
    <n v="0"/>
    <n v="2"/>
    <n v="-2"/>
    <n v="1"/>
    <n v="0"/>
    <n v="0"/>
    <n v="0"/>
    <n v="0"/>
    <n v="2"/>
    <n v="-2"/>
    <n v="1"/>
    <n v="0"/>
    <n v="0"/>
    <n v="0"/>
    <n v="0"/>
    <n v="0"/>
    <n v="0"/>
    <n v="0"/>
    <n v="0"/>
    <n v="0"/>
    <n v="0"/>
    <n v="0"/>
    <n v="0"/>
    <n v="0"/>
    <n v="0"/>
    <n v="0"/>
    <n v="0"/>
    <n v="0"/>
    <s v="Tooting"/>
    <m/>
    <s v="Tooting"/>
    <n v="15"/>
    <m/>
    <n v="0.25"/>
    <n v="0.25"/>
    <n v="0.25"/>
    <n v="0.25"/>
    <m/>
    <m/>
    <m/>
    <m/>
    <m/>
    <m/>
    <m/>
    <m/>
    <m/>
    <m/>
    <m/>
    <m/>
    <m/>
    <m/>
    <m/>
    <n v="1"/>
    <n v="1"/>
  </r>
  <r>
    <n v="518"/>
    <x v="1"/>
    <s v="2020/0877"/>
    <s v="6-10 Mitcham Road"/>
    <s v="Block B"/>
    <n v="527485"/>
    <n v="171424"/>
    <s v="Tooting Broadway"/>
    <m/>
    <m/>
    <n v="0"/>
    <n v="4"/>
    <n v="4"/>
    <n v="9"/>
    <n v="5"/>
    <m/>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m/>
    <s v="Nil"/>
    <m/>
    <s v="BF"/>
    <s v="MIX"/>
    <x v="2"/>
    <x v="2"/>
    <n v="8.9999999999999993E-3"/>
    <m/>
    <x v="0"/>
    <m/>
    <s v="Open Market"/>
    <s v="M"/>
    <s v=""/>
    <m/>
    <n v="0"/>
    <m/>
    <n v="0"/>
    <m/>
    <n v="0"/>
    <n v="0"/>
    <n v="4"/>
    <n v="0"/>
    <n v="0"/>
    <n v="0"/>
    <n v="0"/>
    <n v="0"/>
    <n v="0"/>
    <n v="4"/>
    <n v="0"/>
    <n v="0"/>
    <n v="0"/>
    <n v="0"/>
    <n v="0"/>
    <n v="0"/>
    <n v="0"/>
    <n v="0"/>
    <n v="0"/>
    <n v="0"/>
    <n v="0"/>
    <n v="0"/>
    <n v="0"/>
    <n v="0"/>
    <n v="0"/>
    <n v="0"/>
    <n v="0"/>
    <n v="0"/>
    <s v="Tooting"/>
    <m/>
    <s v="Tooting"/>
    <n v="15"/>
    <m/>
    <n v="1"/>
    <n v="1"/>
    <n v="1"/>
    <n v="1"/>
    <m/>
    <m/>
    <m/>
    <m/>
    <m/>
    <m/>
    <m/>
    <m/>
    <m/>
    <m/>
    <m/>
    <m/>
    <m/>
    <m/>
    <m/>
    <n v="4"/>
    <n v="4"/>
  </r>
  <r>
    <n v="464"/>
    <x v="1"/>
    <s v="2015/6813"/>
    <s v="41-59 Battersea Park Road (Booker and BMW Sites)"/>
    <s v="Block B"/>
    <n v="529321"/>
    <n v="177258"/>
    <s v="Nine Elms"/>
    <d v="2022-02-14T00:00:00"/>
    <m/>
    <n v="0"/>
    <n v="111"/>
    <n v="111"/>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0"/>
    <x v="0"/>
    <n v="0.09"/>
    <m/>
    <x v="0"/>
    <m/>
    <s v="Open Market"/>
    <s v="M"/>
    <s v="2.1.13"/>
    <n v="17320035"/>
    <n v="0"/>
    <n v="100"/>
    <n v="0"/>
    <n v="11"/>
    <n v="1"/>
    <n v="40"/>
    <n v="60"/>
    <n v="10"/>
    <n v="0"/>
    <n v="0"/>
    <n v="0"/>
    <n v="1"/>
    <n v="40"/>
    <n v="60"/>
    <n v="10"/>
    <n v="0"/>
    <n v="0"/>
    <n v="0"/>
    <n v="0"/>
    <n v="0"/>
    <n v="0"/>
    <n v="0"/>
    <n v="0"/>
    <n v="0"/>
    <n v="0"/>
    <n v="0"/>
    <n v="0"/>
    <n v="0"/>
    <n v="0"/>
    <n v="0"/>
    <n v="0"/>
    <n v="0"/>
    <m/>
    <s v="Y"/>
    <s v="Nine Elms Vauxhall Opportunity Area"/>
    <n v="10"/>
    <m/>
    <m/>
    <m/>
    <m/>
    <n v="37"/>
    <n v="37"/>
    <n v="37"/>
    <m/>
    <m/>
    <m/>
    <m/>
    <m/>
    <m/>
    <m/>
    <m/>
    <m/>
    <m/>
    <m/>
    <m/>
    <m/>
    <n v="74"/>
    <n v="111"/>
  </r>
  <r>
    <n v="464"/>
    <x v="1"/>
    <s v="2015/6813"/>
    <s v="41-59 Battersea Park Road (Booker and BMW Sites)"/>
    <s v="Block C"/>
    <n v="529321"/>
    <n v="177258"/>
    <s v="Nine Elms"/>
    <d v="2022-02-14T00:00:00"/>
    <m/>
    <n v="0"/>
    <n v="52"/>
    <n v="52"/>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0"/>
    <x v="0"/>
    <n v="4.3999999999999997E-2"/>
    <m/>
    <x v="0"/>
    <m/>
    <s v="Open Market"/>
    <s v="M"/>
    <s v="2.1.13"/>
    <n v="17320035"/>
    <n v="0"/>
    <n v="47"/>
    <n v="0"/>
    <n v="5"/>
    <n v="0"/>
    <n v="9"/>
    <n v="42"/>
    <n v="1"/>
    <n v="0"/>
    <n v="0"/>
    <n v="0"/>
    <n v="0"/>
    <n v="9"/>
    <n v="42"/>
    <n v="1"/>
    <n v="0"/>
    <n v="0"/>
    <n v="0"/>
    <n v="0"/>
    <n v="0"/>
    <n v="0"/>
    <n v="0"/>
    <n v="0"/>
    <n v="0"/>
    <n v="0"/>
    <n v="0"/>
    <n v="0"/>
    <n v="0"/>
    <n v="0"/>
    <n v="0"/>
    <n v="0"/>
    <n v="0"/>
    <m/>
    <s v="Y"/>
    <s v="Nine Elms Vauxhall Opportunity Area"/>
    <n v="10"/>
    <m/>
    <m/>
    <m/>
    <m/>
    <n v="17.333333333333332"/>
    <n v="17.333333333333332"/>
    <n v="17.333333333333332"/>
    <m/>
    <m/>
    <m/>
    <m/>
    <m/>
    <m/>
    <m/>
    <m/>
    <m/>
    <m/>
    <m/>
    <m/>
    <m/>
    <n v="34.666666666666664"/>
    <n v="52"/>
  </r>
  <r>
    <n v="464"/>
    <x v="1"/>
    <s v="2015/6813"/>
    <s v="41-59 Battersea Park Road (Booker and BMW Sites)"/>
    <s v="Block C"/>
    <n v="529321"/>
    <n v="177258"/>
    <s v="Nine Elms"/>
    <d v="2022-02-14T00:00:00"/>
    <m/>
    <n v="0"/>
    <n v="10"/>
    <n v="10"/>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0"/>
    <x v="0"/>
    <n v="5.0000000000000001E-3"/>
    <m/>
    <x v="0"/>
    <m/>
    <s v="Intermediate"/>
    <s v="ISO"/>
    <s v="2.1.13"/>
    <n v="17320035"/>
    <n v="0"/>
    <n v="9"/>
    <n v="0"/>
    <n v="1"/>
    <n v="0"/>
    <n v="10"/>
    <n v="0"/>
    <n v="0"/>
    <n v="0"/>
    <n v="0"/>
    <n v="0"/>
    <n v="0"/>
    <n v="10"/>
    <n v="0"/>
    <n v="0"/>
    <n v="0"/>
    <n v="0"/>
    <n v="0"/>
    <n v="0"/>
    <n v="0"/>
    <n v="0"/>
    <n v="0"/>
    <n v="0"/>
    <n v="0"/>
    <n v="0"/>
    <n v="0"/>
    <n v="0"/>
    <n v="0"/>
    <n v="0"/>
    <n v="0"/>
    <n v="0"/>
    <n v="0"/>
    <m/>
    <s v="Y"/>
    <s v="Nine Elms Vauxhall Opportunity Area"/>
    <n v="10"/>
    <m/>
    <m/>
    <m/>
    <m/>
    <n v="3.3333333333333335"/>
    <n v="3.3333333333333335"/>
    <n v="3.3333333333333335"/>
    <m/>
    <m/>
    <m/>
    <m/>
    <m/>
    <m/>
    <m/>
    <m/>
    <m/>
    <m/>
    <m/>
    <m/>
    <m/>
    <n v="6.666666666666667"/>
    <n v="10"/>
  </r>
  <r>
    <n v="464"/>
    <x v="1"/>
    <s v="2015/6813"/>
    <s v="41-59 Battersea Park Road (Booker and BMW Sites)"/>
    <s v="Block D"/>
    <n v="529321"/>
    <n v="177258"/>
    <s v="Nine Elms"/>
    <d v="2022-02-14T00:00:00"/>
    <m/>
    <n v="0"/>
    <n v="20"/>
    <n v="20"/>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0"/>
    <x v="0"/>
    <n v="1.7999999999999999E-2"/>
    <m/>
    <x v="0"/>
    <m/>
    <s v="Social/Affordable Rent"/>
    <s v="AA"/>
    <s v="2.1.13"/>
    <n v="17320035"/>
    <n v="0"/>
    <n v="18"/>
    <n v="0"/>
    <n v="2"/>
    <n v="1"/>
    <n v="9"/>
    <n v="6"/>
    <n v="4"/>
    <n v="0"/>
    <n v="0"/>
    <n v="0"/>
    <n v="1"/>
    <n v="9"/>
    <n v="6"/>
    <n v="4"/>
    <n v="0"/>
    <n v="0"/>
    <n v="0"/>
    <n v="0"/>
    <n v="0"/>
    <n v="0"/>
    <n v="0"/>
    <n v="0"/>
    <n v="0"/>
    <n v="0"/>
    <n v="0"/>
    <n v="0"/>
    <n v="0"/>
    <n v="0"/>
    <n v="0"/>
    <n v="0"/>
    <n v="0"/>
    <m/>
    <s v="Y"/>
    <s v="Nine Elms Vauxhall Opportunity Area"/>
    <n v="10"/>
    <m/>
    <m/>
    <m/>
    <m/>
    <n v="6.666666666666667"/>
    <n v="6.666666666666667"/>
    <n v="6.666666666666667"/>
    <m/>
    <m/>
    <m/>
    <m/>
    <m/>
    <m/>
    <m/>
    <m/>
    <m/>
    <m/>
    <m/>
    <m/>
    <m/>
    <n v="13.333333333333334"/>
    <n v="20"/>
  </r>
  <r>
    <n v="464"/>
    <x v="1"/>
    <s v="2015/6813"/>
    <s v="41-59 Battersea Park Road (Booker and BMW Sites)"/>
    <s v="Block E"/>
    <n v="529321"/>
    <n v="177258"/>
    <s v="Nine Elms"/>
    <d v="2022-02-14T00:00:00"/>
    <m/>
    <n v="0"/>
    <n v="47"/>
    <n v="47"/>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0"/>
    <x v="0"/>
    <n v="3.9E-2"/>
    <m/>
    <x v="0"/>
    <m/>
    <s v="Intermediate"/>
    <s v="ISO"/>
    <s v="2.1.13"/>
    <n v="17320035"/>
    <n v="0"/>
    <n v="42"/>
    <n v="0"/>
    <n v="5"/>
    <n v="0"/>
    <n v="12"/>
    <n v="35"/>
    <n v="0"/>
    <n v="0"/>
    <n v="0"/>
    <n v="0"/>
    <n v="0"/>
    <n v="12"/>
    <n v="35"/>
    <n v="0"/>
    <n v="0"/>
    <n v="0"/>
    <n v="0"/>
    <n v="0"/>
    <n v="0"/>
    <n v="0"/>
    <n v="0"/>
    <n v="0"/>
    <n v="0"/>
    <n v="0"/>
    <n v="0"/>
    <n v="0"/>
    <n v="0"/>
    <n v="0"/>
    <n v="0"/>
    <n v="0"/>
    <n v="0"/>
    <m/>
    <s v="Y"/>
    <s v="Nine Elms Vauxhall Opportunity Area"/>
    <n v="10"/>
    <m/>
    <m/>
    <m/>
    <m/>
    <n v="15.666666666666666"/>
    <n v="15.666666666666666"/>
    <n v="15.666666666666666"/>
    <m/>
    <m/>
    <m/>
    <m/>
    <m/>
    <m/>
    <m/>
    <m/>
    <m/>
    <m/>
    <m/>
    <m/>
    <m/>
    <n v="31.333333333333332"/>
    <n v="47"/>
  </r>
  <r>
    <n v="464"/>
    <x v="1"/>
    <s v="2015/6813"/>
    <s v="41-59 Battersea Park Road (Booker and BMW Sites)"/>
    <s v="Block E"/>
    <n v="529321"/>
    <n v="177258"/>
    <s v="Nine Elms"/>
    <d v="2022-02-14T00:00:00"/>
    <m/>
    <n v="0"/>
    <n v="25"/>
    <n v="25"/>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x v="0"/>
    <x v="0"/>
    <n v="2.1000000000000001E-2"/>
    <m/>
    <x v="0"/>
    <m/>
    <s v="Open Market"/>
    <s v="M"/>
    <s v="2.1.13"/>
    <n v="17320035"/>
    <n v="0"/>
    <n v="22"/>
    <n v="0"/>
    <n v="3"/>
    <n v="0"/>
    <n v="0"/>
    <n v="25"/>
    <n v="0"/>
    <n v="0"/>
    <n v="0"/>
    <n v="0"/>
    <n v="0"/>
    <n v="0"/>
    <n v="25"/>
    <n v="0"/>
    <n v="0"/>
    <n v="0"/>
    <n v="0"/>
    <n v="0"/>
    <n v="0"/>
    <n v="0"/>
    <n v="0"/>
    <n v="0"/>
    <n v="0"/>
    <n v="0"/>
    <n v="0"/>
    <n v="0"/>
    <n v="0"/>
    <n v="0"/>
    <n v="0"/>
    <n v="0"/>
    <n v="0"/>
    <m/>
    <s v="Y"/>
    <s v="Nine Elms Vauxhall Opportunity Area"/>
    <n v="10"/>
    <m/>
    <m/>
    <m/>
    <m/>
    <n v="8.3333333333333339"/>
    <n v="8.3333333333333339"/>
    <n v="8.3333333333333339"/>
    <m/>
    <m/>
    <m/>
    <m/>
    <m/>
    <m/>
    <m/>
    <m/>
    <m/>
    <m/>
    <m/>
    <m/>
    <m/>
    <n v="16.666666666666668"/>
    <n v="25"/>
  </r>
  <r>
    <n v="7304"/>
    <x v="1"/>
    <s v="2019/2516"/>
    <s v="Development Site of Alton Estate, Danebury Avenue (Alton Estate)"/>
    <s v="Block K"/>
    <n v="522152"/>
    <n v="173834"/>
    <s v="Roehampton"/>
    <m/>
    <m/>
    <n v="0"/>
    <n v="230"/>
    <n v="230"/>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0"/>
    <x v="0"/>
    <n v="0.83599999999999997"/>
    <m/>
    <x v="0"/>
    <m/>
    <s v="Open Market"/>
    <s v="M"/>
    <s v="8.1.1"/>
    <m/>
    <n v="0"/>
    <m/>
    <n v="0"/>
    <m/>
    <n v="0"/>
    <n v="57"/>
    <n v="159"/>
    <n v="14"/>
    <n v="0"/>
    <n v="0"/>
    <n v="0"/>
    <n v="0"/>
    <n v="57"/>
    <n v="159"/>
    <n v="14"/>
    <n v="0"/>
    <n v="0"/>
    <n v="0"/>
    <n v="0"/>
    <n v="0"/>
    <n v="0"/>
    <n v="0"/>
    <n v="0"/>
    <n v="0"/>
    <n v="0"/>
    <n v="0"/>
    <n v="0"/>
    <n v="0"/>
    <n v="0"/>
    <n v="0"/>
    <n v="0"/>
    <n v="0"/>
    <m/>
    <m/>
    <s v="Roehampton Regeneration Area"/>
    <n v="10"/>
    <m/>
    <m/>
    <m/>
    <m/>
    <n v="76.666666666666671"/>
    <n v="76.666666666666671"/>
    <n v="76.666666666666671"/>
    <m/>
    <m/>
    <m/>
    <m/>
    <m/>
    <m/>
    <m/>
    <m/>
    <m/>
    <m/>
    <m/>
    <m/>
    <m/>
    <n v="153.33333333333334"/>
    <n v="230"/>
  </r>
  <r>
    <n v="7304"/>
    <x v="1"/>
    <s v="2019/2516"/>
    <s v="Development Site of Alton Estate, Danebury Avenue (Alton Estate)"/>
    <s v="Block M"/>
    <n v="522152"/>
    <n v="173834"/>
    <s v="Roehampton"/>
    <m/>
    <m/>
    <n v="0"/>
    <n v="107"/>
    <n v="107"/>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0"/>
    <x v="0"/>
    <n v="0.38900000000000001"/>
    <m/>
    <x v="0"/>
    <m/>
    <s v="Open Market"/>
    <s v="M"/>
    <s v="8.1.1"/>
    <m/>
    <n v="0"/>
    <m/>
    <n v="0"/>
    <m/>
    <n v="0"/>
    <n v="33"/>
    <n v="74"/>
    <n v="0"/>
    <n v="0"/>
    <n v="0"/>
    <n v="0"/>
    <n v="0"/>
    <n v="33"/>
    <n v="74"/>
    <n v="0"/>
    <n v="0"/>
    <n v="0"/>
    <n v="0"/>
    <n v="0"/>
    <n v="0"/>
    <n v="0"/>
    <n v="0"/>
    <n v="0"/>
    <n v="0"/>
    <n v="0"/>
    <n v="0"/>
    <n v="0"/>
    <n v="0"/>
    <n v="0"/>
    <n v="0"/>
    <n v="0"/>
    <n v="0"/>
    <m/>
    <m/>
    <s v="Roehampton Regeneration Area"/>
    <n v="10"/>
    <m/>
    <m/>
    <m/>
    <m/>
    <n v="35.666666666666664"/>
    <n v="35.666666666666664"/>
    <n v="35.666666666666664"/>
    <m/>
    <m/>
    <m/>
    <m/>
    <m/>
    <m/>
    <m/>
    <m/>
    <m/>
    <m/>
    <m/>
    <m/>
    <m/>
    <n v="71.333333333333329"/>
    <n v="107"/>
  </r>
  <r>
    <n v="7304"/>
    <x v="1"/>
    <s v="2019/2516"/>
    <s v="Development Site of Alton Estate, Danebury Avenue (Alton Estate)"/>
    <s v="Block N"/>
    <n v="522152"/>
    <n v="173834"/>
    <s v="Roehampton"/>
    <m/>
    <m/>
    <n v="0"/>
    <n v="121"/>
    <n v="121"/>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0"/>
    <x v="0"/>
    <n v="0.44"/>
    <m/>
    <x v="0"/>
    <m/>
    <s v="Open Market"/>
    <s v="M"/>
    <s v="8.1.1"/>
    <m/>
    <n v="0"/>
    <m/>
    <n v="0"/>
    <m/>
    <n v="0"/>
    <n v="38"/>
    <n v="83"/>
    <n v="0"/>
    <n v="0"/>
    <n v="0"/>
    <n v="0"/>
    <n v="0"/>
    <n v="38"/>
    <n v="83"/>
    <n v="0"/>
    <n v="0"/>
    <n v="0"/>
    <n v="0"/>
    <n v="0"/>
    <n v="0"/>
    <n v="0"/>
    <n v="0"/>
    <n v="0"/>
    <n v="0"/>
    <n v="0"/>
    <n v="0"/>
    <n v="0"/>
    <n v="0"/>
    <n v="0"/>
    <n v="0"/>
    <n v="0"/>
    <n v="0"/>
    <m/>
    <m/>
    <s v="Roehampton Regeneration Area"/>
    <n v="10"/>
    <m/>
    <m/>
    <m/>
    <m/>
    <n v="40.333333333333336"/>
    <n v="40.333333333333336"/>
    <n v="40.333333333333336"/>
    <m/>
    <m/>
    <m/>
    <m/>
    <m/>
    <m/>
    <m/>
    <m/>
    <m/>
    <m/>
    <m/>
    <m/>
    <m/>
    <n v="80.666666666666671"/>
    <n v="121"/>
  </r>
  <r>
    <n v="7304"/>
    <x v="1"/>
    <s v="2019/2516"/>
    <s v="Development Site of Alton Estate, Danebury Avenue (Alton Estate)"/>
    <s v="Block O"/>
    <n v="522152"/>
    <n v="173834"/>
    <s v="Roehampton"/>
    <m/>
    <m/>
    <n v="0"/>
    <n v="29"/>
    <n v="29"/>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0"/>
    <x v="0"/>
    <n v="0.14499999999999999"/>
    <m/>
    <x v="0"/>
    <m/>
    <s v="Social/Affordable Rent"/>
    <s v="AS"/>
    <s v="8.1.1"/>
    <m/>
    <n v="0"/>
    <m/>
    <n v="0"/>
    <m/>
    <n v="0"/>
    <n v="12"/>
    <n v="14"/>
    <n v="3"/>
    <n v="0"/>
    <n v="0"/>
    <n v="0"/>
    <n v="0"/>
    <n v="12"/>
    <n v="14"/>
    <n v="3"/>
    <n v="0"/>
    <n v="0"/>
    <n v="0"/>
    <n v="0"/>
    <n v="0"/>
    <n v="0"/>
    <n v="0"/>
    <n v="0"/>
    <n v="0"/>
    <n v="0"/>
    <n v="0"/>
    <n v="0"/>
    <n v="0"/>
    <n v="0"/>
    <n v="0"/>
    <n v="0"/>
    <n v="0"/>
    <m/>
    <m/>
    <s v="Roehampton Regeneration Area"/>
    <n v="10"/>
    <m/>
    <m/>
    <m/>
    <m/>
    <n v="9.6666666666666661"/>
    <n v="9.6666666666666661"/>
    <n v="9.6666666666666661"/>
    <m/>
    <m/>
    <m/>
    <m/>
    <m/>
    <m/>
    <m/>
    <m/>
    <m/>
    <m/>
    <m/>
    <m/>
    <m/>
    <n v="19.333333333333332"/>
    <n v="29"/>
  </r>
  <r>
    <n v="7304"/>
    <x v="1"/>
    <s v="2019/2516"/>
    <s v="Development Site of Alton Estate, Danebury Avenue (Alton Estate)"/>
    <s v="Block O"/>
    <n v="522152"/>
    <n v="173834"/>
    <s v="Roehampton"/>
    <m/>
    <m/>
    <n v="0"/>
    <n v="6"/>
    <n v="6"/>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0"/>
    <x v="0"/>
    <n v="2.1780000000000001E-2"/>
    <m/>
    <x v="0"/>
    <m/>
    <s v="Intermediate"/>
    <s v="ISE"/>
    <s v="8.1.1"/>
    <m/>
    <n v="0"/>
    <m/>
    <n v="0"/>
    <m/>
    <n v="0"/>
    <n v="0"/>
    <n v="2"/>
    <n v="2"/>
    <n v="2"/>
    <n v="0"/>
    <n v="0"/>
    <n v="0"/>
    <n v="0"/>
    <n v="2"/>
    <n v="2"/>
    <n v="2"/>
    <n v="0"/>
    <n v="0"/>
    <n v="0"/>
    <n v="0"/>
    <n v="0"/>
    <n v="0"/>
    <n v="0"/>
    <n v="0"/>
    <n v="0"/>
    <n v="0"/>
    <n v="0"/>
    <n v="0"/>
    <n v="0"/>
    <n v="0"/>
    <n v="0"/>
    <n v="0"/>
    <m/>
    <m/>
    <s v="Roehampton Regeneration Area"/>
    <n v="10"/>
    <m/>
    <m/>
    <m/>
    <m/>
    <n v="2"/>
    <n v="2"/>
    <n v="2"/>
    <m/>
    <m/>
    <m/>
    <m/>
    <m/>
    <m/>
    <m/>
    <m/>
    <m/>
    <m/>
    <m/>
    <m/>
    <m/>
    <n v="4"/>
    <n v="6"/>
  </r>
  <r>
    <n v="7304"/>
    <x v="1"/>
    <s v="2019/2516"/>
    <s v="Development Site of Alton Estate, Danebury Avenue (Alton Estate)"/>
    <s v="Block Q"/>
    <n v="522152"/>
    <n v="173834"/>
    <s v="Roehampton"/>
    <m/>
    <m/>
    <n v="0"/>
    <n v="31"/>
    <n v="31"/>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0"/>
    <x v="0"/>
    <n v="0.11253000000000001"/>
    <m/>
    <x v="0"/>
    <m/>
    <s v="Intermediate"/>
    <s v="ISL"/>
    <s v="8.1.1"/>
    <m/>
    <n v="0"/>
    <m/>
    <n v="0"/>
    <m/>
    <n v="0"/>
    <n v="12"/>
    <n v="14"/>
    <n v="5"/>
    <n v="0"/>
    <n v="0"/>
    <n v="0"/>
    <n v="0"/>
    <n v="12"/>
    <n v="14"/>
    <n v="5"/>
    <n v="0"/>
    <n v="0"/>
    <n v="0"/>
    <n v="0"/>
    <n v="0"/>
    <n v="0"/>
    <n v="0"/>
    <n v="0"/>
    <n v="0"/>
    <n v="0"/>
    <n v="0"/>
    <n v="0"/>
    <n v="0"/>
    <n v="0"/>
    <n v="0"/>
    <n v="0"/>
    <n v="0"/>
    <m/>
    <m/>
    <s v="Roehampton Regeneration Area"/>
    <n v="10"/>
    <m/>
    <m/>
    <m/>
    <m/>
    <n v="10.333333333333334"/>
    <n v="10.333333333333334"/>
    <n v="10.333333333333334"/>
    <m/>
    <m/>
    <m/>
    <m/>
    <m/>
    <m/>
    <m/>
    <m/>
    <m/>
    <m/>
    <m/>
    <m/>
    <m/>
    <n v="20.666666666666668"/>
    <n v="31"/>
  </r>
  <r>
    <n v="7101"/>
    <x v="1"/>
    <s v="2019/0024"/>
    <s v="Site of York Road, Winstanley Road (Part of Estate, York Gardens and Winstanley Estate)"/>
    <s v="Blocks 2-4 and 7-14"/>
    <n v="526922"/>
    <n v="175807"/>
    <s v="Falconbrook"/>
    <d v="2022-02-17T00:00:00"/>
    <m/>
    <n v="0"/>
    <n v="1355"/>
    <n v="1355"/>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0"/>
    <x v="0"/>
    <n v="2.0819999999999999"/>
    <m/>
    <x v="0"/>
    <m/>
    <s v="Open Market"/>
    <s v="M"/>
    <s v=""/>
    <m/>
    <n v="0"/>
    <n v="1219"/>
    <n v="0"/>
    <n v="136"/>
    <n v="0"/>
    <n v="0"/>
    <n v="0"/>
    <n v="0"/>
    <n v="0"/>
    <n v="0"/>
    <n v="1355"/>
    <n v="0"/>
    <n v="0"/>
    <n v="0"/>
    <n v="0"/>
    <n v="0"/>
    <n v="0"/>
    <n v="1355"/>
    <n v="0"/>
    <n v="0"/>
    <n v="0"/>
    <n v="0"/>
    <n v="0"/>
    <n v="0"/>
    <n v="0"/>
    <n v="0"/>
    <n v="0"/>
    <n v="0"/>
    <n v="0"/>
    <n v="0"/>
    <n v="0"/>
    <n v="0"/>
    <m/>
    <m/>
    <s v="Clapham Junction Spatial Area Strategy"/>
    <n v="8"/>
    <m/>
    <m/>
    <m/>
    <m/>
    <m/>
    <m/>
    <n v="451.66666666666669"/>
    <n v="451.66666666666669"/>
    <n v="451.66666666666669"/>
    <m/>
    <m/>
    <m/>
    <m/>
    <m/>
    <m/>
    <m/>
    <m/>
    <m/>
    <m/>
    <m/>
    <n v="0"/>
    <n v="1355"/>
  </r>
  <r>
    <n v="7101"/>
    <x v="1"/>
    <s v="2019/0024"/>
    <s v="Site of York Road, Winstanley Road (Part of Estate, York Gardens and Winstanley Estate)"/>
    <s v="Blocks 2-4 and 7-14"/>
    <n v="526922"/>
    <n v="175807"/>
    <s v="Falconbrook"/>
    <d v="2022-02-17T00:00:00"/>
    <m/>
    <n v="0"/>
    <n v="379"/>
    <n v="37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0"/>
    <x v="0"/>
    <n v="0.58199999999999996"/>
    <m/>
    <x v="0"/>
    <m/>
    <s v="Social/Affordable Rent"/>
    <s v="AC"/>
    <s v=""/>
    <m/>
    <n v="0"/>
    <n v="341"/>
    <n v="0"/>
    <n v="38"/>
    <n v="0"/>
    <n v="0"/>
    <n v="0"/>
    <n v="0"/>
    <n v="0"/>
    <n v="0"/>
    <n v="379"/>
    <n v="0"/>
    <n v="0"/>
    <n v="0"/>
    <n v="0"/>
    <n v="0"/>
    <n v="0"/>
    <n v="379"/>
    <n v="0"/>
    <n v="0"/>
    <n v="0"/>
    <n v="0"/>
    <n v="0"/>
    <n v="0"/>
    <n v="0"/>
    <n v="0"/>
    <n v="0"/>
    <n v="0"/>
    <n v="0"/>
    <n v="0"/>
    <n v="0"/>
    <n v="0"/>
    <m/>
    <m/>
    <s v="Clapham Junction Spatial Area Strategy"/>
    <n v="8"/>
    <m/>
    <m/>
    <m/>
    <m/>
    <m/>
    <m/>
    <n v="126.33333333333333"/>
    <n v="126.33333333333333"/>
    <n v="126.33333333333333"/>
    <m/>
    <m/>
    <m/>
    <m/>
    <m/>
    <m/>
    <m/>
    <m/>
    <m/>
    <m/>
    <m/>
    <n v="0"/>
    <n v="379"/>
  </r>
  <r>
    <n v="7101"/>
    <x v="1"/>
    <s v="2019/0024"/>
    <s v="Site of York Road, Winstanley Road (Part of Estate, York Gardens and Winstanley Estate)"/>
    <s v="Blocks 2-4 and 7-14"/>
    <n v="526922"/>
    <n v="175807"/>
    <s v="Falconbrook"/>
    <d v="2022-02-17T00:00:00"/>
    <m/>
    <n v="0"/>
    <n v="214"/>
    <n v="21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0"/>
    <x v="0"/>
    <n v="0.32900000000000001"/>
    <m/>
    <x v="0"/>
    <m/>
    <s v="Intermediate"/>
    <s v="ISE"/>
    <s v=""/>
    <m/>
    <n v="0"/>
    <n v="193"/>
    <n v="0"/>
    <n v="21"/>
    <n v="0"/>
    <n v="0"/>
    <n v="0"/>
    <n v="0"/>
    <n v="0"/>
    <n v="0"/>
    <n v="214"/>
    <n v="0"/>
    <n v="0"/>
    <n v="0"/>
    <n v="0"/>
    <n v="0"/>
    <n v="0"/>
    <n v="214"/>
    <n v="0"/>
    <n v="0"/>
    <n v="0"/>
    <n v="0"/>
    <n v="0"/>
    <n v="0"/>
    <n v="0"/>
    <n v="0"/>
    <n v="0"/>
    <n v="0"/>
    <n v="0"/>
    <n v="0"/>
    <n v="0"/>
    <n v="0"/>
    <m/>
    <m/>
    <s v="Clapham Junction Spatial Area Strategy"/>
    <n v="8"/>
    <m/>
    <m/>
    <m/>
    <m/>
    <m/>
    <m/>
    <n v="71.333333333333329"/>
    <n v="71.333333333333329"/>
    <n v="71.333333333333329"/>
    <m/>
    <m/>
    <m/>
    <m/>
    <m/>
    <m/>
    <m/>
    <m/>
    <m/>
    <m/>
    <m/>
    <n v="0"/>
    <n v="214"/>
  </r>
  <r>
    <n v="7101"/>
    <x v="1"/>
    <s v="2019/0024"/>
    <s v="Site of York Road, Winstanley Road (Part of Estate, York Gardens and Winstanley Estate)"/>
    <s v="Blocks 2-4 and 7-14"/>
    <n v="526922"/>
    <n v="175807"/>
    <s v="Falconbrook"/>
    <d v="2022-02-17T00:00:00"/>
    <m/>
    <n v="0"/>
    <n v="100"/>
    <n v="100"/>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0"/>
    <x v="0"/>
    <n v="0.154"/>
    <m/>
    <x v="0"/>
    <m/>
    <s v="Social/Affordable Rent"/>
    <s v="AA"/>
    <s v=""/>
    <m/>
    <n v="0"/>
    <n v="90"/>
    <n v="0"/>
    <n v="10"/>
    <n v="0"/>
    <n v="0"/>
    <n v="0"/>
    <n v="0"/>
    <n v="0"/>
    <n v="0"/>
    <n v="100"/>
    <n v="0"/>
    <n v="0"/>
    <n v="0"/>
    <n v="0"/>
    <n v="0"/>
    <n v="0"/>
    <n v="100"/>
    <n v="0"/>
    <n v="0"/>
    <n v="0"/>
    <n v="0"/>
    <n v="0"/>
    <n v="0"/>
    <n v="0"/>
    <n v="0"/>
    <n v="0"/>
    <n v="0"/>
    <n v="0"/>
    <n v="0"/>
    <n v="0"/>
    <n v="0"/>
    <m/>
    <m/>
    <s v="Clapham Junction Spatial Area Strategy"/>
    <n v="8"/>
    <m/>
    <m/>
    <m/>
    <m/>
    <m/>
    <m/>
    <n v="33.333333333333336"/>
    <n v="33.333333333333336"/>
    <n v="33.333333333333336"/>
    <m/>
    <m/>
    <m/>
    <m/>
    <m/>
    <m/>
    <m/>
    <m/>
    <m/>
    <m/>
    <m/>
    <n v="0"/>
    <n v="100"/>
  </r>
  <r>
    <n v="7304"/>
    <x v="1"/>
    <s v="2019/2516"/>
    <s v="Development Site of Alton Estate, Danebury Avenue (Alton Estate)"/>
    <s v="Blocks A and Q"/>
    <n v="522152"/>
    <n v="173834"/>
    <s v="Roehampton"/>
    <m/>
    <m/>
    <n v="0"/>
    <n v="107"/>
    <n v="107"/>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0"/>
    <x v="0"/>
    <n v="0.40300000000000002"/>
    <m/>
    <x v="0"/>
    <m/>
    <s v="Social/Affordable Rent"/>
    <s v="AS"/>
    <s v="8.1.1"/>
    <m/>
    <n v="0"/>
    <m/>
    <n v="0"/>
    <m/>
    <n v="0"/>
    <n v="21"/>
    <n v="27"/>
    <n v="40"/>
    <n v="19"/>
    <n v="0"/>
    <n v="0"/>
    <n v="0"/>
    <n v="21"/>
    <n v="27"/>
    <n v="40"/>
    <n v="19"/>
    <n v="0"/>
    <n v="0"/>
    <n v="0"/>
    <n v="0"/>
    <n v="0"/>
    <n v="0"/>
    <n v="0"/>
    <n v="0"/>
    <n v="0"/>
    <n v="0"/>
    <n v="0"/>
    <n v="0"/>
    <n v="0"/>
    <n v="0"/>
    <n v="0"/>
    <n v="0"/>
    <m/>
    <m/>
    <s v="Roehampton Regeneration Area"/>
    <n v="10"/>
    <m/>
    <m/>
    <m/>
    <m/>
    <n v="35.666666666666664"/>
    <n v="35.666666666666664"/>
    <n v="35.666666666666664"/>
    <m/>
    <m/>
    <m/>
    <m/>
    <m/>
    <m/>
    <m/>
    <m/>
    <m/>
    <m/>
    <m/>
    <m/>
    <m/>
    <n v="71.333333333333329"/>
    <n v="107"/>
  </r>
  <r>
    <n v="7304"/>
    <x v="1"/>
    <s v="2019/2516"/>
    <s v="Development Site of Alton Estate, Danebury Avenue (Alton Estate)"/>
    <s v="Blocks A and Q"/>
    <n v="522152"/>
    <n v="173834"/>
    <s v="Roehampton"/>
    <m/>
    <m/>
    <n v="0"/>
    <n v="23"/>
    <n v="23"/>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0"/>
    <x v="0"/>
    <n v="0.16400000000000001"/>
    <m/>
    <x v="0"/>
    <m/>
    <s v="Intermediate"/>
    <s v="ISE"/>
    <s v="8.1.1"/>
    <m/>
    <n v="0"/>
    <m/>
    <n v="0"/>
    <m/>
    <n v="0"/>
    <n v="0"/>
    <n v="3"/>
    <n v="20"/>
    <n v="0"/>
    <n v="0"/>
    <n v="0"/>
    <n v="0"/>
    <n v="0"/>
    <n v="3"/>
    <n v="20"/>
    <n v="0"/>
    <n v="0"/>
    <n v="0"/>
    <n v="0"/>
    <n v="0"/>
    <n v="0"/>
    <n v="0"/>
    <n v="0"/>
    <n v="0"/>
    <n v="0"/>
    <n v="0"/>
    <n v="0"/>
    <n v="0"/>
    <n v="0"/>
    <n v="0"/>
    <n v="0"/>
    <n v="0"/>
    <m/>
    <m/>
    <s v="Roehampton Regeneration Area"/>
    <n v="10"/>
    <m/>
    <m/>
    <m/>
    <m/>
    <n v="7.666666666666667"/>
    <n v="7.666666666666667"/>
    <n v="7.666666666666667"/>
    <m/>
    <m/>
    <m/>
    <m/>
    <m/>
    <m/>
    <m/>
    <m/>
    <m/>
    <m/>
    <m/>
    <m/>
    <m/>
    <n v="15.333333333333334"/>
    <n v="23"/>
  </r>
  <r>
    <n v="7101"/>
    <x v="1"/>
    <s v="2019/0024"/>
    <s v="Site of York Road, Winstanley Road (Part of Estate, York Gardens and Winstanley Estate)"/>
    <s v="Blocks A-S"/>
    <n v="526922"/>
    <n v="175807"/>
    <s v="Falconbrook"/>
    <d v="2022-02-17T00:00:00"/>
    <m/>
    <n v="527"/>
    <n v="0"/>
    <n v="-527"/>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0"/>
    <x v="0"/>
    <n v="0"/>
    <m/>
    <x v="0"/>
    <m/>
    <s v="Social/Affordable Rent"/>
    <s v="AC"/>
    <s v=""/>
    <m/>
    <n v="0"/>
    <m/>
    <n v="0"/>
    <m/>
    <n v="-79"/>
    <n v="-120"/>
    <n v="-256"/>
    <n v="-47"/>
    <n v="-25"/>
    <n v="0"/>
    <n v="0"/>
    <n v="-79"/>
    <n v="-120"/>
    <n v="-256"/>
    <n v="-47"/>
    <n v="-25"/>
    <n v="0"/>
    <n v="0"/>
    <n v="0"/>
    <n v="0"/>
    <n v="0"/>
    <n v="0"/>
    <n v="0"/>
    <n v="0"/>
    <n v="0"/>
    <n v="0"/>
    <n v="0"/>
    <n v="0"/>
    <n v="0"/>
    <n v="0"/>
    <n v="0"/>
    <n v="0"/>
    <m/>
    <m/>
    <s v="Clapham Junction Spatial Area Strategy"/>
    <n v="8"/>
    <m/>
    <m/>
    <m/>
    <m/>
    <m/>
    <m/>
    <n v="-175.66666666666666"/>
    <n v="-175.66666666666666"/>
    <n v="-175.66666666666666"/>
    <m/>
    <m/>
    <m/>
    <m/>
    <m/>
    <m/>
    <m/>
    <m/>
    <m/>
    <m/>
    <m/>
    <n v="0"/>
    <n v="-527"/>
  </r>
  <r>
    <n v="7101"/>
    <x v="1"/>
    <s v="2019/0024"/>
    <s v="Site of York Road, Winstanley Road (Part of Estate, York Gardens and Winstanley Estate)"/>
    <s v="Blocks A-S"/>
    <n v="526922"/>
    <n v="175807"/>
    <s v="Falconbrook"/>
    <d v="2022-02-17T00:00:00"/>
    <m/>
    <n v="14"/>
    <n v="0"/>
    <n v="-1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0"/>
    <x v="0"/>
    <n v="0"/>
    <m/>
    <x v="0"/>
    <m/>
    <s v="Intermediate"/>
    <s v="IU"/>
    <s v=""/>
    <m/>
    <n v="0"/>
    <m/>
    <n v="0"/>
    <m/>
    <n v="0"/>
    <n v="-2"/>
    <n v="-11"/>
    <n v="-1"/>
    <n v="0"/>
    <n v="0"/>
    <n v="0"/>
    <n v="0"/>
    <n v="-2"/>
    <n v="-11"/>
    <n v="-1"/>
    <n v="0"/>
    <n v="0"/>
    <n v="0"/>
    <n v="0"/>
    <n v="0"/>
    <n v="0"/>
    <n v="0"/>
    <n v="0"/>
    <n v="0"/>
    <n v="0"/>
    <n v="0"/>
    <n v="0"/>
    <n v="0"/>
    <n v="0"/>
    <n v="0"/>
    <n v="0"/>
    <n v="0"/>
    <m/>
    <m/>
    <s v="Clapham Junction Spatial Area Strategy"/>
    <n v="8"/>
    <m/>
    <m/>
    <m/>
    <m/>
    <m/>
    <m/>
    <n v="-4.666666666666667"/>
    <n v="-4.666666666666667"/>
    <n v="-4.666666666666667"/>
    <m/>
    <m/>
    <m/>
    <m/>
    <m/>
    <m/>
    <m/>
    <m/>
    <m/>
    <m/>
    <m/>
    <n v="0"/>
    <n v="-14"/>
  </r>
  <r>
    <n v="7101"/>
    <x v="1"/>
    <s v="2019/0024"/>
    <s v="Site of York Road, Winstanley Road (Part of Estate, York Gardens and Winstanley Estate)"/>
    <s v="Blocks A-S"/>
    <n v="526922"/>
    <n v="175807"/>
    <s v="Falconbrook"/>
    <d v="2022-02-17T00:00:00"/>
    <m/>
    <n v="218"/>
    <n v="0"/>
    <n v="-218"/>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m/>
    <s v="Nil"/>
    <m/>
    <s v="BF"/>
    <s v="NB"/>
    <x v="0"/>
    <x v="0"/>
    <n v="0"/>
    <m/>
    <x v="0"/>
    <m/>
    <s v="Open Market"/>
    <s v="M"/>
    <s v=""/>
    <m/>
    <n v="0"/>
    <m/>
    <n v="0"/>
    <m/>
    <n v="-12"/>
    <n v="-54"/>
    <n v="-89"/>
    <n v="-33"/>
    <n v="-30"/>
    <n v="0"/>
    <n v="0"/>
    <n v="-12"/>
    <n v="-54"/>
    <n v="-89"/>
    <n v="-33"/>
    <n v="-30"/>
    <n v="0"/>
    <n v="0"/>
    <n v="0"/>
    <n v="0"/>
    <n v="0"/>
    <n v="0"/>
    <n v="0"/>
    <n v="0"/>
    <n v="0"/>
    <n v="0"/>
    <n v="0"/>
    <n v="0"/>
    <n v="0"/>
    <n v="0"/>
    <n v="0"/>
    <n v="0"/>
    <m/>
    <m/>
    <s v="Clapham Junction Spatial Area Strategy"/>
    <n v="8"/>
    <m/>
    <m/>
    <m/>
    <m/>
    <m/>
    <m/>
    <n v="-72.666666666666671"/>
    <n v="-72.666666666666671"/>
    <n v="-72.666666666666671"/>
    <m/>
    <m/>
    <m/>
    <m/>
    <m/>
    <m/>
    <m/>
    <m/>
    <m/>
    <m/>
    <m/>
    <n v="0"/>
    <n v="-218"/>
  </r>
  <r>
    <n v="7304"/>
    <x v="1"/>
    <s v="2019/2516"/>
    <s v="Development Site of Alton Estate, Danebury Avenue (Alton Estate)"/>
    <s v="Blocks D-J"/>
    <n v="522152"/>
    <n v="173834"/>
    <s v="Roehampton"/>
    <m/>
    <m/>
    <n v="0"/>
    <n v="349"/>
    <n v="349"/>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0"/>
    <x v="0"/>
    <n v="1.268"/>
    <m/>
    <x v="0"/>
    <m/>
    <s v="Open Market"/>
    <s v="M"/>
    <s v="8.1.1"/>
    <m/>
    <n v="0"/>
    <m/>
    <n v="0"/>
    <m/>
    <n v="0"/>
    <n v="0"/>
    <n v="0"/>
    <n v="0"/>
    <n v="0"/>
    <n v="0"/>
    <n v="349"/>
    <n v="0"/>
    <n v="0"/>
    <n v="0"/>
    <n v="0"/>
    <n v="0"/>
    <n v="0"/>
    <n v="349"/>
    <n v="0"/>
    <n v="0"/>
    <n v="0"/>
    <n v="0"/>
    <n v="0"/>
    <n v="0"/>
    <n v="0"/>
    <n v="0"/>
    <n v="0"/>
    <n v="0"/>
    <n v="0"/>
    <n v="0"/>
    <n v="0"/>
    <n v="0"/>
    <m/>
    <m/>
    <s v="Roehampton Regeneration Area"/>
    <n v="10"/>
    <m/>
    <m/>
    <m/>
    <m/>
    <n v="116.33333333333333"/>
    <n v="116.33333333333333"/>
    <n v="116.33333333333333"/>
    <m/>
    <m/>
    <m/>
    <m/>
    <m/>
    <m/>
    <m/>
    <m/>
    <m/>
    <m/>
    <m/>
    <m/>
    <m/>
    <n v="232.66666666666666"/>
    <n v="349"/>
  </r>
  <r>
    <n v="3518"/>
    <x v="1"/>
    <s v="2012/5286"/>
    <s v="Ram Brewery, Capital Studios &amp; Duvall Works, Ram Street/Armoury Way/Wandsworth High Street (The Ram Quarter)"/>
    <s v="Building 04D"/>
    <n v="525666"/>
    <n v="174804"/>
    <s v="Wandsworth Town"/>
    <d v="2015-04-01T00:00:00"/>
    <m/>
    <n v="0"/>
    <n v="16"/>
    <n v="16"/>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0"/>
    <x v="0"/>
    <n v="2.5899999999999999E-2"/>
    <m/>
    <x v="0"/>
    <m/>
    <s v="Open Market"/>
    <s v="M"/>
    <s v="3.1.2"/>
    <m/>
    <n v="0"/>
    <m/>
    <n v="0"/>
    <m/>
    <n v="0"/>
    <n v="10"/>
    <n v="6"/>
    <n v="0"/>
    <n v="0"/>
    <n v="0"/>
    <n v="0"/>
    <n v="0"/>
    <n v="10"/>
    <n v="6"/>
    <n v="0"/>
    <n v="0"/>
    <n v="0"/>
    <n v="0"/>
    <n v="0"/>
    <n v="0"/>
    <n v="0"/>
    <n v="0"/>
    <n v="0"/>
    <n v="0"/>
    <n v="0"/>
    <n v="0"/>
    <n v="0"/>
    <n v="0"/>
    <n v="0"/>
    <n v="0"/>
    <n v="0"/>
    <n v="0"/>
    <s v="Wandsworth"/>
    <m/>
    <s v="Wandsworth Town, including the Wandle Delta Masterplan Area"/>
    <n v="8"/>
    <m/>
    <m/>
    <m/>
    <m/>
    <m/>
    <n v="16"/>
    <m/>
    <m/>
    <m/>
    <m/>
    <m/>
    <m/>
    <m/>
    <m/>
    <m/>
    <m/>
    <m/>
    <m/>
    <m/>
    <m/>
    <n v="16"/>
    <n v="16"/>
  </r>
  <r>
    <n v="3518"/>
    <x v="1"/>
    <s v="2012/5286"/>
    <s v="Ram Brewery, Capital Studios &amp; Duvall Works, Ram Street/Armoury Way/Wandsworth High Street (The Ram Quarter)"/>
    <s v="Building 04E"/>
    <n v="525666"/>
    <n v="174804"/>
    <s v="Wandsworth Town"/>
    <d v="2015-04-01T00:00:00"/>
    <m/>
    <n v="0"/>
    <n v="23"/>
    <n v="23"/>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0"/>
    <x v="0"/>
    <n v="3.0200000000000001E-2"/>
    <m/>
    <x v="0"/>
    <m/>
    <s v="Open Market"/>
    <s v="M"/>
    <s v="3.1.2"/>
    <m/>
    <n v="0"/>
    <m/>
    <n v="1"/>
    <m/>
    <n v="0"/>
    <n v="10"/>
    <n v="7"/>
    <n v="4"/>
    <n v="2"/>
    <n v="0"/>
    <n v="0"/>
    <n v="0"/>
    <n v="10"/>
    <n v="7"/>
    <n v="4"/>
    <n v="2"/>
    <n v="0"/>
    <n v="0"/>
    <n v="0"/>
    <n v="0"/>
    <n v="0"/>
    <n v="0"/>
    <n v="0"/>
    <n v="0"/>
    <n v="0"/>
    <n v="0"/>
    <n v="0"/>
    <n v="0"/>
    <n v="0"/>
    <n v="0"/>
    <n v="0"/>
    <n v="0"/>
    <s v="Wandsworth"/>
    <m/>
    <s v="Wandsworth Town, including the Wandle Delta Masterplan Area"/>
    <n v="8"/>
    <m/>
    <m/>
    <m/>
    <m/>
    <m/>
    <n v="23"/>
    <m/>
    <m/>
    <m/>
    <m/>
    <m/>
    <m/>
    <m/>
    <m/>
    <m/>
    <m/>
    <m/>
    <m/>
    <m/>
    <m/>
    <n v="23"/>
    <n v="23"/>
  </r>
  <r>
    <n v="3518"/>
    <x v="1"/>
    <s v="2012/5286"/>
    <s v="Ram Brewery, Capital Studios &amp; Duvall Works, Ram Street/Armoury Way/Wandsworth High Street (The Ram Quarter)"/>
    <s v="Building 04F"/>
    <n v="525666"/>
    <n v="174804"/>
    <s v="Wandsworth Town"/>
    <d v="2015-04-01T00:00:00"/>
    <m/>
    <n v="0"/>
    <n v="24"/>
    <n v="24"/>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0"/>
    <x v="0"/>
    <n v="4.0300000000000002E-2"/>
    <m/>
    <x v="0"/>
    <m/>
    <s v="Open Market"/>
    <s v="M"/>
    <s v="3.1.2"/>
    <m/>
    <n v="0"/>
    <m/>
    <n v="5"/>
    <m/>
    <n v="0"/>
    <n v="1"/>
    <n v="19"/>
    <n v="4"/>
    <n v="0"/>
    <n v="0"/>
    <n v="0"/>
    <n v="0"/>
    <n v="1"/>
    <n v="19"/>
    <n v="4"/>
    <n v="0"/>
    <n v="0"/>
    <n v="0"/>
    <n v="0"/>
    <n v="0"/>
    <n v="0"/>
    <n v="0"/>
    <n v="0"/>
    <n v="0"/>
    <n v="0"/>
    <n v="0"/>
    <n v="0"/>
    <n v="0"/>
    <n v="0"/>
    <n v="0"/>
    <n v="0"/>
    <n v="0"/>
    <s v="Wandsworth"/>
    <m/>
    <s v="Wandsworth Town, including the Wandle Delta Masterplan Area"/>
    <n v="8"/>
    <m/>
    <m/>
    <m/>
    <m/>
    <m/>
    <n v="24"/>
    <m/>
    <m/>
    <m/>
    <m/>
    <m/>
    <m/>
    <m/>
    <m/>
    <m/>
    <m/>
    <m/>
    <m/>
    <m/>
    <m/>
    <n v="24"/>
    <n v="24"/>
  </r>
  <r>
    <n v="3518"/>
    <x v="1"/>
    <s v="2012/5286"/>
    <s v="Ram Brewery, Capital Studios &amp; Duvall Works, Ram Street/Armoury Way/Wandsworth High Street (The Ram Quarter)"/>
    <s v="Building 05"/>
    <n v="525666"/>
    <n v="174804"/>
    <s v="Wandsworth Town"/>
    <d v="2015-04-01T00:00:00"/>
    <m/>
    <n v="0"/>
    <n v="166"/>
    <n v="166"/>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0"/>
    <x v="0"/>
    <n v="4.4396999999999999E-2"/>
    <m/>
    <x v="0"/>
    <m/>
    <s v="Open Market"/>
    <s v="M"/>
    <s v="3.1.2"/>
    <m/>
    <n v="0"/>
    <m/>
    <n v="10"/>
    <m/>
    <n v="23"/>
    <n v="23"/>
    <n v="70"/>
    <n v="44"/>
    <n v="6"/>
    <n v="0"/>
    <n v="0"/>
    <n v="23"/>
    <n v="23"/>
    <n v="70"/>
    <n v="44"/>
    <n v="6"/>
    <n v="0"/>
    <n v="0"/>
    <n v="0"/>
    <n v="0"/>
    <n v="0"/>
    <n v="0"/>
    <n v="0"/>
    <n v="0"/>
    <n v="0"/>
    <n v="0"/>
    <n v="0"/>
    <n v="0"/>
    <n v="0"/>
    <n v="0"/>
    <n v="0"/>
    <n v="0"/>
    <s v="Wandsworth"/>
    <m/>
    <s v="Wandsworth Town, including the Wandle Delta Masterplan Area"/>
    <n v="8"/>
    <m/>
    <m/>
    <m/>
    <m/>
    <m/>
    <n v="166"/>
    <m/>
    <m/>
    <m/>
    <m/>
    <m/>
    <m/>
    <m/>
    <m/>
    <m/>
    <m/>
    <m/>
    <m/>
    <m/>
    <m/>
    <n v="166"/>
    <n v="166"/>
  </r>
  <r>
    <n v="3518"/>
    <x v="1"/>
    <s v="2012/5286"/>
    <s v="Ram Brewery, Capital Studios &amp; Duvall Works, Ram Street/Armoury Way/Wandsworth High Street (The Ram Quarter)"/>
    <s v="Building 06"/>
    <n v="525666"/>
    <n v="174804"/>
    <s v="Wandsworth Town"/>
    <d v="2015-04-01T00:00:00"/>
    <m/>
    <n v="0"/>
    <n v="30"/>
    <n v="30"/>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x v="0"/>
    <x v="0"/>
    <n v="4.7699999999999999E-2"/>
    <m/>
    <x v="0"/>
    <m/>
    <s v="Open Market"/>
    <s v="M"/>
    <s v="3.1.2"/>
    <m/>
    <n v="0"/>
    <m/>
    <n v="5"/>
    <m/>
    <n v="0"/>
    <n v="15"/>
    <n v="5"/>
    <n v="10"/>
    <n v="0"/>
    <n v="0"/>
    <n v="0"/>
    <n v="0"/>
    <n v="15"/>
    <n v="5"/>
    <n v="10"/>
    <n v="0"/>
    <n v="0"/>
    <n v="0"/>
    <n v="0"/>
    <n v="0"/>
    <n v="0"/>
    <n v="0"/>
    <n v="0"/>
    <n v="0"/>
    <n v="0"/>
    <n v="0"/>
    <n v="0"/>
    <n v="0"/>
    <n v="0"/>
    <n v="0"/>
    <n v="0"/>
    <n v="0"/>
    <s v="Wandsworth"/>
    <m/>
    <s v="Wandsworth Town, including the Wandle Delta Masterplan Area"/>
    <n v="8"/>
    <m/>
    <m/>
    <m/>
    <m/>
    <m/>
    <n v="30"/>
    <m/>
    <m/>
    <m/>
    <m/>
    <m/>
    <m/>
    <m/>
    <m/>
    <m/>
    <m/>
    <m/>
    <m/>
    <m/>
    <m/>
    <n v="30"/>
    <n v="30"/>
  </r>
  <r>
    <n v="3518"/>
    <x v="1"/>
    <s v="2016/6029"/>
    <s v="Ram Brewery, Capital Studios &amp; Duvall Works, Ram Street/Armoury Way/Wandsworth High Street (The Ram Quarter)"/>
    <s v="Building 09"/>
    <n v="525666"/>
    <n v="174804"/>
    <s v="Wandsworth Town"/>
    <d v="2015-04-01T00:00:00"/>
    <m/>
    <n v="0"/>
    <n v="66"/>
    <n v="66"/>
    <n v="66"/>
    <n v="66"/>
    <s v="Y"/>
    <s v="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a_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
    <s v="S73"/>
    <d v="2016-10-28T00:00:00"/>
    <d v="2016-12-02T00:00:00"/>
    <m/>
    <s v="Nil"/>
    <m/>
    <s v="BF"/>
    <s v="NB"/>
    <x v="0"/>
    <x v="0"/>
    <n v="4.5183300000000003E-2"/>
    <m/>
    <x v="0"/>
    <m/>
    <s v="Intermediate"/>
    <s v="ISO"/>
    <s v="3.1.2"/>
    <m/>
    <n v="10"/>
    <m/>
    <n v="10"/>
    <m/>
    <n v="0"/>
    <n v="36"/>
    <n v="24"/>
    <n v="6"/>
    <n v="0"/>
    <n v="0"/>
    <n v="0"/>
    <n v="0"/>
    <n v="36"/>
    <n v="24"/>
    <n v="6"/>
    <n v="0"/>
    <n v="0"/>
    <n v="0"/>
    <n v="0"/>
    <n v="0"/>
    <n v="0"/>
    <n v="0"/>
    <n v="0"/>
    <n v="0"/>
    <n v="0"/>
    <n v="0"/>
    <n v="0"/>
    <n v="0"/>
    <n v="0"/>
    <n v="0"/>
    <n v="0"/>
    <n v="0"/>
    <s v="Wandsworth"/>
    <m/>
    <s v="Wandsworth Town, including the Wandle Delta Masterplan Area"/>
    <n v="8"/>
    <m/>
    <m/>
    <m/>
    <m/>
    <n v="66"/>
    <m/>
    <m/>
    <m/>
    <m/>
    <m/>
    <m/>
    <m/>
    <m/>
    <m/>
    <m/>
    <m/>
    <m/>
    <m/>
    <m/>
    <m/>
    <n v="66"/>
    <n v="66"/>
  </r>
  <r>
    <n v="3980"/>
    <x v="1"/>
    <s v="2022/0249"/>
    <s v="Former Prices Candles Factory, 110 York Road"/>
    <s v="building 4 - affordable"/>
    <n v="526592"/>
    <n v="175883"/>
    <s v="St Mary's"/>
    <m/>
    <m/>
    <n v="0"/>
    <n v="64"/>
    <n v="64"/>
    <n v="177"/>
    <n v="177"/>
    <s v="Y"/>
    <s v="Variation to Conditions 2 (Approved drawings), Condition 3 (Land use restriction), Condition 5 (Opening hours), Condition 6 (Amplified speech/sound), Condition 10 (Flood Risk Assessment), Condition 23 (BREEAM Assessment), Condition 28 (Number of residential units), Condition 29 (Land Uses), Condition 30 (Car and cycle parking), Condition 31 (Phasing Plans) pursuant to planning permission dated 05/12/2019 ref 2017/0745 as amended [Erection of a 25 storey building comprising residential accommodation (with balconies) and ground floor commercial floorspace. Demolition of car showroom on Bridges Court and erection of a five storey building to provide ground floor commercial and office floorspace on first to fourth floors. Excavation to create basements comprising car and cycle parking spaces, plant, refuse/recycling stores and other ancillary spaces serving the development. Alterations and erection of two additional storeys (and 2nd/3rd floor links) and roof terrace to retained York Road buildings with commercial and office use. Provision of a terrace of six single storey flexible commercial/service/Drinking establishment units. Provision of amenity space, public realm, landscaping, play space, car parking, and paving to Bridges Court] to allow: Changes to internal residential unit mix to allow for an increase from 136 units up to 177 units, alterations to the layout of the top three floors to increase roof terrace size, reduction in size of the approved basement, reduction in approved number of car parking spaces, increase in the number of cycle parking spaces, alterations to commercial offering and the inclusion of Air Source Heat Pumps system."/>
    <s v="PFLA"/>
    <d v="2022-01-21T00:00:00"/>
    <d v="2022-07-12T00:00:00"/>
    <s v="Y"/>
    <s v="Nil"/>
    <m/>
    <s v="BF"/>
    <s v="NB"/>
    <x v="0"/>
    <x v="0"/>
    <n v="8.5000000000000006E-2"/>
    <m/>
    <x v="0"/>
    <m/>
    <s v="Intermediate"/>
    <s v="ISL"/>
    <s v="10.2"/>
    <m/>
    <n v="0"/>
    <m/>
    <n v="0"/>
    <m/>
    <n v="0"/>
    <n v="32"/>
    <n v="32"/>
    <n v="0"/>
    <n v="0"/>
    <n v="0"/>
    <n v="0"/>
    <n v="0"/>
    <n v="32"/>
    <n v="32"/>
    <n v="0"/>
    <n v="0"/>
    <n v="0"/>
    <n v="0"/>
    <n v="0"/>
    <n v="0"/>
    <n v="0"/>
    <n v="0"/>
    <n v="0"/>
    <n v="0"/>
    <n v="0"/>
    <n v="0"/>
    <n v="0"/>
    <n v="0"/>
    <n v="0"/>
    <n v="0"/>
    <n v="0"/>
    <n v="0"/>
    <m/>
    <m/>
    <s v="Clapham Junction Spatial Area Strategy"/>
    <n v="8"/>
    <m/>
    <m/>
    <m/>
    <n v="64"/>
    <m/>
    <m/>
    <m/>
    <m/>
    <m/>
    <m/>
    <m/>
    <m/>
    <m/>
    <m/>
    <m/>
    <m/>
    <m/>
    <m/>
    <m/>
    <m/>
    <n v="64"/>
    <n v="64"/>
  </r>
  <r>
    <n v="3980"/>
    <x v="1"/>
    <s v="2022/0249"/>
    <s v="Former Prices Candles Factory, 110 York Road"/>
    <s v="building 4 - market"/>
    <n v="526592"/>
    <n v="175883"/>
    <s v="St Mary's"/>
    <m/>
    <m/>
    <n v="0"/>
    <n v="113"/>
    <n v="113"/>
    <n v="177"/>
    <n v="177"/>
    <s v="Y"/>
    <s v="Variation to Conditions 2 (Approved drawings), Condition 3 (Land use restriction), Condition 5 (Opening hours), Condition 6 (Amplified speech/sound), Condition 10 (Flood Risk Assessment), Condition 23 (BREEAM Assessment), Condition 28 (Number of residential units), Condition 29 (Land Uses), Condition 30 (Car and cycle parking), Condition 31 (Phasing Plans) pursuant to planning permission dated 05/12/2019 ref 2017/0745 as amended [Erection of a 25 storey building comprising residential accommodation (with balconies) and ground floor commercial floorspace. Demolition of car showroom on Bridges Court and erection of a five storey building to provide ground floor commercial and office floorspace on first to fourth floors. Excavation to create basements comprising car and cycle parking spaces, plant, refuse/recycling stores and other ancillary spaces serving the development. Alterations and erection of two additional storeys (and 2nd/3rd floor links) and roof terrace to retained York Road buildings with commercial and office use. Provision of a terrace of six single storey flexible commercial/service/Drinking establishment units. Provision of amenity space, public realm, landscaping, play space, car parking, and paving to Bridges Court] to allow: Changes to internal residential unit mix to allow for an increase from 136 units up to 177 units, alterations to the layout of the top three floors to increase roof terrace size, reduction in size of the approved basement, reduction in approved number of car parking spaces, increase in the number of cycle parking spaces, alterations to commercial offering and the inclusion of Air Source Heat Pumps system."/>
    <s v="PFLA"/>
    <d v="2022-01-21T00:00:00"/>
    <d v="2022-07-12T00:00:00"/>
    <s v="Y"/>
    <s v="Nil"/>
    <m/>
    <s v="BF"/>
    <s v="NB"/>
    <x v="0"/>
    <x v="0"/>
    <n v="0.17299999999999999"/>
    <m/>
    <x v="0"/>
    <m/>
    <s v="Open Market"/>
    <s v="M"/>
    <s v="10.2"/>
    <m/>
    <n v="0"/>
    <m/>
    <n v="0"/>
    <m/>
    <n v="0"/>
    <n v="50"/>
    <n v="54"/>
    <n v="9"/>
    <n v="0"/>
    <n v="0"/>
    <n v="0"/>
    <n v="0"/>
    <n v="50"/>
    <n v="54"/>
    <n v="9"/>
    <n v="0"/>
    <n v="0"/>
    <n v="0"/>
    <n v="0"/>
    <n v="0"/>
    <n v="0"/>
    <n v="0"/>
    <n v="0"/>
    <n v="0"/>
    <n v="0"/>
    <n v="0"/>
    <n v="0"/>
    <n v="0"/>
    <n v="0"/>
    <n v="0"/>
    <n v="0"/>
    <n v="0"/>
    <m/>
    <m/>
    <s v="Clapham Junction Spatial Area Strategy"/>
    <n v="8"/>
    <m/>
    <m/>
    <m/>
    <n v="113"/>
    <m/>
    <m/>
    <m/>
    <m/>
    <m/>
    <m/>
    <m/>
    <m/>
    <m/>
    <m/>
    <m/>
    <m/>
    <m/>
    <m/>
    <m/>
    <m/>
    <n v="113"/>
    <n v="113"/>
  </r>
  <r>
    <n v="1993"/>
    <x v="1"/>
    <s v="2020/3019"/>
    <s v="and 88E Eardley Road, 113 Blegborough Road"/>
    <s v="Building A"/>
    <n v="529441"/>
    <n v="170836"/>
    <s v="Furzedown"/>
    <m/>
    <m/>
    <n v="0"/>
    <n v="2"/>
    <n v="2"/>
    <n v="8"/>
    <n v="8"/>
    <m/>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m/>
    <s v="Nil"/>
    <m/>
    <s v="BF"/>
    <s v="NB"/>
    <x v="2"/>
    <x v="1"/>
    <n v="8.9999999999999993E-3"/>
    <m/>
    <x v="0"/>
    <m/>
    <s v="Open Market"/>
    <s v="M"/>
    <s v=""/>
    <m/>
    <n v="0"/>
    <m/>
    <n v="0"/>
    <m/>
    <n v="0"/>
    <n v="2"/>
    <n v="0"/>
    <n v="0"/>
    <n v="0"/>
    <n v="0"/>
    <n v="0"/>
    <n v="0"/>
    <n v="2"/>
    <n v="0"/>
    <n v="0"/>
    <n v="0"/>
    <n v="0"/>
    <n v="0"/>
    <n v="0"/>
    <n v="0"/>
    <n v="0"/>
    <n v="0"/>
    <n v="0"/>
    <n v="0"/>
    <n v="0"/>
    <n v="0"/>
    <n v="0"/>
    <n v="0"/>
    <n v="0"/>
    <n v="0"/>
    <n v="0"/>
    <n v="0"/>
    <m/>
    <m/>
    <s v="Rest of Borough"/>
    <n v="10"/>
    <m/>
    <m/>
    <m/>
    <m/>
    <n v="0.66666666666666663"/>
    <n v="0.66666666666666663"/>
    <n v="0.66666666666666663"/>
    <m/>
    <m/>
    <m/>
    <m/>
    <m/>
    <m/>
    <m/>
    <m/>
    <m/>
    <m/>
    <m/>
    <m/>
    <m/>
    <n v="1.3333333333333333"/>
    <n v="2"/>
  </r>
  <r>
    <n v="1993"/>
    <x v="1"/>
    <s v="2020/3019"/>
    <s v="and 88E Eardley Road, 113 Blegborough Road"/>
    <s v="Building B"/>
    <n v="529441"/>
    <n v="170836"/>
    <s v="Furzedown"/>
    <m/>
    <m/>
    <n v="0"/>
    <n v="6"/>
    <n v="6"/>
    <n v="8"/>
    <n v="8"/>
    <m/>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m/>
    <s v="Nil"/>
    <m/>
    <s v="BF"/>
    <s v="NB"/>
    <x v="2"/>
    <x v="1"/>
    <n v="2.7E-2"/>
    <m/>
    <x v="0"/>
    <m/>
    <s v="Open Market"/>
    <s v="M"/>
    <s v=""/>
    <m/>
    <n v="0"/>
    <m/>
    <n v="0"/>
    <m/>
    <n v="0"/>
    <n v="4"/>
    <n v="1"/>
    <n v="1"/>
    <n v="0"/>
    <n v="0"/>
    <n v="0"/>
    <n v="0"/>
    <n v="4"/>
    <n v="1"/>
    <n v="1"/>
    <n v="0"/>
    <n v="0"/>
    <n v="0"/>
    <n v="0"/>
    <n v="0"/>
    <n v="0"/>
    <n v="0"/>
    <n v="0"/>
    <n v="0"/>
    <n v="0"/>
    <n v="0"/>
    <n v="0"/>
    <n v="0"/>
    <n v="0"/>
    <n v="0"/>
    <n v="0"/>
    <n v="0"/>
    <m/>
    <m/>
    <s v="Rest of Borough"/>
    <n v="10"/>
    <m/>
    <m/>
    <m/>
    <m/>
    <n v="2"/>
    <n v="2"/>
    <n v="2"/>
    <m/>
    <m/>
    <m/>
    <m/>
    <m/>
    <m/>
    <m/>
    <m/>
    <m/>
    <m/>
    <m/>
    <m/>
    <m/>
    <n v="4"/>
    <n v="6"/>
  </r>
  <r>
    <n v="3154"/>
    <x v="1"/>
    <s v="2018/3525"/>
    <s v="216-218 Upper Tooting Road"/>
    <s v="conversion"/>
    <n v="527643"/>
    <n v="171818"/>
    <s v="Tooting Bec"/>
    <m/>
    <m/>
    <n v="2"/>
    <n v="4"/>
    <n v="2"/>
    <n v="7"/>
    <n v="5"/>
    <m/>
    <s v="Extensions and re-modelling of building adding two storeys to main building and 3/4 storeys at rear to form a 5 storey building consisting of seven flats (five additional flats) with formation of a roof terrace on top (5th) floor."/>
    <s v="PF"/>
    <d v="2018-07-13T00:00:00"/>
    <d v="2019-03-29T00:00:00"/>
    <m/>
    <s v="Nil"/>
    <m/>
    <s v="BF"/>
    <s v="EXT"/>
    <x v="2"/>
    <x v="2"/>
    <n v="6.0000000000000001E-3"/>
    <m/>
    <x v="0"/>
    <m/>
    <s v="Open Market"/>
    <s v="M"/>
    <s v="5.1"/>
    <m/>
    <n v="0"/>
    <m/>
    <n v="0"/>
    <m/>
    <n v="3"/>
    <n v="0"/>
    <n v="0"/>
    <n v="-1"/>
    <n v="0"/>
    <n v="0"/>
    <n v="0"/>
    <n v="3"/>
    <n v="0"/>
    <n v="0"/>
    <n v="-1"/>
    <n v="0"/>
    <n v="0"/>
    <n v="0"/>
    <n v="0"/>
    <n v="0"/>
    <n v="0"/>
    <n v="0"/>
    <n v="0"/>
    <n v="0"/>
    <n v="0"/>
    <n v="0"/>
    <n v="0"/>
    <n v="0"/>
    <n v="0"/>
    <n v="0"/>
    <n v="0"/>
    <n v="0"/>
    <s v="Tooting"/>
    <m/>
    <s v="Tooting"/>
    <n v="15"/>
    <m/>
    <n v="0.5"/>
    <n v="0.5"/>
    <n v="0.5"/>
    <n v="0.5"/>
    <m/>
    <m/>
    <m/>
    <m/>
    <m/>
    <m/>
    <m/>
    <m/>
    <m/>
    <m/>
    <m/>
    <m/>
    <m/>
    <m/>
    <m/>
    <n v="2"/>
    <n v="2"/>
  </r>
  <r>
    <n v="6885"/>
    <x v="1"/>
    <s v="2018/1377"/>
    <s v="217 Garratt Lane"/>
    <s v="conversion"/>
    <n v="525906"/>
    <n v="173856"/>
    <s v="Wandle"/>
    <m/>
    <m/>
    <n v="1"/>
    <n v="2"/>
    <n v="1"/>
    <n v="3"/>
    <n v="1"/>
    <m/>
    <s v="Alterations including erection of part single/part two storey rear/side extension,  in connection with use of front part of ground floor as a shop and the remainder as, 1 x 2-bedroom and 2 x 1-bedroom flats with rear first floor terrace."/>
    <s v="PF"/>
    <d v="2018-03-27T00:00:00"/>
    <d v="2018-05-22T00:00:00"/>
    <m/>
    <s v="Nil"/>
    <m/>
    <s v="BF"/>
    <s v="MIX"/>
    <x v="2"/>
    <x v="7"/>
    <n v="8.0000000000000002E-3"/>
    <m/>
    <x v="0"/>
    <m/>
    <s v="Open Market"/>
    <s v="M"/>
    <s v=""/>
    <m/>
    <n v="0"/>
    <m/>
    <n v="0"/>
    <m/>
    <n v="0"/>
    <n v="2"/>
    <n v="-1"/>
    <n v="0"/>
    <n v="0"/>
    <n v="0"/>
    <n v="0"/>
    <n v="0"/>
    <n v="2"/>
    <n v="-1"/>
    <n v="0"/>
    <n v="0"/>
    <n v="0"/>
    <n v="0"/>
    <n v="0"/>
    <n v="0"/>
    <n v="0"/>
    <n v="0"/>
    <n v="0"/>
    <n v="0"/>
    <n v="0"/>
    <n v="0"/>
    <n v="0"/>
    <n v="0"/>
    <n v="0"/>
    <n v="0"/>
    <n v="0"/>
    <n v="0"/>
    <m/>
    <m/>
    <s v="The Wandle Valley"/>
    <n v="15"/>
    <m/>
    <n v="0.25"/>
    <n v="0.25"/>
    <n v="0.25"/>
    <n v="0.25"/>
    <m/>
    <m/>
    <m/>
    <m/>
    <m/>
    <m/>
    <m/>
    <m/>
    <m/>
    <m/>
    <m/>
    <m/>
    <m/>
    <m/>
    <m/>
    <n v="1"/>
    <n v="1"/>
  </r>
  <r>
    <n v="1563"/>
    <x v="1"/>
    <s v="2018/2123"/>
    <s v="28 Totterdown Street"/>
    <s v="conversion"/>
    <n v="527638"/>
    <n v="171599"/>
    <s v="Tooting Broadway"/>
    <m/>
    <m/>
    <n v="3"/>
    <n v="3"/>
    <n v="0"/>
    <n v="4"/>
    <n v="1"/>
    <m/>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m/>
    <s v="Nil"/>
    <m/>
    <s v="BF"/>
    <s v="MIX"/>
    <x v="2"/>
    <x v="7"/>
    <n v="5.0000000000000001E-3"/>
    <m/>
    <x v="0"/>
    <m/>
    <s v="Open Market"/>
    <s v="M"/>
    <s v="5.2"/>
    <m/>
    <n v="0"/>
    <m/>
    <n v="0"/>
    <m/>
    <n v="0"/>
    <n v="1"/>
    <n v="-1"/>
    <n v="0"/>
    <n v="0"/>
    <n v="0"/>
    <n v="0"/>
    <n v="0"/>
    <n v="1"/>
    <n v="-1"/>
    <n v="0"/>
    <n v="0"/>
    <n v="0"/>
    <n v="0"/>
    <n v="0"/>
    <n v="0"/>
    <n v="0"/>
    <n v="0"/>
    <n v="0"/>
    <n v="0"/>
    <n v="0"/>
    <n v="0"/>
    <n v="0"/>
    <n v="0"/>
    <n v="0"/>
    <n v="0"/>
    <n v="0"/>
    <n v="0"/>
    <s v="Tooting"/>
    <m/>
    <s v="Tooting"/>
    <n v="15"/>
    <m/>
    <n v="0"/>
    <n v="0"/>
    <n v="0"/>
    <n v="0"/>
    <m/>
    <m/>
    <m/>
    <m/>
    <m/>
    <m/>
    <m/>
    <m/>
    <m/>
    <m/>
    <m/>
    <m/>
    <m/>
    <m/>
    <m/>
    <n v="0"/>
    <n v="0"/>
  </r>
  <r>
    <n v="7076"/>
    <x v="1"/>
    <s v="2019/1697"/>
    <s v="57-63 Tooting High Street"/>
    <s v="conversion"/>
    <n v="527497"/>
    <n v="171501"/>
    <s v="Tooting Broadway"/>
    <m/>
    <m/>
    <n v="7"/>
    <n v="7"/>
    <n v="0"/>
    <n v="11"/>
    <n v="4"/>
    <s v="Y"/>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m/>
    <s v="Nil"/>
    <m/>
    <s v="BF"/>
    <s v="MIX"/>
    <x v="4"/>
    <x v="0"/>
    <n v="2.3E-2"/>
    <m/>
    <x v="0"/>
    <m/>
    <s v="Open Market"/>
    <s v="M"/>
    <s v="5.2"/>
    <m/>
    <n v="0"/>
    <m/>
    <n v="0"/>
    <m/>
    <n v="2"/>
    <n v="0"/>
    <n v="3"/>
    <n v="-4"/>
    <n v="-1"/>
    <n v="0"/>
    <n v="0"/>
    <n v="2"/>
    <n v="0"/>
    <n v="3"/>
    <n v="-4"/>
    <n v="-1"/>
    <n v="0"/>
    <n v="0"/>
    <n v="0"/>
    <n v="0"/>
    <n v="0"/>
    <n v="0"/>
    <n v="0"/>
    <n v="0"/>
    <n v="0"/>
    <n v="0"/>
    <n v="0"/>
    <n v="0"/>
    <n v="0"/>
    <n v="0"/>
    <n v="0"/>
    <n v="0"/>
    <s v="Tooting"/>
    <m/>
    <s v="Tooting"/>
    <n v="15"/>
    <m/>
    <n v="0"/>
    <n v="0"/>
    <n v="0"/>
    <n v="0"/>
    <m/>
    <m/>
    <m/>
    <m/>
    <m/>
    <m/>
    <m/>
    <m/>
    <m/>
    <m/>
    <m/>
    <m/>
    <m/>
    <m/>
    <m/>
    <n v="0"/>
    <n v="0"/>
  </r>
  <r>
    <n v="6983"/>
    <x v="1"/>
    <s v="2019/1556"/>
    <s v="824 Garratt Lane"/>
    <s v="Conversion"/>
    <n v="526930"/>
    <n v="171771"/>
    <s v="Tooting Broadway"/>
    <m/>
    <m/>
    <n v="1"/>
    <n v="1"/>
    <n v="0"/>
    <n v="3"/>
    <n v="2"/>
    <m/>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m/>
    <s v="Nil"/>
    <m/>
    <s v="BF"/>
    <s v="MIX"/>
    <x v="2"/>
    <x v="7"/>
    <n v="3.0000000000000001E-3"/>
    <m/>
    <x v="0"/>
    <m/>
    <s v="Open Market"/>
    <s v="M"/>
    <s v=""/>
    <m/>
    <n v="0"/>
    <m/>
    <n v="0"/>
    <m/>
    <n v="0"/>
    <n v="1"/>
    <n v="-1"/>
    <n v="0"/>
    <n v="0"/>
    <n v="0"/>
    <n v="0"/>
    <n v="0"/>
    <n v="1"/>
    <n v="-1"/>
    <n v="0"/>
    <n v="0"/>
    <n v="0"/>
    <n v="0"/>
    <n v="0"/>
    <n v="0"/>
    <n v="0"/>
    <n v="0"/>
    <n v="0"/>
    <n v="0"/>
    <n v="0"/>
    <n v="0"/>
    <n v="0"/>
    <n v="0"/>
    <n v="0"/>
    <n v="0"/>
    <n v="0"/>
    <n v="0"/>
    <m/>
    <m/>
    <s v="Rest of Borough"/>
    <n v="15"/>
    <m/>
    <n v="0"/>
    <n v="0"/>
    <n v="0"/>
    <n v="0"/>
    <m/>
    <m/>
    <m/>
    <m/>
    <m/>
    <m/>
    <m/>
    <m/>
    <m/>
    <m/>
    <m/>
    <m/>
    <m/>
    <m/>
    <m/>
    <n v="0"/>
    <n v="0"/>
  </r>
  <r>
    <n v="7015"/>
    <x v="1"/>
    <s v="2018/3776"/>
    <s v="York Road Business Centre, 55-59 Lombard Road"/>
    <s v="Core 1"/>
    <n v="526723"/>
    <n v="176108"/>
    <s v="St Mary's"/>
    <d v="2019-06-30T00:00:00"/>
    <m/>
    <n v="0"/>
    <n v="108"/>
    <n v="108"/>
    <n v="168"/>
    <n v="168"/>
    <s v="Y"/>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m/>
    <s v="Nil"/>
    <m/>
    <s v="BF"/>
    <s v="NB"/>
    <x v="0"/>
    <x v="0"/>
    <n v="0.19500000000000001"/>
    <m/>
    <x v="0"/>
    <m/>
    <s v="Open Market"/>
    <s v="M"/>
    <s v="10.9"/>
    <m/>
    <n v="0"/>
    <n v="157"/>
    <n v="0"/>
    <n v="5"/>
    <n v="0"/>
    <n v="27"/>
    <n v="60"/>
    <n v="18"/>
    <n v="3"/>
    <n v="0"/>
    <n v="0"/>
    <n v="0"/>
    <n v="27"/>
    <n v="60"/>
    <n v="18"/>
    <n v="3"/>
    <n v="0"/>
    <n v="0"/>
    <n v="0"/>
    <n v="0"/>
    <n v="0"/>
    <n v="0"/>
    <n v="0"/>
    <n v="0"/>
    <n v="0"/>
    <n v="0"/>
    <n v="0"/>
    <n v="0"/>
    <n v="0"/>
    <n v="0"/>
    <n v="0"/>
    <n v="0"/>
    <m/>
    <m/>
    <s v="Clapham Junction Spatial Area Strategy"/>
    <n v="10"/>
    <m/>
    <m/>
    <m/>
    <m/>
    <n v="36"/>
    <n v="36"/>
    <n v="36"/>
    <m/>
    <m/>
    <m/>
    <m/>
    <m/>
    <m/>
    <m/>
    <m/>
    <m/>
    <m/>
    <m/>
    <m/>
    <m/>
    <n v="72"/>
    <n v="108"/>
  </r>
  <r>
    <n v="7015"/>
    <x v="1"/>
    <s v="2018/3776"/>
    <s v="York Road Business Centre, 55-59 Lombard Road"/>
    <s v="Core 2"/>
    <n v="526723"/>
    <n v="176108"/>
    <s v="St Mary's"/>
    <d v="2019-06-30T00:00:00"/>
    <m/>
    <n v="0"/>
    <n v="21"/>
    <n v="21"/>
    <n v="168"/>
    <n v="168"/>
    <s v="Y"/>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m/>
    <s v="Nil"/>
    <m/>
    <s v="BF"/>
    <s v="NB"/>
    <x v="0"/>
    <x v="0"/>
    <n v="3.7999999999999999E-2"/>
    <m/>
    <x v="0"/>
    <m/>
    <s v="Intermediate"/>
    <s v="IU"/>
    <s v="10.9"/>
    <m/>
    <n v="0"/>
    <m/>
    <n v="0"/>
    <n v="2"/>
    <n v="0"/>
    <n v="4"/>
    <n v="14"/>
    <n v="3"/>
    <n v="0"/>
    <n v="0"/>
    <n v="0"/>
    <n v="0"/>
    <n v="4"/>
    <n v="14"/>
    <n v="3"/>
    <n v="0"/>
    <n v="0"/>
    <n v="0"/>
    <n v="0"/>
    <n v="0"/>
    <n v="0"/>
    <n v="0"/>
    <n v="0"/>
    <n v="0"/>
    <n v="0"/>
    <n v="0"/>
    <n v="0"/>
    <n v="0"/>
    <n v="0"/>
    <n v="0"/>
    <n v="0"/>
    <n v="0"/>
    <m/>
    <m/>
    <s v="Clapham Junction Spatial Area Strategy"/>
    <n v="10"/>
    <m/>
    <m/>
    <m/>
    <m/>
    <n v="7"/>
    <n v="7"/>
    <n v="7"/>
    <m/>
    <m/>
    <m/>
    <m/>
    <m/>
    <m/>
    <m/>
    <m/>
    <m/>
    <m/>
    <m/>
    <m/>
    <m/>
    <n v="14"/>
    <n v="21"/>
  </r>
  <r>
    <n v="7015"/>
    <x v="1"/>
    <s v="2018/3776"/>
    <s v="York Road Business Centre, 55-59 Lombard Road"/>
    <s v="Core 3"/>
    <n v="526723"/>
    <n v="176108"/>
    <s v="St Mary's"/>
    <d v="2019-06-30T00:00:00"/>
    <m/>
    <n v="0"/>
    <n v="39"/>
    <n v="39"/>
    <n v="168"/>
    <n v="168"/>
    <s v="Y"/>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m/>
    <s v="Nil"/>
    <m/>
    <s v="BF"/>
    <s v="NB"/>
    <x v="0"/>
    <x v="0"/>
    <n v="7.0999999999999994E-2"/>
    <m/>
    <x v="0"/>
    <m/>
    <s v="Social/Affordable Rent"/>
    <s v="AA"/>
    <s v="10.9"/>
    <m/>
    <n v="0"/>
    <m/>
    <n v="0"/>
    <n v="4"/>
    <n v="0"/>
    <n v="7"/>
    <n v="26"/>
    <n v="6"/>
    <n v="0"/>
    <n v="0"/>
    <n v="0"/>
    <n v="0"/>
    <n v="7"/>
    <n v="26"/>
    <n v="6"/>
    <n v="0"/>
    <n v="0"/>
    <n v="0"/>
    <n v="0"/>
    <n v="0"/>
    <n v="0"/>
    <n v="0"/>
    <n v="0"/>
    <n v="0"/>
    <n v="0"/>
    <n v="0"/>
    <n v="0"/>
    <n v="0"/>
    <n v="0"/>
    <n v="0"/>
    <n v="0"/>
    <n v="0"/>
    <m/>
    <m/>
    <s v="Clapham Junction Spatial Area Strategy"/>
    <n v="10"/>
    <m/>
    <m/>
    <m/>
    <m/>
    <n v="13"/>
    <n v="13"/>
    <n v="13"/>
    <m/>
    <m/>
    <m/>
    <m/>
    <m/>
    <m/>
    <m/>
    <m/>
    <m/>
    <m/>
    <m/>
    <m/>
    <m/>
    <n v="26"/>
    <n v="39"/>
  </r>
  <r>
    <n v="6628"/>
    <x v="1"/>
    <s v="2022/2881"/>
    <s v="66 Alton Road"/>
    <s v="Cottages (New Build)"/>
    <n v="522237"/>
    <n v="173213"/>
    <s v="Roehampton"/>
    <m/>
    <m/>
    <n v="0"/>
    <n v="2"/>
    <n v="2"/>
    <n v="8"/>
    <n v="5"/>
    <m/>
    <s v="Refurbishment and reconfiguration of existing building with extensions to the sides and rear (with associated lightwells) to provide 6 no. flats (2 x 1 bed, 1 x 2 bed, 3 x 3 bed) and the provision of a 2 no. two-storey cottages (2 x 2 bed) to the rear of the site with associated landscaping"/>
    <s v="PF"/>
    <d v="2022-07-08T00:00:00"/>
    <d v="2022-11-23T00:00:00"/>
    <s v="Y"/>
    <s v="Nil"/>
    <m/>
    <s v="BF"/>
    <s v="MIX"/>
    <x v="2"/>
    <x v="1"/>
    <n v="9.7999999999999997E-3"/>
    <m/>
    <x v="0"/>
    <m/>
    <s v="Open Market"/>
    <s v="M"/>
    <s v=""/>
    <m/>
    <n v="0"/>
    <m/>
    <n v="0"/>
    <m/>
    <n v="0"/>
    <n v="0"/>
    <n v="2"/>
    <n v="0"/>
    <n v="0"/>
    <n v="0"/>
    <n v="0"/>
    <n v="0"/>
    <n v="0"/>
    <n v="0"/>
    <n v="0"/>
    <n v="0"/>
    <n v="0"/>
    <n v="0"/>
    <n v="0"/>
    <n v="0"/>
    <n v="2"/>
    <n v="0"/>
    <n v="0"/>
    <n v="0"/>
    <n v="0"/>
    <n v="0"/>
    <n v="0"/>
    <n v="0"/>
    <n v="0"/>
    <n v="0"/>
    <n v="0"/>
    <n v="0"/>
    <m/>
    <m/>
    <s v="Rest of Borough"/>
    <n v="15"/>
    <m/>
    <m/>
    <m/>
    <n v="2"/>
    <m/>
    <m/>
    <m/>
    <m/>
    <m/>
    <m/>
    <m/>
    <m/>
    <m/>
    <m/>
    <m/>
    <m/>
    <m/>
    <m/>
    <m/>
    <m/>
    <n v="2"/>
    <n v="2"/>
  </r>
  <r>
    <n v="6481"/>
    <x v="1"/>
    <s v="2020/1555"/>
    <s v="189 Balham High Road"/>
    <s v="CoU"/>
    <n v="528408"/>
    <n v="173055"/>
    <s v="South Balham"/>
    <m/>
    <m/>
    <n v="0"/>
    <n v="2"/>
    <n v="2"/>
    <n v="3"/>
    <n v="3"/>
    <m/>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m/>
    <s v="Nil"/>
    <m/>
    <s v="BF"/>
    <s v="MIX"/>
    <x v="2"/>
    <x v="6"/>
    <n v="6.0000000000000001E-3"/>
    <m/>
    <x v="0"/>
    <m/>
    <s v="Open Market"/>
    <s v="M"/>
    <s v=""/>
    <m/>
    <n v="0"/>
    <m/>
    <n v="0"/>
    <m/>
    <n v="0"/>
    <n v="2"/>
    <n v="0"/>
    <n v="0"/>
    <n v="0"/>
    <n v="0"/>
    <n v="0"/>
    <n v="0"/>
    <n v="2"/>
    <n v="0"/>
    <n v="0"/>
    <n v="0"/>
    <n v="0"/>
    <n v="0"/>
    <n v="0"/>
    <n v="0"/>
    <n v="0"/>
    <n v="0"/>
    <n v="0"/>
    <n v="0"/>
    <n v="0"/>
    <n v="0"/>
    <n v="0"/>
    <n v="0"/>
    <n v="0"/>
    <n v="0"/>
    <n v="0"/>
    <n v="0"/>
    <m/>
    <m/>
    <s v="Rest of Borough"/>
    <n v="15"/>
    <m/>
    <n v="0.5"/>
    <n v="0.5"/>
    <n v="0.5"/>
    <n v="0.5"/>
    <m/>
    <m/>
    <m/>
    <m/>
    <m/>
    <m/>
    <m/>
    <m/>
    <m/>
    <m/>
    <m/>
    <m/>
    <m/>
    <m/>
    <m/>
    <n v="2"/>
    <n v="2"/>
  </r>
  <r>
    <n v="6953"/>
    <x v="1"/>
    <s v="2019/4849"/>
    <s v="890 Garratt Lane"/>
    <s v="CoU"/>
    <n v="527131"/>
    <n v="171625"/>
    <s v="Tooting Broadway"/>
    <d v="2019-03-31T00:00:00"/>
    <m/>
    <n v="0"/>
    <n v="1"/>
    <n v="1"/>
    <n v="3"/>
    <n v="2"/>
    <m/>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m/>
    <s v="Nil"/>
    <m/>
    <s v="BF"/>
    <s v="MIX"/>
    <x v="2"/>
    <x v="6"/>
    <n v="5.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6983"/>
    <x v="1"/>
    <s v="2019/1556"/>
    <s v="824 Garratt Lane"/>
    <s v="CoU from SG"/>
    <n v="526930"/>
    <n v="171771"/>
    <s v="Tooting Broadway"/>
    <m/>
    <m/>
    <n v="0"/>
    <n v="1"/>
    <n v="1"/>
    <n v="3"/>
    <n v="2"/>
    <m/>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m/>
    <s v="Nil"/>
    <m/>
    <s v="BF"/>
    <s v="MIX"/>
    <x v="2"/>
    <x v="3"/>
    <n v="3.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179"/>
    <x v="1"/>
    <s v="2018/2166"/>
    <s v="1a Merivale Road"/>
    <s v="Cou/extn"/>
    <n v="524331"/>
    <n v="175422"/>
    <s v="Thamesfield"/>
    <m/>
    <m/>
    <n v="0"/>
    <n v="4"/>
    <n v="4"/>
    <n v="7"/>
    <n v="7"/>
    <m/>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m/>
    <s v="Nil"/>
    <m/>
    <s v="BF"/>
    <s v="MIX"/>
    <x v="2"/>
    <x v="3"/>
    <n v="3.9E-2"/>
    <m/>
    <x v="0"/>
    <m/>
    <s v="Open Market"/>
    <s v="M"/>
    <s v=""/>
    <m/>
    <n v="0"/>
    <m/>
    <n v="0"/>
    <m/>
    <n v="0"/>
    <n v="1"/>
    <n v="2"/>
    <n v="1"/>
    <n v="0"/>
    <n v="0"/>
    <n v="0"/>
    <n v="0"/>
    <n v="1"/>
    <n v="2"/>
    <n v="1"/>
    <n v="0"/>
    <n v="0"/>
    <n v="0"/>
    <n v="0"/>
    <n v="0"/>
    <n v="0"/>
    <n v="0"/>
    <n v="0"/>
    <n v="0"/>
    <n v="0"/>
    <n v="0"/>
    <n v="0"/>
    <n v="0"/>
    <n v="0"/>
    <n v="0"/>
    <n v="0"/>
    <n v="0"/>
    <m/>
    <m/>
    <s v="Rest of Borough"/>
    <n v="18"/>
    <m/>
    <n v="1"/>
    <n v="1"/>
    <n v="1"/>
    <n v="1"/>
    <m/>
    <m/>
    <m/>
    <m/>
    <m/>
    <m/>
    <m/>
    <m/>
    <m/>
    <m/>
    <m/>
    <m/>
    <m/>
    <m/>
    <m/>
    <n v="4"/>
    <n v="4"/>
  </r>
  <r>
    <n v="6885"/>
    <x v="1"/>
    <s v="2018/1377"/>
    <s v="217 Garratt Lane"/>
    <s v="CoU+"/>
    <n v="525906"/>
    <n v="173856"/>
    <s v="Wandle"/>
    <m/>
    <m/>
    <n v="1"/>
    <n v="1"/>
    <n v="0"/>
    <n v="3"/>
    <n v="1"/>
    <m/>
    <s v="Alterations including erection of part single/part two storey rear/side extension,  in connection with use of front part of ground floor as a shop and the remainder as, 1 x 2-bedroom and 2 x 1-bedroom flats with rear first floor terrace."/>
    <s v="PF"/>
    <d v="2018-03-27T00:00:00"/>
    <d v="2018-05-22T00:00:00"/>
    <m/>
    <s v="Nil"/>
    <m/>
    <s v="BF"/>
    <s v="MIX"/>
    <x v="2"/>
    <x v="4"/>
    <n v="3.0000000000000001E-3"/>
    <m/>
    <x v="0"/>
    <m/>
    <s v="Open Market"/>
    <s v="M"/>
    <s v=""/>
    <m/>
    <n v="0"/>
    <m/>
    <n v="0"/>
    <m/>
    <n v="-1"/>
    <n v="1"/>
    <n v="0"/>
    <n v="0"/>
    <n v="0"/>
    <n v="0"/>
    <n v="0"/>
    <n v="-1"/>
    <n v="1"/>
    <n v="0"/>
    <n v="0"/>
    <n v="0"/>
    <n v="0"/>
    <n v="0"/>
    <n v="0"/>
    <n v="0"/>
    <n v="0"/>
    <n v="0"/>
    <n v="0"/>
    <n v="0"/>
    <n v="0"/>
    <n v="0"/>
    <n v="0"/>
    <n v="0"/>
    <n v="0"/>
    <n v="0"/>
    <n v="0"/>
    <n v="0"/>
    <m/>
    <m/>
    <s v="The Wandle Valley"/>
    <n v="15"/>
    <m/>
    <n v="0"/>
    <n v="0"/>
    <n v="0"/>
    <n v="0"/>
    <m/>
    <m/>
    <m/>
    <m/>
    <m/>
    <m/>
    <m/>
    <m/>
    <m/>
    <m/>
    <m/>
    <m/>
    <m/>
    <m/>
    <m/>
    <n v="0"/>
    <n v="0"/>
  </r>
  <r>
    <n v="6908"/>
    <x v="1"/>
    <s v="2021/3601"/>
    <s v="Riverside Business Centre and Former Bingo Hall, Bendon Valley"/>
    <s v="Courtyard Building B"/>
    <n v="525716"/>
    <n v="173464"/>
    <s v="Wandle"/>
    <m/>
    <m/>
    <n v="0"/>
    <n v="33"/>
    <n v="33"/>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s v="Y"/>
    <s v="Nil"/>
    <m/>
    <s v="BF"/>
    <s v="NB"/>
    <x v="0"/>
    <x v="0"/>
    <n v="0"/>
    <m/>
    <x v="0"/>
    <m/>
    <s v="Intermediate"/>
    <s v="ISL"/>
    <s v=""/>
    <n v="17320085"/>
    <n v="0"/>
    <m/>
    <n v="0"/>
    <n v="4"/>
    <n v="0"/>
    <n v="13"/>
    <n v="14"/>
    <n v="6"/>
    <n v="0"/>
    <n v="0"/>
    <n v="0"/>
    <n v="0"/>
    <n v="13"/>
    <n v="14"/>
    <n v="6"/>
    <n v="0"/>
    <n v="0"/>
    <n v="0"/>
    <n v="0"/>
    <n v="0"/>
    <n v="0"/>
    <n v="0"/>
    <n v="0"/>
    <n v="0"/>
    <n v="0"/>
    <n v="0"/>
    <n v="0"/>
    <n v="0"/>
    <n v="0"/>
    <n v="0"/>
    <n v="0"/>
    <n v="0"/>
    <m/>
    <m/>
    <s v="The Wandle Valley"/>
    <n v="8"/>
    <m/>
    <m/>
    <m/>
    <m/>
    <n v="33"/>
    <m/>
    <m/>
    <m/>
    <m/>
    <m/>
    <m/>
    <m/>
    <m/>
    <m/>
    <m/>
    <m/>
    <m/>
    <m/>
    <m/>
    <m/>
    <n v="33"/>
    <n v="33"/>
  </r>
  <r>
    <n v="6908"/>
    <x v="1"/>
    <s v="2021/3601"/>
    <s v="Riverside Business Centre and Former Bingo Hall, Bendon Valley"/>
    <s v="Courtyard Building C"/>
    <n v="525716"/>
    <n v="173464"/>
    <s v="Wandle"/>
    <m/>
    <m/>
    <n v="0"/>
    <n v="33"/>
    <n v="33"/>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s v="Y"/>
    <s v="Nil"/>
    <m/>
    <s v="BF"/>
    <s v="NB"/>
    <x v="0"/>
    <x v="0"/>
    <n v="0"/>
    <m/>
    <x v="0"/>
    <m/>
    <s v="Intermediate"/>
    <s v="ISL"/>
    <s v=""/>
    <n v="17320085"/>
    <n v="0"/>
    <m/>
    <n v="0"/>
    <n v="4"/>
    <n v="0"/>
    <n v="14"/>
    <n v="19"/>
    <n v="0"/>
    <n v="0"/>
    <n v="0"/>
    <n v="0"/>
    <n v="0"/>
    <n v="14"/>
    <n v="19"/>
    <n v="0"/>
    <n v="0"/>
    <n v="0"/>
    <n v="0"/>
    <n v="0"/>
    <n v="0"/>
    <n v="0"/>
    <n v="0"/>
    <n v="0"/>
    <n v="0"/>
    <n v="0"/>
    <n v="0"/>
    <n v="0"/>
    <n v="0"/>
    <n v="0"/>
    <n v="0"/>
    <n v="0"/>
    <n v="0"/>
    <m/>
    <m/>
    <s v="The Wandle Valley"/>
    <n v="8"/>
    <m/>
    <m/>
    <m/>
    <m/>
    <n v="33"/>
    <m/>
    <m/>
    <m/>
    <m/>
    <m/>
    <m/>
    <m/>
    <m/>
    <m/>
    <m/>
    <m/>
    <m/>
    <m/>
    <m/>
    <m/>
    <n v="33"/>
    <n v="33"/>
  </r>
  <r>
    <n v="6908"/>
    <x v="1"/>
    <s v="2021/3601"/>
    <s v="Riverside Business Centre and Former Bingo Hall, Bendon Valley"/>
    <s v="Courtyard Building D"/>
    <n v="525716"/>
    <n v="173464"/>
    <s v="Wandle"/>
    <m/>
    <m/>
    <n v="0"/>
    <n v="66"/>
    <n v="66"/>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s v="Y"/>
    <s v="Nil"/>
    <m/>
    <s v="BF"/>
    <s v="NB"/>
    <x v="0"/>
    <x v="0"/>
    <n v="0"/>
    <m/>
    <x v="0"/>
    <m/>
    <s v="Social/Affordable Rent"/>
    <s v="AL"/>
    <s v=""/>
    <n v="17320085"/>
    <n v="0"/>
    <m/>
    <n v="0"/>
    <n v="8"/>
    <n v="0"/>
    <n v="8"/>
    <n v="27"/>
    <n v="25"/>
    <n v="6"/>
    <n v="0"/>
    <n v="0"/>
    <n v="0"/>
    <n v="8"/>
    <n v="27"/>
    <n v="25"/>
    <n v="6"/>
    <n v="0"/>
    <n v="0"/>
    <n v="0"/>
    <n v="0"/>
    <n v="0"/>
    <n v="0"/>
    <n v="0"/>
    <n v="0"/>
    <n v="0"/>
    <n v="0"/>
    <n v="0"/>
    <n v="0"/>
    <n v="0"/>
    <n v="0"/>
    <n v="0"/>
    <n v="0"/>
    <m/>
    <m/>
    <s v="The Wandle Valley"/>
    <n v="8"/>
    <m/>
    <m/>
    <m/>
    <m/>
    <n v="66"/>
    <m/>
    <m/>
    <m/>
    <m/>
    <m/>
    <m/>
    <m/>
    <m/>
    <m/>
    <m/>
    <m/>
    <m/>
    <m/>
    <m/>
    <m/>
    <n v="66"/>
    <n v="66"/>
  </r>
  <r>
    <n v="6908"/>
    <x v="1"/>
    <s v="2021/3601"/>
    <s v="Riverside Business Centre and Former Bingo Hall, Bendon Valley"/>
    <s v="Courtyard Building E"/>
    <n v="525716"/>
    <n v="173464"/>
    <s v="Wandle"/>
    <m/>
    <m/>
    <n v="0"/>
    <n v="55"/>
    <n v="55"/>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s v="Y"/>
    <s v="Nil"/>
    <m/>
    <s v="BF"/>
    <s v="NB"/>
    <x v="0"/>
    <x v="0"/>
    <n v="0"/>
    <m/>
    <x v="0"/>
    <m/>
    <s v="Open Market"/>
    <s v="M"/>
    <s v=""/>
    <n v="17320085"/>
    <n v="0"/>
    <m/>
    <n v="0"/>
    <m/>
    <n v="0"/>
    <n v="14"/>
    <n v="35"/>
    <n v="6"/>
    <n v="0"/>
    <n v="0"/>
    <n v="0"/>
    <n v="0"/>
    <n v="14"/>
    <n v="35"/>
    <n v="6"/>
    <n v="0"/>
    <n v="0"/>
    <n v="0"/>
    <n v="0"/>
    <n v="0"/>
    <n v="0"/>
    <n v="0"/>
    <n v="0"/>
    <n v="0"/>
    <n v="0"/>
    <n v="0"/>
    <n v="0"/>
    <n v="0"/>
    <n v="0"/>
    <n v="0"/>
    <n v="0"/>
    <n v="0"/>
    <m/>
    <m/>
    <s v="The Wandle Valley"/>
    <n v="8"/>
    <m/>
    <m/>
    <m/>
    <m/>
    <n v="55"/>
    <m/>
    <m/>
    <m/>
    <m/>
    <m/>
    <m/>
    <m/>
    <m/>
    <m/>
    <m/>
    <m/>
    <m/>
    <m/>
    <m/>
    <m/>
    <n v="55"/>
    <n v="55"/>
  </r>
  <r>
    <n v="6908"/>
    <x v="1"/>
    <s v="2021/3601"/>
    <s v="Riverside Business Centre and Former Bingo Hall, Bendon Valley"/>
    <s v="Courtyard Building F"/>
    <n v="525716"/>
    <n v="173464"/>
    <s v="Wandle"/>
    <m/>
    <m/>
    <n v="0"/>
    <n v="75"/>
    <n v="75"/>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s v="Y"/>
    <s v="Nil"/>
    <m/>
    <s v="BF"/>
    <s v="NB"/>
    <x v="0"/>
    <x v="0"/>
    <n v="0"/>
    <m/>
    <x v="0"/>
    <m/>
    <s v="Open Market"/>
    <s v="M"/>
    <s v=""/>
    <n v="17320085"/>
    <n v="0"/>
    <m/>
    <n v="0"/>
    <m/>
    <n v="5"/>
    <n v="47"/>
    <n v="23"/>
    <n v="0"/>
    <n v="0"/>
    <n v="0"/>
    <n v="0"/>
    <n v="5"/>
    <n v="47"/>
    <n v="23"/>
    <n v="0"/>
    <n v="0"/>
    <n v="0"/>
    <n v="0"/>
    <n v="0"/>
    <n v="0"/>
    <n v="0"/>
    <n v="0"/>
    <n v="0"/>
    <n v="0"/>
    <n v="0"/>
    <n v="0"/>
    <n v="0"/>
    <n v="0"/>
    <n v="0"/>
    <n v="0"/>
    <n v="0"/>
    <n v="0"/>
    <m/>
    <m/>
    <s v="The Wandle Valley"/>
    <n v="8"/>
    <m/>
    <m/>
    <m/>
    <m/>
    <n v="75"/>
    <m/>
    <m/>
    <m/>
    <m/>
    <m/>
    <m/>
    <m/>
    <m/>
    <m/>
    <m/>
    <m/>
    <m/>
    <m/>
    <m/>
    <m/>
    <n v="75"/>
    <n v="75"/>
  </r>
  <r>
    <n v="1813"/>
    <x v="1"/>
    <s v="2019/5337"/>
    <s v="Electricity substation, Tilford Gardens"/>
    <s v="Dwelling 1 (2-storey)"/>
    <n v="523804"/>
    <n v="173079"/>
    <s v="West Hill"/>
    <m/>
    <m/>
    <n v="0"/>
    <n v="1"/>
    <n v="1"/>
    <n v="2"/>
    <n v="2"/>
    <m/>
    <s v="Alterations including relocation of electricity substation in connection with erection of 1 x two storey 3-bedroom and 1 x three-storey 3-bedroom houses with first floor level terrace, associated parking and refuse/cycle storage."/>
    <s v="PF"/>
    <d v="2020-01-14T00:00:00"/>
    <d v="2020-04-02T00:00:00"/>
    <m/>
    <s v="Nil"/>
    <m/>
    <s v="BF"/>
    <s v="NB"/>
    <x v="2"/>
    <x v="1"/>
    <n v="3.7999999999999999E-2"/>
    <m/>
    <x v="0"/>
    <m/>
    <s v="Open Market"/>
    <s v="M"/>
    <s v=""/>
    <m/>
    <n v="0"/>
    <m/>
    <n v="0"/>
    <m/>
    <n v="0"/>
    <n v="0"/>
    <n v="0"/>
    <n v="1"/>
    <n v="0"/>
    <n v="0"/>
    <n v="0"/>
    <n v="0"/>
    <n v="0"/>
    <n v="0"/>
    <n v="0"/>
    <n v="0"/>
    <n v="0"/>
    <n v="0"/>
    <n v="0"/>
    <n v="0"/>
    <n v="0"/>
    <n v="1"/>
    <n v="0"/>
    <n v="0"/>
    <n v="0"/>
    <n v="0"/>
    <n v="0"/>
    <n v="0"/>
    <n v="0"/>
    <n v="0"/>
    <n v="0"/>
    <n v="0"/>
    <m/>
    <m/>
    <s v="Rest of Borough"/>
    <n v="7"/>
    <m/>
    <m/>
    <n v="0.25"/>
    <n v="0.25"/>
    <n v="0.25"/>
    <n v="0.25"/>
    <m/>
    <m/>
    <m/>
    <m/>
    <m/>
    <m/>
    <m/>
    <m/>
    <m/>
    <m/>
    <m/>
    <m/>
    <m/>
    <m/>
    <n v="1"/>
    <n v="1"/>
  </r>
  <r>
    <n v="1813"/>
    <x v="1"/>
    <s v="2019/5337"/>
    <s v="Electricity substation, Tilford Gardens"/>
    <s v="Dwelling 2 (3-storey)"/>
    <n v="523804"/>
    <n v="173079"/>
    <s v="West Hill"/>
    <m/>
    <m/>
    <n v="0"/>
    <n v="1"/>
    <n v="1"/>
    <n v="2"/>
    <n v="2"/>
    <m/>
    <s v="Alterations including relocation of electricity substation in connection with erection of 1 x two storey 3-bedroom and 1 x three-storey 3-bedroom houses with first floor level terrace, associated parking and refuse/cycle storage."/>
    <s v="PF"/>
    <d v="2020-01-14T00:00:00"/>
    <d v="2020-04-02T00:00:00"/>
    <m/>
    <s v="Nil"/>
    <m/>
    <s v="BF"/>
    <s v="NB"/>
    <x v="2"/>
    <x v="1"/>
    <n v="3.2000000000000001E-2"/>
    <m/>
    <x v="0"/>
    <m/>
    <s v="Open Market"/>
    <s v="M"/>
    <s v=""/>
    <m/>
    <n v="0"/>
    <m/>
    <n v="0"/>
    <m/>
    <n v="0"/>
    <n v="0"/>
    <n v="0"/>
    <n v="1"/>
    <n v="0"/>
    <n v="0"/>
    <n v="0"/>
    <n v="0"/>
    <n v="0"/>
    <n v="0"/>
    <n v="0"/>
    <n v="0"/>
    <n v="0"/>
    <n v="0"/>
    <n v="0"/>
    <n v="0"/>
    <n v="0"/>
    <n v="1"/>
    <n v="0"/>
    <n v="0"/>
    <n v="0"/>
    <n v="0"/>
    <n v="0"/>
    <n v="0"/>
    <n v="0"/>
    <n v="0"/>
    <n v="0"/>
    <n v="0"/>
    <m/>
    <m/>
    <s v="Rest of Borough"/>
    <n v="7"/>
    <m/>
    <m/>
    <n v="0.25"/>
    <n v="0.25"/>
    <n v="0.25"/>
    <n v="0.25"/>
    <m/>
    <m/>
    <m/>
    <m/>
    <m/>
    <m/>
    <m/>
    <m/>
    <m/>
    <m/>
    <m/>
    <m/>
    <m/>
    <m/>
    <n v="1"/>
    <n v="1"/>
  </r>
  <r>
    <n v="3511"/>
    <x v="1"/>
    <s v="2018/5698"/>
    <s v="New Covent Garden Market, Nine Elms Lane (Combined Main Market, Entrance site and Thessaly College site)"/>
    <s v="N12"/>
    <n v="529369"/>
    <n v="177317"/>
    <s v="Nine Elms"/>
    <d v="2019-07-26T00:00:00"/>
    <m/>
    <n v="0"/>
    <n v="13"/>
    <n v="13"/>
    <n v="559"/>
    <n v="559"/>
    <s v="Y"/>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a_Marketand ancillary buildings and structures, and residential building on Nine Elms Lane (apart from the existing multi storey car park); (b) Construction_x000a_ofmixed-use redevelopment comprising: a new Fruit and Vegetable Market and Flower Market and ancillary uses, including temporary and_x000a_permanentfaçade; refurbishment and extension of existing waste collection area (including rooftop sports pitches); residential dwellings; flexible_x000a_commercial uses, including retail, financial and professional services, café/restaurant, bar uses and hot food takeaways and offices; non-residential_x000a_institutions; assembly and leisure uses; temporary storage and distribution buildings and associated works; associated car, cycle and motorcycle_x000a_parking and servicing and new vehicle accesses, energy centres; and landscaping public realm and open space including part of the Linear Park._x000a_All matters reserved apart from access, details of all new markets and supporting buildings, and details of Building N8 and associated landscaping);_x000a_(c) Site clearance and enabling works. An Environmental Statement has been submitted with the application under The Town and Country Planning_x000a_(Environmental Impact Assessment) Regulations 2011.&quot;"/>
    <s v="DT"/>
    <d v="2018-11-29T00:00:00"/>
    <d v="2019-03-22T00:00:00"/>
    <m/>
    <s v="Nil"/>
    <m/>
    <s v="BF"/>
    <s v="NB"/>
    <x v="0"/>
    <x v="0"/>
    <n v="7.1999999999999995E-2"/>
    <m/>
    <x v="0"/>
    <m/>
    <s v="Intermediate"/>
    <s v="ISO"/>
    <s v="2.1.27"/>
    <m/>
    <n v="13"/>
    <m/>
    <n v="0"/>
    <m/>
    <n v="0"/>
    <n v="6"/>
    <n v="6"/>
    <n v="1"/>
    <n v="0"/>
    <n v="0"/>
    <n v="0"/>
    <n v="0"/>
    <n v="6"/>
    <n v="6"/>
    <n v="1"/>
    <n v="0"/>
    <n v="0"/>
    <n v="0"/>
    <n v="0"/>
    <n v="0"/>
    <n v="0"/>
    <n v="0"/>
    <n v="0"/>
    <n v="0"/>
    <n v="0"/>
    <n v="0"/>
    <n v="0"/>
    <n v="0"/>
    <n v="0"/>
    <n v="0"/>
    <n v="0"/>
    <n v="0"/>
    <m/>
    <s v="Y"/>
    <s v="Nine Elms Vauxhall Opportunity Area"/>
    <n v="10"/>
    <m/>
    <m/>
    <m/>
    <m/>
    <n v="4.333333333333333"/>
    <n v="4.333333333333333"/>
    <n v="4.333333333333333"/>
    <m/>
    <m/>
    <m/>
    <m/>
    <m/>
    <m/>
    <m/>
    <m/>
    <m/>
    <m/>
    <m/>
    <m/>
    <m/>
    <n v="8.6666666666666661"/>
    <n v="13"/>
  </r>
  <r>
    <n v="3511"/>
    <x v="2"/>
    <s v="2019/2995"/>
    <s v="New Covent Garden Market, Nine Elms Lane (Combined Main Market, Entrance site and Thessaly College site)"/>
    <s v="N2a"/>
    <n v="529369"/>
    <n v="177317"/>
    <s v="Nine Elms"/>
    <d v="2019-12-01T00:00:00"/>
    <m/>
    <n v="0"/>
    <n v="81"/>
    <n v="81"/>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0"/>
    <x v="0"/>
    <n v="0.48799999999999999"/>
    <d v="2019-12-01T00:00:00"/>
    <x v="0"/>
    <m/>
    <s v="Intermediate"/>
    <s v="ISO"/>
    <s v="2.1.27"/>
    <m/>
    <n v="0"/>
    <n v="65"/>
    <n v="0"/>
    <n v="16"/>
    <n v="0"/>
    <n v="37"/>
    <n v="36"/>
    <n v="8"/>
    <n v="0"/>
    <n v="0"/>
    <n v="0"/>
    <n v="0"/>
    <n v="37"/>
    <n v="36"/>
    <n v="8"/>
    <n v="0"/>
    <n v="0"/>
    <n v="0"/>
    <n v="0"/>
    <n v="0"/>
    <n v="0"/>
    <n v="0"/>
    <n v="0"/>
    <n v="0"/>
    <n v="0"/>
    <n v="0"/>
    <n v="0"/>
    <n v="0"/>
    <n v="0"/>
    <n v="0"/>
    <n v="0"/>
    <n v="0"/>
    <m/>
    <s v="Y"/>
    <s v="Nine Elms Vauxhall Opportunity Area"/>
    <n v="5"/>
    <m/>
    <m/>
    <m/>
    <n v="81"/>
    <m/>
    <m/>
    <m/>
    <m/>
    <m/>
    <m/>
    <m/>
    <m/>
    <m/>
    <m/>
    <m/>
    <m/>
    <m/>
    <m/>
    <m/>
    <m/>
    <n v="81"/>
    <n v="81"/>
  </r>
  <r>
    <n v="3511"/>
    <x v="2"/>
    <s v="2019/2995"/>
    <s v="New Covent Garden Market, Nine Elms Lane (Combined Main Market, Entrance site and Thessaly College site)"/>
    <s v="N2b"/>
    <n v="529369"/>
    <n v="177317"/>
    <s v="Nine Elms"/>
    <d v="2019-12-01T00:00:00"/>
    <m/>
    <n v="0"/>
    <n v="19"/>
    <n v="19"/>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0"/>
    <x v="0"/>
    <n v="0.44"/>
    <d v="2019-12-01T00:00:00"/>
    <x v="0"/>
    <m/>
    <s v="Open Market"/>
    <s v="M"/>
    <s v="2.1.27"/>
    <m/>
    <n v="0"/>
    <n v="13"/>
    <n v="0"/>
    <n v="6"/>
    <n v="1"/>
    <n v="1"/>
    <n v="0"/>
    <n v="17"/>
    <n v="0"/>
    <n v="0"/>
    <n v="0"/>
    <n v="1"/>
    <n v="1"/>
    <n v="0"/>
    <n v="17"/>
    <n v="0"/>
    <n v="0"/>
    <n v="0"/>
    <n v="0"/>
    <n v="0"/>
    <n v="0"/>
    <n v="0"/>
    <n v="0"/>
    <n v="0"/>
    <n v="0"/>
    <n v="0"/>
    <n v="0"/>
    <n v="0"/>
    <n v="0"/>
    <n v="0"/>
    <n v="0"/>
    <n v="0"/>
    <m/>
    <s v="Y"/>
    <s v="Nine Elms Vauxhall Opportunity Area"/>
    <n v="5"/>
    <m/>
    <m/>
    <m/>
    <n v="19"/>
    <m/>
    <m/>
    <m/>
    <m/>
    <m/>
    <m/>
    <m/>
    <m/>
    <m/>
    <m/>
    <m/>
    <m/>
    <m/>
    <m/>
    <m/>
    <m/>
    <n v="19"/>
    <n v="19"/>
  </r>
  <r>
    <n v="3511"/>
    <x v="2"/>
    <s v="2019/2995"/>
    <s v="New Covent Garden Market, Nine Elms Lane (Combined Main Market, Entrance site and Thessaly College site)"/>
    <s v="N3"/>
    <n v="529369"/>
    <n v="177317"/>
    <s v="Nine Elms"/>
    <d v="2019-12-01T00:00:00"/>
    <m/>
    <n v="0"/>
    <n v="41"/>
    <n v="41"/>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0"/>
    <x v="0"/>
    <n v="0.50600000000000001"/>
    <d v="2019-12-01T00:00:00"/>
    <x v="0"/>
    <m/>
    <s v="Open Market"/>
    <s v="M"/>
    <s v="2.1.27"/>
    <m/>
    <n v="0"/>
    <n v="37"/>
    <n v="0"/>
    <n v="4"/>
    <n v="2"/>
    <n v="2"/>
    <n v="10"/>
    <n v="25"/>
    <n v="2"/>
    <n v="0"/>
    <n v="0"/>
    <n v="2"/>
    <n v="2"/>
    <n v="10"/>
    <n v="25"/>
    <n v="2"/>
    <n v="0"/>
    <n v="0"/>
    <n v="0"/>
    <n v="0"/>
    <n v="0"/>
    <n v="0"/>
    <n v="0"/>
    <n v="0"/>
    <n v="0"/>
    <n v="0"/>
    <n v="0"/>
    <n v="0"/>
    <n v="0"/>
    <n v="0"/>
    <n v="0"/>
    <n v="0"/>
    <m/>
    <s v="Y"/>
    <s v="Nine Elms Vauxhall Opportunity Area"/>
    <n v="5"/>
    <m/>
    <m/>
    <m/>
    <n v="41"/>
    <m/>
    <m/>
    <m/>
    <m/>
    <m/>
    <m/>
    <m/>
    <m/>
    <m/>
    <m/>
    <m/>
    <m/>
    <m/>
    <m/>
    <m/>
    <m/>
    <n v="41"/>
    <n v="41"/>
  </r>
  <r>
    <n v="3511"/>
    <x v="2"/>
    <s v="2019/2995"/>
    <s v="New Covent Garden Market, Nine Elms Lane (Combined Main Market, Entrance site and Thessaly College site)"/>
    <s v="N4"/>
    <n v="529369"/>
    <n v="177317"/>
    <s v="Nine Elms"/>
    <d v="2019-12-01T00:00:00"/>
    <m/>
    <n v="0"/>
    <n v="59"/>
    <n v="59"/>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0"/>
    <x v="0"/>
    <n v="0.48799999999999999"/>
    <d v="2021-04-01T00:00:00"/>
    <x v="0"/>
    <m/>
    <s v="Open Market"/>
    <s v="M"/>
    <s v="2.1.27"/>
    <m/>
    <n v="0"/>
    <n v="47"/>
    <n v="0"/>
    <n v="12"/>
    <n v="0"/>
    <n v="0"/>
    <n v="33"/>
    <n v="25"/>
    <n v="1"/>
    <n v="0"/>
    <n v="0"/>
    <n v="0"/>
    <n v="0"/>
    <n v="33"/>
    <n v="25"/>
    <n v="1"/>
    <n v="0"/>
    <n v="0"/>
    <n v="0"/>
    <n v="0"/>
    <n v="0"/>
    <n v="0"/>
    <n v="0"/>
    <n v="0"/>
    <n v="0"/>
    <n v="0"/>
    <n v="0"/>
    <n v="0"/>
    <n v="0"/>
    <n v="0"/>
    <n v="0"/>
    <n v="0"/>
    <m/>
    <s v="Y"/>
    <s v="Nine Elms Vauxhall Opportunity Area"/>
    <n v="5"/>
    <m/>
    <m/>
    <m/>
    <n v="59"/>
    <m/>
    <m/>
    <m/>
    <m/>
    <m/>
    <m/>
    <m/>
    <m/>
    <m/>
    <m/>
    <m/>
    <m/>
    <m/>
    <m/>
    <m/>
    <m/>
    <n v="59"/>
    <n v="59"/>
  </r>
  <r>
    <n v="3511"/>
    <x v="2"/>
    <s v="2019/2995"/>
    <s v="New Covent Garden Market, Nine Elms Lane (Combined Main Market, Entrance site and Thessaly College site)"/>
    <s v="N5"/>
    <n v="529369"/>
    <n v="177317"/>
    <s v="Nine Elms"/>
    <d v="2019-12-01T00:00:00"/>
    <m/>
    <n v="0"/>
    <n v="60"/>
    <n v="60"/>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x v="0"/>
    <x v="0"/>
    <n v="0.69899999999999995"/>
    <d v="2021-04-01T00:00:00"/>
    <x v="0"/>
    <m/>
    <s v="Open Market"/>
    <s v="M"/>
    <s v="2.1.27"/>
    <m/>
    <n v="0"/>
    <n v="54"/>
    <n v="0"/>
    <n v="6"/>
    <n v="0"/>
    <n v="12"/>
    <n v="22"/>
    <n v="25"/>
    <n v="1"/>
    <n v="0"/>
    <n v="0"/>
    <n v="0"/>
    <n v="12"/>
    <n v="22"/>
    <n v="25"/>
    <n v="1"/>
    <n v="0"/>
    <n v="0"/>
    <n v="0"/>
    <n v="0"/>
    <n v="0"/>
    <n v="0"/>
    <n v="0"/>
    <n v="0"/>
    <n v="0"/>
    <n v="0"/>
    <n v="0"/>
    <n v="0"/>
    <n v="0"/>
    <n v="0"/>
    <n v="0"/>
    <n v="0"/>
    <m/>
    <s v="Y"/>
    <s v="Nine Elms Vauxhall Opportunity Area"/>
    <n v="5"/>
    <m/>
    <m/>
    <m/>
    <n v="60"/>
    <m/>
    <m/>
    <m/>
    <m/>
    <m/>
    <m/>
    <m/>
    <m/>
    <m/>
    <m/>
    <m/>
    <m/>
    <m/>
    <m/>
    <m/>
    <m/>
    <n v="60"/>
    <n v="60"/>
  </r>
  <r>
    <n v="3511"/>
    <x v="2"/>
    <s v="2021/0660"/>
    <s v="New Covent Garden Market, Nine Elms Lane (Combined Main Market, Entrance site and Thessaly College site)"/>
    <s v="N6"/>
    <n v="529369"/>
    <n v="177317"/>
    <s v="Nine Elms"/>
    <d v="2019-12-01T00:00:00"/>
    <m/>
    <n v="0"/>
    <n v="17"/>
    <n v="17"/>
    <n v="17"/>
    <n v="17"/>
    <s v="Y"/>
    <s v="Non-Material Amendment (S96A) to amend the details of Reserved Matters approval (ref. 2019/2995 - dated 22 November 2019) for Phase 2 and amended under ref. 2020/1541 (approved 27 May 2020) for 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21-02-12T00:00:00"/>
    <d v="2021-05-12T00:00:00"/>
    <m/>
    <s v="Nil"/>
    <m/>
    <s v="BF"/>
    <s v="NB"/>
    <x v="0"/>
    <x v="0"/>
    <n v="0.72299999999999998"/>
    <d v="2019-12-01T00:00:00"/>
    <x v="0"/>
    <m/>
    <s v="Open Market"/>
    <s v="M"/>
    <s v="2.1.27"/>
    <m/>
    <n v="0"/>
    <m/>
    <n v="0"/>
    <m/>
    <n v="0"/>
    <n v="0"/>
    <n v="0"/>
    <n v="0"/>
    <n v="17"/>
    <n v="0"/>
    <n v="0"/>
    <n v="0"/>
    <n v="0"/>
    <n v="0"/>
    <n v="0"/>
    <n v="17"/>
    <n v="0"/>
    <n v="0"/>
    <n v="0"/>
    <n v="0"/>
    <n v="0"/>
    <n v="0"/>
    <n v="0"/>
    <n v="0"/>
    <n v="0"/>
    <n v="0"/>
    <n v="0"/>
    <n v="0"/>
    <n v="0"/>
    <n v="0"/>
    <n v="0"/>
    <n v="0"/>
    <m/>
    <s v="Y"/>
    <s v="Nine Elms Vauxhall Opportunity Area"/>
    <n v="5"/>
    <m/>
    <n v="17"/>
    <m/>
    <m/>
    <m/>
    <m/>
    <m/>
    <m/>
    <m/>
    <m/>
    <m/>
    <m/>
    <m/>
    <m/>
    <m/>
    <m/>
    <m/>
    <m/>
    <m/>
    <m/>
    <n v="17"/>
    <n v="17"/>
  </r>
  <r>
    <n v="3511"/>
    <x v="0"/>
    <s v="2021/5316"/>
    <s v="New Covent Garden Market, Nine Elms Lane (Combined Main Market, Entrance site and Thessaly College site)"/>
    <s v="N8"/>
    <n v="529369"/>
    <n v="177317"/>
    <s v="Nine Elms"/>
    <d v="2019-05-28T00:00:00"/>
    <d v="2023-03-31T00:00:00"/>
    <n v="0"/>
    <n v="299"/>
    <n v="299"/>
    <n v="299"/>
    <n v="299"/>
    <s v="Y"/>
    <s v="Non Material Amendment under Section 96A of the TCPA in respect of Building N8 pursuant to planning permission 2014/2810 (as amended by planning permission 2019/4186), dated 11th February 2015 for &quot;(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was submitted with the application under The Town and Country Planning (Environmental Impact Assessment) Regulations 2011).&quot; Summary of Amendments: Reconfiguration of retail units; Improved access arrangement; minor changes to elevations to reflect amended internal layouts;  changing the top floor quadplex into two duplex units, as follows: One duplex unit at Levels 49 and 50 an one duplex unit at Levels 51 and 52"/>
    <s v="S96A"/>
    <d v="2021-11-22T00:00:00"/>
    <d v="2022-04-06T00:00:00"/>
    <s v="Y"/>
    <s v="Nil"/>
    <m/>
    <s v="BF"/>
    <s v="NB"/>
    <x v="0"/>
    <x v="0"/>
    <n v="2.0390000000000001"/>
    <d v="2019-05-28T00:00:00"/>
    <x v="0"/>
    <d v="2023-03-31T00:00:00"/>
    <s v="Open Market"/>
    <s v="M"/>
    <s v="2.1.27"/>
    <m/>
    <n v="299"/>
    <m/>
    <n v="32"/>
    <m/>
    <n v="0"/>
    <n v="67"/>
    <n v="100"/>
    <n v="109"/>
    <n v="19"/>
    <n v="4"/>
    <n v="0"/>
    <n v="0"/>
    <n v="67"/>
    <n v="100"/>
    <n v="109"/>
    <n v="19"/>
    <n v="4"/>
    <n v="0"/>
    <n v="0"/>
    <n v="0"/>
    <n v="0"/>
    <n v="0"/>
    <n v="0"/>
    <n v="0"/>
    <n v="0"/>
    <n v="0"/>
    <n v="0"/>
    <n v="0"/>
    <n v="0"/>
    <n v="0"/>
    <n v="0"/>
    <n v="0"/>
    <m/>
    <s v="Y"/>
    <s v="Nine Elms Vauxhall Opportunity Area"/>
    <n v="1"/>
    <n v="299"/>
    <m/>
    <m/>
    <m/>
    <m/>
    <m/>
    <m/>
    <m/>
    <m/>
    <m/>
    <m/>
    <m/>
    <m/>
    <m/>
    <m/>
    <m/>
    <m/>
    <m/>
    <m/>
    <m/>
    <n v="0"/>
    <n v="0"/>
  </r>
  <r>
    <n v="7304"/>
    <x v="1"/>
    <s v="2019/2516"/>
    <s v="Development Site of Alton Estate, Danebury Avenue (Alton Estate)"/>
    <s v="Existing"/>
    <n v="522152"/>
    <n v="173834"/>
    <s v="Roehampton"/>
    <m/>
    <m/>
    <n v="158"/>
    <n v="0"/>
    <n v="-158"/>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0"/>
    <x v="0"/>
    <n v="0"/>
    <m/>
    <x v="0"/>
    <m/>
    <s v="Social/Affordable Rent"/>
    <s v="AC"/>
    <s v="8.1.1"/>
    <m/>
    <n v="0"/>
    <m/>
    <n v="0"/>
    <m/>
    <n v="0"/>
    <n v="-20"/>
    <n v="-34"/>
    <n v="-103"/>
    <n v="0"/>
    <n v="-1"/>
    <n v="0"/>
    <n v="0"/>
    <n v="-20"/>
    <n v="-34"/>
    <n v="-103"/>
    <n v="0"/>
    <n v="-1"/>
    <n v="0"/>
    <n v="0"/>
    <n v="0"/>
    <n v="0"/>
    <n v="0"/>
    <n v="0"/>
    <n v="0"/>
    <n v="0"/>
    <n v="0"/>
    <n v="0"/>
    <n v="0"/>
    <n v="0"/>
    <n v="0"/>
    <n v="0"/>
    <n v="0"/>
    <m/>
    <m/>
    <s v="Roehampton Regeneration Area"/>
    <n v="10"/>
    <m/>
    <m/>
    <m/>
    <m/>
    <n v="-52.666666666666664"/>
    <n v="-52.666666666666664"/>
    <n v="-52.666666666666664"/>
    <m/>
    <m/>
    <m/>
    <m/>
    <m/>
    <m/>
    <m/>
    <m/>
    <m/>
    <m/>
    <m/>
    <m/>
    <m/>
    <n v="-105.33333333333333"/>
    <n v="-158"/>
  </r>
  <r>
    <n v="7304"/>
    <x v="1"/>
    <s v="2019/2516"/>
    <s v="Development Site of Alton Estate, Danebury Avenue (Alton Estate)"/>
    <s v="Existing"/>
    <n v="522152"/>
    <n v="173834"/>
    <s v="Roehampton"/>
    <m/>
    <m/>
    <n v="130"/>
    <n v="0"/>
    <n v="-130"/>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0"/>
    <x v="0"/>
    <n v="0"/>
    <m/>
    <x v="0"/>
    <m/>
    <s v="Open Market"/>
    <s v="M"/>
    <s v="8.1.1"/>
    <m/>
    <n v="0"/>
    <m/>
    <n v="0"/>
    <m/>
    <n v="0"/>
    <n v="-4"/>
    <n v="-8"/>
    <n v="-118"/>
    <n v="0"/>
    <n v="0"/>
    <n v="0"/>
    <n v="0"/>
    <n v="-4"/>
    <n v="-8"/>
    <n v="-118"/>
    <n v="0"/>
    <n v="0"/>
    <n v="0"/>
    <n v="0"/>
    <n v="0"/>
    <n v="0"/>
    <n v="0"/>
    <n v="0"/>
    <n v="0"/>
    <n v="0"/>
    <n v="0"/>
    <n v="0"/>
    <n v="0"/>
    <n v="0"/>
    <n v="0"/>
    <n v="0"/>
    <n v="0"/>
    <m/>
    <m/>
    <s v="Roehampton Regeneration Area"/>
    <n v="10"/>
    <m/>
    <m/>
    <m/>
    <m/>
    <n v="-43.333333333333336"/>
    <n v="-43.333333333333336"/>
    <n v="-43.333333333333336"/>
    <m/>
    <m/>
    <m/>
    <m/>
    <m/>
    <m/>
    <m/>
    <m/>
    <m/>
    <m/>
    <m/>
    <m/>
    <m/>
    <n v="-86.666666666666671"/>
    <n v="-130"/>
  </r>
  <r>
    <n v="7367"/>
    <x v="1"/>
    <s v="2020/0530"/>
    <s v="Coleman Court, Kimber Road"/>
    <s v="Extension"/>
    <n v="525438"/>
    <n v="173644"/>
    <s v="Southfields"/>
    <m/>
    <m/>
    <n v="0"/>
    <n v="20"/>
    <n v="20"/>
    <n v="23"/>
    <n v="22"/>
    <s v="Y"/>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m/>
    <s v="Nil"/>
    <m/>
    <s v="BF"/>
    <s v="MIX"/>
    <x v="1"/>
    <x v="0"/>
    <n v="0.11799999999999999"/>
    <m/>
    <x v="0"/>
    <m/>
    <s v="Open Market"/>
    <s v="M"/>
    <s v=""/>
    <m/>
    <n v="0"/>
    <m/>
    <n v="0"/>
    <m/>
    <n v="5"/>
    <n v="15"/>
    <n v="0"/>
    <n v="0"/>
    <n v="0"/>
    <n v="0"/>
    <n v="0"/>
    <n v="5"/>
    <n v="15"/>
    <n v="0"/>
    <n v="0"/>
    <n v="0"/>
    <n v="0"/>
    <n v="0"/>
    <n v="0"/>
    <n v="0"/>
    <n v="0"/>
    <n v="0"/>
    <n v="0"/>
    <n v="0"/>
    <n v="0"/>
    <n v="0"/>
    <n v="0"/>
    <n v="0"/>
    <n v="0"/>
    <n v="0"/>
    <n v="0"/>
    <n v="0"/>
    <m/>
    <m/>
    <s v="The Wandle Valley"/>
    <n v="17"/>
    <m/>
    <m/>
    <m/>
    <m/>
    <m/>
    <m/>
    <n v="5"/>
    <n v="5"/>
    <n v="5"/>
    <n v="5"/>
    <m/>
    <m/>
    <m/>
    <m/>
    <m/>
    <m/>
    <m/>
    <m/>
    <m/>
    <m/>
    <n v="0"/>
    <n v="20"/>
  </r>
  <r>
    <n v="6481"/>
    <x v="1"/>
    <s v="2020/1555"/>
    <s v="189 Balham High Road"/>
    <s v="extension"/>
    <n v="528408"/>
    <n v="173055"/>
    <s v="South Balham"/>
    <m/>
    <m/>
    <n v="0"/>
    <n v="1"/>
    <n v="1"/>
    <n v="3"/>
    <n v="3"/>
    <m/>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m/>
    <s v="Nil"/>
    <m/>
    <s v="BF"/>
    <s v="MIX"/>
    <x v="2"/>
    <x v="2"/>
    <n v="4.0000000000000001E-3"/>
    <m/>
    <x v="0"/>
    <m/>
    <s v="Open Market"/>
    <s v="M"/>
    <s v=""/>
    <m/>
    <n v="0"/>
    <m/>
    <n v="0"/>
    <m/>
    <n v="0"/>
    <n v="0"/>
    <n v="1"/>
    <n v="0"/>
    <n v="0"/>
    <n v="0"/>
    <n v="0"/>
    <n v="0"/>
    <n v="0"/>
    <n v="1"/>
    <n v="0"/>
    <n v="0"/>
    <n v="0"/>
    <n v="0"/>
    <n v="0"/>
    <n v="0"/>
    <n v="0"/>
    <n v="0"/>
    <n v="0"/>
    <n v="0"/>
    <n v="0"/>
    <n v="0"/>
    <n v="0"/>
    <n v="0"/>
    <n v="0"/>
    <n v="0"/>
    <n v="0"/>
    <n v="0"/>
    <m/>
    <m/>
    <s v="Rest of Borough"/>
    <n v="15"/>
    <m/>
    <n v="0.25"/>
    <n v="0.25"/>
    <n v="0.25"/>
    <n v="0.25"/>
    <m/>
    <m/>
    <m/>
    <m/>
    <m/>
    <m/>
    <m/>
    <m/>
    <m/>
    <m/>
    <m/>
    <m/>
    <m/>
    <m/>
    <m/>
    <n v="1"/>
    <n v="1"/>
  </r>
  <r>
    <n v="6983"/>
    <x v="1"/>
    <s v="2019/1556"/>
    <s v="824 Garratt Lane"/>
    <s v="extension"/>
    <n v="526930"/>
    <n v="171771"/>
    <s v="Tooting Broadway"/>
    <m/>
    <m/>
    <n v="0"/>
    <n v="1"/>
    <n v="1"/>
    <n v="3"/>
    <n v="2"/>
    <m/>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m/>
    <s v="Nil"/>
    <m/>
    <s v="BF"/>
    <s v="MIX"/>
    <x v="2"/>
    <x v="2"/>
    <n v="3.0000000000000001E-3"/>
    <m/>
    <x v="0"/>
    <m/>
    <s v="Open Market"/>
    <s v="M"/>
    <s v=""/>
    <m/>
    <n v="0"/>
    <m/>
    <n v="0"/>
    <m/>
    <n v="0"/>
    <n v="1"/>
    <n v="0"/>
    <n v="0"/>
    <n v="0"/>
    <n v="0"/>
    <n v="0"/>
    <n v="0"/>
    <n v="1"/>
    <n v="0"/>
    <n v="0"/>
    <n v="0"/>
    <n v="0"/>
    <n v="0"/>
    <n v="0"/>
    <n v="0"/>
    <n v="0"/>
    <n v="0"/>
    <n v="0"/>
    <n v="0"/>
    <n v="0"/>
    <n v="0"/>
    <n v="0"/>
    <n v="0"/>
    <n v="0"/>
    <n v="0"/>
    <n v="0"/>
    <n v="0"/>
    <m/>
    <m/>
    <s v="Rest of Borough"/>
    <n v="15"/>
    <m/>
    <n v="0.25"/>
    <n v="0.25"/>
    <n v="0.25"/>
    <n v="0.25"/>
    <m/>
    <m/>
    <m/>
    <m/>
    <m/>
    <m/>
    <m/>
    <m/>
    <m/>
    <m/>
    <m/>
    <m/>
    <m/>
    <m/>
    <m/>
    <n v="1"/>
    <n v="1"/>
  </r>
  <r>
    <n v="2492"/>
    <x v="1"/>
    <s v="2018/5245"/>
    <s v="Flats 7-10 and land rear of, 126 Bedford Hill (Elmfield Road)"/>
    <s v="extension to ex"/>
    <n v="528761"/>
    <n v="172884"/>
    <s v="South Balham"/>
    <m/>
    <m/>
    <n v="0"/>
    <n v="2"/>
    <n v="2"/>
    <n v="3"/>
    <n v="3"/>
    <m/>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m/>
    <s v="Nil"/>
    <m/>
    <s v="BF"/>
    <s v="MIX"/>
    <x v="2"/>
    <x v="2"/>
    <n v="1.0999999999999999E-2"/>
    <m/>
    <x v="0"/>
    <m/>
    <s v="Open Market"/>
    <s v="M"/>
    <s v=""/>
    <m/>
    <n v="0"/>
    <m/>
    <n v="0"/>
    <m/>
    <n v="0"/>
    <n v="0"/>
    <n v="2"/>
    <n v="0"/>
    <n v="0"/>
    <n v="0"/>
    <n v="0"/>
    <n v="0"/>
    <n v="0"/>
    <n v="2"/>
    <n v="0"/>
    <n v="0"/>
    <n v="0"/>
    <n v="0"/>
    <n v="0"/>
    <n v="0"/>
    <n v="0"/>
    <n v="0"/>
    <n v="0"/>
    <n v="0"/>
    <n v="0"/>
    <n v="0"/>
    <n v="0"/>
    <n v="0"/>
    <n v="0"/>
    <n v="0"/>
    <n v="0"/>
    <n v="0"/>
    <m/>
    <m/>
    <s v="Rest of Borough"/>
    <n v="15"/>
    <m/>
    <n v="0.5"/>
    <n v="0.5"/>
    <n v="0.5"/>
    <n v="0.5"/>
    <m/>
    <m/>
    <m/>
    <m/>
    <m/>
    <m/>
    <m/>
    <m/>
    <m/>
    <m/>
    <m/>
    <m/>
    <m/>
    <m/>
    <m/>
    <n v="2"/>
    <n v="2"/>
  </r>
  <r>
    <n v="1563"/>
    <x v="1"/>
    <s v="2018/2123"/>
    <s v="28 Totterdown Street"/>
    <s v="extension to existing"/>
    <n v="527638"/>
    <n v="171599"/>
    <s v="Tooting Broadway"/>
    <m/>
    <m/>
    <n v="0"/>
    <n v="1"/>
    <n v="1"/>
    <n v="4"/>
    <n v="1"/>
    <m/>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m/>
    <s v="Nil"/>
    <m/>
    <s v="BF"/>
    <s v="MIX"/>
    <x v="2"/>
    <x v="2"/>
    <n v="2E-3"/>
    <m/>
    <x v="0"/>
    <m/>
    <s v="Open Market"/>
    <s v="M"/>
    <s v="5.2"/>
    <m/>
    <n v="0"/>
    <m/>
    <n v="0"/>
    <m/>
    <n v="0"/>
    <n v="0"/>
    <n v="1"/>
    <n v="0"/>
    <n v="0"/>
    <n v="0"/>
    <n v="0"/>
    <n v="0"/>
    <n v="0"/>
    <n v="1"/>
    <n v="0"/>
    <n v="0"/>
    <n v="0"/>
    <n v="0"/>
    <n v="0"/>
    <n v="0"/>
    <n v="0"/>
    <n v="0"/>
    <n v="0"/>
    <n v="0"/>
    <n v="0"/>
    <n v="0"/>
    <n v="0"/>
    <n v="0"/>
    <n v="0"/>
    <n v="0"/>
    <n v="0"/>
    <n v="0"/>
    <s v="Tooting"/>
    <m/>
    <s v="Tooting"/>
    <n v="15"/>
    <m/>
    <n v="0.25"/>
    <n v="0.25"/>
    <n v="0.25"/>
    <n v="0.25"/>
    <m/>
    <m/>
    <m/>
    <m/>
    <m/>
    <m/>
    <m/>
    <m/>
    <m/>
    <m/>
    <m/>
    <m/>
    <m/>
    <m/>
    <m/>
    <n v="1"/>
    <n v="1"/>
  </r>
  <r>
    <n v="6779"/>
    <x v="1"/>
    <s v="2018/0131"/>
    <s v="30 Oakhill Road"/>
    <s v="extension to existing"/>
    <n v="524846"/>
    <n v="174902"/>
    <s v="East Putney"/>
    <m/>
    <m/>
    <n v="0"/>
    <n v="1"/>
    <n v="1"/>
    <n v="1"/>
    <n v="1"/>
    <m/>
    <s v="Enlargement of existing rear lightwell in connection with conversion of basement into1 x 2-bedroom flat"/>
    <s v="PF"/>
    <d v="2018-01-16T00:00:00"/>
    <d v="2018-05-29T00:00:00"/>
    <m/>
    <s v="Nil"/>
    <m/>
    <s v="BF"/>
    <s v="EXT"/>
    <x v="2"/>
    <x v="2"/>
    <n v="6.0000000000000001E-3"/>
    <m/>
    <x v="0"/>
    <m/>
    <s v="Open Market"/>
    <s v="M"/>
    <s v=""/>
    <m/>
    <n v="0"/>
    <m/>
    <n v="0"/>
    <m/>
    <n v="0"/>
    <n v="0"/>
    <n v="1"/>
    <n v="0"/>
    <n v="0"/>
    <n v="0"/>
    <n v="0"/>
    <n v="0"/>
    <n v="0"/>
    <n v="1"/>
    <n v="0"/>
    <n v="0"/>
    <n v="0"/>
    <n v="0"/>
    <n v="0"/>
    <n v="0"/>
    <n v="0"/>
    <n v="0"/>
    <n v="0"/>
    <n v="0"/>
    <n v="0"/>
    <n v="0"/>
    <n v="0"/>
    <n v="0"/>
    <n v="0"/>
    <n v="0"/>
    <n v="0"/>
    <n v="0"/>
    <m/>
    <m/>
    <s v="Rest of Borough"/>
    <n v="15"/>
    <m/>
    <n v="0.25"/>
    <n v="0.25"/>
    <n v="0.25"/>
    <n v="0.25"/>
    <m/>
    <m/>
    <m/>
    <m/>
    <m/>
    <m/>
    <m/>
    <m/>
    <m/>
    <m/>
    <m/>
    <m/>
    <m/>
    <m/>
    <m/>
    <n v="1"/>
    <n v="1"/>
  </r>
  <r>
    <n v="7076"/>
    <x v="1"/>
    <s v="2019/1697"/>
    <s v="57-63 Tooting High Street"/>
    <s v="extn"/>
    <n v="527497"/>
    <n v="171501"/>
    <s v="Tooting Broadway"/>
    <m/>
    <m/>
    <n v="0"/>
    <n v="4"/>
    <n v="4"/>
    <n v="11"/>
    <n v="4"/>
    <s v="Y"/>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m/>
    <s v="Nil"/>
    <m/>
    <s v="BF"/>
    <s v="MIX"/>
    <x v="1"/>
    <x v="0"/>
    <n v="8.9999999999999993E-3"/>
    <m/>
    <x v="0"/>
    <m/>
    <s v="Open Market"/>
    <s v="M"/>
    <s v="5.2"/>
    <m/>
    <n v="0"/>
    <m/>
    <n v="0"/>
    <m/>
    <n v="0"/>
    <n v="0"/>
    <n v="4"/>
    <n v="0"/>
    <n v="0"/>
    <n v="0"/>
    <n v="0"/>
    <n v="0"/>
    <n v="0"/>
    <n v="4"/>
    <n v="0"/>
    <n v="0"/>
    <n v="0"/>
    <n v="0"/>
    <n v="0"/>
    <n v="0"/>
    <n v="0"/>
    <n v="0"/>
    <n v="0"/>
    <n v="0"/>
    <n v="0"/>
    <n v="0"/>
    <n v="0"/>
    <n v="0"/>
    <n v="0"/>
    <n v="0"/>
    <n v="0"/>
    <n v="0"/>
    <s v="Tooting"/>
    <m/>
    <s v="Tooting"/>
    <n v="15"/>
    <m/>
    <n v="1"/>
    <n v="1"/>
    <n v="1"/>
    <n v="1"/>
    <m/>
    <m/>
    <m/>
    <m/>
    <m/>
    <m/>
    <m/>
    <m/>
    <m/>
    <m/>
    <m/>
    <m/>
    <m/>
    <m/>
    <m/>
    <n v="4"/>
    <n v="4"/>
  </r>
  <r>
    <n v="3154"/>
    <x v="1"/>
    <s v="2018/3525"/>
    <s v="216-218 Upper Tooting Road"/>
    <s v="extn to ex"/>
    <n v="527643"/>
    <n v="171818"/>
    <s v="Tooting Bec"/>
    <m/>
    <m/>
    <n v="0"/>
    <n v="3"/>
    <n v="3"/>
    <n v="7"/>
    <n v="5"/>
    <m/>
    <s v="Extensions and re-modelling of building adding two storeys to main building and 3/4 storeys at rear to form a 5 storey building consisting of seven flats (five additional flats) with formation of a roof terrace on top (5th) floor."/>
    <s v="PF"/>
    <d v="2018-07-13T00:00:00"/>
    <d v="2019-03-29T00:00:00"/>
    <m/>
    <s v="Nil"/>
    <m/>
    <s v="BF"/>
    <s v="EXT"/>
    <x v="2"/>
    <x v="2"/>
    <n v="4.0000000000000001E-3"/>
    <m/>
    <x v="0"/>
    <m/>
    <s v="Open Market"/>
    <s v="M"/>
    <s v="5.1"/>
    <m/>
    <n v="0"/>
    <m/>
    <n v="0"/>
    <m/>
    <n v="0"/>
    <n v="3"/>
    <n v="0"/>
    <n v="0"/>
    <n v="0"/>
    <n v="0"/>
    <n v="0"/>
    <n v="0"/>
    <n v="3"/>
    <n v="0"/>
    <n v="0"/>
    <n v="0"/>
    <n v="0"/>
    <n v="0"/>
    <n v="0"/>
    <n v="0"/>
    <n v="0"/>
    <n v="0"/>
    <n v="0"/>
    <n v="0"/>
    <n v="0"/>
    <n v="0"/>
    <n v="0"/>
    <n v="0"/>
    <n v="0"/>
    <n v="0"/>
    <n v="0"/>
    <n v="0"/>
    <s v="Tooting"/>
    <m/>
    <s v="Tooting"/>
    <n v="15"/>
    <m/>
    <n v="0.75"/>
    <n v="0.75"/>
    <n v="0.75"/>
    <n v="0.75"/>
    <m/>
    <m/>
    <m/>
    <m/>
    <m/>
    <m/>
    <m/>
    <m/>
    <m/>
    <m/>
    <m/>
    <m/>
    <m/>
    <m/>
    <m/>
    <n v="3"/>
    <n v="3"/>
  </r>
  <r>
    <n v="7867"/>
    <x v="1"/>
    <s v="2022/2668"/>
    <s v="25 Coverton Road"/>
    <s v="Extn/Conv"/>
    <n v="527266"/>
    <n v="171375"/>
    <s v="Tooting Broadway"/>
    <m/>
    <m/>
    <n v="2"/>
    <n v="4"/>
    <n v="2"/>
    <n v="4"/>
    <n v="2"/>
    <m/>
    <s v="Alterations including erection of mansard roof extension to the main rear roof (with French doors and safety railings) including raising ridge by 300mm and erection of roof extension above two storey back addition, erection of single-story rear/side extension, lowering of front first floor windows and replacement to front, rear and side windows, formation of rear roof terrace with 1.7m glazed screen surround over two storey back addition in connection with conversion of two flats to four flats; 1 x 3-bedroom, 1 x 2-bedroom, 1 x 1-bedroom and 1 x 1 bedroom/studio. Provision of refuse and cycle storage."/>
    <s v="PF"/>
    <d v="2022-06-24T00:00:00"/>
    <d v="2022-08-24T00:00:00"/>
    <s v="Y"/>
    <s v="Nil"/>
    <m/>
    <s v="BF"/>
    <s v="MIX"/>
    <x v="2"/>
    <x v="2"/>
    <n v="6.5500000000000003E-3"/>
    <m/>
    <x v="0"/>
    <m/>
    <s v="Open Market"/>
    <s v="M"/>
    <s v=""/>
    <m/>
    <n v="0"/>
    <m/>
    <n v="0"/>
    <m/>
    <n v="1"/>
    <n v="0"/>
    <n v="1"/>
    <n v="0"/>
    <n v="0"/>
    <n v="0"/>
    <n v="0"/>
    <n v="1"/>
    <n v="0"/>
    <n v="1"/>
    <n v="0"/>
    <n v="0"/>
    <n v="0"/>
    <n v="0"/>
    <n v="0"/>
    <n v="0"/>
    <n v="0"/>
    <n v="0"/>
    <n v="0"/>
    <n v="0"/>
    <n v="0"/>
    <n v="0"/>
    <n v="0"/>
    <n v="0"/>
    <n v="0"/>
    <n v="0"/>
    <n v="0"/>
    <n v="0"/>
    <m/>
    <m/>
    <s v="Tooting"/>
    <n v="15"/>
    <m/>
    <n v="0.5"/>
    <n v="0.5"/>
    <n v="0.5"/>
    <n v="0.5"/>
    <m/>
    <m/>
    <m/>
    <m/>
    <m/>
    <m/>
    <m/>
    <m/>
    <m/>
    <m/>
    <m/>
    <m/>
    <m/>
    <m/>
    <m/>
    <n v="2"/>
    <n v="2"/>
  </r>
  <r>
    <n v="4797"/>
    <x v="1"/>
    <s v="2014/3470"/>
    <s v="Unit 25-28 Ransomes Dock, 35-37 Parkgate Road (Ransomes Dock Business Centre)"/>
    <s v="Flat 12"/>
    <n v="527293"/>
    <n v="177185"/>
    <s v="Battersea Park"/>
    <d v="2014-08-19T00:00:00"/>
    <m/>
    <n v="0"/>
    <n v="1"/>
    <n v="1"/>
    <n v="2"/>
    <n v="2"/>
    <m/>
    <s v="Change of use of 232 sqm of floorspace at third floor level from Office (Class B1a) to Residential use (Class C3) to provide two flats."/>
    <s v="PAG"/>
    <d v="2014-06-24T00:00:00"/>
    <d v="2014-08-19T00:00:00"/>
    <m/>
    <s v="Nil"/>
    <m/>
    <s v="BF"/>
    <s v="COU"/>
    <x v="2"/>
    <x v="6"/>
    <n v="7.0000000000000001E-3"/>
    <m/>
    <x v="0"/>
    <m/>
    <s v="Open Market"/>
    <s v="M"/>
    <s v=""/>
    <m/>
    <n v="0"/>
    <m/>
    <n v="0"/>
    <m/>
    <n v="0"/>
    <n v="0"/>
    <n v="0"/>
    <n v="1"/>
    <n v="0"/>
    <n v="0"/>
    <n v="0"/>
    <n v="0"/>
    <n v="0"/>
    <n v="0"/>
    <n v="1"/>
    <n v="0"/>
    <n v="0"/>
    <n v="0"/>
    <n v="0"/>
    <n v="0"/>
    <n v="0"/>
    <n v="0"/>
    <n v="0"/>
    <n v="0"/>
    <n v="0"/>
    <n v="0"/>
    <n v="0"/>
    <n v="0"/>
    <n v="0"/>
    <n v="0"/>
    <n v="0"/>
    <n v="0"/>
    <m/>
    <m/>
    <s v="Wandsworth riverside"/>
    <n v="15"/>
    <m/>
    <n v="0.25"/>
    <n v="0.25"/>
    <n v="0.25"/>
    <n v="0.25"/>
    <m/>
    <m/>
    <m/>
    <m/>
    <m/>
    <m/>
    <m/>
    <m/>
    <m/>
    <m/>
    <m/>
    <m/>
    <m/>
    <m/>
    <m/>
    <n v="1"/>
    <n v="1"/>
  </r>
  <r>
    <n v="6628"/>
    <x v="1"/>
    <s v="2022/2881"/>
    <s v="66 Alton Road"/>
    <s v="Flats (Conversion/Extention)"/>
    <n v="522237"/>
    <n v="173213"/>
    <s v="Roehampton"/>
    <m/>
    <m/>
    <n v="3"/>
    <n v="6"/>
    <n v="3"/>
    <n v="8"/>
    <n v="5"/>
    <m/>
    <s v="Refurbishment and reconfiguration of existing building with extensions to the sides and rear (with associated lightwells) to provide 6 no. flats (2 x 1 bed, 1 x 2 bed, 3 x 3 bed) and the provision of a 2 no. two-storey cottages (2 x 2 bed) to the rear of the site with associated landscaping"/>
    <s v="PF"/>
    <d v="2022-07-08T00:00:00"/>
    <d v="2022-11-23T00:00:00"/>
    <s v="Y"/>
    <s v="Nil"/>
    <m/>
    <s v="BF"/>
    <s v="MIX"/>
    <x v="2"/>
    <x v="2"/>
    <n v="1.4999999999999999E-2"/>
    <m/>
    <x v="0"/>
    <m/>
    <s v="Open Market"/>
    <s v="M"/>
    <s v=""/>
    <m/>
    <n v="0"/>
    <m/>
    <n v="0"/>
    <m/>
    <n v="0"/>
    <n v="2"/>
    <n v="1"/>
    <n v="0"/>
    <n v="0"/>
    <n v="0"/>
    <n v="0"/>
    <n v="0"/>
    <n v="2"/>
    <n v="1"/>
    <n v="0"/>
    <n v="0"/>
    <n v="0"/>
    <n v="0"/>
    <n v="0"/>
    <n v="0"/>
    <n v="0"/>
    <n v="0"/>
    <n v="0"/>
    <n v="0"/>
    <n v="0"/>
    <n v="0"/>
    <n v="0"/>
    <n v="0"/>
    <n v="0"/>
    <n v="0"/>
    <n v="0"/>
    <n v="0"/>
    <m/>
    <m/>
    <s v="Rest of Borough"/>
    <n v="15"/>
    <m/>
    <m/>
    <m/>
    <n v="3"/>
    <m/>
    <m/>
    <m/>
    <m/>
    <m/>
    <m/>
    <m/>
    <m/>
    <m/>
    <m/>
    <m/>
    <m/>
    <m/>
    <m/>
    <m/>
    <m/>
    <n v="3"/>
    <n v="3"/>
  </r>
  <r>
    <n v="7298"/>
    <x v="1"/>
    <s v="2019/4666"/>
    <s v="206 Mitcham Road"/>
    <s v="Flats x 8"/>
    <n v="527967"/>
    <n v="170922"/>
    <s v="Tooting Broadway"/>
    <m/>
    <m/>
    <n v="4"/>
    <n v="8"/>
    <n v="4"/>
    <n v="9"/>
    <n v="5"/>
    <m/>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m/>
    <s v="Nil"/>
    <m/>
    <s v="BF"/>
    <s v="NB"/>
    <x v="2"/>
    <x v="1"/>
    <n v="4.2999999999999997E-2"/>
    <m/>
    <x v="0"/>
    <m/>
    <s v="Open Market"/>
    <s v="M"/>
    <s v=""/>
    <m/>
    <n v="0"/>
    <m/>
    <n v="0"/>
    <m/>
    <n v="-3"/>
    <n v="3"/>
    <n v="2"/>
    <n v="2"/>
    <n v="0"/>
    <n v="0"/>
    <n v="0"/>
    <n v="-3"/>
    <n v="3"/>
    <n v="2"/>
    <n v="2"/>
    <n v="0"/>
    <n v="0"/>
    <n v="0"/>
    <n v="0"/>
    <n v="0"/>
    <n v="0"/>
    <n v="0"/>
    <n v="0"/>
    <n v="0"/>
    <n v="0"/>
    <n v="0"/>
    <n v="0"/>
    <n v="0"/>
    <n v="0"/>
    <n v="0"/>
    <n v="0"/>
    <n v="0"/>
    <m/>
    <m/>
    <s v="Rest of Borough"/>
    <n v="7"/>
    <m/>
    <m/>
    <n v="1"/>
    <n v="1"/>
    <n v="1"/>
    <n v="1"/>
    <m/>
    <m/>
    <m/>
    <m/>
    <m/>
    <m/>
    <m/>
    <m/>
    <m/>
    <m/>
    <m/>
    <m/>
    <m/>
    <m/>
    <n v="4"/>
    <n v="4"/>
  </r>
  <r>
    <n v="7463"/>
    <x v="1"/>
    <s v="2020/5015"/>
    <s v="7a Putney Bridge Road"/>
    <s v="Front Building"/>
    <n v="525270"/>
    <n v="174719"/>
    <s v="East Putney"/>
    <d v="2022-08-19T00:00:00"/>
    <m/>
    <n v="0"/>
    <n v="5"/>
    <n v="5"/>
    <n v="9"/>
    <n v="9"/>
    <m/>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m/>
    <s v="Nil"/>
    <m/>
    <s v="BF"/>
    <s v="NB"/>
    <x v="2"/>
    <x v="1"/>
    <n v="2.5000000000000001E-2"/>
    <m/>
    <x v="0"/>
    <m/>
    <s v="Open Market"/>
    <s v="M"/>
    <s v=""/>
    <m/>
    <n v="0"/>
    <m/>
    <n v="0"/>
    <m/>
    <n v="2"/>
    <n v="2"/>
    <n v="1"/>
    <n v="0"/>
    <n v="0"/>
    <n v="0"/>
    <n v="0"/>
    <n v="2"/>
    <n v="2"/>
    <n v="1"/>
    <n v="0"/>
    <n v="0"/>
    <n v="0"/>
    <n v="0"/>
    <n v="0"/>
    <n v="0"/>
    <n v="0"/>
    <n v="0"/>
    <n v="0"/>
    <n v="0"/>
    <n v="0"/>
    <n v="0"/>
    <n v="0"/>
    <n v="0"/>
    <n v="0"/>
    <n v="0"/>
    <n v="0"/>
    <n v="0"/>
    <m/>
    <m/>
    <s v="Wandsworth Town, including the Wandle Delta Masterplan Area"/>
    <n v="8"/>
    <m/>
    <m/>
    <n v="5"/>
    <m/>
    <m/>
    <m/>
    <m/>
    <m/>
    <m/>
    <m/>
    <m/>
    <m/>
    <m/>
    <m/>
    <m/>
    <m/>
    <m/>
    <m/>
    <m/>
    <m/>
    <n v="5"/>
    <n v="5"/>
  </r>
  <r>
    <n v="7298"/>
    <x v="1"/>
    <s v="2019/4666"/>
    <s v="206 Mitcham Road"/>
    <s v="House"/>
    <n v="527967"/>
    <n v="170922"/>
    <s v="Tooting Broadway"/>
    <m/>
    <m/>
    <n v="0"/>
    <n v="1"/>
    <n v="1"/>
    <n v="9"/>
    <n v="5"/>
    <m/>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m/>
    <s v="Nil"/>
    <m/>
    <s v="BF"/>
    <s v="NB"/>
    <x v="2"/>
    <x v="1"/>
    <n v="1.0999999999999999E-2"/>
    <m/>
    <x v="0"/>
    <m/>
    <s v="Open Market"/>
    <s v="M"/>
    <s v=""/>
    <m/>
    <n v="0"/>
    <m/>
    <n v="0"/>
    <m/>
    <n v="0"/>
    <n v="0"/>
    <n v="0"/>
    <n v="1"/>
    <n v="0"/>
    <n v="0"/>
    <n v="0"/>
    <n v="0"/>
    <n v="0"/>
    <n v="0"/>
    <n v="0"/>
    <n v="0"/>
    <n v="0"/>
    <n v="0"/>
    <n v="0"/>
    <n v="0"/>
    <n v="0"/>
    <n v="1"/>
    <n v="0"/>
    <n v="0"/>
    <n v="0"/>
    <n v="0"/>
    <n v="0"/>
    <n v="0"/>
    <n v="0"/>
    <n v="0"/>
    <n v="0"/>
    <n v="0"/>
    <m/>
    <m/>
    <s v="Rest of Borough"/>
    <n v="7"/>
    <m/>
    <m/>
    <n v="0.25"/>
    <n v="0.25"/>
    <n v="0.25"/>
    <n v="0.25"/>
    <m/>
    <m/>
    <m/>
    <m/>
    <m/>
    <m/>
    <m/>
    <m/>
    <m/>
    <m/>
    <m/>
    <m/>
    <m/>
    <m/>
    <n v="1"/>
    <n v="1"/>
  </r>
  <r>
    <n v="7350"/>
    <x v="1"/>
    <s v="2021/5328"/>
    <s v="Garages at, 143 Byrne Road"/>
    <s v="House 1"/>
    <n v="529158"/>
    <n v="172857"/>
    <s v="South Balham"/>
    <d v="2023-03-01T00:00:00"/>
    <m/>
    <n v="0"/>
    <n v="1"/>
    <n v="1"/>
    <n v="3"/>
    <n v="3"/>
    <m/>
    <s v="[REVISED] Demolition of existing single-storey garage and the erection of a 1 x 3-bedroom two-storey house and 2 x 2-bedroom single-storey properties to rear."/>
    <s v="PF"/>
    <d v="2022-03-25T00:00:00"/>
    <d v="2022-07-29T00:00:00"/>
    <s v="Y"/>
    <s v="Nil"/>
    <m/>
    <s v="BF"/>
    <s v="NB"/>
    <x v="2"/>
    <x v="1"/>
    <n v="5.7499999999999999E-3"/>
    <m/>
    <x v="0"/>
    <m/>
    <s v="Open Market"/>
    <s v="M"/>
    <s v=""/>
    <m/>
    <n v="0"/>
    <m/>
    <n v="0"/>
    <m/>
    <n v="0"/>
    <n v="0"/>
    <n v="0"/>
    <n v="1"/>
    <n v="0"/>
    <n v="0"/>
    <n v="0"/>
    <n v="0"/>
    <n v="0"/>
    <n v="0"/>
    <n v="0"/>
    <n v="0"/>
    <n v="0"/>
    <n v="0"/>
    <n v="0"/>
    <n v="0"/>
    <n v="0"/>
    <n v="1"/>
    <n v="0"/>
    <n v="0"/>
    <n v="0"/>
    <n v="0"/>
    <n v="0"/>
    <n v="0"/>
    <n v="0"/>
    <n v="0"/>
    <n v="0"/>
    <n v="0"/>
    <m/>
    <m/>
    <s v="Rest of Borough"/>
    <n v="7"/>
    <m/>
    <m/>
    <n v="0.25"/>
    <n v="0.25"/>
    <n v="0.25"/>
    <n v="0.25"/>
    <m/>
    <m/>
    <m/>
    <m/>
    <m/>
    <m/>
    <m/>
    <m/>
    <m/>
    <m/>
    <m/>
    <m/>
    <m/>
    <m/>
    <n v="1"/>
    <n v="1"/>
  </r>
  <r>
    <n v="7838"/>
    <x v="1"/>
    <s v="2022/1764"/>
    <s v="Land adjacent to, 28 Kingsclere Close"/>
    <s v="House 1, 3-storey"/>
    <n v="522109"/>
    <n v="173890"/>
    <s v="Roehampton"/>
    <m/>
    <m/>
    <n v="0"/>
    <n v="1"/>
    <n v="1"/>
    <n v="3"/>
    <n v="3"/>
    <m/>
    <s v="Erection of 3 x houses."/>
    <s v="PIPD"/>
    <d v="2022-05-05T00:00:00"/>
    <d v="2022-09-08T00:00:00"/>
    <s v="Y"/>
    <s v="Nil"/>
    <m/>
    <s v="BF"/>
    <s v="NB"/>
    <x v="2"/>
    <x v="1"/>
    <n v="4.0000000000000001E-3"/>
    <m/>
    <x v="0"/>
    <m/>
    <s v="Open Market"/>
    <s v="M"/>
    <s v=""/>
    <m/>
    <n v="0"/>
    <m/>
    <n v="0"/>
    <m/>
    <n v="0"/>
    <n v="0"/>
    <n v="0"/>
    <n v="0"/>
    <n v="0"/>
    <n v="0"/>
    <n v="1"/>
    <n v="0"/>
    <n v="0"/>
    <n v="0"/>
    <n v="0"/>
    <n v="0"/>
    <n v="0"/>
    <n v="0"/>
    <n v="0"/>
    <n v="0"/>
    <n v="0"/>
    <n v="0"/>
    <n v="0"/>
    <n v="0"/>
    <n v="1"/>
    <n v="0"/>
    <n v="0"/>
    <n v="0"/>
    <n v="0"/>
    <n v="0"/>
    <n v="0"/>
    <n v="0"/>
    <m/>
    <m/>
    <s v="Roehampton Regeneration Area"/>
    <n v="7"/>
    <m/>
    <m/>
    <n v="0.25"/>
    <n v="0.25"/>
    <n v="0.25"/>
    <n v="0.25"/>
    <m/>
    <m/>
    <m/>
    <m/>
    <m/>
    <m/>
    <m/>
    <m/>
    <m/>
    <m/>
    <m/>
    <m/>
    <m/>
    <m/>
    <n v="1"/>
    <n v="1"/>
  </r>
  <r>
    <n v="7350"/>
    <x v="1"/>
    <s v="2021/5328"/>
    <s v="Garages at, 143 Byrne Road"/>
    <s v="House 2"/>
    <n v="529158"/>
    <n v="172857"/>
    <s v="South Balham"/>
    <d v="2023-03-01T00:00:00"/>
    <m/>
    <n v="0"/>
    <n v="1"/>
    <n v="1"/>
    <n v="3"/>
    <n v="3"/>
    <m/>
    <s v="[REVISED] Demolition of existing single-storey garage and the erection of a 1 x 3-bedroom two-storey house and 2 x 2-bedroom single-storey properties to rear."/>
    <s v="PF"/>
    <d v="2022-03-25T00:00:00"/>
    <d v="2022-07-29T00:00:00"/>
    <s v="Y"/>
    <s v="Nil"/>
    <m/>
    <s v="BF"/>
    <s v="NB"/>
    <x v="2"/>
    <x v="1"/>
    <n v="8.0000000000000002E-3"/>
    <m/>
    <x v="0"/>
    <m/>
    <s v="Open Market"/>
    <s v="M"/>
    <s v=""/>
    <m/>
    <n v="0"/>
    <m/>
    <n v="0"/>
    <m/>
    <n v="0"/>
    <n v="0"/>
    <n v="1"/>
    <n v="0"/>
    <n v="0"/>
    <n v="0"/>
    <n v="0"/>
    <n v="0"/>
    <n v="0"/>
    <n v="0"/>
    <n v="0"/>
    <n v="0"/>
    <n v="0"/>
    <n v="0"/>
    <n v="0"/>
    <n v="0"/>
    <n v="1"/>
    <n v="0"/>
    <n v="0"/>
    <n v="0"/>
    <n v="0"/>
    <n v="0"/>
    <n v="0"/>
    <n v="0"/>
    <n v="0"/>
    <n v="0"/>
    <n v="0"/>
    <n v="0"/>
    <m/>
    <m/>
    <s v="Rest of Borough"/>
    <n v="7"/>
    <m/>
    <m/>
    <n v="0.25"/>
    <n v="0.25"/>
    <n v="0.25"/>
    <n v="0.25"/>
    <m/>
    <m/>
    <m/>
    <m/>
    <m/>
    <m/>
    <m/>
    <m/>
    <m/>
    <m/>
    <m/>
    <m/>
    <m/>
    <m/>
    <n v="1"/>
    <n v="1"/>
  </r>
  <r>
    <n v="7838"/>
    <x v="1"/>
    <s v="2022/1764"/>
    <s v="Land adjacent to, 28 Kingsclere Close"/>
    <s v="House 2, 2-storey"/>
    <n v="522109"/>
    <n v="173890"/>
    <s v="Roehampton"/>
    <m/>
    <m/>
    <n v="0"/>
    <n v="1"/>
    <n v="1"/>
    <n v="3"/>
    <n v="3"/>
    <m/>
    <s v="Erection of 3 x houses."/>
    <s v="PIPD"/>
    <d v="2022-05-05T00:00:00"/>
    <d v="2022-09-08T00:00:00"/>
    <s v="Y"/>
    <s v="Nil"/>
    <m/>
    <s v="BF"/>
    <s v="NB"/>
    <x v="2"/>
    <x v="1"/>
    <n v="4.0000000000000001E-3"/>
    <m/>
    <x v="0"/>
    <m/>
    <s v="Open Market"/>
    <s v="M"/>
    <s v=""/>
    <m/>
    <n v="0"/>
    <m/>
    <n v="0"/>
    <m/>
    <n v="0"/>
    <n v="0"/>
    <n v="0"/>
    <n v="0"/>
    <n v="0"/>
    <n v="0"/>
    <n v="1"/>
    <n v="0"/>
    <n v="0"/>
    <n v="0"/>
    <n v="0"/>
    <n v="0"/>
    <n v="0"/>
    <n v="0"/>
    <n v="0"/>
    <n v="0"/>
    <n v="0"/>
    <n v="0"/>
    <n v="0"/>
    <n v="0"/>
    <n v="1"/>
    <n v="0"/>
    <n v="0"/>
    <n v="0"/>
    <n v="0"/>
    <n v="0"/>
    <n v="0"/>
    <n v="0"/>
    <m/>
    <m/>
    <s v="Roehampton Regeneration Area"/>
    <n v="7"/>
    <m/>
    <m/>
    <n v="0.25"/>
    <n v="0.25"/>
    <n v="0.25"/>
    <n v="0.25"/>
    <m/>
    <m/>
    <m/>
    <m/>
    <m/>
    <m/>
    <m/>
    <m/>
    <m/>
    <m/>
    <m/>
    <m/>
    <m/>
    <m/>
    <n v="1"/>
    <n v="1"/>
  </r>
  <r>
    <n v="7350"/>
    <x v="1"/>
    <s v="2021/5328"/>
    <s v="Garages at, 143 Byrne Road"/>
    <s v="House 3"/>
    <n v="529158"/>
    <n v="172857"/>
    <s v="South Balham"/>
    <d v="2023-03-01T00:00:00"/>
    <m/>
    <n v="0"/>
    <n v="1"/>
    <n v="1"/>
    <n v="3"/>
    <n v="3"/>
    <m/>
    <s v="[REVISED] Demolition of existing single-storey garage and the erection of a 1 x 3-bedroom two-storey house and 2 x 2-bedroom single-storey properties to rear."/>
    <s v="PF"/>
    <d v="2022-03-25T00:00:00"/>
    <d v="2022-07-29T00:00:00"/>
    <s v="Y"/>
    <s v="Nil"/>
    <m/>
    <s v="BF"/>
    <s v="NB"/>
    <x v="2"/>
    <x v="1"/>
    <n v="6.1999999999999998E-3"/>
    <m/>
    <x v="0"/>
    <m/>
    <s v="Open Market"/>
    <s v="M"/>
    <s v=""/>
    <m/>
    <n v="0"/>
    <m/>
    <n v="0"/>
    <m/>
    <n v="0"/>
    <n v="0"/>
    <n v="1"/>
    <n v="0"/>
    <n v="0"/>
    <n v="0"/>
    <n v="0"/>
    <n v="0"/>
    <n v="0"/>
    <n v="0"/>
    <n v="0"/>
    <n v="0"/>
    <n v="0"/>
    <n v="0"/>
    <n v="0"/>
    <n v="0"/>
    <n v="1"/>
    <n v="0"/>
    <n v="0"/>
    <n v="0"/>
    <n v="0"/>
    <n v="0"/>
    <n v="0"/>
    <n v="0"/>
    <n v="0"/>
    <n v="0"/>
    <n v="0"/>
    <n v="0"/>
    <m/>
    <m/>
    <s v="Rest of Borough"/>
    <n v="7"/>
    <m/>
    <m/>
    <n v="0.25"/>
    <n v="0.25"/>
    <n v="0.25"/>
    <n v="0.25"/>
    <m/>
    <m/>
    <m/>
    <m/>
    <m/>
    <m/>
    <m/>
    <m/>
    <m/>
    <m/>
    <m/>
    <m/>
    <m/>
    <m/>
    <n v="1"/>
    <n v="1"/>
  </r>
  <r>
    <n v="7838"/>
    <x v="1"/>
    <s v="2022/1764"/>
    <s v="Land adjacent to, 28 Kingsclere Close"/>
    <s v="House 3, 2-storey"/>
    <n v="522109"/>
    <n v="173890"/>
    <s v="Roehampton"/>
    <m/>
    <m/>
    <n v="0"/>
    <n v="1"/>
    <n v="1"/>
    <n v="3"/>
    <n v="3"/>
    <m/>
    <s v="Erection of 3 x houses."/>
    <s v="PIPD"/>
    <d v="2022-05-05T00:00:00"/>
    <d v="2022-09-08T00:00:00"/>
    <s v="Y"/>
    <s v="Nil"/>
    <m/>
    <s v="BF"/>
    <s v="NB"/>
    <x v="2"/>
    <x v="1"/>
    <n v="4.0000000000000001E-3"/>
    <m/>
    <x v="0"/>
    <m/>
    <s v="Open Market"/>
    <s v="M"/>
    <s v=""/>
    <m/>
    <n v="0"/>
    <m/>
    <n v="0"/>
    <m/>
    <n v="0"/>
    <n v="0"/>
    <n v="0"/>
    <n v="0"/>
    <n v="0"/>
    <n v="0"/>
    <n v="1"/>
    <n v="0"/>
    <n v="0"/>
    <n v="0"/>
    <n v="0"/>
    <n v="0"/>
    <n v="0"/>
    <n v="0"/>
    <n v="0"/>
    <n v="0"/>
    <n v="0"/>
    <n v="0"/>
    <n v="0"/>
    <n v="0"/>
    <n v="1"/>
    <n v="0"/>
    <n v="0"/>
    <n v="0"/>
    <n v="0"/>
    <n v="0"/>
    <n v="0"/>
    <n v="0"/>
    <m/>
    <m/>
    <s v="Roehampton Regeneration Area"/>
    <n v="7"/>
    <m/>
    <m/>
    <n v="0.25"/>
    <n v="0.25"/>
    <n v="0.25"/>
    <n v="0.25"/>
    <m/>
    <m/>
    <m/>
    <m/>
    <m/>
    <m/>
    <m/>
    <m/>
    <m/>
    <m/>
    <m/>
    <m/>
    <m/>
    <m/>
    <n v="1"/>
    <n v="1"/>
  </r>
  <r>
    <n v="6526"/>
    <x v="1"/>
    <s v="2017/0535"/>
    <s v="Land west of 86-96, Garratt Lane"/>
    <s v="Intermediate"/>
    <n v="525688"/>
    <n v="174300"/>
    <s v="Wandsworth Town"/>
    <m/>
    <m/>
    <n v="0"/>
    <n v="10"/>
    <n v="10"/>
    <n v="27"/>
    <n v="27"/>
    <s v="Y"/>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m/>
    <s v="Nil"/>
    <m/>
    <s v="BF"/>
    <s v="NB"/>
    <x v="0"/>
    <x v="0"/>
    <n v="6.7000000000000004E-2"/>
    <m/>
    <x v="0"/>
    <m/>
    <s v="Intermediate"/>
    <s v="ISD"/>
    <s v=""/>
    <m/>
    <n v="10"/>
    <m/>
    <n v="1"/>
    <m/>
    <n v="3"/>
    <n v="7"/>
    <n v="0"/>
    <n v="0"/>
    <n v="0"/>
    <n v="0"/>
    <n v="0"/>
    <n v="3"/>
    <n v="7"/>
    <n v="0"/>
    <n v="0"/>
    <n v="0"/>
    <n v="0"/>
    <n v="0"/>
    <n v="0"/>
    <n v="0"/>
    <n v="0"/>
    <n v="0"/>
    <n v="0"/>
    <n v="0"/>
    <n v="0"/>
    <n v="0"/>
    <n v="0"/>
    <n v="0"/>
    <n v="0"/>
    <n v="0"/>
    <n v="0"/>
    <n v="0"/>
    <s v="Wandsworth"/>
    <m/>
    <s v="Wandsworth Town, including the Wandle Delta Masterplan Area"/>
    <n v="10"/>
    <m/>
    <m/>
    <m/>
    <m/>
    <n v="3.3333333333333335"/>
    <n v="3.3333333333333335"/>
    <n v="3.3333333333333335"/>
    <m/>
    <m/>
    <m/>
    <m/>
    <m/>
    <m/>
    <m/>
    <m/>
    <m/>
    <m/>
    <m/>
    <m/>
    <m/>
    <n v="6.666666666666667"/>
    <n v="10"/>
  </r>
  <r>
    <n v="7835"/>
    <x v="1"/>
    <s v="2022/1694"/>
    <s v="223 Balham High Road"/>
    <s v="LDN Affordable Rent"/>
    <n v="528255"/>
    <n v="172659"/>
    <s v="South Balham"/>
    <m/>
    <m/>
    <n v="0"/>
    <n v="5"/>
    <n v="5"/>
    <n v="42"/>
    <n v="42"/>
    <s v="Y"/>
    <s v="Demolition of existing ground floor commercial unit and erection of a part 3/4/5 storey building with basement to provide commercial (Class E) on the basement and front ground floor and 42 residential units (Class C3) to the rear ground floor and above with private and communal amenity spaces. Provision of cycle storage, refuse storage and landscaping."/>
    <s v="PFLA"/>
    <d v="2022-04-25T00:00:00"/>
    <d v="2023-03-08T00:00:00"/>
    <s v="Y"/>
    <s v="Nil"/>
    <m/>
    <s v="BF"/>
    <s v="NB"/>
    <x v="0"/>
    <x v="0"/>
    <n v="4.6600000000000003E-2"/>
    <m/>
    <x v="0"/>
    <m/>
    <s v="Social/Affordable Rent"/>
    <s v="AL"/>
    <s v=""/>
    <m/>
    <n v="0"/>
    <m/>
    <n v="0"/>
    <m/>
    <n v="0"/>
    <n v="0"/>
    <n v="0"/>
    <n v="5"/>
    <n v="0"/>
    <n v="0"/>
    <n v="0"/>
    <n v="0"/>
    <n v="0"/>
    <n v="0"/>
    <n v="5"/>
    <n v="0"/>
    <n v="0"/>
    <n v="0"/>
    <n v="0"/>
    <n v="0"/>
    <n v="0"/>
    <n v="0"/>
    <n v="0"/>
    <n v="0"/>
    <n v="0"/>
    <n v="0"/>
    <n v="0"/>
    <n v="0"/>
    <n v="0"/>
    <n v="0"/>
    <n v="0"/>
    <n v="0"/>
    <m/>
    <m/>
    <s v="Rest of Borough"/>
    <n v="8"/>
    <m/>
    <m/>
    <m/>
    <n v="5"/>
    <m/>
    <m/>
    <m/>
    <m/>
    <m/>
    <m/>
    <m/>
    <m/>
    <m/>
    <m/>
    <m/>
    <m/>
    <m/>
    <m/>
    <m/>
    <m/>
    <n v="5"/>
    <n v="5"/>
  </r>
  <r>
    <n v="5044"/>
    <x v="1"/>
    <s v="2020/1615"/>
    <s v="329-339 &amp; 45-53 Putney Bridge Road &amp; Putney High Street, Putney Bridge Road (The Blades)"/>
    <s v="Levellers Court (ISO)"/>
    <n v="524136"/>
    <n v="175435"/>
    <s v="Thamesfield"/>
    <d v="2022-07-06T00:00:00"/>
    <m/>
    <n v="0"/>
    <n v="33"/>
    <n v="33"/>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m/>
    <s v="Nil"/>
    <m/>
    <s v="BF"/>
    <s v="NB"/>
    <x v="0"/>
    <x v="0"/>
    <n v="8.1000000000000003E-2"/>
    <m/>
    <x v="0"/>
    <m/>
    <s v="Intermediate"/>
    <s v="ISO"/>
    <s v="6.1.3"/>
    <m/>
    <n v="0"/>
    <m/>
    <n v="0"/>
    <n v="4"/>
    <n v="0"/>
    <n v="13"/>
    <n v="20"/>
    <n v="0"/>
    <n v="0"/>
    <n v="0"/>
    <n v="0"/>
    <n v="0"/>
    <n v="13"/>
    <n v="20"/>
    <n v="0"/>
    <n v="0"/>
    <n v="0"/>
    <n v="0"/>
    <n v="0"/>
    <n v="0"/>
    <n v="0"/>
    <n v="0"/>
    <n v="0"/>
    <n v="0"/>
    <n v="0"/>
    <n v="0"/>
    <n v="0"/>
    <n v="0"/>
    <n v="0"/>
    <n v="0"/>
    <n v="0"/>
    <n v="0"/>
    <s v="Putney"/>
    <m/>
    <s v="Putney Town Centre"/>
    <n v="10"/>
    <m/>
    <m/>
    <m/>
    <m/>
    <n v="11"/>
    <n v="11"/>
    <n v="11"/>
    <m/>
    <m/>
    <m/>
    <m/>
    <m/>
    <m/>
    <m/>
    <m/>
    <m/>
    <m/>
    <m/>
    <m/>
    <m/>
    <n v="22"/>
    <n v="33"/>
  </r>
  <r>
    <n v="5044"/>
    <x v="1"/>
    <s v="2020/1615"/>
    <s v="329-339 &amp; 45-53 Putney Bridge Road &amp; Putney High Street, Putney Bridge Road (The Blades)"/>
    <s v="Levellers Court (private)"/>
    <n v="524136"/>
    <n v="175435"/>
    <s v="Thamesfield"/>
    <d v="2022-07-06T00:00:00"/>
    <m/>
    <n v="2"/>
    <n v="82"/>
    <n v="80"/>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m/>
    <s v="Nil"/>
    <m/>
    <s v="BF"/>
    <s v="NB"/>
    <x v="0"/>
    <x v="0"/>
    <n v="0.19600000000000001"/>
    <m/>
    <x v="0"/>
    <m/>
    <s v="Open Market"/>
    <s v="M"/>
    <s v="6.1.3"/>
    <m/>
    <n v="0"/>
    <m/>
    <n v="0"/>
    <n v="8"/>
    <n v="0"/>
    <n v="23"/>
    <n v="29"/>
    <n v="28"/>
    <n v="0"/>
    <n v="0"/>
    <n v="0"/>
    <n v="0"/>
    <n v="23"/>
    <n v="29"/>
    <n v="28"/>
    <n v="0"/>
    <n v="0"/>
    <n v="0"/>
    <n v="0"/>
    <n v="0"/>
    <n v="0"/>
    <n v="0"/>
    <n v="0"/>
    <n v="0"/>
    <n v="0"/>
    <n v="0"/>
    <n v="0"/>
    <n v="0"/>
    <n v="0"/>
    <n v="0"/>
    <n v="0"/>
    <n v="0"/>
    <s v="Putney"/>
    <m/>
    <s v="Putney Town Centre"/>
    <n v="10"/>
    <m/>
    <m/>
    <m/>
    <m/>
    <n v="26.666666666666668"/>
    <n v="26.666666666666668"/>
    <n v="26.666666666666668"/>
    <m/>
    <m/>
    <m/>
    <m/>
    <m/>
    <m/>
    <m/>
    <m/>
    <m/>
    <m/>
    <m/>
    <m/>
    <m/>
    <n v="53.333333333333336"/>
    <n v="80"/>
  </r>
  <r>
    <n v="5044"/>
    <x v="1"/>
    <s v="2020/1615"/>
    <s v="329-339 &amp; 45-53 Putney Bridge Road &amp; Putney High Street, Putney Bridge Road (The Blades)"/>
    <s v="Levellers Mews"/>
    <n v="524136"/>
    <n v="175435"/>
    <s v="Thamesfield"/>
    <d v="2022-07-06T00:00:00"/>
    <m/>
    <n v="0"/>
    <n v="8"/>
    <n v="8"/>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m/>
    <s v="Nil"/>
    <m/>
    <s v="BF"/>
    <s v="NB"/>
    <x v="0"/>
    <x v="0"/>
    <n v="6.6000000000000003E-2"/>
    <m/>
    <x v="0"/>
    <m/>
    <s v="Open Market"/>
    <s v="M"/>
    <s v="6.1.3"/>
    <m/>
    <n v="0"/>
    <m/>
    <n v="0"/>
    <m/>
    <n v="0"/>
    <n v="0"/>
    <n v="8"/>
    <n v="0"/>
    <n v="0"/>
    <n v="0"/>
    <n v="0"/>
    <n v="0"/>
    <n v="0"/>
    <n v="0"/>
    <n v="0"/>
    <n v="0"/>
    <n v="0"/>
    <n v="0"/>
    <n v="0"/>
    <n v="0"/>
    <n v="8"/>
    <n v="0"/>
    <n v="0"/>
    <n v="0"/>
    <n v="0"/>
    <n v="0"/>
    <n v="0"/>
    <n v="0"/>
    <n v="0"/>
    <n v="0"/>
    <n v="0"/>
    <n v="0"/>
    <s v="Putney"/>
    <m/>
    <s v="Putney Town Centre"/>
    <n v="10"/>
    <m/>
    <m/>
    <m/>
    <m/>
    <n v="2.6666666666666665"/>
    <n v="2.6666666666666665"/>
    <n v="2.6666666666666665"/>
    <m/>
    <m/>
    <m/>
    <m/>
    <m/>
    <m/>
    <m/>
    <m/>
    <m/>
    <m/>
    <m/>
    <m/>
    <m/>
    <n v="5.333333333333333"/>
    <n v="8"/>
  </r>
  <r>
    <n v="7835"/>
    <x v="1"/>
    <s v="2022/1694"/>
    <s v="223 Balham High Road"/>
    <s v="Market"/>
    <n v="528255"/>
    <n v="172659"/>
    <s v="South Balham"/>
    <m/>
    <m/>
    <n v="0"/>
    <n v="37"/>
    <n v="37"/>
    <n v="42"/>
    <n v="42"/>
    <s v="Y"/>
    <s v="Demolition of existing ground floor commercial unit and erection of a part 3/4/5 storey building with basement to provide commercial (Class E) on the basement and front ground floor and 42 residential units (Class C3) to the rear ground floor and above with private and communal amenity spaces. Provision of cycle storage, refuse storage and landscaping."/>
    <s v="PFLA"/>
    <d v="2022-04-25T00:00:00"/>
    <d v="2023-03-08T00:00:00"/>
    <s v="Y"/>
    <s v="Nil"/>
    <m/>
    <s v="BF"/>
    <s v="NB"/>
    <x v="0"/>
    <x v="0"/>
    <n v="0.34520000000000001"/>
    <m/>
    <x v="0"/>
    <m/>
    <s v="Open Market"/>
    <s v="M"/>
    <s v=""/>
    <m/>
    <n v="0"/>
    <m/>
    <n v="0"/>
    <m/>
    <n v="1"/>
    <n v="18"/>
    <n v="14"/>
    <n v="4"/>
    <n v="0"/>
    <n v="0"/>
    <n v="0"/>
    <n v="1"/>
    <n v="18"/>
    <n v="14"/>
    <n v="4"/>
    <n v="0"/>
    <n v="0"/>
    <n v="0"/>
    <n v="0"/>
    <n v="0"/>
    <n v="0"/>
    <n v="0"/>
    <n v="0"/>
    <n v="0"/>
    <n v="0"/>
    <n v="0"/>
    <n v="0"/>
    <n v="0"/>
    <n v="0"/>
    <n v="0"/>
    <n v="0"/>
    <n v="0"/>
    <m/>
    <m/>
    <s v="Rest of Borough"/>
    <n v="8"/>
    <m/>
    <m/>
    <m/>
    <n v="37"/>
    <m/>
    <m/>
    <m/>
    <m/>
    <m/>
    <m/>
    <m/>
    <m/>
    <m/>
    <m/>
    <m/>
    <m/>
    <m/>
    <m/>
    <m/>
    <m/>
    <n v="37"/>
    <n v="37"/>
  </r>
  <r>
    <n v="6526"/>
    <x v="1"/>
    <s v="2017/0535"/>
    <s v="Land west of 86-96, Garratt Lane"/>
    <s v="Market"/>
    <n v="525688"/>
    <n v="174300"/>
    <s v="Wandsworth Town"/>
    <m/>
    <m/>
    <n v="0"/>
    <n v="17"/>
    <n v="17"/>
    <n v="27"/>
    <n v="27"/>
    <s v="Y"/>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PFLA"/>
    <d v="2017-03-15T00:00:00"/>
    <d v="2021-06-16T00:00:00"/>
    <m/>
    <s v="Nil"/>
    <m/>
    <s v="BF"/>
    <s v="NB"/>
    <x v="0"/>
    <x v="0"/>
    <n v="0.1139"/>
    <m/>
    <x v="0"/>
    <m/>
    <s v="Open Market"/>
    <s v="M"/>
    <s v=""/>
    <m/>
    <n v="15"/>
    <m/>
    <n v="2"/>
    <m/>
    <n v="0"/>
    <n v="7"/>
    <n v="6"/>
    <n v="4"/>
    <n v="0"/>
    <n v="0"/>
    <n v="0"/>
    <n v="0"/>
    <n v="7"/>
    <n v="6"/>
    <n v="4"/>
    <n v="0"/>
    <n v="0"/>
    <n v="0"/>
    <n v="0"/>
    <n v="0"/>
    <n v="0"/>
    <n v="0"/>
    <n v="0"/>
    <n v="0"/>
    <n v="0"/>
    <n v="0"/>
    <n v="0"/>
    <n v="0"/>
    <n v="0"/>
    <n v="0"/>
    <n v="0"/>
    <n v="0"/>
    <s v="Wandsworth"/>
    <m/>
    <s v="Wandsworth Town, including the Wandle Delta Masterplan Area"/>
    <n v="10"/>
    <m/>
    <m/>
    <m/>
    <m/>
    <n v="5.666666666666667"/>
    <n v="5.666666666666667"/>
    <n v="5.666666666666667"/>
    <m/>
    <m/>
    <m/>
    <m/>
    <m/>
    <m/>
    <m/>
    <m/>
    <m/>
    <m/>
    <m/>
    <m/>
    <m/>
    <n v="11.333333333333334"/>
    <n v="17"/>
  </r>
  <r>
    <n v="7463"/>
    <x v="1"/>
    <s v="2020/5015"/>
    <s v="7a Putney Bridge Road"/>
    <s v="Mews House"/>
    <n v="525270"/>
    <n v="174719"/>
    <s v="East Putney"/>
    <d v="2022-08-19T00:00:00"/>
    <m/>
    <n v="0"/>
    <n v="1"/>
    <n v="1"/>
    <n v="9"/>
    <n v="9"/>
    <m/>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m/>
    <s v="Nil"/>
    <m/>
    <s v="BF"/>
    <s v="NB"/>
    <x v="2"/>
    <x v="1"/>
    <n v="8.9999999999999993E-3"/>
    <m/>
    <x v="0"/>
    <m/>
    <s v="Open Market"/>
    <s v="M"/>
    <s v=""/>
    <m/>
    <n v="0"/>
    <m/>
    <n v="0"/>
    <m/>
    <n v="0"/>
    <n v="0"/>
    <n v="0"/>
    <n v="1"/>
    <n v="0"/>
    <n v="0"/>
    <n v="0"/>
    <n v="0"/>
    <n v="0"/>
    <n v="0"/>
    <n v="0"/>
    <n v="0"/>
    <n v="0"/>
    <n v="0"/>
    <n v="0"/>
    <n v="0"/>
    <n v="0"/>
    <n v="1"/>
    <n v="0"/>
    <n v="0"/>
    <n v="0"/>
    <n v="0"/>
    <n v="0"/>
    <n v="0"/>
    <n v="0"/>
    <n v="0"/>
    <n v="0"/>
    <n v="0"/>
    <m/>
    <m/>
    <s v="Wandsworth Town, including the Wandle Delta Masterplan Area"/>
    <n v="8"/>
    <m/>
    <m/>
    <n v="1"/>
    <m/>
    <m/>
    <m/>
    <m/>
    <m/>
    <m/>
    <m/>
    <m/>
    <m/>
    <m/>
    <m/>
    <m/>
    <m/>
    <m/>
    <m/>
    <m/>
    <m/>
    <n v="1"/>
    <n v="1"/>
  </r>
  <r>
    <n v="3511"/>
    <x v="0"/>
    <s v="2021/4010"/>
    <s v="New Covent Garden Market, Nine Elms Lane (Combined Main Market, Entrance site and Thessaly College site)"/>
    <s v="N9"/>
    <n v="529369"/>
    <n v="177317"/>
    <s v="Nine Elms"/>
    <d v="2019-07-26T00:00:00"/>
    <d v="2023-03-31T00:00:00"/>
    <n v="0"/>
    <n v="227"/>
    <n v="227"/>
    <n v="227"/>
    <n v="227"/>
    <s v="Y"/>
    <s v="Non-material amendment to planning permission dated 22/03/2019 ref 2018/5698 (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_x000a_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_x000a_(Environmental Impact Assessment) Regulations 2011.&quot;), to allow amendment to the retail's units; minor amendments to internal amenities; removal of gym from podium level; podium roof landscaping; addition of retail unit fronting Parry Street and minor updates to the podium elevations and amend a quadplex into two duplex units' at N9."/>
    <s v="S96A"/>
    <d v="2021-08-27T00:00:00"/>
    <d v="2022-06-21T00:00:00"/>
    <s v="Y"/>
    <s v="Nil"/>
    <m/>
    <s v="BF"/>
    <s v="NB"/>
    <x v="0"/>
    <x v="0"/>
    <n v="1.264"/>
    <d v="2019-07-26T00:00:00"/>
    <x v="0"/>
    <d v="2023-03-31T00:00:00"/>
    <s v="Open Market"/>
    <s v="M"/>
    <s v="2.1.27"/>
    <m/>
    <n v="227"/>
    <m/>
    <n v="23"/>
    <m/>
    <n v="0"/>
    <n v="68"/>
    <n v="94"/>
    <n v="54"/>
    <n v="11"/>
    <n v="0"/>
    <n v="0"/>
    <n v="0"/>
    <n v="68"/>
    <n v="94"/>
    <n v="54"/>
    <n v="11"/>
    <n v="0"/>
    <n v="0"/>
    <n v="0"/>
    <n v="0"/>
    <n v="0"/>
    <n v="0"/>
    <n v="0"/>
    <n v="0"/>
    <n v="0"/>
    <n v="0"/>
    <n v="0"/>
    <n v="0"/>
    <n v="0"/>
    <n v="0"/>
    <n v="0"/>
    <n v="0"/>
    <m/>
    <s v="Y"/>
    <s v="Nine Elms Vauxhall Opportunity Area"/>
    <n v="1"/>
    <n v="227"/>
    <m/>
    <m/>
    <m/>
    <m/>
    <m/>
    <m/>
    <m/>
    <m/>
    <m/>
    <m/>
    <m/>
    <m/>
    <m/>
    <m/>
    <m/>
    <m/>
    <m/>
    <m/>
    <m/>
    <n v="0"/>
    <n v="0"/>
  </r>
  <r>
    <n v="179"/>
    <x v="1"/>
    <s v="2018/2166"/>
    <s v="1a Merivale Road"/>
    <s v="New build"/>
    <n v="524331"/>
    <n v="175422"/>
    <s v="Thamesfield"/>
    <m/>
    <m/>
    <n v="0"/>
    <n v="3"/>
    <n v="3"/>
    <n v="7"/>
    <n v="7"/>
    <m/>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m/>
    <s v="Nil"/>
    <m/>
    <s v="BF"/>
    <s v="MIX"/>
    <x v="2"/>
    <x v="1"/>
    <n v="0.04"/>
    <m/>
    <x v="0"/>
    <m/>
    <s v="Open Market"/>
    <s v="M"/>
    <s v=""/>
    <m/>
    <n v="0"/>
    <m/>
    <n v="0"/>
    <m/>
    <n v="0"/>
    <n v="0"/>
    <n v="2"/>
    <n v="1"/>
    <n v="0"/>
    <n v="0"/>
    <n v="0"/>
    <n v="0"/>
    <n v="0"/>
    <n v="0"/>
    <n v="0"/>
    <n v="0"/>
    <n v="0"/>
    <n v="0"/>
    <n v="0"/>
    <n v="0"/>
    <n v="2"/>
    <n v="1"/>
    <n v="0"/>
    <n v="0"/>
    <n v="0"/>
    <n v="0"/>
    <n v="0"/>
    <n v="0"/>
    <n v="0"/>
    <n v="0"/>
    <n v="0"/>
    <n v="0"/>
    <m/>
    <m/>
    <s v="Rest of Borough"/>
    <n v="18"/>
    <m/>
    <n v="0.75"/>
    <n v="0.75"/>
    <n v="0.75"/>
    <n v="0.75"/>
    <m/>
    <m/>
    <m/>
    <m/>
    <m/>
    <m/>
    <m/>
    <m/>
    <m/>
    <m/>
    <m/>
    <m/>
    <m/>
    <m/>
    <m/>
    <n v="3"/>
    <n v="3"/>
  </r>
  <r>
    <n v="7367"/>
    <x v="1"/>
    <s v="2020/0530"/>
    <s v="Coleman Court, Kimber Road"/>
    <s v="New build"/>
    <n v="525438"/>
    <n v="173644"/>
    <s v="Southfields"/>
    <m/>
    <m/>
    <n v="1"/>
    <n v="3"/>
    <n v="2"/>
    <n v="23"/>
    <n v="22"/>
    <s v="Y"/>
    <s v="Erection of a fourth floor level  roof extension to provide 20 x 1-bedroomed flats; demolition of an existing single-storey courtyard dwelling and the erection of a replacement 3-storey block of 3 x 2 bedroomed flats.  Provision of associated bicycle and bin stores."/>
    <s v="PFLA"/>
    <d v="2020-03-25T00:00:00"/>
    <d v="2022-02-11T00:00:00"/>
    <m/>
    <s v="Nil"/>
    <m/>
    <s v="BF"/>
    <s v="MIX"/>
    <x v="0"/>
    <x v="0"/>
    <n v="2.1999999999999999E-2"/>
    <m/>
    <x v="0"/>
    <m/>
    <s v="Open Market"/>
    <s v="M"/>
    <s v=""/>
    <m/>
    <n v="0"/>
    <m/>
    <n v="0"/>
    <m/>
    <n v="0"/>
    <n v="0"/>
    <n v="2"/>
    <n v="0"/>
    <n v="0"/>
    <n v="0"/>
    <n v="0"/>
    <n v="0"/>
    <n v="0"/>
    <n v="3"/>
    <n v="0"/>
    <n v="0"/>
    <n v="0"/>
    <n v="0"/>
    <n v="0"/>
    <n v="0"/>
    <n v="-1"/>
    <n v="0"/>
    <n v="0"/>
    <n v="0"/>
    <n v="0"/>
    <n v="0"/>
    <n v="0"/>
    <n v="0"/>
    <n v="0"/>
    <n v="0"/>
    <n v="0"/>
    <n v="0"/>
    <m/>
    <m/>
    <s v="The Wandle Valley"/>
    <n v="17"/>
    <m/>
    <m/>
    <m/>
    <m/>
    <m/>
    <m/>
    <n v="0.5"/>
    <n v="0.5"/>
    <n v="0.5"/>
    <n v="0.5"/>
    <m/>
    <m/>
    <m/>
    <m/>
    <m/>
    <m/>
    <m/>
    <m/>
    <m/>
    <m/>
    <n v="0"/>
    <n v="2"/>
  </r>
  <r>
    <n v="2492"/>
    <x v="1"/>
    <s v="2018/5245"/>
    <s v="Flats 7-10 and land rear of, 126 Bedford Hill (Elmfield Road)"/>
    <s v="New Build"/>
    <n v="528761"/>
    <n v="172884"/>
    <s v="South Balham"/>
    <m/>
    <m/>
    <n v="0"/>
    <n v="1"/>
    <n v="1"/>
    <n v="3"/>
    <n v="3"/>
    <m/>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m/>
    <s v="Nil"/>
    <m/>
    <s v="BF"/>
    <s v="MIX"/>
    <x v="2"/>
    <x v="1"/>
    <n v="1.4999999999999999E-2"/>
    <m/>
    <x v="0"/>
    <m/>
    <s v="Open Market"/>
    <s v="M"/>
    <s v=""/>
    <m/>
    <n v="0"/>
    <m/>
    <n v="0"/>
    <n v="1"/>
    <n v="0"/>
    <n v="0"/>
    <n v="0"/>
    <n v="0"/>
    <n v="1"/>
    <n v="0"/>
    <n v="0"/>
    <n v="0"/>
    <n v="0"/>
    <n v="0"/>
    <n v="0"/>
    <n v="1"/>
    <n v="0"/>
    <n v="0"/>
    <n v="0"/>
    <n v="0"/>
    <n v="0"/>
    <n v="0"/>
    <n v="0"/>
    <n v="0"/>
    <n v="0"/>
    <n v="0"/>
    <n v="0"/>
    <n v="0"/>
    <n v="0"/>
    <n v="0"/>
    <n v="0"/>
    <n v="0"/>
    <m/>
    <m/>
    <s v="Rest of Borough"/>
    <n v="15"/>
    <m/>
    <n v="0.25"/>
    <n v="0.25"/>
    <n v="0.25"/>
    <n v="0.25"/>
    <m/>
    <m/>
    <m/>
    <m/>
    <m/>
    <m/>
    <m/>
    <m/>
    <m/>
    <m/>
    <m/>
    <m/>
    <m/>
    <m/>
    <m/>
    <n v="1"/>
    <n v="1"/>
  </r>
  <r>
    <n v="7090"/>
    <x v="1"/>
    <s v="2018/5833"/>
    <s v="The Northcote Library, Chatham Hall and garages west of Chatham Hall, 155e Northcote Road"/>
    <s v="Northcote Library Site"/>
    <n v="527587"/>
    <n v="174507"/>
    <s v="Northcote"/>
    <d v="2021-04-01T00:00:00"/>
    <m/>
    <n v="0"/>
    <n v="9"/>
    <n v="9"/>
    <n v="16"/>
    <n v="16"/>
    <s v="Y"/>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m/>
    <s v="Nil"/>
    <m/>
    <s v="BF"/>
    <s v="NB"/>
    <x v="0"/>
    <x v="0"/>
    <n v="6.6000000000000003E-2"/>
    <m/>
    <x v="0"/>
    <m/>
    <s v="Open Market"/>
    <s v="M"/>
    <s v=""/>
    <m/>
    <n v="0"/>
    <m/>
    <n v="0"/>
    <m/>
    <n v="0"/>
    <n v="1"/>
    <n v="8"/>
    <n v="0"/>
    <n v="0"/>
    <n v="0"/>
    <n v="0"/>
    <n v="0"/>
    <n v="1"/>
    <n v="8"/>
    <n v="0"/>
    <n v="0"/>
    <n v="0"/>
    <n v="0"/>
    <n v="0"/>
    <n v="0"/>
    <n v="0"/>
    <n v="0"/>
    <n v="0"/>
    <n v="0"/>
    <n v="0"/>
    <n v="0"/>
    <n v="0"/>
    <n v="0"/>
    <n v="0"/>
    <n v="0"/>
    <n v="0"/>
    <n v="0"/>
    <m/>
    <m/>
    <s v="Rest of Borough"/>
    <n v="10"/>
    <m/>
    <m/>
    <m/>
    <m/>
    <n v="3"/>
    <n v="3"/>
    <n v="3"/>
    <m/>
    <m/>
    <m/>
    <m/>
    <m/>
    <m/>
    <m/>
    <m/>
    <m/>
    <m/>
    <m/>
    <m/>
    <m/>
    <n v="6"/>
    <n v="9"/>
  </r>
  <r>
    <n v="3511"/>
    <x v="1"/>
    <s v="2014/2810"/>
    <s v="New Covent Garden Market, Nine Elms Lane (Combined Main Market, Entrance site and Thessaly College site)"/>
    <s v="Northern Site - N7"/>
    <n v="529369"/>
    <n v="177317"/>
    <s v="Nine Elms"/>
    <d v="2017-03-31T00:00:00"/>
    <m/>
    <n v="0"/>
    <n v="166"/>
    <n v="16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1.0009999999999999"/>
    <m/>
    <x v="0"/>
    <m/>
    <s v="Open Market"/>
    <s v="M"/>
    <s v="2.1.27"/>
    <m/>
    <n v="0"/>
    <n v="149"/>
    <n v="0"/>
    <n v="17"/>
    <n v="0"/>
    <n v="33"/>
    <n v="58"/>
    <n v="75"/>
    <n v="0"/>
    <n v="0"/>
    <n v="0"/>
    <n v="0"/>
    <n v="33"/>
    <n v="58"/>
    <n v="75"/>
    <n v="0"/>
    <n v="0"/>
    <n v="0"/>
    <n v="0"/>
    <n v="0"/>
    <n v="0"/>
    <n v="0"/>
    <n v="0"/>
    <n v="0"/>
    <n v="0"/>
    <n v="0"/>
    <n v="0"/>
    <n v="0"/>
    <n v="0"/>
    <n v="0"/>
    <n v="0"/>
    <n v="0"/>
    <m/>
    <s v="Y"/>
    <s v="Nine Elms Vauxhall Opportunity Area"/>
    <n v="9"/>
    <m/>
    <m/>
    <m/>
    <m/>
    <m/>
    <m/>
    <n v="55.333333333333336"/>
    <n v="55.333333333333336"/>
    <n v="55.333333333333336"/>
    <m/>
    <m/>
    <m/>
    <m/>
    <m/>
    <m/>
    <m/>
    <m/>
    <m/>
    <m/>
    <m/>
    <n v="0"/>
    <n v="166"/>
  </r>
  <r>
    <n v="7304"/>
    <x v="1"/>
    <s v="2019/2516"/>
    <s v="Development Site of Alton Estate, Danebury Avenue (Alton Estate)"/>
    <s v="Outline Affordable Housing Units (65 Units)"/>
    <n v="522152"/>
    <n v="173834"/>
    <s v="Roehampton"/>
    <m/>
    <m/>
    <n v="0"/>
    <n v="65"/>
    <n v="65"/>
    <n v="1068"/>
    <n v="780"/>
    <s v="Y"/>
    <s v="The application is for a part outline and a part detailed planning permission for the following proposed development._x000a__x000a_(a) Phased demolition of existing buildings and structures (except Alton Activity Centre community building);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a__x000a_An Environmental Statement has been submitted with the application under the Town and Country Planning (Environmental Impact Assessment) Regulations 2017."/>
    <s v="PFLA"/>
    <d v="2019-06-07T00:00:00"/>
    <d v="2022-03-23T00:00:00"/>
    <m/>
    <s v="Nil"/>
    <m/>
    <s v="BF"/>
    <s v="NB"/>
    <x v="0"/>
    <x v="0"/>
    <n v="0.23594999999999999"/>
    <m/>
    <x v="0"/>
    <m/>
    <s v="Social/Affordable Rent"/>
    <s v="AA"/>
    <s v="8.1.1"/>
    <m/>
    <n v="0"/>
    <m/>
    <n v="0"/>
    <m/>
    <n v="0"/>
    <n v="0"/>
    <n v="0"/>
    <n v="0"/>
    <n v="0"/>
    <n v="0"/>
    <n v="65"/>
    <n v="0"/>
    <n v="0"/>
    <n v="0"/>
    <n v="0"/>
    <n v="0"/>
    <n v="0"/>
    <n v="65"/>
    <n v="0"/>
    <n v="0"/>
    <n v="0"/>
    <n v="0"/>
    <n v="0"/>
    <n v="0"/>
    <n v="0"/>
    <n v="0"/>
    <n v="0"/>
    <n v="0"/>
    <n v="0"/>
    <n v="0"/>
    <n v="0"/>
    <n v="0"/>
    <m/>
    <m/>
    <s v="Roehampton Regeneration Area"/>
    <n v="10"/>
    <m/>
    <m/>
    <m/>
    <m/>
    <n v="21.666666666666668"/>
    <n v="21.666666666666668"/>
    <n v="21.666666666666668"/>
    <m/>
    <m/>
    <m/>
    <m/>
    <m/>
    <m/>
    <m/>
    <m/>
    <m/>
    <m/>
    <m/>
    <m/>
    <m/>
    <n v="43.333333333333336"/>
    <n v="65"/>
  </r>
  <r>
    <n v="6657"/>
    <x v="1"/>
    <s v="2021/1291"/>
    <s v="Brocklebank Health Centre, 249 Garratt Lane (and others), 229-247 Garratt Lane (Garratt Lane and Atheldene Regeneration Site)"/>
    <s v="Phase 1 (Block D)"/>
    <n v="525999"/>
    <n v="173647"/>
    <s v="Wandle"/>
    <d v="2022-01-20T00:00:00"/>
    <m/>
    <n v="0"/>
    <n v="6"/>
    <n v="6"/>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5.0000000000000001E-3"/>
    <m/>
    <x v="0"/>
    <m/>
    <s v="Intermediate"/>
    <s v="ISL"/>
    <s v=""/>
    <m/>
    <n v="0"/>
    <m/>
    <n v="0"/>
    <n v="2"/>
    <n v="0"/>
    <n v="0"/>
    <n v="6"/>
    <n v="0"/>
    <n v="0"/>
    <n v="0"/>
    <n v="0"/>
    <n v="0"/>
    <n v="0"/>
    <n v="6"/>
    <n v="0"/>
    <n v="0"/>
    <n v="0"/>
    <n v="0"/>
    <n v="0"/>
    <n v="0"/>
    <n v="0"/>
    <n v="0"/>
    <n v="0"/>
    <n v="0"/>
    <n v="0"/>
    <n v="0"/>
    <n v="0"/>
    <n v="0"/>
    <n v="0"/>
    <n v="0"/>
    <n v="0"/>
    <n v="0"/>
    <m/>
    <m/>
    <s v="Rest of Borough"/>
    <n v="8"/>
    <m/>
    <n v="6"/>
    <m/>
    <m/>
    <m/>
    <m/>
    <m/>
    <m/>
    <m/>
    <m/>
    <m/>
    <m/>
    <m/>
    <m/>
    <m/>
    <m/>
    <m/>
    <m/>
    <m/>
    <m/>
    <n v="6"/>
    <n v="6"/>
  </r>
  <r>
    <n v="6657"/>
    <x v="1"/>
    <s v="2021/1291"/>
    <s v="Brocklebank Health Centre, 249 Garratt Lane (and others), 229-247 Garratt Lane (Garratt Lane and Atheldene Regeneration Site)"/>
    <s v="Phase 1 (Block D)"/>
    <n v="525999"/>
    <n v="173647"/>
    <s v="Wandle"/>
    <d v="2022-01-20T00:00:00"/>
    <m/>
    <n v="0"/>
    <n v="2"/>
    <n v="2"/>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2E-3"/>
    <m/>
    <x v="0"/>
    <m/>
    <s v="Social/Affordable Rent"/>
    <s v="AL"/>
    <s v=""/>
    <m/>
    <n v="0"/>
    <m/>
    <n v="0"/>
    <n v="2"/>
    <n v="0"/>
    <n v="0"/>
    <n v="2"/>
    <n v="0"/>
    <n v="0"/>
    <n v="0"/>
    <n v="0"/>
    <n v="0"/>
    <n v="0"/>
    <n v="2"/>
    <n v="0"/>
    <n v="0"/>
    <n v="0"/>
    <n v="0"/>
    <n v="0"/>
    <n v="0"/>
    <n v="0"/>
    <n v="0"/>
    <n v="0"/>
    <n v="0"/>
    <n v="0"/>
    <n v="0"/>
    <n v="0"/>
    <n v="0"/>
    <n v="0"/>
    <n v="0"/>
    <n v="0"/>
    <n v="0"/>
    <m/>
    <m/>
    <s v="Rest of Borough"/>
    <n v="8"/>
    <m/>
    <n v="2"/>
    <m/>
    <m/>
    <m/>
    <m/>
    <m/>
    <m/>
    <m/>
    <m/>
    <m/>
    <m/>
    <m/>
    <m/>
    <m/>
    <m/>
    <m/>
    <m/>
    <m/>
    <m/>
    <n v="2"/>
    <n v="2"/>
  </r>
  <r>
    <n v="6657"/>
    <x v="1"/>
    <s v="2021/1291"/>
    <s v="Brocklebank Health Centre, 249 Garratt Lane (and others), 229-247 Garratt Lane (Garratt Lane and Atheldene Regeneration Site)"/>
    <s v="Phase 2 (Block A)"/>
    <n v="525999"/>
    <n v="173647"/>
    <s v="Wandle"/>
    <d v="2022-01-20T00:00:00"/>
    <m/>
    <n v="0"/>
    <n v="8"/>
    <n v="8"/>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7.0000000000000001E-3"/>
    <m/>
    <x v="0"/>
    <m/>
    <s v="Social/Affordable Rent"/>
    <s v="AL"/>
    <s v=""/>
    <m/>
    <n v="0"/>
    <n v="6"/>
    <n v="0"/>
    <n v="2"/>
    <n v="0"/>
    <n v="0"/>
    <n v="4"/>
    <n v="4"/>
    <n v="0"/>
    <n v="0"/>
    <n v="0"/>
    <n v="0"/>
    <n v="0"/>
    <n v="4"/>
    <n v="4"/>
    <n v="0"/>
    <n v="0"/>
    <n v="0"/>
    <n v="0"/>
    <n v="0"/>
    <n v="0"/>
    <n v="0"/>
    <n v="0"/>
    <n v="0"/>
    <n v="0"/>
    <n v="0"/>
    <n v="0"/>
    <n v="0"/>
    <n v="0"/>
    <n v="0"/>
    <n v="0"/>
    <n v="0"/>
    <m/>
    <m/>
    <s v="Rest of Borough"/>
    <n v="8"/>
    <m/>
    <m/>
    <m/>
    <m/>
    <m/>
    <n v="8"/>
    <m/>
    <m/>
    <m/>
    <m/>
    <m/>
    <m/>
    <m/>
    <m/>
    <m/>
    <m/>
    <m/>
    <m/>
    <m/>
    <m/>
    <n v="8"/>
    <n v="8"/>
  </r>
  <r>
    <n v="6657"/>
    <x v="1"/>
    <s v="2021/1291"/>
    <s v="Brocklebank Health Centre, 249 Garratt Lane (and others), 229-247 Garratt Lane (Garratt Lane and Atheldene Regeneration Site)"/>
    <s v="Phase 2 (Block B)"/>
    <n v="525999"/>
    <n v="173647"/>
    <s v="Wandle"/>
    <d v="2022-01-20T00:00:00"/>
    <m/>
    <n v="0"/>
    <n v="13"/>
    <n v="13"/>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1.2E-2"/>
    <m/>
    <x v="0"/>
    <m/>
    <s v="Open Market"/>
    <s v="M"/>
    <s v=""/>
    <m/>
    <n v="0"/>
    <n v="13"/>
    <n v="0"/>
    <m/>
    <n v="0"/>
    <n v="1"/>
    <n v="10"/>
    <n v="2"/>
    <n v="0"/>
    <n v="0"/>
    <n v="0"/>
    <n v="0"/>
    <n v="1"/>
    <n v="10"/>
    <n v="2"/>
    <n v="0"/>
    <n v="0"/>
    <n v="0"/>
    <n v="0"/>
    <n v="0"/>
    <n v="0"/>
    <n v="0"/>
    <n v="0"/>
    <n v="0"/>
    <n v="0"/>
    <n v="0"/>
    <n v="0"/>
    <n v="0"/>
    <n v="0"/>
    <n v="0"/>
    <n v="0"/>
    <n v="0"/>
    <m/>
    <m/>
    <s v="Rest of Borough"/>
    <n v="8"/>
    <m/>
    <m/>
    <m/>
    <m/>
    <m/>
    <n v="13"/>
    <m/>
    <m/>
    <m/>
    <m/>
    <m/>
    <m/>
    <m/>
    <m/>
    <m/>
    <m/>
    <m/>
    <m/>
    <m/>
    <m/>
    <n v="13"/>
    <n v="13"/>
  </r>
  <r>
    <n v="6657"/>
    <x v="1"/>
    <s v="2021/1291"/>
    <s v="Brocklebank Health Centre, 249 Garratt Lane (and others), 229-247 Garratt Lane (Garratt Lane and Atheldene Regeneration Site)"/>
    <s v="Phase 2 (Block B)"/>
    <n v="525999"/>
    <n v="173647"/>
    <s v="Wandle"/>
    <d v="2022-01-20T00:00:00"/>
    <m/>
    <n v="0"/>
    <n v="6"/>
    <n v="6"/>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3.0000000000000001E-3"/>
    <m/>
    <x v="0"/>
    <m/>
    <s v="Intermediate"/>
    <s v="ISL"/>
    <s v=""/>
    <m/>
    <n v="0"/>
    <n v="2"/>
    <n v="0"/>
    <n v="1"/>
    <n v="0"/>
    <n v="1"/>
    <n v="3"/>
    <n v="2"/>
    <n v="0"/>
    <n v="0"/>
    <n v="0"/>
    <n v="0"/>
    <n v="1"/>
    <n v="3"/>
    <n v="2"/>
    <n v="0"/>
    <n v="0"/>
    <n v="0"/>
    <n v="0"/>
    <n v="0"/>
    <n v="0"/>
    <n v="0"/>
    <n v="0"/>
    <n v="0"/>
    <n v="0"/>
    <n v="0"/>
    <n v="0"/>
    <n v="0"/>
    <n v="0"/>
    <n v="0"/>
    <n v="0"/>
    <n v="0"/>
    <m/>
    <m/>
    <s v="Rest of Borough"/>
    <n v="8"/>
    <m/>
    <m/>
    <m/>
    <m/>
    <m/>
    <n v="6"/>
    <m/>
    <m/>
    <m/>
    <m/>
    <m/>
    <m/>
    <m/>
    <m/>
    <m/>
    <m/>
    <m/>
    <m/>
    <m/>
    <m/>
    <n v="6"/>
    <n v="6"/>
  </r>
  <r>
    <n v="6657"/>
    <x v="1"/>
    <s v="2021/1291"/>
    <s v="Brocklebank Health Centre, 249 Garratt Lane (and others), 229-247 Garratt Lane (Garratt Lane and Atheldene Regeneration Site)"/>
    <s v="Phase 2 (Block C)"/>
    <n v="525999"/>
    <n v="173647"/>
    <s v="Wandle"/>
    <d v="2022-01-20T00:00:00"/>
    <m/>
    <n v="0"/>
    <n v="17"/>
    <n v="17"/>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1.7000000000000001E-2"/>
    <m/>
    <x v="0"/>
    <m/>
    <s v="Open Market"/>
    <s v="M"/>
    <s v=""/>
    <m/>
    <n v="0"/>
    <n v="16"/>
    <n v="0"/>
    <n v="1"/>
    <n v="0"/>
    <n v="1"/>
    <n v="12"/>
    <n v="4"/>
    <n v="0"/>
    <n v="0"/>
    <n v="0"/>
    <n v="0"/>
    <n v="1"/>
    <n v="12"/>
    <n v="4"/>
    <n v="0"/>
    <n v="0"/>
    <n v="0"/>
    <n v="0"/>
    <n v="0"/>
    <n v="0"/>
    <n v="0"/>
    <n v="0"/>
    <n v="0"/>
    <n v="0"/>
    <n v="0"/>
    <n v="0"/>
    <n v="0"/>
    <n v="0"/>
    <n v="0"/>
    <n v="0"/>
    <n v="0"/>
    <m/>
    <m/>
    <s v="Rest of Borough"/>
    <n v="8"/>
    <m/>
    <m/>
    <m/>
    <m/>
    <m/>
    <n v="17"/>
    <m/>
    <m/>
    <m/>
    <m/>
    <m/>
    <m/>
    <m/>
    <m/>
    <m/>
    <m/>
    <m/>
    <m/>
    <m/>
    <m/>
    <n v="17"/>
    <n v="17"/>
  </r>
  <r>
    <n v="6657"/>
    <x v="1"/>
    <s v="2021/1291"/>
    <s v="Brocklebank Health Centre, 249 Garratt Lane (and others), 229-247 Garratt Lane (Garratt Lane and Atheldene Regeneration Site)"/>
    <s v="Phase 2 (Block D)"/>
    <n v="525999"/>
    <n v="173647"/>
    <s v="Wandle"/>
    <d v="2022-01-20T00:00:00"/>
    <m/>
    <n v="0"/>
    <n v="20"/>
    <n v="20"/>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1.7999999999999999E-2"/>
    <m/>
    <x v="0"/>
    <m/>
    <s v="Open Market"/>
    <s v="M"/>
    <s v=""/>
    <m/>
    <n v="0"/>
    <n v="18"/>
    <n v="0"/>
    <n v="2"/>
    <n v="0"/>
    <n v="6"/>
    <n v="14"/>
    <n v="0"/>
    <n v="0"/>
    <n v="0"/>
    <n v="0"/>
    <n v="0"/>
    <n v="6"/>
    <n v="14"/>
    <n v="0"/>
    <n v="0"/>
    <n v="0"/>
    <n v="0"/>
    <n v="0"/>
    <n v="0"/>
    <n v="0"/>
    <n v="0"/>
    <n v="0"/>
    <n v="0"/>
    <n v="0"/>
    <n v="0"/>
    <n v="0"/>
    <n v="0"/>
    <n v="0"/>
    <n v="0"/>
    <n v="0"/>
    <n v="0"/>
    <m/>
    <m/>
    <s v="Rest of Borough"/>
    <n v="8"/>
    <m/>
    <m/>
    <m/>
    <m/>
    <m/>
    <n v="20"/>
    <m/>
    <m/>
    <m/>
    <m/>
    <m/>
    <m/>
    <m/>
    <m/>
    <m/>
    <m/>
    <m/>
    <m/>
    <m/>
    <m/>
    <n v="20"/>
    <n v="20"/>
  </r>
  <r>
    <n v="6657"/>
    <x v="1"/>
    <s v="2021/1291"/>
    <s v="Brocklebank Health Centre, 249 Garratt Lane (and others), 229-247 Garratt Lane (Garratt Lane and Atheldene Regeneration Site)"/>
    <s v="Phase 2 (Block E)"/>
    <n v="525999"/>
    <n v="173647"/>
    <s v="Wandle"/>
    <d v="2022-01-20T00:00:00"/>
    <m/>
    <n v="0"/>
    <n v="19"/>
    <n v="19"/>
    <n v="193"/>
    <n v="182"/>
    <s v="Y"/>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m/>
    <s v="Nil"/>
    <m/>
    <s v="BF"/>
    <s v="NB"/>
    <x v="0"/>
    <x v="0"/>
    <n v="1.7000000000000001E-2"/>
    <m/>
    <x v="0"/>
    <m/>
    <s v="Open Market"/>
    <s v="M"/>
    <s v=""/>
    <m/>
    <n v="0"/>
    <n v="18"/>
    <n v="0"/>
    <n v="1"/>
    <n v="0"/>
    <n v="7"/>
    <n v="12"/>
    <n v="0"/>
    <n v="0"/>
    <n v="0"/>
    <n v="0"/>
    <n v="0"/>
    <n v="7"/>
    <n v="12"/>
    <n v="0"/>
    <n v="0"/>
    <n v="0"/>
    <n v="0"/>
    <n v="0"/>
    <n v="0"/>
    <n v="0"/>
    <n v="0"/>
    <n v="0"/>
    <n v="0"/>
    <n v="0"/>
    <n v="0"/>
    <n v="0"/>
    <n v="0"/>
    <n v="0"/>
    <n v="0"/>
    <n v="0"/>
    <n v="0"/>
    <m/>
    <m/>
    <s v="Rest of Borough"/>
    <n v="8"/>
    <m/>
    <m/>
    <m/>
    <m/>
    <m/>
    <n v="19"/>
    <m/>
    <m/>
    <m/>
    <m/>
    <m/>
    <m/>
    <m/>
    <m/>
    <m/>
    <m/>
    <m/>
    <m/>
    <m/>
    <m/>
    <n v="19"/>
    <n v="19"/>
  </r>
  <r>
    <n v="3521"/>
    <x v="1"/>
    <s v="2017/5837"/>
    <s v="Peabody Estate, St Johns Hill"/>
    <s v="Phase 3"/>
    <n v="527156"/>
    <n v="175243"/>
    <s v="Lavender"/>
    <d v="2020-02-01T00:00:00"/>
    <m/>
    <n v="56"/>
    <n v="0"/>
    <n v="-56"/>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0"/>
    <x v="0"/>
    <n v="0"/>
    <m/>
    <x v="0"/>
    <m/>
    <s v="Social/Affordable Rent"/>
    <s v="AS"/>
    <s v="4.1.5"/>
    <m/>
    <n v="0"/>
    <m/>
    <n v="0"/>
    <m/>
    <n v="-1"/>
    <n v="-18"/>
    <n v="-22"/>
    <n v="-15"/>
    <n v="0"/>
    <n v="0"/>
    <n v="0"/>
    <n v="-1"/>
    <n v="-18"/>
    <n v="-22"/>
    <n v="-15"/>
    <n v="0"/>
    <n v="0"/>
    <n v="0"/>
    <n v="0"/>
    <n v="0"/>
    <n v="0"/>
    <n v="0"/>
    <n v="0"/>
    <n v="0"/>
    <n v="0"/>
    <n v="0"/>
    <n v="0"/>
    <n v="0"/>
    <n v="0"/>
    <n v="0"/>
    <n v="0"/>
    <n v="0"/>
    <m/>
    <m/>
    <s v="Clapham Junction Spatial Area Strategy"/>
    <n v="8"/>
    <m/>
    <m/>
    <m/>
    <m/>
    <n v="-56"/>
    <m/>
    <m/>
    <m/>
    <m/>
    <m/>
    <m/>
    <m/>
    <m/>
    <m/>
    <m/>
    <m/>
    <m/>
    <m/>
    <m/>
    <m/>
    <n v="-56"/>
    <n v="-56"/>
  </r>
  <r>
    <n v="3521"/>
    <x v="1"/>
    <s v="2017/5837"/>
    <s v="Peabody Estate, St Johns Hill"/>
    <s v="Phase 3"/>
    <n v="527156"/>
    <n v="175243"/>
    <s v="Lavender"/>
    <d v="2020-02-01T00:00:00"/>
    <m/>
    <n v="28"/>
    <n v="0"/>
    <n v="-28"/>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x v="0"/>
    <x v="0"/>
    <n v="0"/>
    <m/>
    <x v="0"/>
    <m/>
    <s v="Open Market"/>
    <s v="M"/>
    <s v="4.1.5"/>
    <m/>
    <n v="0"/>
    <m/>
    <n v="0"/>
    <m/>
    <n v="-1"/>
    <n v="-12"/>
    <n v="-12"/>
    <n v="-3"/>
    <n v="0"/>
    <n v="0"/>
    <n v="0"/>
    <n v="-1"/>
    <n v="-12"/>
    <n v="-12"/>
    <n v="-3"/>
    <n v="0"/>
    <n v="0"/>
    <n v="0"/>
    <n v="0"/>
    <n v="0"/>
    <n v="0"/>
    <n v="0"/>
    <n v="0"/>
    <n v="0"/>
    <n v="0"/>
    <n v="0"/>
    <n v="0"/>
    <n v="0"/>
    <n v="0"/>
    <n v="0"/>
    <n v="0"/>
    <n v="0"/>
    <m/>
    <m/>
    <s v="Clapham Junction Spatial Area Strategy"/>
    <n v="8"/>
    <m/>
    <m/>
    <m/>
    <m/>
    <n v="-28"/>
    <m/>
    <m/>
    <m/>
    <m/>
    <m/>
    <m/>
    <m/>
    <m/>
    <m/>
    <m/>
    <m/>
    <m/>
    <m/>
    <m/>
    <m/>
    <n v="-28"/>
    <n v="-28"/>
  </r>
  <r>
    <n v="3521"/>
    <x v="1"/>
    <s v="2021/5678"/>
    <s v="Peabody Estate, St Johns Hill"/>
    <s v="Phase 3 IR"/>
    <n v="527156"/>
    <n v="175243"/>
    <s v="Lavender"/>
    <d v="2022-11-03T00:00:00"/>
    <m/>
    <n v="0"/>
    <n v="37"/>
    <n v="37"/>
    <n v="315"/>
    <n v="307"/>
    <s v="Y"/>
    <s v="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_x000a_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
    <s v="S73"/>
    <d v="2021-12-17T00:00:00"/>
    <d v="2022-11-03T00:00:00"/>
    <s v="Y"/>
    <s v="Nil"/>
    <m/>
    <s v="BF"/>
    <s v="MIX"/>
    <x v="0"/>
    <x v="0"/>
    <n v="0.155"/>
    <m/>
    <x v="0"/>
    <m/>
    <s v="Intermediate"/>
    <s v="IR"/>
    <s v="4.1.5"/>
    <m/>
    <n v="37"/>
    <m/>
    <n v="0"/>
    <m/>
    <n v="0"/>
    <n v="18"/>
    <n v="16"/>
    <n v="3"/>
    <n v="0"/>
    <n v="0"/>
    <n v="0"/>
    <n v="0"/>
    <n v="18"/>
    <n v="16"/>
    <n v="3"/>
    <n v="0"/>
    <n v="0"/>
    <n v="0"/>
    <n v="0"/>
    <n v="0"/>
    <n v="0"/>
    <n v="0"/>
    <n v="0"/>
    <n v="0"/>
    <n v="0"/>
    <n v="0"/>
    <n v="0"/>
    <n v="0"/>
    <n v="0"/>
    <n v="0"/>
    <n v="0"/>
    <n v="0"/>
    <m/>
    <m/>
    <s v="Clapham Junction Spatial Area Strategy"/>
    <n v="8"/>
    <m/>
    <m/>
    <m/>
    <m/>
    <n v="37"/>
    <m/>
    <m/>
    <m/>
    <m/>
    <m/>
    <m/>
    <m/>
    <m/>
    <m/>
    <m/>
    <m/>
    <m/>
    <m/>
    <m/>
    <m/>
    <n v="37"/>
    <n v="37"/>
  </r>
  <r>
    <n v="3521"/>
    <x v="1"/>
    <s v="2021/5678"/>
    <s v="Peabody Estate, St Johns Hill"/>
    <s v="Phase 3 M"/>
    <n v="527156"/>
    <n v="175243"/>
    <s v="Lavender"/>
    <d v="2022-11-03T00:00:00"/>
    <m/>
    <n v="0"/>
    <n v="270"/>
    <n v="270"/>
    <n v="315"/>
    <n v="307"/>
    <s v="Y"/>
    <s v="Variation of Condition 15 (in accordance with approved drawings), Condition 24 (lifetime homes standards), Condition 25 (Code for Sustainable Homes Interim (Design Stage) Certificate), Condition 28 (Energy Performance Certificate), Condition 32 (secure cycle parking spaces), Condition 41 (building heights), Condition 42 (non-residential floorspace) and Condition 43 (residential units) pursuant to planning permission dated 19/01/2019 ref 2017/5837 to allow:_x000a_Changes to internal residential layouts resulting in an amended residential unit mix (including an increase of up to 59 residential units); minor adjustments to the massing, building footprint and height of Plots 3 and 7 (Phase 3) and associated changes to the external building façade of Plots 3, 7and 8 (Phase 3); reconfiguration of commercial floorspace; alterations to play space and landscape design, servicing arrangements, cycle parking and provision of plant."/>
    <s v="S73"/>
    <d v="2021-12-17T00:00:00"/>
    <d v="2022-11-03T00:00:00"/>
    <s v="Y"/>
    <s v="Nil"/>
    <m/>
    <s v="BF"/>
    <s v="MIX"/>
    <x v="0"/>
    <x v="0"/>
    <n v="1.0840000000000001"/>
    <m/>
    <x v="0"/>
    <m/>
    <s v="Open Market"/>
    <s v="M"/>
    <s v="4.1.5"/>
    <m/>
    <n v="270"/>
    <m/>
    <n v="0"/>
    <m/>
    <n v="11"/>
    <n v="133"/>
    <n v="123"/>
    <n v="3"/>
    <n v="0"/>
    <n v="0"/>
    <n v="0"/>
    <n v="11"/>
    <n v="133"/>
    <n v="123"/>
    <n v="3"/>
    <n v="0"/>
    <n v="0"/>
    <n v="0"/>
    <n v="0"/>
    <n v="0"/>
    <n v="0"/>
    <n v="0"/>
    <n v="0"/>
    <n v="0"/>
    <n v="0"/>
    <n v="0"/>
    <n v="0"/>
    <n v="0"/>
    <n v="0"/>
    <n v="0"/>
    <n v="0"/>
    <n v="0"/>
    <m/>
    <m/>
    <s v="Clapham Junction Spatial Area Strategy"/>
    <n v="8"/>
    <m/>
    <m/>
    <m/>
    <m/>
    <n v="270"/>
    <m/>
    <m/>
    <m/>
    <m/>
    <m/>
    <m/>
    <m/>
    <m/>
    <m/>
    <m/>
    <m/>
    <m/>
    <m/>
    <m/>
    <m/>
    <n v="270"/>
    <n v="270"/>
  </r>
  <r>
    <n v="2411"/>
    <x v="1"/>
    <s v="2017/1680"/>
    <s v="South Lambeth Goods Depot, Cringle St./Battersea Park Rd., Kirtling Street (Battersea Power Station)"/>
    <s v="Phase 6 (RS-2)"/>
    <n v="528934"/>
    <n v="177496"/>
    <s v="Nine Elms"/>
    <d v="2016-05-16T00:00:00"/>
    <m/>
    <n v="0"/>
    <n v="306"/>
    <n v="306"/>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0"/>
    <x v="0"/>
    <n v="0.38600000000000001"/>
    <m/>
    <x v="0"/>
    <m/>
    <s v="Open Market"/>
    <s v="M"/>
    <s v="2.1.1"/>
    <m/>
    <n v="306"/>
    <m/>
    <n v="31"/>
    <m/>
    <n v="29"/>
    <n v="0"/>
    <n v="36"/>
    <n v="140"/>
    <n v="35"/>
    <n v="66"/>
    <n v="0"/>
    <n v="29"/>
    <n v="0"/>
    <n v="36"/>
    <n v="140"/>
    <n v="35"/>
    <n v="66"/>
    <n v="0"/>
    <n v="0"/>
    <n v="0"/>
    <n v="0"/>
    <n v="0"/>
    <n v="0"/>
    <n v="0"/>
    <n v="0"/>
    <n v="0"/>
    <n v="0"/>
    <n v="0"/>
    <n v="0"/>
    <n v="0"/>
    <n v="0"/>
    <n v="0"/>
    <m/>
    <s v="Y"/>
    <s v="Nine Elms Vauxhall Opportunity Area"/>
    <n v="10"/>
    <m/>
    <m/>
    <m/>
    <m/>
    <n v="102"/>
    <n v="102"/>
    <n v="102"/>
    <m/>
    <m/>
    <m/>
    <m/>
    <m/>
    <m/>
    <m/>
    <m/>
    <m/>
    <m/>
    <m/>
    <m/>
    <m/>
    <n v="204"/>
    <n v="306"/>
  </r>
  <r>
    <n v="2411"/>
    <x v="1"/>
    <s v="2017/1680"/>
    <s v="South Lambeth Goods Depot, Cringle St./Battersea Park Rd., Kirtling Street (Battersea Power Station)"/>
    <s v="Phase 6 (RS-2)"/>
    <n v="528934"/>
    <n v="177496"/>
    <s v="Nine Elms"/>
    <d v="2016-05-16T00:00:00"/>
    <m/>
    <n v="0"/>
    <n v="92"/>
    <n v="92"/>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x v="0"/>
    <x v="0"/>
    <n v="0.11600000000000001"/>
    <m/>
    <x v="0"/>
    <m/>
    <s v="Intermediate"/>
    <s v="IR"/>
    <s v="2.1.1"/>
    <m/>
    <n v="92"/>
    <m/>
    <n v="9"/>
    <m/>
    <n v="0"/>
    <n v="41"/>
    <n v="48"/>
    <n v="3"/>
    <n v="0"/>
    <n v="0"/>
    <n v="0"/>
    <n v="0"/>
    <n v="41"/>
    <n v="48"/>
    <n v="3"/>
    <n v="0"/>
    <n v="0"/>
    <n v="0"/>
    <n v="0"/>
    <n v="0"/>
    <n v="0"/>
    <n v="0"/>
    <n v="0"/>
    <n v="0"/>
    <n v="0"/>
    <n v="0"/>
    <n v="0"/>
    <n v="0"/>
    <n v="0"/>
    <n v="0"/>
    <n v="0"/>
    <n v="0"/>
    <m/>
    <s v="Y"/>
    <s v="Nine Elms Vauxhall Opportunity Area"/>
    <n v="10"/>
    <m/>
    <m/>
    <m/>
    <m/>
    <n v="30.666666666666668"/>
    <n v="30.666666666666668"/>
    <n v="30.666666666666668"/>
    <m/>
    <m/>
    <m/>
    <m/>
    <m/>
    <m/>
    <m/>
    <m/>
    <m/>
    <m/>
    <m/>
    <m/>
    <m/>
    <n v="61.333333333333336"/>
    <n v="92"/>
  </r>
  <r>
    <n v="2411"/>
    <x v="1"/>
    <s v="2016/1119"/>
    <s v="South Lambeth Goods Depot, Cringle St./Battersea Park Rd., Kirtling Street (Battersea Power Station)"/>
    <s v="Phase 7 (RS-WF)"/>
    <n v="528934"/>
    <n v="177496"/>
    <s v="Nine Elms"/>
    <d v="2013-11-21T00:00:00"/>
    <m/>
    <n v="0"/>
    <n v="152"/>
    <n v="152"/>
    <n v="2735"/>
    <n v="2735"/>
    <s v="Y"/>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m/>
    <s v="Nil"/>
    <m/>
    <s v="BF"/>
    <s v="NB"/>
    <x v="0"/>
    <x v="0"/>
    <n v="0.21"/>
    <m/>
    <x v="0"/>
    <m/>
    <s v="Open Market"/>
    <s v="M"/>
    <s v="2.1.1"/>
    <m/>
    <n v="152"/>
    <m/>
    <n v="15"/>
    <m/>
    <n v="26"/>
    <n v="1"/>
    <n v="31"/>
    <n v="55"/>
    <n v="14"/>
    <n v="25"/>
    <n v="0"/>
    <n v="26"/>
    <n v="1"/>
    <n v="31"/>
    <n v="55"/>
    <n v="14"/>
    <n v="25"/>
    <n v="0"/>
    <n v="0"/>
    <n v="0"/>
    <n v="0"/>
    <n v="0"/>
    <n v="0"/>
    <n v="0"/>
    <n v="0"/>
    <n v="0"/>
    <n v="0"/>
    <n v="0"/>
    <n v="0"/>
    <n v="0"/>
    <n v="0"/>
    <n v="0"/>
    <m/>
    <s v="Y"/>
    <s v="Nine Elms Vauxhall Opportunity Area"/>
    <n v="10"/>
    <m/>
    <m/>
    <m/>
    <m/>
    <n v="50.666666666666664"/>
    <n v="50.666666666666664"/>
    <n v="50.666666666666664"/>
    <m/>
    <m/>
    <m/>
    <m/>
    <m/>
    <m/>
    <m/>
    <m/>
    <m/>
    <m/>
    <m/>
    <m/>
    <m/>
    <n v="101.33333333333333"/>
    <n v="152"/>
  </r>
  <r>
    <n v="3938"/>
    <x v="0"/>
    <s v="2021/3086"/>
    <s v="Sleaford Street Industrial Estate &amp; Dairy Crest Distribution Depot, Sleaford Street (Battersea Power Station Phase 4A)"/>
    <s v="Phase 4A (A1.4 and A1.5)"/>
    <n v="529318"/>
    <n v="177190"/>
    <s v="Nine Elms"/>
    <d v="2016-05-16T00:00:00"/>
    <m/>
    <n v="0"/>
    <n v="136"/>
    <n v="136"/>
    <n v="386"/>
    <n v="386"/>
    <s v="Y"/>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m/>
    <s v="Nil"/>
    <m/>
    <s v="BF"/>
    <s v="NB"/>
    <x v="0"/>
    <x v="0"/>
    <n v="0.25"/>
    <d v="2019-03-25T00:00:00"/>
    <x v="0"/>
    <d v="2023-03-31T00:00:00"/>
    <s v="Intermediate"/>
    <s v="ISO"/>
    <s v="2.1.14"/>
    <m/>
    <n v="0"/>
    <n v="123"/>
    <n v="0"/>
    <n v="13"/>
    <n v="11"/>
    <n v="73"/>
    <n v="52"/>
    <n v="0"/>
    <n v="0"/>
    <n v="0"/>
    <n v="0"/>
    <n v="11"/>
    <n v="73"/>
    <n v="52"/>
    <n v="0"/>
    <n v="0"/>
    <n v="0"/>
    <n v="0"/>
    <n v="0"/>
    <n v="0"/>
    <n v="0"/>
    <n v="0"/>
    <n v="0"/>
    <n v="0"/>
    <n v="0"/>
    <n v="0"/>
    <n v="0"/>
    <n v="0"/>
    <n v="0"/>
    <n v="0"/>
    <n v="0"/>
    <n v="0"/>
    <m/>
    <s v="Y"/>
    <s v="Nine Elms Vauxhall Opportunity Area"/>
    <n v="1"/>
    <n v="136"/>
    <m/>
    <m/>
    <m/>
    <m/>
    <m/>
    <m/>
    <m/>
    <m/>
    <m/>
    <m/>
    <m/>
    <m/>
    <m/>
    <m/>
    <m/>
    <m/>
    <m/>
    <m/>
    <m/>
    <n v="0"/>
    <n v="0"/>
  </r>
  <r>
    <n v="3938"/>
    <x v="2"/>
    <s v="2021/3086"/>
    <s v="Sleaford Street Industrial Estate &amp; Dairy Crest Distribution Depot, Sleaford Street (Battersea Power Station Phase 4A)"/>
    <s v="Phase 4A (A1.1, A1.2 and A1.3)"/>
    <n v="529318"/>
    <n v="177190"/>
    <s v="Nine Elms"/>
    <d v="2016-05-16T00:00:00"/>
    <m/>
    <n v="0"/>
    <n v="168"/>
    <n v="168"/>
    <n v="386"/>
    <n v="386"/>
    <s v="Y"/>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m/>
    <s v="Nil"/>
    <m/>
    <s v="BF"/>
    <s v="NB"/>
    <x v="0"/>
    <x v="0"/>
    <n v="0.309"/>
    <d v="2019-03-25T00:00:00"/>
    <x v="0"/>
    <m/>
    <s v="Social/Affordable Rent"/>
    <s v="AL"/>
    <s v="2.1.14"/>
    <m/>
    <n v="0"/>
    <n v="147"/>
    <n v="0"/>
    <n v="21"/>
    <n v="2"/>
    <n v="60"/>
    <n v="44"/>
    <n v="30"/>
    <n v="32"/>
    <n v="0"/>
    <n v="0"/>
    <n v="2"/>
    <n v="60"/>
    <n v="44"/>
    <n v="30"/>
    <n v="32"/>
    <n v="0"/>
    <n v="0"/>
    <n v="0"/>
    <n v="0"/>
    <n v="0"/>
    <n v="0"/>
    <n v="0"/>
    <n v="0"/>
    <n v="0"/>
    <n v="0"/>
    <n v="0"/>
    <n v="0"/>
    <n v="0"/>
    <n v="0"/>
    <n v="0"/>
    <n v="0"/>
    <m/>
    <s v="Y"/>
    <s v="Nine Elms Vauxhall Opportunity Area"/>
    <n v="5"/>
    <m/>
    <n v="168"/>
    <m/>
    <m/>
    <m/>
    <m/>
    <m/>
    <m/>
    <m/>
    <m/>
    <m/>
    <m/>
    <m/>
    <m/>
    <m/>
    <m/>
    <m/>
    <m/>
    <m/>
    <m/>
    <n v="168"/>
    <n v="168"/>
  </r>
  <r>
    <n v="2502"/>
    <x v="1"/>
    <s v="2021/4678"/>
    <s v="Springfield Hospital site, 61 Glenburnie Road"/>
    <s v="Phase 6C"/>
    <n v="527221"/>
    <n v="172443"/>
    <s v="Wandsworth Common"/>
    <d v="2015-08-28T00:00:00"/>
    <m/>
    <n v="0"/>
    <n v="80"/>
    <n v="80"/>
    <n v="80"/>
    <n v="80"/>
    <s v="Y"/>
    <s v="Reserved matters relating to landscaping, scale and appearance in respect of the part demolition, conversion, restoration and repair of part of the Main Building (Grade II listed) to provide 80 residential units with landscaping and associated works (forming part of Phase 6C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details and surface and foul water drainage pursuant to conditions 7, 10 and 30."/>
    <s v="PF"/>
    <d v="2021-10-11T00:00:00"/>
    <d v="2022-02-22T00:00:00"/>
    <m/>
    <s v="Nil"/>
    <m/>
    <s v="BF"/>
    <s v="NB"/>
    <x v="0"/>
    <x v="0"/>
    <n v="2E-3"/>
    <m/>
    <x v="0"/>
    <m/>
    <s v="Open Market"/>
    <s v="M"/>
    <s v="9.1"/>
    <m/>
    <n v="0"/>
    <m/>
    <n v="0"/>
    <m/>
    <n v="0"/>
    <n v="45"/>
    <n v="33"/>
    <n v="2"/>
    <n v="0"/>
    <n v="0"/>
    <n v="0"/>
    <n v="0"/>
    <n v="45"/>
    <n v="33"/>
    <n v="2"/>
    <n v="0"/>
    <n v="0"/>
    <n v="0"/>
    <n v="0"/>
    <n v="0"/>
    <n v="0"/>
    <n v="0"/>
    <n v="0"/>
    <n v="0"/>
    <n v="0"/>
    <n v="0"/>
    <n v="0"/>
    <n v="0"/>
    <n v="0"/>
    <n v="0"/>
    <n v="0"/>
    <n v="0"/>
    <m/>
    <m/>
    <s v="Rest of Borough"/>
    <n v="10"/>
    <m/>
    <m/>
    <m/>
    <m/>
    <n v="26.666666666666668"/>
    <n v="26.666666666666668"/>
    <n v="26.666666666666668"/>
    <m/>
    <m/>
    <m/>
    <m/>
    <m/>
    <m/>
    <m/>
    <m/>
    <m/>
    <m/>
    <m/>
    <m/>
    <m/>
    <n v="53.333333333333336"/>
    <n v="80"/>
  </r>
  <r>
    <n v="3938"/>
    <x v="2"/>
    <s v="2021/3086"/>
    <s v="Sleaford Street Industrial Estate &amp; Dairy Crest Distribution Depot, Sleaford Street (Battersea Power Station Phase 4A)"/>
    <s v="Phase 4A (A2 and A3)"/>
    <n v="529318"/>
    <n v="177190"/>
    <s v="Nine Elms"/>
    <d v="2016-05-16T00:00:00"/>
    <m/>
    <n v="0"/>
    <n v="82"/>
    <n v="82"/>
    <n v="386"/>
    <n v="386"/>
    <s v="Y"/>
    <s v="Application under Section 96a of the Town and Country Planning Act 1990 for non-material amendments (variation to Condition 11 (approved drawings) to vary the mix of housing types to provide 10% M4(3) wheelchair user dwellings) to planning permission 2016/3778, dated 21/11/2016 for &quo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quot;"/>
    <s v="S96A"/>
    <d v="2021-06-28T00:00:00"/>
    <d v="2021-07-26T00:00:00"/>
    <m/>
    <s v="Nil"/>
    <m/>
    <s v="BF"/>
    <s v="NB"/>
    <x v="0"/>
    <x v="0"/>
    <n v="0.151"/>
    <d v="2019-03-25T00:00:00"/>
    <x v="0"/>
    <m/>
    <s v="Social/Affordable Rent"/>
    <s v="AL"/>
    <s v="2.1.14"/>
    <m/>
    <n v="0"/>
    <n v="77"/>
    <n v="0"/>
    <n v="5"/>
    <n v="0"/>
    <n v="0"/>
    <n v="40"/>
    <n v="39"/>
    <n v="3"/>
    <n v="0"/>
    <n v="0"/>
    <n v="0"/>
    <n v="0"/>
    <n v="40"/>
    <n v="39"/>
    <n v="3"/>
    <n v="0"/>
    <n v="0"/>
    <n v="0"/>
    <n v="0"/>
    <n v="0"/>
    <n v="0"/>
    <n v="0"/>
    <n v="0"/>
    <n v="0"/>
    <n v="0"/>
    <n v="0"/>
    <n v="0"/>
    <n v="0"/>
    <n v="0"/>
    <n v="0"/>
    <n v="0"/>
    <m/>
    <s v="Y"/>
    <s v="Nine Elms Vauxhall Opportunity Area"/>
    <n v="5"/>
    <m/>
    <n v="82"/>
    <m/>
    <m/>
    <m/>
    <m/>
    <m/>
    <m/>
    <m/>
    <m/>
    <m/>
    <m/>
    <m/>
    <m/>
    <m/>
    <m/>
    <m/>
    <m/>
    <m/>
    <m/>
    <n v="82"/>
    <n v="82"/>
  </r>
  <r>
    <n v="6505"/>
    <x v="1"/>
    <s v="2016/5644"/>
    <s v="Part of Plantation Wharf, York Place, Gartons Way (Plantation Wharf)"/>
    <s v="Port House"/>
    <n v="526483"/>
    <n v="175747"/>
    <s v="St Mary's"/>
    <m/>
    <m/>
    <n v="0"/>
    <n v="77"/>
    <n v="77"/>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m/>
    <s v="Nil"/>
    <m/>
    <s v="BF"/>
    <s v="NB"/>
    <x v="0"/>
    <x v="0"/>
    <n v="0.2"/>
    <m/>
    <x v="0"/>
    <m/>
    <s v="Open Market"/>
    <s v="M"/>
    <s v="10.15"/>
    <m/>
    <n v="0"/>
    <m/>
    <n v="0"/>
    <m/>
    <n v="0"/>
    <n v="10"/>
    <n v="64"/>
    <n v="3"/>
    <n v="0"/>
    <n v="0"/>
    <n v="0"/>
    <n v="0"/>
    <n v="10"/>
    <n v="64"/>
    <n v="3"/>
    <n v="0"/>
    <n v="0"/>
    <n v="0"/>
    <n v="0"/>
    <n v="0"/>
    <n v="0"/>
    <n v="0"/>
    <n v="0"/>
    <n v="0"/>
    <n v="0"/>
    <n v="0"/>
    <n v="0"/>
    <n v="0"/>
    <n v="0"/>
    <n v="0"/>
    <n v="0"/>
    <n v="0"/>
    <m/>
    <m/>
    <s v="Wandsworth riverside"/>
    <n v="10"/>
    <m/>
    <m/>
    <m/>
    <m/>
    <n v="25.666666666666668"/>
    <n v="25.666666666666668"/>
    <n v="25.666666666666668"/>
    <m/>
    <m/>
    <m/>
    <m/>
    <m/>
    <m/>
    <m/>
    <m/>
    <m/>
    <m/>
    <m/>
    <m/>
    <m/>
    <n v="51.333333333333336"/>
    <n v="77"/>
  </r>
  <r>
    <n v="6505"/>
    <x v="1"/>
    <s v="2016/5644"/>
    <s v="Part of Plantation Wharf, York Place, Gartons Way (Plantation Wharf)"/>
    <s v="Port House"/>
    <n v="526483"/>
    <n v="175747"/>
    <s v="St Mary's"/>
    <m/>
    <m/>
    <n v="0"/>
    <n v="8"/>
    <n v="8"/>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m/>
    <s v="Nil"/>
    <m/>
    <s v="BF"/>
    <s v="NB"/>
    <x v="0"/>
    <x v="0"/>
    <n v="1.84E-2"/>
    <m/>
    <x v="0"/>
    <m/>
    <s v="Intermediate"/>
    <s v="ISL"/>
    <s v="10.15"/>
    <m/>
    <n v="0"/>
    <m/>
    <n v="0"/>
    <m/>
    <n v="0"/>
    <n v="4"/>
    <n v="4"/>
    <n v="0"/>
    <n v="0"/>
    <n v="0"/>
    <n v="0"/>
    <n v="0"/>
    <n v="4"/>
    <n v="4"/>
    <n v="0"/>
    <n v="0"/>
    <n v="0"/>
    <n v="0"/>
    <n v="0"/>
    <n v="0"/>
    <n v="0"/>
    <n v="0"/>
    <n v="0"/>
    <n v="0"/>
    <n v="0"/>
    <n v="0"/>
    <n v="0"/>
    <n v="0"/>
    <n v="0"/>
    <n v="0"/>
    <n v="0"/>
    <n v="0"/>
    <m/>
    <m/>
    <s v="Wandsworth riverside"/>
    <n v="10"/>
    <m/>
    <m/>
    <m/>
    <m/>
    <n v="2.6666666666666665"/>
    <n v="2.6666666666666665"/>
    <n v="2.6666666666666665"/>
    <m/>
    <m/>
    <m/>
    <m/>
    <m/>
    <m/>
    <m/>
    <m/>
    <m/>
    <m/>
    <m/>
    <m/>
    <m/>
    <n v="5.333333333333333"/>
    <n v="8"/>
  </r>
  <r>
    <n v="7463"/>
    <x v="1"/>
    <s v="2020/5015"/>
    <s v="7a Putney Bridge Road"/>
    <s v="Rear Building"/>
    <n v="525270"/>
    <n v="174719"/>
    <s v="East Putney"/>
    <d v="2022-08-19T00:00:00"/>
    <m/>
    <n v="0"/>
    <n v="3"/>
    <n v="3"/>
    <n v="9"/>
    <n v="9"/>
    <m/>
    <s v="Demolition of existing building and erection of a block of flats to provide 7 x 1-bedroom, and 1 x 2-bedroom flats with communal amenity area; erection of two storey (plus roof) 3-bedroom mews house at rear; associated cycle and refuse storage . (Amendment to pp granted 15/09/20 ref. 2020/2171 to alter the site layout in connection with the removal of the parking space for the mews house)."/>
    <s v="PF"/>
    <d v="2020-12-22T00:00:00"/>
    <d v="2021-04-22T00:00:00"/>
    <m/>
    <s v="Nil"/>
    <m/>
    <s v="BF"/>
    <s v="NB"/>
    <x v="2"/>
    <x v="1"/>
    <n v="2.1000000000000001E-2"/>
    <m/>
    <x v="0"/>
    <m/>
    <s v="Open Market"/>
    <s v="M"/>
    <s v=""/>
    <m/>
    <n v="0"/>
    <m/>
    <n v="0"/>
    <m/>
    <n v="0"/>
    <n v="0"/>
    <n v="3"/>
    <n v="0"/>
    <n v="0"/>
    <n v="0"/>
    <n v="0"/>
    <n v="0"/>
    <n v="0"/>
    <n v="3"/>
    <n v="0"/>
    <n v="0"/>
    <n v="0"/>
    <n v="0"/>
    <n v="0"/>
    <n v="0"/>
    <n v="0"/>
    <n v="0"/>
    <n v="0"/>
    <n v="0"/>
    <n v="0"/>
    <n v="0"/>
    <n v="0"/>
    <n v="0"/>
    <n v="0"/>
    <n v="0"/>
    <n v="0"/>
    <n v="0"/>
    <m/>
    <m/>
    <s v="Wandsworth Town, including the Wandle Delta Masterplan Area"/>
    <n v="8"/>
    <m/>
    <m/>
    <n v="3"/>
    <m/>
    <m/>
    <m/>
    <m/>
    <m/>
    <m/>
    <m/>
    <m/>
    <m/>
    <m/>
    <m/>
    <m/>
    <m/>
    <m/>
    <m/>
    <m/>
    <m/>
    <n v="3"/>
    <n v="3"/>
  </r>
  <r>
    <n v="6908"/>
    <x v="1"/>
    <s v="2021/3601"/>
    <s v="Riverside Business Centre and Former Bingo Hall, Bendon Valley"/>
    <s v="Riverside Building G"/>
    <n v="525716"/>
    <n v="173464"/>
    <s v="Wandle"/>
    <m/>
    <m/>
    <n v="0"/>
    <n v="41"/>
    <n v="41"/>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s v="Y"/>
    <s v="Nil"/>
    <m/>
    <s v="BF"/>
    <s v="NB"/>
    <x v="0"/>
    <x v="0"/>
    <n v="0"/>
    <m/>
    <x v="0"/>
    <m/>
    <s v="Open Market"/>
    <s v="M"/>
    <s v=""/>
    <n v="17320085"/>
    <n v="0"/>
    <m/>
    <n v="0"/>
    <m/>
    <n v="0"/>
    <n v="18"/>
    <n v="13"/>
    <n v="10"/>
    <n v="0"/>
    <n v="0"/>
    <n v="0"/>
    <n v="0"/>
    <n v="18"/>
    <n v="13"/>
    <n v="10"/>
    <n v="0"/>
    <n v="0"/>
    <n v="0"/>
    <n v="0"/>
    <n v="0"/>
    <n v="0"/>
    <n v="0"/>
    <n v="0"/>
    <n v="0"/>
    <n v="0"/>
    <n v="0"/>
    <n v="0"/>
    <n v="0"/>
    <n v="0"/>
    <n v="0"/>
    <n v="0"/>
    <n v="0"/>
    <m/>
    <m/>
    <s v="The Wandle Valley"/>
    <n v="8"/>
    <m/>
    <m/>
    <m/>
    <m/>
    <n v="41"/>
    <m/>
    <m/>
    <m/>
    <m/>
    <m/>
    <m/>
    <m/>
    <m/>
    <m/>
    <m/>
    <m/>
    <m/>
    <m/>
    <m/>
    <m/>
    <n v="41"/>
    <n v="41"/>
  </r>
  <r>
    <n v="6908"/>
    <x v="1"/>
    <s v="2021/3601"/>
    <s v="Riverside Business Centre and Former Bingo Hall, Bendon Valley"/>
    <s v="Riverside Building H"/>
    <n v="525716"/>
    <n v="173464"/>
    <s v="Wandle"/>
    <m/>
    <m/>
    <n v="0"/>
    <n v="79"/>
    <n v="79"/>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s v="Y"/>
    <s v="Nil"/>
    <m/>
    <s v="BF"/>
    <s v="NB"/>
    <x v="0"/>
    <x v="0"/>
    <n v="0"/>
    <m/>
    <x v="0"/>
    <m/>
    <s v="Open Market"/>
    <s v="M"/>
    <s v=""/>
    <n v="17320085"/>
    <n v="0"/>
    <m/>
    <n v="0"/>
    <m/>
    <n v="7"/>
    <n v="39"/>
    <n v="31"/>
    <n v="2"/>
    <n v="0"/>
    <n v="0"/>
    <n v="0"/>
    <n v="7"/>
    <n v="39"/>
    <n v="31"/>
    <n v="2"/>
    <n v="0"/>
    <n v="0"/>
    <n v="0"/>
    <n v="0"/>
    <n v="0"/>
    <n v="0"/>
    <n v="0"/>
    <n v="0"/>
    <n v="0"/>
    <n v="0"/>
    <n v="0"/>
    <n v="0"/>
    <n v="0"/>
    <n v="0"/>
    <n v="0"/>
    <n v="0"/>
    <n v="0"/>
    <m/>
    <m/>
    <s v="The Wandle Valley"/>
    <n v="8"/>
    <m/>
    <m/>
    <m/>
    <m/>
    <m/>
    <n v="79"/>
    <m/>
    <m/>
    <m/>
    <m/>
    <m/>
    <m/>
    <m/>
    <m/>
    <m/>
    <m/>
    <m/>
    <m/>
    <m/>
    <m/>
    <n v="79"/>
    <n v="79"/>
  </r>
  <r>
    <n v="6908"/>
    <x v="1"/>
    <s v="2021/3601"/>
    <s v="Riverside Business Centre and Former Bingo Hall, Bendon Valley"/>
    <s v="Riverside Building I"/>
    <n v="525716"/>
    <n v="173464"/>
    <s v="Wandle"/>
    <m/>
    <m/>
    <n v="0"/>
    <n v="51"/>
    <n v="51"/>
    <n v="433"/>
    <n v="433"/>
    <s v="Y"/>
    <s v="Variation of conditions 3 (in accordance with approved drawings), 42 (flood risk assessment) and 54 (fire statement) pursuant to planning permission dated 23/12/2020 ref 2018/4176 (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to allow an additional 31 units (total 433), amendments to the Courtyard Building, amendments to the Riverside Building, community space, basement, landscaping and public realm and the Riverside Factory and inclusion of Flood Risk Assessment and Fire Statement. (AMENDED UNIT NUMBER)"/>
    <s v="PFLA"/>
    <d v="2021-09-02T00:00:00"/>
    <d v="2022-09-13T00:00:00"/>
    <s v="Y"/>
    <s v="Nil"/>
    <m/>
    <s v="BF"/>
    <s v="NB"/>
    <x v="0"/>
    <x v="0"/>
    <n v="0"/>
    <m/>
    <x v="0"/>
    <m/>
    <s v="Open Market"/>
    <s v="M"/>
    <s v=""/>
    <n v="17320085"/>
    <n v="0"/>
    <m/>
    <n v="0"/>
    <m/>
    <n v="0"/>
    <n v="33"/>
    <n v="17"/>
    <n v="1"/>
    <n v="0"/>
    <n v="0"/>
    <n v="0"/>
    <n v="0"/>
    <n v="33"/>
    <n v="17"/>
    <n v="1"/>
    <n v="0"/>
    <n v="0"/>
    <n v="0"/>
    <n v="0"/>
    <n v="0"/>
    <n v="0"/>
    <n v="0"/>
    <n v="0"/>
    <n v="0"/>
    <n v="0"/>
    <n v="0"/>
    <n v="0"/>
    <n v="0"/>
    <n v="0"/>
    <n v="0"/>
    <n v="0"/>
    <n v="0"/>
    <m/>
    <m/>
    <s v="The Wandle Valley"/>
    <n v="8"/>
    <m/>
    <m/>
    <m/>
    <m/>
    <m/>
    <n v="51"/>
    <m/>
    <m/>
    <m/>
    <m/>
    <m/>
    <m/>
    <m/>
    <m/>
    <m/>
    <m/>
    <m/>
    <m/>
    <m/>
    <m/>
    <n v="51"/>
    <n v="51"/>
  </r>
  <r>
    <n v="6505"/>
    <x v="1"/>
    <s v="2016/5644"/>
    <s v="Part of Plantation Wharf, York Place, Gartons Way (Plantation Wharf)"/>
    <s v="Spice Court"/>
    <n v="526483"/>
    <n v="175747"/>
    <s v="St Mary's"/>
    <m/>
    <m/>
    <n v="0"/>
    <n v="32"/>
    <n v="32"/>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m/>
    <s v="Nil"/>
    <m/>
    <s v="BF"/>
    <s v="NB"/>
    <x v="0"/>
    <x v="0"/>
    <n v="7.4999999999999997E-2"/>
    <m/>
    <x v="0"/>
    <m/>
    <s v="Intermediate"/>
    <s v="ISL"/>
    <s v="10.15"/>
    <m/>
    <n v="0"/>
    <m/>
    <n v="0"/>
    <m/>
    <n v="0"/>
    <n v="10"/>
    <n v="20"/>
    <n v="2"/>
    <n v="0"/>
    <n v="0"/>
    <n v="0"/>
    <n v="0"/>
    <n v="10"/>
    <n v="20"/>
    <n v="2"/>
    <n v="0"/>
    <n v="0"/>
    <n v="0"/>
    <n v="0"/>
    <n v="0"/>
    <n v="0"/>
    <n v="0"/>
    <n v="0"/>
    <n v="0"/>
    <n v="0"/>
    <n v="0"/>
    <n v="0"/>
    <n v="0"/>
    <n v="0"/>
    <n v="0"/>
    <n v="0"/>
    <n v="0"/>
    <m/>
    <m/>
    <s v="Wandsworth riverside"/>
    <n v="10"/>
    <m/>
    <m/>
    <m/>
    <m/>
    <n v="10.666666666666666"/>
    <n v="10.666666666666666"/>
    <n v="10.666666666666666"/>
    <m/>
    <m/>
    <m/>
    <m/>
    <m/>
    <m/>
    <m/>
    <m/>
    <m/>
    <m/>
    <m/>
    <m/>
    <m/>
    <n v="21.333333333333332"/>
    <n v="32"/>
  </r>
  <r>
    <n v="7863"/>
    <x v="1"/>
    <s v="2022/2530"/>
    <s v="178 Mitcham Road"/>
    <s v="Studio"/>
    <n v="527882"/>
    <n v="170985"/>
    <s v="Tooting Broadway"/>
    <m/>
    <m/>
    <n v="0"/>
    <n v="1"/>
    <n v="1"/>
    <n v="4"/>
    <n v="2"/>
    <m/>
    <s v="Alterations including erection of roof extensions to the main rear roof and above the back addition and erection of part single, part three-storey side and rear extension with first floor terrace in connection with partial change of use from restaurant (Class E) to residential (Class C3) to provide 2 x 1-bedroom and 2 x 2-bedroom flats with the retention of commercial space (Class E) at front ground floor, and associated refuse and cycle storage."/>
    <s v="PF"/>
    <d v="2022-06-16T00:00:00"/>
    <d v="2022-10-13T00:00:00"/>
    <s v="Y"/>
    <s v="Nil"/>
    <m/>
    <s v="BF"/>
    <s v="MIX"/>
    <x v="2"/>
    <x v="2"/>
    <n v="3.7399999999999998E-3"/>
    <m/>
    <x v="0"/>
    <m/>
    <s v="Open Market"/>
    <s v="MR"/>
    <s v=""/>
    <m/>
    <n v="0"/>
    <m/>
    <n v="0"/>
    <m/>
    <n v="1"/>
    <n v="0"/>
    <n v="0"/>
    <n v="0"/>
    <n v="0"/>
    <n v="0"/>
    <n v="0"/>
    <n v="1"/>
    <n v="0"/>
    <n v="0"/>
    <n v="0"/>
    <n v="0"/>
    <n v="0"/>
    <n v="0"/>
    <n v="0"/>
    <n v="0"/>
    <n v="0"/>
    <n v="0"/>
    <n v="0"/>
    <n v="0"/>
    <n v="0"/>
    <n v="0"/>
    <n v="0"/>
    <n v="0"/>
    <n v="0"/>
    <n v="0"/>
    <n v="0"/>
    <n v="0"/>
    <m/>
    <m/>
    <s v="Tooting"/>
    <n v="15"/>
    <m/>
    <n v="0.25"/>
    <n v="0.25"/>
    <n v="0.25"/>
    <n v="0.25"/>
    <m/>
    <m/>
    <m/>
    <m/>
    <m/>
    <m/>
    <m/>
    <m/>
    <m/>
    <m/>
    <m/>
    <m/>
    <m/>
    <m/>
    <m/>
    <n v="1"/>
    <n v="1"/>
  </r>
  <r>
    <n v="5479"/>
    <x v="1"/>
    <s v="2021/0988"/>
    <s v="Land rear of, 76-77 Stanley Grove (Land adjacent to 76a Stanley Grove)"/>
    <s v="The Orpheus House"/>
    <n v="528475"/>
    <n v="176217"/>
    <s v="Shaftesbury &amp; Queenstown"/>
    <m/>
    <m/>
    <n v="0"/>
    <n v="1"/>
    <n v="1"/>
    <n v="2"/>
    <n v="2"/>
    <m/>
    <s v="Erection of two-storey plus roof and basement three bedroom house adjoining no. 76 Stanley Grove and erection of two-storey four bedroom house to the rear of the terrace and associated cycle and refuse storage."/>
    <s v="PF"/>
    <d v="2021-03-03T00:00:00"/>
    <d v="2021-06-22T00:00:00"/>
    <m/>
    <s v="Nil"/>
    <m/>
    <s v="BF"/>
    <s v="NB"/>
    <x v="2"/>
    <x v="1"/>
    <n v="0.02"/>
    <m/>
    <x v="0"/>
    <m/>
    <s v="Open Market"/>
    <s v="M"/>
    <s v=""/>
    <m/>
    <n v="0"/>
    <m/>
    <n v="0"/>
    <m/>
    <n v="0"/>
    <n v="0"/>
    <n v="0"/>
    <n v="0"/>
    <n v="1"/>
    <n v="0"/>
    <n v="0"/>
    <n v="0"/>
    <n v="0"/>
    <n v="0"/>
    <n v="0"/>
    <n v="0"/>
    <n v="0"/>
    <n v="0"/>
    <n v="0"/>
    <n v="0"/>
    <n v="0"/>
    <n v="0"/>
    <n v="1"/>
    <n v="0"/>
    <n v="0"/>
    <n v="0"/>
    <n v="0"/>
    <n v="0"/>
    <n v="0"/>
    <n v="0"/>
    <n v="0"/>
    <n v="0"/>
    <m/>
    <m/>
    <s v="Rest of Borough"/>
    <n v="7"/>
    <m/>
    <m/>
    <n v="0.25"/>
    <n v="0.25"/>
    <n v="0.25"/>
    <n v="0.25"/>
    <m/>
    <m/>
    <m/>
    <m/>
    <m/>
    <m/>
    <m/>
    <m/>
    <m/>
    <m/>
    <m/>
    <m/>
    <m/>
    <m/>
    <n v="1"/>
    <n v="1"/>
  </r>
  <r>
    <n v="5479"/>
    <x v="1"/>
    <s v="2021/0988"/>
    <s v="Land rear of, 76-77 Stanley Grove (Land adjacent to 76a Stanley Grove)"/>
    <s v="The Terraced House"/>
    <n v="528475"/>
    <n v="176217"/>
    <s v="Shaftesbury &amp; Queenstown"/>
    <m/>
    <m/>
    <n v="0"/>
    <n v="1"/>
    <n v="1"/>
    <n v="2"/>
    <n v="2"/>
    <m/>
    <s v="Erection of two-storey plus roof and basement three bedroom house adjoining no. 76 Stanley Grove and erection of two-storey four bedroom house to the rear of the terrace and associated cycle and refuse storage."/>
    <s v="PF"/>
    <d v="2021-03-03T00:00:00"/>
    <d v="2021-06-22T00:00:00"/>
    <m/>
    <s v="Nil"/>
    <m/>
    <s v="BF"/>
    <s v="NB"/>
    <x v="2"/>
    <x v="1"/>
    <n v="1.2999999999999999E-2"/>
    <m/>
    <x v="0"/>
    <m/>
    <s v="Open Market"/>
    <s v="M"/>
    <s v=""/>
    <m/>
    <n v="0"/>
    <m/>
    <n v="0"/>
    <m/>
    <n v="0"/>
    <n v="0"/>
    <n v="0"/>
    <n v="1"/>
    <n v="0"/>
    <n v="0"/>
    <n v="0"/>
    <n v="0"/>
    <n v="0"/>
    <n v="0"/>
    <n v="0"/>
    <n v="0"/>
    <n v="0"/>
    <n v="0"/>
    <n v="0"/>
    <n v="0"/>
    <n v="0"/>
    <n v="1"/>
    <n v="0"/>
    <n v="0"/>
    <n v="0"/>
    <n v="0"/>
    <n v="0"/>
    <n v="0"/>
    <n v="0"/>
    <n v="0"/>
    <n v="0"/>
    <n v="0"/>
    <m/>
    <m/>
    <s v="Rest of Borough"/>
    <n v="7"/>
    <m/>
    <m/>
    <n v="0.25"/>
    <n v="0.25"/>
    <n v="0.25"/>
    <n v="0.25"/>
    <m/>
    <m/>
    <m/>
    <m/>
    <m/>
    <m/>
    <m/>
    <m/>
    <m/>
    <m/>
    <m/>
    <m/>
    <m/>
    <m/>
    <n v="1"/>
    <n v="1"/>
  </r>
  <r>
    <n v="3511"/>
    <x v="1"/>
    <s v="2014/2810"/>
    <s v="New Covent Garden Market, Nine Elms Lane (Combined Main Market, Entrance site and Thessaly College site)"/>
    <s v="Thessaly Road Site - T2"/>
    <n v="529369"/>
    <n v="177317"/>
    <s v="Nine Elms"/>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0.10199999999999999"/>
    <m/>
    <x v="0"/>
    <m/>
    <s v="Social/Affordable Rent"/>
    <s v="AA"/>
    <s v="2.1.27"/>
    <m/>
    <n v="0"/>
    <n v="15"/>
    <n v="0"/>
    <n v="2"/>
    <n v="0"/>
    <n v="2"/>
    <n v="7"/>
    <n v="8"/>
    <n v="0"/>
    <n v="0"/>
    <n v="0"/>
    <n v="0"/>
    <n v="2"/>
    <n v="7"/>
    <n v="8"/>
    <n v="0"/>
    <n v="0"/>
    <n v="0"/>
    <n v="0"/>
    <n v="0"/>
    <n v="0"/>
    <n v="0"/>
    <n v="0"/>
    <n v="0"/>
    <n v="0"/>
    <n v="0"/>
    <n v="0"/>
    <n v="0"/>
    <n v="0"/>
    <n v="0"/>
    <n v="0"/>
    <n v="0"/>
    <m/>
    <s v="Y"/>
    <s v="Nine Elms Vauxhall Opportunity Area"/>
    <n v="8"/>
    <m/>
    <m/>
    <m/>
    <m/>
    <m/>
    <m/>
    <m/>
    <n v="17"/>
    <m/>
    <m/>
    <m/>
    <m/>
    <m/>
    <m/>
    <m/>
    <m/>
    <m/>
    <m/>
    <m/>
    <m/>
    <n v="0"/>
    <n v="17"/>
  </r>
  <r>
    <n v="3511"/>
    <x v="1"/>
    <s v="2014/2810"/>
    <s v="New Covent Garden Market, Nine Elms Lane (Combined Main Market, Entrance site and Thessaly College site)"/>
    <s v="Thessaly Road Site - T3A"/>
    <n v="529369"/>
    <n v="177317"/>
    <s v="Nine Elms"/>
    <d v="2017-03-31T00:00:00"/>
    <m/>
    <n v="0"/>
    <n v="11"/>
    <n v="1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6.6000000000000003E-2"/>
    <m/>
    <x v="0"/>
    <m/>
    <s v="Social/Affordable Rent"/>
    <s v="AA"/>
    <s v="2.1.27"/>
    <m/>
    <n v="0"/>
    <n v="10"/>
    <n v="0"/>
    <n v="1"/>
    <n v="0"/>
    <n v="2"/>
    <n v="5"/>
    <n v="4"/>
    <n v="0"/>
    <n v="0"/>
    <n v="0"/>
    <n v="0"/>
    <n v="2"/>
    <n v="5"/>
    <n v="4"/>
    <n v="0"/>
    <n v="0"/>
    <n v="0"/>
    <n v="0"/>
    <n v="0"/>
    <n v="0"/>
    <n v="0"/>
    <n v="0"/>
    <n v="0"/>
    <n v="0"/>
    <n v="0"/>
    <n v="0"/>
    <n v="0"/>
    <n v="0"/>
    <n v="0"/>
    <n v="0"/>
    <n v="0"/>
    <m/>
    <s v="Y"/>
    <s v="Nine Elms Vauxhall Opportunity Area"/>
    <n v="8"/>
    <m/>
    <m/>
    <m/>
    <m/>
    <m/>
    <m/>
    <m/>
    <n v="11"/>
    <m/>
    <m/>
    <m/>
    <m/>
    <m/>
    <m/>
    <m/>
    <m/>
    <m/>
    <m/>
    <m/>
    <m/>
    <n v="0"/>
    <n v="11"/>
  </r>
  <r>
    <n v="3511"/>
    <x v="1"/>
    <s v="2014/2810"/>
    <s v="New Covent Garden Market, Nine Elms Lane (Combined Main Market, Entrance site and Thessaly College site)"/>
    <s v="Thessaly Road Site - T3B"/>
    <n v="529369"/>
    <n v="177317"/>
    <s v="Nine Elms"/>
    <d v="2017-03-31T00:00:00"/>
    <m/>
    <n v="0"/>
    <n v="6"/>
    <n v="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3.5999999999999997E-2"/>
    <m/>
    <x v="0"/>
    <m/>
    <s v="Social/Affordable Rent"/>
    <s v="AA"/>
    <s v="2.1.27"/>
    <m/>
    <n v="0"/>
    <n v="5"/>
    <n v="0"/>
    <n v="1"/>
    <n v="0"/>
    <n v="0"/>
    <n v="2"/>
    <n v="4"/>
    <n v="0"/>
    <n v="0"/>
    <n v="0"/>
    <n v="0"/>
    <n v="0"/>
    <n v="2"/>
    <n v="4"/>
    <n v="0"/>
    <n v="0"/>
    <n v="0"/>
    <n v="0"/>
    <n v="0"/>
    <n v="0"/>
    <n v="0"/>
    <n v="0"/>
    <n v="0"/>
    <n v="0"/>
    <n v="0"/>
    <n v="0"/>
    <n v="0"/>
    <n v="0"/>
    <n v="0"/>
    <n v="0"/>
    <n v="0"/>
    <m/>
    <s v="Y"/>
    <s v="Nine Elms Vauxhall Opportunity Area"/>
    <n v="8"/>
    <m/>
    <m/>
    <m/>
    <m/>
    <m/>
    <m/>
    <m/>
    <n v="6"/>
    <m/>
    <m/>
    <m/>
    <m/>
    <m/>
    <m/>
    <m/>
    <m/>
    <m/>
    <m/>
    <m/>
    <m/>
    <n v="0"/>
    <n v="6"/>
  </r>
  <r>
    <n v="3511"/>
    <x v="1"/>
    <s v="2014/2810"/>
    <s v="New Covent Garden Market, Nine Elms Lane (Combined Main Market, Entrance site and Thessaly College site)"/>
    <s v="Thessaly Road Site - T4"/>
    <n v="529369"/>
    <n v="177317"/>
    <s v="Nine Elms"/>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x v="0"/>
    <x v="0"/>
    <n v="0.10199999999999999"/>
    <m/>
    <x v="0"/>
    <m/>
    <s v="Social/Affordable Rent"/>
    <s v="AA"/>
    <s v="2.1.27"/>
    <m/>
    <n v="0"/>
    <n v="15"/>
    <n v="0"/>
    <n v="2"/>
    <n v="0"/>
    <n v="2"/>
    <n v="7"/>
    <n v="8"/>
    <n v="0"/>
    <n v="0"/>
    <n v="0"/>
    <n v="0"/>
    <n v="2"/>
    <n v="7"/>
    <n v="8"/>
    <n v="0"/>
    <n v="0"/>
    <n v="0"/>
    <n v="0"/>
    <n v="0"/>
    <n v="0"/>
    <n v="0"/>
    <n v="0"/>
    <n v="0"/>
    <n v="0"/>
    <n v="0"/>
    <n v="0"/>
    <n v="0"/>
    <n v="0"/>
    <n v="0"/>
    <n v="0"/>
    <n v="0"/>
    <m/>
    <s v="Y"/>
    <s v="Nine Elms Vauxhall Opportunity Area"/>
    <n v="8"/>
    <m/>
    <m/>
    <m/>
    <m/>
    <m/>
    <m/>
    <m/>
    <n v="17"/>
    <m/>
    <m/>
    <m/>
    <m/>
    <m/>
    <m/>
    <m/>
    <m/>
    <m/>
    <m/>
    <m/>
    <m/>
    <n v="0"/>
    <n v="17"/>
  </r>
  <r>
    <n v="6505"/>
    <x v="1"/>
    <s v="2016/5644"/>
    <s v="Part of Plantation Wharf, York Place, Gartons Way (Plantation Wharf)"/>
    <s v="Trade Tower"/>
    <n v="526483"/>
    <n v="175747"/>
    <s v="St Mary's"/>
    <m/>
    <m/>
    <n v="2"/>
    <n v="10"/>
    <n v="8"/>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PFLA"/>
    <d v="2016-10-07T00:00:00"/>
    <d v="2021-04-14T00:00:00"/>
    <m/>
    <s v="Nil"/>
    <m/>
    <s v="BF"/>
    <s v="NB"/>
    <x v="0"/>
    <x v="0"/>
    <n v="2.3E-2"/>
    <m/>
    <x v="0"/>
    <m/>
    <s v="Open Market"/>
    <s v="M"/>
    <s v="10.15"/>
    <m/>
    <n v="0"/>
    <m/>
    <n v="0"/>
    <m/>
    <n v="0"/>
    <n v="0"/>
    <n v="6"/>
    <n v="1"/>
    <n v="1"/>
    <n v="0"/>
    <n v="0"/>
    <n v="0"/>
    <n v="0"/>
    <n v="6"/>
    <n v="1"/>
    <n v="1"/>
    <n v="0"/>
    <n v="0"/>
    <n v="0"/>
    <n v="0"/>
    <n v="0"/>
    <n v="0"/>
    <n v="0"/>
    <n v="0"/>
    <n v="0"/>
    <n v="0"/>
    <n v="0"/>
    <n v="0"/>
    <n v="0"/>
    <n v="0"/>
    <n v="0"/>
    <n v="0"/>
    <m/>
    <m/>
    <s v="Wandsworth riverside"/>
    <n v="10"/>
    <m/>
    <m/>
    <m/>
    <m/>
    <n v="2.6666666666666665"/>
    <n v="2.6666666666666665"/>
    <n v="2.6666666666666665"/>
    <m/>
    <m/>
    <m/>
    <m/>
    <m/>
    <m/>
    <m/>
    <m/>
    <m/>
    <m/>
    <m/>
    <m/>
    <m/>
    <n v="5.333333333333333"/>
    <n v="8"/>
  </r>
  <r>
    <n v="6149"/>
    <x v="3"/>
    <s v="2020/4512"/>
    <s v="8 Ravensbury Terrace"/>
    <s v=""/>
    <n v="525867"/>
    <n v="172948"/>
    <s v="Southfields"/>
    <m/>
    <m/>
    <n v="0"/>
    <n v="17"/>
    <n v="17"/>
    <n v="17"/>
    <n v="17"/>
    <s v="Y"/>
    <s v="Demolition of existing buildings and erection of a part-1, part-3, part-4 storey building to accommodate 17 residential units (3x 1-bedroom, 13x 2-bedroom and 1x 3-bedroom units); together with a flood water attenuation tank at basement level, landscaping, bicycle and refuse storage, and works to the river wall"/>
    <s v="SLA"/>
    <d v="2020-11-24T00:00:00"/>
    <m/>
    <m/>
    <s v="Nil"/>
    <m/>
    <s v="BF"/>
    <s v="NB"/>
    <x v="0"/>
    <x v="0"/>
    <n v="6.7000000000000004E-2"/>
    <s v=""/>
    <x v="0"/>
    <m/>
    <s v="Open Market"/>
    <s v="M"/>
    <s v=""/>
    <m/>
    <m/>
    <m/>
    <m/>
    <m/>
    <n v="0"/>
    <n v="3"/>
    <n v="13"/>
    <n v="1"/>
    <n v="0"/>
    <n v="0"/>
    <n v="0"/>
    <n v="0"/>
    <n v="3"/>
    <n v="13"/>
    <n v="1"/>
    <n v="0"/>
    <n v="0"/>
    <n v="0"/>
    <n v="0"/>
    <n v="0"/>
    <n v="0"/>
    <n v="0"/>
    <n v="0"/>
    <n v="0"/>
    <n v="0"/>
    <n v="0"/>
    <n v="0"/>
    <n v="0"/>
    <n v="0"/>
    <n v="0"/>
    <n v="0"/>
    <n v="0"/>
    <m/>
    <m/>
    <s v="The Wandle Valley"/>
    <n v="9"/>
    <m/>
    <m/>
    <m/>
    <m/>
    <m/>
    <m/>
    <n v="5.666666666666667"/>
    <n v="5.666666666666667"/>
    <n v="5.666666666666667"/>
    <m/>
    <m/>
    <m/>
    <m/>
    <m/>
    <m/>
    <m/>
    <m/>
    <m/>
    <m/>
    <m/>
    <n v="0"/>
    <n v="17"/>
  </r>
  <r>
    <n v="7911"/>
    <x v="3"/>
    <s v="2022/4356"/>
    <s v="The Kalos Centre, 48 Endlesham Road"/>
    <s v=""/>
    <n v="528292"/>
    <n v="173674"/>
    <s v="Balham"/>
    <m/>
    <m/>
    <n v="0"/>
    <n v="9"/>
    <n v="9"/>
    <n v="9"/>
    <n v="9"/>
    <m/>
    <s v="Demolition of the existing building and erection of a part-single, part-three storey building to provide a community centre at ground floor level (Class F), and 8 x studio and 1 x 1-bed flats above (Class C3), with associated landscaping, refuse and cycle storage."/>
    <s v="SLA"/>
    <d v="2022-10-26T00:00:00"/>
    <m/>
    <m/>
    <s v="Nil"/>
    <m/>
    <s v="BF"/>
    <s v="NB"/>
    <x v="2"/>
    <x v="1"/>
    <n v="1.7299999999999999E-2"/>
    <s v=""/>
    <x v="0"/>
    <m/>
    <s v="Social/Affordable Rent"/>
    <s v="AL"/>
    <s v=""/>
    <m/>
    <n v="0"/>
    <m/>
    <n v="0"/>
    <m/>
    <n v="8"/>
    <n v="1"/>
    <n v="0"/>
    <n v="0"/>
    <n v="0"/>
    <n v="0"/>
    <n v="0"/>
    <n v="8"/>
    <n v="1"/>
    <n v="0"/>
    <n v="0"/>
    <n v="0"/>
    <n v="0"/>
    <n v="0"/>
    <n v="0"/>
    <n v="0"/>
    <n v="0"/>
    <n v="0"/>
    <n v="0"/>
    <n v="0"/>
    <n v="0"/>
    <n v="0"/>
    <n v="0"/>
    <n v="0"/>
    <n v="0"/>
    <n v="0"/>
    <n v="0"/>
    <n v="0"/>
    <m/>
    <m/>
    <s v="Rest of Borough"/>
    <n v="9"/>
    <m/>
    <m/>
    <m/>
    <m/>
    <m/>
    <m/>
    <n v="3"/>
    <n v="3"/>
    <n v="3"/>
    <m/>
    <m/>
    <m/>
    <m/>
    <m/>
    <m/>
    <m/>
    <m/>
    <m/>
    <m/>
    <m/>
    <n v="0"/>
    <n v="9"/>
  </r>
  <r>
    <n v="6670"/>
    <x v="3"/>
    <s v="2021/3145"/>
    <s v="15a Selkirk Road"/>
    <s v="BLOCK 1 (two storeys)"/>
    <n v="527469"/>
    <n v="171617"/>
    <s v="Tooting Broadway"/>
    <m/>
    <m/>
    <n v="0"/>
    <n v="6"/>
    <n v="6"/>
    <n v="16"/>
    <n v="16"/>
    <s v="Y"/>
    <s v="Demolition of existing buildings in association with an MOT garage. Erection of two-storey and four-storey buildings to create 16 flats with associated landscaping, refuse and cycle storage."/>
    <s v="SLA"/>
    <d v="2021-09-06T00:00:00"/>
    <m/>
    <m/>
    <s v="Nil"/>
    <m/>
    <s v="BF"/>
    <s v="NB"/>
    <x v="0"/>
    <x v="0"/>
    <n v="1.6549999999999999E-2"/>
    <s v=""/>
    <x v="0"/>
    <m/>
    <s v="Open Market"/>
    <s v="MR"/>
    <s v=""/>
    <m/>
    <n v="0"/>
    <n v="6"/>
    <n v="0"/>
    <m/>
    <n v="1"/>
    <n v="3"/>
    <n v="1"/>
    <n v="1"/>
    <n v="0"/>
    <n v="0"/>
    <n v="0"/>
    <n v="1"/>
    <n v="3"/>
    <n v="1"/>
    <n v="1"/>
    <n v="0"/>
    <n v="0"/>
    <n v="0"/>
    <n v="0"/>
    <n v="0"/>
    <n v="0"/>
    <n v="0"/>
    <n v="0"/>
    <n v="0"/>
    <n v="0"/>
    <n v="0"/>
    <n v="0"/>
    <n v="0"/>
    <n v="0"/>
    <n v="0"/>
    <n v="0"/>
    <n v="0"/>
    <s v="Tooting"/>
    <m/>
    <s v="Tooting"/>
    <n v="9"/>
    <m/>
    <m/>
    <m/>
    <m/>
    <m/>
    <m/>
    <n v="2"/>
    <n v="2"/>
    <n v="2"/>
    <m/>
    <m/>
    <m/>
    <m/>
    <m/>
    <m/>
    <m/>
    <m/>
    <m/>
    <m/>
    <m/>
    <n v="0"/>
    <n v="6"/>
  </r>
  <r>
    <n v="6670"/>
    <x v="3"/>
    <s v="2021/3145"/>
    <s v="15a Selkirk Road"/>
    <s v="BLOCK 2 (four storeys)"/>
    <n v="527469"/>
    <n v="171617"/>
    <s v="Tooting Broadway"/>
    <m/>
    <m/>
    <n v="0"/>
    <n v="10"/>
    <n v="10"/>
    <n v="16"/>
    <n v="16"/>
    <s v="Y"/>
    <s v="Demolition of existing buildings in association with an MOT garage. Erection of two-storey and four-storey buildings to create 16 flats with associated landscaping, refuse and cycle storage."/>
    <s v="SLA"/>
    <d v="2021-09-06T00:00:00"/>
    <m/>
    <m/>
    <s v="Nil"/>
    <m/>
    <s v="BF"/>
    <s v="NB"/>
    <x v="0"/>
    <x v="0"/>
    <n v="1.525E-2"/>
    <s v=""/>
    <x v="0"/>
    <m/>
    <s v="Open Market"/>
    <s v="MR"/>
    <s v=""/>
    <m/>
    <n v="0"/>
    <n v="8"/>
    <n v="0"/>
    <n v="2"/>
    <n v="0"/>
    <n v="4"/>
    <n v="5"/>
    <n v="1"/>
    <n v="0"/>
    <n v="0"/>
    <n v="0"/>
    <n v="0"/>
    <n v="4"/>
    <n v="5"/>
    <n v="1"/>
    <n v="0"/>
    <n v="0"/>
    <n v="0"/>
    <n v="0"/>
    <n v="0"/>
    <n v="0"/>
    <n v="0"/>
    <n v="0"/>
    <n v="0"/>
    <n v="0"/>
    <n v="0"/>
    <n v="0"/>
    <n v="0"/>
    <n v="0"/>
    <n v="0"/>
    <n v="0"/>
    <n v="0"/>
    <s v="Tooting"/>
    <m/>
    <s v="Tooting"/>
    <n v="9"/>
    <m/>
    <m/>
    <m/>
    <m/>
    <m/>
    <m/>
    <n v="3.3333333333333335"/>
    <n v="3.3333333333333335"/>
    <n v="3.3333333333333335"/>
    <m/>
    <m/>
    <m/>
    <m/>
    <m/>
    <m/>
    <m/>
    <m/>
    <m/>
    <m/>
    <m/>
    <n v="0"/>
    <n v="10"/>
  </r>
  <r>
    <n v="5339"/>
    <x v="3"/>
    <s v="2021/5839"/>
    <s v="103-111 Mitcham Road"/>
    <s v="Block A"/>
    <n v="527711"/>
    <n v="171233"/>
    <s v="Tooting Broadway"/>
    <m/>
    <m/>
    <n v="0"/>
    <n v="15"/>
    <n v="15"/>
    <n v="24"/>
    <n v="24"/>
    <s v="Y"/>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SLA"/>
    <d v="2021-12-24T00:00:00"/>
    <m/>
    <m/>
    <s v="Nil"/>
    <m/>
    <s v="BF"/>
    <s v="MIX"/>
    <x v="0"/>
    <x v="0"/>
    <n v="8.8999999999999996E-2"/>
    <s v=""/>
    <x v="0"/>
    <m/>
    <s v="Open Market"/>
    <s v="M"/>
    <s v=""/>
    <m/>
    <n v="0"/>
    <n v="13"/>
    <n v="0"/>
    <n v="2"/>
    <n v="1"/>
    <n v="5"/>
    <n v="8"/>
    <n v="1"/>
    <n v="0"/>
    <n v="0"/>
    <n v="0"/>
    <n v="1"/>
    <n v="5"/>
    <n v="8"/>
    <n v="1"/>
    <n v="0"/>
    <n v="0"/>
    <n v="0"/>
    <n v="0"/>
    <n v="0"/>
    <n v="0"/>
    <n v="0"/>
    <n v="0"/>
    <n v="0"/>
    <n v="0"/>
    <n v="0"/>
    <n v="0"/>
    <n v="0"/>
    <n v="0"/>
    <n v="0"/>
    <n v="0"/>
    <n v="0"/>
    <s v="Tooting"/>
    <m/>
    <s v="Tooting"/>
    <n v="17"/>
    <m/>
    <m/>
    <m/>
    <m/>
    <m/>
    <m/>
    <n v="3.75"/>
    <n v="3.75"/>
    <n v="3.75"/>
    <n v="3.75"/>
    <m/>
    <m/>
    <m/>
    <m/>
    <m/>
    <m/>
    <m/>
    <m/>
    <m/>
    <m/>
    <n v="0"/>
    <n v="15"/>
  </r>
  <r>
    <n v="5339"/>
    <x v="3"/>
    <s v="2021/5839"/>
    <s v="103-111 Mitcham Road"/>
    <s v="Block B"/>
    <n v="527711"/>
    <n v="171233"/>
    <s v="Tooting Broadway"/>
    <m/>
    <m/>
    <n v="0"/>
    <n v="6"/>
    <n v="6"/>
    <n v="24"/>
    <n v="24"/>
    <s v="Y"/>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SLA"/>
    <d v="2021-12-24T00:00:00"/>
    <m/>
    <m/>
    <s v="Nil"/>
    <m/>
    <s v="BF"/>
    <s v="MIX"/>
    <x v="0"/>
    <x v="0"/>
    <n v="3.5000000000000003E-2"/>
    <s v=""/>
    <x v="0"/>
    <m/>
    <s v="Open Market"/>
    <s v="M"/>
    <s v=""/>
    <m/>
    <n v="0"/>
    <n v="5"/>
    <n v="0"/>
    <n v="1"/>
    <n v="0"/>
    <n v="0"/>
    <n v="4"/>
    <n v="2"/>
    <n v="0"/>
    <n v="0"/>
    <n v="0"/>
    <n v="0"/>
    <n v="0"/>
    <n v="4"/>
    <n v="2"/>
    <n v="0"/>
    <n v="0"/>
    <n v="0"/>
    <n v="0"/>
    <n v="0"/>
    <n v="0"/>
    <n v="0"/>
    <n v="0"/>
    <n v="0"/>
    <n v="0"/>
    <n v="0"/>
    <n v="0"/>
    <n v="0"/>
    <n v="0"/>
    <n v="0"/>
    <n v="0"/>
    <n v="0"/>
    <s v="Tooting"/>
    <m/>
    <s v="Tooting"/>
    <n v="17"/>
    <m/>
    <m/>
    <m/>
    <m/>
    <m/>
    <m/>
    <n v="1.5"/>
    <n v="1.5"/>
    <n v="1.5"/>
    <n v="1.5"/>
    <m/>
    <m/>
    <m/>
    <m/>
    <m/>
    <m/>
    <m/>
    <m/>
    <m/>
    <m/>
    <n v="0"/>
    <n v="6"/>
  </r>
  <r>
    <n v="5339"/>
    <x v="3"/>
    <s v="2021/5839"/>
    <s v="103-111 Mitcham Road"/>
    <s v="Block C"/>
    <n v="527711"/>
    <n v="171233"/>
    <s v="Tooting Broadway"/>
    <m/>
    <m/>
    <n v="0"/>
    <n v="1"/>
    <n v="1"/>
    <n v="24"/>
    <n v="24"/>
    <s v="Y"/>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SLA"/>
    <d v="2021-12-24T00:00:00"/>
    <m/>
    <m/>
    <s v="Nil"/>
    <m/>
    <s v="BF"/>
    <s v="MIX"/>
    <x v="0"/>
    <x v="0"/>
    <n v="6.0000000000000001E-3"/>
    <s v=""/>
    <x v="0"/>
    <m/>
    <s v="Open Market"/>
    <s v="M"/>
    <s v=""/>
    <m/>
    <n v="0"/>
    <n v="1"/>
    <n v="0"/>
    <n v="0"/>
    <n v="0"/>
    <n v="0"/>
    <n v="0"/>
    <n v="1"/>
    <n v="0"/>
    <n v="0"/>
    <n v="0"/>
    <n v="0"/>
    <n v="0"/>
    <n v="0"/>
    <n v="1"/>
    <n v="0"/>
    <n v="0"/>
    <n v="0"/>
    <n v="0"/>
    <n v="0"/>
    <n v="0"/>
    <n v="0"/>
    <n v="0"/>
    <n v="0"/>
    <n v="0"/>
    <n v="0"/>
    <n v="0"/>
    <n v="0"/>
    <n v="0"/>
    <n v="0"/>
    <n v="0"/>
    <n v="0"/>
    <s v="Tooting"/>
    <m/>
    <s v="Tooting"/>
    <n v="17"/>
    <m/>
    <m/>
    <m/>
    <m/>
    <m/>
    <m/>
    <n v="0.25"/>
    <n v="0.25"/>
    <n v="0.25"/>
    <n v="0.25"/>
    <m/>
    <m/>
    <m/>
    <m/>
    <m/>
    <m/>
    <m/>
    <m/>
    <m/>
    <m/>
    <n v="0"/>
    <n v="1"/>
  </r>
  <r>
    <n v="5339"/>
    <x v="3"/>
    <s v="2021/5839"/>
    <s v="103-111 Mitcham Road"/>
    <s v="Block D"/>
    <n v="527711"/>
    <n v="171233"/>
    <s v="Tooting Broadway"/>
    <m/>
    <m/>
    <n v="0"/>
    <n v="2"/>
    <n v="2"/>
    <n v="24"/>
    <n v="24"/>
    <s v="Y"/>
    <s v="Partial demolition of existing buildings and erection of part 3/4 storey building (plus basement) to front and part 2/3 storey buildings to rear; change of use of 2 x existing ancillary rear warehouses from storage (Class E) to residential and ancillary storage (Class C3) in connection with provision of commercial use (Class E) on basement and ground floor and provision of 24 residential units (Class C3) on rear ground floor and above with private and communal amenity spaces. Provision of cycle parking, refuse storage and landscaping."/>
    <s v="SLA"/>
    <d v="2021-12-24T00:00:00"/>
    <m/>
    <m/>
    <s v="Nil"/>
    <m/>
    <s v="BF"/>
    <s v="MIX"/>
    <x v="4"/>
    <x v="0"/>
    <n v="1.2E-2"/>
    <s v=""/>
    <x v="0"/>
    <m/>
    <s v="Open Market"/>
    <s v="M"/>
    <s v=""/>
    <m/>
    <n v="0"/>
    <n v="2"/>
    <n v="0"/>
    <n v="0"/>
    <n v="0"/>
    <n v="0"/>
    <n v="2"/>
    <n v="0"/>
    <n v="0"/>
    <n v="0"/>
    <n v="0"/>
    <n v="0"/>
    <n v="0"/>
    <n v="2"/>
    <n v="0"/>
    <n v="0"/>
    <n v="0"/>
    <n v="0"/>
    <n v="0"/>
    <n v="0"/>
    <n v="0"/>
    <n v="0"/>
    <n v="0"/>
    <n v="0"/>
    <n v="0"/>
    <n v="0"/>
    <n v="0"/>
    <n v="0"/>
    <n v="0"/>
    <n v="0"/>
    <n v="0"/>
    <n v="0"/>
    <s v="Tooting"/>
    <m/>
    <s v="Tooting"/>
    <n v="17"/>
    <m/>
    <m/>
    <m/>
    <m/>
    <m/>
    <m/>
    <n v="0.5"/>
    <n v="0.5"/>
    <n v="0.5"/>
    <n v="0.5"/>
    <m/>
    <m/>
    <m/>
    <m/>
    <m/>
    <m/>
    <m/>
    <m/>
    <m/>
    <m/>
    <n v="0"/>
    <n v="2"/>
  </r>
  <r>
    <n v="7571"/>
    <x v="4"/>
    <m/>
    <s v="36-46 St John's Road and 17 Severus Road"/>
    <m/>
    <n v="527351"/>
    <n v="175329"/>
    <s v="Lavender"/>
    <m/>
    <m/>
    <n v="0"/>
    <n v="7"/>
    <n v="7"/>
    <n v="10"/>
    <n v="10"/>
    <s v="Y"/>
    <s v="Redevelopment"/>
    <s v="NONE"/>
    <m/>
    <m/>
    <m/>
    <s v="Nil"/>
    <m/>
    <s v="BF"/>
    <s v="NB"/>
    <x v="0"/>
    <x v="0"/>
    <n v="0"/>
    <m/>
    <x v="0"/>
    <m/>
    <s v="Open Market"/>
    <s v="M"/>
    <s v="CJ7"/>
    <m/>
    <n v="0"/>
    <n v="0"/>
    <n v="0"/>
    <n v="0"/>
    <n v="0"/>
    <n v="0"/>
    <n v="0"/>
    <n v="0"/>
    <n v="0"/>
    <n v="0"/>
    <n v="7"/>
    <n v="0"/>
    <n v="0"/>
    <n v="0"/>
    <n v="0"/>
    <n v="0"/>
    <n v="0"/>
    <n v="7"/>
    <n v="0"/>
    <n v="0"/>
    <n v="0"/>
    <n v="0"/>
    <n v="0"/>
    <n v="0"/>
    <n v="0"/>
    <n v="0"/>
    <n v="0"/>
    <n v="0"/>
    <n v="0"/>
    <n v="0"/>
    <n v="0"/>
    <n v="0"/>
    <s v="Clapham Junction"/>
    <m/>
    <s v="Clapham Junction Spatial Area Strategy"/>
    <n v="19"/>
    <m/>
    <m/>
    <m/>
    <n v="7"/>
    <m/>
    <m/>
    <m/>
    <m/>
    <m/>
    <m/>
    <m/>
    <m/>
    <m/>
    <m/>
    <m/>
    <m/>
    <m/>
    <m/>
    <m/>
    <m/>
    <n v="7"/>
    <n v="7"/>
  </r>
  <r>
    <n v="7571"/>
    <x v="4"/>
    <m/>
    <s v="36-46 St John's Road and 17 Severus Road"/>
    <m/>
    <n v="527351"/>
    <n v="175329"/>
    <s v="Lavender"/>
    <m/>
    <m/>
    <n v="0"/>
    <n v="2"/>
    <n v="2"/>
    <n v="10"/>
    <n v="10"/>
    <s v="Y"/>
    <s v="Redevelopment"/>
    <s v="NONE"/>
    <m/>
    <m/>
    <m/>
    <s v="Nil"/>
    <m/>
    <s v="BF"/>
    <s v="NB"/>
    <x v="0"/>
    <x v="0"/>
    <n v="0"/>
    <m/>
    <x v="0"/>
    <m/>
    <s v="Social/Affordable Rent"/>
    <s v="AA"/>
    <s v="CJ7"/>
    <m/>
    <n v="0"/>
    <n v="0"/>
    <n v="0"/>
    <n v="0"/>
    <n v="0"/>
    <n v="0"/>
    <n v="0"/>
    <n v="0"/>
    <n v="0"/>
    <n v="0"/>
    <n v="2"/>
    <n v="0"/>
    <n v="0"/>
    <n v="0"/>
    <n v="0"/>
    <n v="0"/>
    <n v="0"/>
    <n v="2"/>
    <n v="0"/>
    <n v="0"/>
    <n v="0"/>
    <n v="0"/>
    <n v="0"/>
    <n v="0"/>
    <n v="0"/>
    <n v="0"/>
    <n v="0"/>
    <n v="0"/>
    <n v="0"/>
    <n v="0"/>
    <n v="0"/>
    <n v="0"/>
    <s v="Clapham Junction"/>
    <m/>
    <s v="Clapham Junction Spatial Area Strategy"/>
    <n v="19"/>
    <m/>
    <m/>
    <m/>
    <n v="2"/>
    <m/>
    <m/>
    <m/>
    <m/>
    <m/>
    <m/>
    <m/>
    <m/>
    <m/>
    <m/>
    <m/>
    <m/>
    <m/>
    <m/>
    <m/>
    <m/>
    <n v="2"/>
    <n v="2"/>
  </r>
  <r>
    <n v="7571"/>
    <x v="4"/>
    <m/>
    <s v="36-46 St John's Road and 17 Severus Road"/>
    <m/>
    <n v="527351"/>
    <n v="175329"/>
    <s v="Lavender"/>
    <m/>
    <m/>
    <n v="0"/>
    <n v="1"/>
    <n v="1"/>
    <n v="10"/>
    <n v="10"/>
    <s v="Y"/>
    <s v="Redevelopment"/>
    <s v="NONE"/>
    <m/>
    <m/>
    <m/>
    <s v="Nil"/>
    <m/>
    <s v="BF"/>
    <s v="NB"/>
    <x v="0"/>
    <x v="0"/>
    <n v="0"/>
    <m/>
    <x v="0"/>
    <m/>
    <s v="Intermediate"/>
    <s v="IU"/>
    <s v="CJ7"/>
    <m/>
    <n v="0"/>
    <n v="0"/>
    <n v="0"/>
    <n v="0"/>
    <n v="0"/>
    <n v="0"/>
    <n v="0"/>
    <n v="0"/>
    <n v="0"/>
    <n v="0"/>
    <n v="1"/>
    <n v="0"/>
    <n v="0"/>
    <n v="0"/>
    <n v="0"/>
    <n v="0"/>
    <n v="0"/>
    <n v="1"/>
    <n v="0"/>
    <n v="0"/>
    <n v="0"/>
    <n v="0"/>
    <n v="0"/>
    <n v="0"/>
    <n v="0"/>
    <n v="0"/>
    <n v="0"/>
    <n v="0"/>
    <n v="0"/>
    <n v="0"/>
    <n v="0"/>
    <n v="0"/>
    <s v="Clapham Junction"/>
    <m/>
    <s v="Clapham Junction Spatial Area Strategy"/>
    <n v="19"/>
    <m/>
    <m/>
    <m/>
    <n v="1"/>
    <m/>
    <m/>
    <m/>
    <m/>
    <m/>
    <m/>
    <m/>
    <m/>
    <m/>
    <m/>
    <m/>
    <m/>
    <m/>
    <m/>
    <m/>
    <m/>
    <n v="1"/>
    <n v="1"/>
  </r>
  <r>
    <n v="7572"/>
    <x v="4"/>
    <m/>
    <s v="55-61 Putney High Road (Former M&amp;S site), SW15 1SP"/>
    <m/>
    <n v="524096"/>
    <n v="175411"/>
    <s v="Thamesfield"/>
    <m/>
    <m/>
    <n v="0"/>
    <n v="5"/>
    <n v="5"/>
    <n v="5"/>
    <n v="5"/>
    <m/>
    <s v="Redevelopment"/>
    <s v="NONE"/>
    <m/>
    <m/>
    <m/>
    <s v="Nil"/>
    <m/>
    <s v="BF"/>
    <s v="NB"/>
    <x v="2"/>
    <x v="1"/>
    <n v="0"/>
    <m/>
    <x v="0"/>
    <m/>
    <s v="Open Market"/>
    <s v="M"/>
    <s v="PUT6"/>
    <m/>
    <n v="0"/>
    <n v="0"/>
    <n v="0"/>
    <n v="0"/>
    <n v="0"/>
    <n v="0"/>
    <n v="0"/>
    <n v="0"/>
    <n v="0"/>
    <n v="0"/>
    <n v="5"/>
    <n v="0"/>
    <n v="0"/>
    <n v="0"/>
    <n v="0"/>
    <n v="0"/>
    <n v="0"/>
    <n v="5"/>
    <n v="0"/>
    <n v="0"/>
    <n v="0"/>
    <n v="0"/>
    <n v="0"/>
    <n v="0"/>
    <n v="0"/>
    <n v="0"/>
    <n v="0"/>
    <n v="0"/>
    <n v="0"/>
    <n v="0"/>
    <n v="0"/>
    <n v="0"/>
    <s v="Putney"/>
    <m/>
    <s v="Putney Town Centre"/>
    <n v="19"/>
    <m/>
    <m/>
    <m/>
    <n v="5"/>
    <m/>
    <m/>
    <m/>
    <m/>
    <m/>
    <m/>
    <m/>
    <m/>
    <m/>
    <m/>
    <m/>
    <m/>
    <m/>
    <m/>
    <m/>
    <m/>
    <n v="5"/>
    <n v="5"/>
  </r>
  <r>
    <n v="7386"/>
    <x v="4"/>
    <m/>
    <s v="Crewkerne Court Garages, Battersea Church Road (Somerset Estate)"/>
    <m/>
    <n v="526944"/>
    <n v="176965"/>
    <s v="St Mary's"/>
    <m/>
    <m/>
    <n v="0"/>
    <n v="54"/>
    <n v="54"/>
    <n v="81"/>
    <n v="81"/>
    <s v="Y"/>
    <s v="Redevelopment"/>
    <s v="NONE"/>
    <m/>
    <m/>
    <m/>
    <s v="Nil"/>
    <m/>
    <s v="BF"/>
    <s v="NB"/>
    <x v="0"/>
    <x v="0"/>
    <n v="0"/>
    <m/>
    <x v="0"/>
    <m/>
    <s v="Open Market"/>
    <s v="M"/>
    <s v="RIV11"/>
    <m/>
    <n v="0"/>
    <n v="0"/>
    <n v="0"/>
    <n v="0"/>
    <n v="0"/>
    <n v="0"/>
    <n v="0"/>
    <n v="0"/>
    <n v="0"/>
    <n v="0"/>
    <n v="54"/>
    <n v="0"/>
    <n v="0"/>
    <n v="0"/>
    <n v="0"/>
    <n v="0"/>
    <n v="0"/>
    <n v="54"/>
    <n v="0"/>
    <n v="0"/>
    <n v="0"/>
    <n v="0"/>
    <n v="0"/>
    <n v="0"/>
    <n v="0"/>
    <n v="0"/>
    <n v="0"/>
    <n v="0"/>
    <n v="0"/>
    <n v="0"/>
    <n v="0"/>
    <n v="0"/>
    <m/>
    <m/>
    <s v="Wandsworth riverside"/>
    <n v="19"/>
    <m/>
    <m/>
    <m/>
    <n v="54"/>
    <m/>
    <m/>
    <m/>
    <m/>
    <m/>
    <m/>
    <m/>
    <m/>
    <m/>
    <m/>
    <m/>
    <m/>
    <m/>
    <m/>
    <m/>
    <m/>
    <n v="54"/>
    <n v="54"/>
  </r>
  <r>
    <n v="7386"/>
    <x v="4"/>
    <m/>
    <s v="Crewkerne Court Garages, Battersea Church Road (Somerset Estate)"/>
    <m/>
    <n v="526944"/>
    <n v="176965"/>
    <s v="St Mary's"/>
    <m/>
    <m/>
    <n v="0"/>
    <n v="16"/>
    <n v="16"/>
    <n v="81"/>
    <n v="81"/>
    <s v="Y"/>
    <s v="Redevelopment"/>
    <s v="NONE"/>
    <m/>
    <m/>
    <m/>
    <s v="Nil"/>
    <m/>
    <s v="BF"/>
    <s v="NB"/>
    <x v="0"/>
    <x v="0"/>
    <n v="0"/>
    <m/>
    <x v="0"/>
    <m/>
    <s v="Social/Affordable Rent"/>
    <s v="AA"/>
    <s v="RIV11"/>
    <m/>
    <n v="0"/>
    <n v="0"/>
    <n v="0"/>
    <n v="0"/>
    <n v="0"/>
    <n v="0"/>
    <n v="0"/>
    <n v="0"/>
    <n v="0"/>
    <n v="0"/>
    <n v="16"/>
    <n v="0"/>
    <n v="0"/>
    <n v="0"/>
    <n v="0"/>
    <n v="0"/>
    <n v="0"/>
    <n v="16"/>
    <n v="0"/>
    <n v="0"/>
    <n v="0"/>
    <n v="0"/>
    <n v="0"/>
    <n v="0"/>
    <n v="0"/>
    <n v="0"/>
    <n v="0"/>
    <n v="0"/>
    <n v="0"/>
    <n v="0"/>
    <n v="0"/>
    <n v="0"/>
    <m/>
    <m/>
    <s v="Wandsworth riverside"/>
    <n v="19"/>
    <m/>
    <m/>
    <m/>
    <n v="16"/>
    <m/>
    <m/>
    <m/>
    <m/>
    <m/>
    <m/>
    <m/>
    <m/>
    <m/>
    <m/>
    <m/>
    <m/>
    <m/>
    <m/>
    <m/>
    <m/>
    <n v="16"/>
    <n v="16"/>
  </r>
  <r>
    <n v="7386"/>
    <x v="4"/>
    <m/>
    <s v="Crewkerne Court Garages, Battersea Church Road (Somerset Estate)"/>
    <m/>
    <n v="526944"/>
    <n v="176965"/>
    <s v="St Mary's"/>
    <m/>
    <m/>
    <n v="0"/>
    <n v="11"/>
    <n v="11"/>
    <n v="81"/>
    <n v="81"/>
    <s v="Y"/>
    <s v="Redevelopment"/>
    <s v="NONE"/>
    <m/>
    <m/>
    <m/>
    <s v="Nil"/>
    <m/>
    <s v="BF"/>
    <s v="NB"/>
    <x v="0"/>
    <x v="0"/>
    <n v="0"/>
    <m/>
    <x v="0"/>
    <m/>
    <s v="Intermediate"/>
    <s v="IU"/>
    <s v="RIV11"/>
    <m/>
    <n v="0"/>
    <n v="0"/>
    <n v="0"/>
    <n v="0"/>
    <n v="0"/>
    <n v="0"/>
    <n v="0"/>
    <n v="0"/>
    <n v="0"/>
    <n v="0"/>
    <n v="11"/>
    <n v="0"/>
    <n v="0"/>
    <n v="0"/>
    <n v="0"/>
    <n v="0"/>
    <n v="0"/>
    <n v="11"/>
    <n v="0"/>
    <n v="0"/>
    <n v="0"/>
    <n v="0"/>
    <n v="0"/>
    <n v="0"/>
    <n v="0"/>
    <n v="0"/>
    <n v="0"/>
    <n v="0"/>
    <n v="0"/>
    <n v="0"/>
    <n v="0"/>
    <n v="0"/>
    <m/>
    <m/>
    <s v="Wandsworth riverside"/>
    <n v="19"/>
    <m/>
    <m/>
    <m/>
    <n v="11"/>
    <m/>
    <m/>
    <m/>
    <m/>
    <m/>
    <m/>
    <m/>
    <m/>
    <m/>
    <m/>
    <m/>
    <m/>
    <m/>
    <m/>
    <m/>
    <m/>
    <n v="11"/>
    <n v="11"/>
  </r>
  <r>
    <n v="6899"/>
    <x v="4"/>
    <m/>
    <s v="Land on the corner of Grant Road and, Falcon Road"/>
    <m/>
    <n v="527207"/>
    <n v="175690"/>
    <s v="Falconbrook"/>
    <m/>
    <m/>
    <n v="0"/>
    <n v="163"/>
    <n v="163"/>
    <n v="243"/>
    <n v="243"/>
    <s v="Y"/>
    <s v="Redevelopment"/>
    <s v="NONE"/>
    <m/>
    <m/>
    <m/>
    <s v="Nil"/>
    <m/>
    <s v="BF"/>
    <s v="NB"/>
    <x v="0"/>
    <x v="0"/>
    <n v="0"/>
    <m/>
    <x v="0"/>
    <m/>
    <s v="Open Market"/>
    <s v="M"/>
    <s v="CJ3"/>
    <m/>
    <n v="0"/>
    <n v="0"/>
    <n v="0"/>
    <n v="0"/>
    <n v="0"/>
    <n v="0"/>
    <n v="0"/>
    <n v="0"/>
    <n v="0"/>
    <n v="0"/>
    <n v="163"/>
    <n v="0"/>
    <n v="0"/>
    <n v="0"/>
    <n v="0"/>
    <n v="0"/>
    <n v="0"/>
    <n v="163"/>
    <n v="0"/>
    <n v="0"/>
    <n v="0"/>
    <n v="0"/>
    <n v="0"/>
    <n v="0"/>
    <n v="0"/>
    <n v="0"/>
    <n v="0"/>
    <n v="0"/>
    <n v="0"/>
    <n v="0"/>
    <n v="0"/>
    <n v="0"/>
    <s v="Clapham Junction"/>
    <m/>
    <s v="Clapham Junction Spatial Area Strategy"/>
    <n v="19"/>
    <m/>
    <m/>
    <m/>
    <n v="163"/>
    <m/>
    <m/>
    <m/>
    <m/>
    <m/>
    <m/>
    <m/>
    <m/>
    <m/>
    <m/>
    <m/>
    <m/>
    <m/>
    <m/>
    <m/>
    <m/>
    <n v="163"/>
    <n v="163"/>
  </r>
  <r>
    <n v="6899"/>
    <x v="4"/>
    <m/>
    <s v="Land on the corner of Grant Road and, Falcon Road"/>
    <m/>
    <n v="527207"/>
    <n v="175690"/>
    <s v="Falconbrook"/>
    <m/>
    <m/>
    <n v="0"/>
    <n v="49"/>
    <n v="49"/>
    <n v="243"/>
    <n v="243"/>
    <s v="Y"/>
    <s v="Redevelopment"/>
    <s v="NONE"/>
    <m/>
    <m/>
    <m/>
    <s v="Nil"/>
    <m/>
    <s v="BF"/>
    <s v="NB"/>
    <x v="0"/>
    <x v="0"/>
    <n v="0"/>
    <m/>
    <x v="0"/>
    <m/>
    <s v="Social/Affordable Rent"/>
    <s v="AA"/>
    <s v="CJ3"/>
    <m/>
    <n v="0"/>
    <n v="0"/>
    <n v="0"/>
    <n v="0"/>
    <n v="0"/>
    <n v="0"/>
    <n v="0"/>
    <n v="0"/>
    <n v="0"/>
    <n v="0"/>
    <n v="49"/>
    <n v="0"/>
    <n v="0"/>
    <n v="0"/>
    <n v="0"/>
    <n v="0"/>
    <n v="0"/>
    <n v="49"/>
    <n v="0"/>
    <n v="0"/>
    <n v="0"/>
    <n v="0"/>
    <n v="0"/>
    <n v="0"/>
    <n v="0"/>
    <n v="0"/>
    <n v="0"/>
    <n v="0"/>
    <n v="0"/>
    <n v="0"/>
    <n v="0"/>
    <n v="0"/>
    <s v="Clapham Junction"/>
    <m/>
    <s v="Clapham Junction Spatial Area Strategy"/>
    <n v="19"/>
    <m/>
    <m/>
    <m/>
    <n v="49"/>
    <m/>
    <m/>
    <m/>
    <m/>
    <m/>
    <m/>
    <m/>
    <m/>
    <m/>
    <m/>
    <m/>
    <m/>
    <m/>
    <m/>
    <m/>
    <m/>
    <n v="49"/>
    <n v="49"/>
  </r>
  <r>
    <n v="6899"/>
    <x v="4"/>
    <m/>
    <s v="Land on the corner of Grant Road and, Falcon Road"/>
    <m/>
    <n v="527207"/>
    <n v="175690"/>
    <s v="Falconbrook"/>
    <m/>
    <m/>
    <n v="0"/>
    <n v="31"/>
    <n v="31"/>
    <n v="243"/>
    <n v="243"/>
    <s v="Y"/>
    <s v="Redevelopment"/>
    <s v="NONE"/>
    <m/>
    <m/>
    <m/>
    <s v="Nil"/>
    <m/>
    <s v="BF"/>
    <s v="NB"/>
    <x v="0"/>
    <x v="0"/>
    <n v="0"/>
    <m/>
    <x v="0"/>
    <m/>
    <s v="Intermediate"/>
    <s v="IU"/>
    <s v="CJ3"/>
    <m/>
    <n v="0"/>
    <n v="0"/>
    <n v="0"/>
    <n v="0"/>
    <n v="0"/>
    <n v="0"/>
    <n v="0"/>
    <n v="0"/>
    <n v="0"/>
    <n v="0"/>
    <n v="31"/>
    <n v="0"/>
    <n v="0"/>
    <n v="0"/>
    <n v="0"/>
    <n v="0"/>
    <n v="0"/>
    <n v="31"/>
    <n v="0"/>
    <n v="0"/>
    <n v="0"/>
    <n v="0"/>
    <n v="0"/>
    <n v="0"/>
    <n v="0"/>
    <n v="0"/>
    <n v="0"/>
    <n v="0"/>
    <n v="0"/>
    <n v="0"/>
    <n v="0"/>
    <n v="0"/>
    <s v="Clapham Junction"/>
    <m/>
    <s v="Clapham Junction Spatial Area Strategy"/>
    <n v="19"/>
    <m/>
    <m/>
    <m/>
    <n v="31"/>
    <m/>
    <m/>
    <m/>
    <m/>
    <m/>
    <m/>
    <m/>
    <m/>
    <m/>
    <m/>
    <m/>
    <m/>
    <m/>
    <m/>
    <m/>
    <m/>
    <n v="31"/>
    <n v="31"/>
  </r>
  <r>
    <n v="7541"/>
    <x v="4"/>
    <m/>
    <s v="104 Friars Avenue, Roehampton Vale Campus Kingston University, SW15 3DW"/>
    <m/>
    <n v="521608"/>
    <n v="172378"/>
    <s v="Roehampton"/>
    <m/>
    <m/>
    <n v="0"/>
    <n v="6"/>
    <n v="6"/>
    <n v="6"/>
    <n v="6"/>
    <m/>
    <s v="Redevelopment"/>
    <s v="NONE"/>
    <m/>
    <m/>
    <m/>
    <s v="Nil"/>
    <m/>
    <s v="BF"/>
    <s v="NB"/>
    <x v="2"/>
    <x v="1"/>
    <n v="0"/>
    <m/>
    <x v="0"/>
    <m/>
    <s v="Open Market"/>
    <s v="M"/>
    <m/>
    <m/>
    <n v="0"/>
    <n v="0"/>
    <n v="0"/>
    <n v="0"/>
    <n v="0"/>
    <n v="0"/>
    <n v="0"/>
    <n v="0"/>
    <n v="0"/>
    <n v="0"/>
    <n v="6"/>
    <n v="0"/>
    <n v="0"/>
    <n v="0"/>
    <n v="0"/>
    <n v="0"/>
    <n v="0"/>
    <n v="6"/>
    <n v="0"/>
    <n v="0"/>
    <n v="0"/>
    <n v="0"/>
    <n v="0"/>
    <n v="0"/>
    <n v="0"/>
    <n v="0"/>
    <n v="0"/>
    <n v="0"/>
    <n v="0"/>
    <n v="0"/>
    <n v="0"/>
    <n v="0"/>
    <m/>
    <m/>
    <s v="Rest of Borough"/>
    <n v="19"/>
    <m/>
    <m/>
    <m/>
    <m/>
    <m/>
    <n v="6"/>
    <m/>
    <m/>
    <m/>
    <m/>
    <m/>
    <m/>
    <m/>
    <m/>
    <m/>
    <m/>
    <m/>
    <m/>
    <m/>
    <m/>
    <n v="6"/>
    <n v="6"/>
  </r>
  <r>
    <n v="6867"/>
    <x v="4"/>
    <m/>
    <s v="259-311 Battersea Park Road, SW 11 (Doddington Estate part)"/>
    <m/>
    <n v="528331.56229999894"/>
    <n v="176668.96749999901"/>
    <s v="Battersea Park"/>
    <m/>
    <m/>
    <n v="0"/>
    <n v="13"/>
    <n v="13"/>
    <n v="20"/>
    <n v="20"/>
    <s v="Y"/>
    <s v="Redevelopment"/>
    <s v="NONE"/>
    <m/>
    <m/>
    <m/>
    <s v="Nil"/>
    <m/>
    <s v="BF"/>
    <s v="NB"/>
    <x v="0"/>
    <x v="0"/>
    <n v="0"/>
    <m/>
    <x v="0"/>
    <m/>
    <s v="Open Market"/>
    <s v="M"/>
    <s v="OUT2"/>
    <m/>
    <n v="0"/>
    <n v="0"/>
    <n v="0"/>
    <n v="0"/>
    <n v="0"/>
    <n v="0"/>
    <n v="0"/>
    <n v="0"/>
    <n v="0"/>
    <n v="0"/>
    <n v="13"/>
    <n v="0"/>
    <n v="0"/>
    <n v="0"/>
    <n v="0"/>
    <n v="0"/>
    <n v="0"/>
    <n v="13"/>
    <n v="0"/>
    <n v="0"/>
    <n v="0"/>
    <n v="0"/>
    <n v="0"/>
    <n v="0"/>
    <n v="0"/>
    <n v="0"/>
    <n v="0"/>
    <n v="0"/>
    <n v="0"/>
    <n v="0"/>
    <n v="0"/>
    <n v="0"/>
    <m/>
    <m/>
    <s v="Rest of Borough"/>
    <n v="19"/>
    <m/>
    <m/>
    <m/>
    <m/>
    <m/>
    <m/>
    <m/>
    <m/>
    <m/>
    <n v="1.0833333333333333"/>
    <n v="1.0833333333333333"/>
    <n v="1.0833333333333333"/>
    <n v="1.0833333333333333"/>
    <n v="1.0833333333333333"/>
    <n v="1.0833333333333333"/>
    <n v="1.0833333333333333"/>
    <n v="1.0833333333333333"/>
    <n v="1.0833333333333333"/>
    <n v="1.0833333333333333"/>
    <n v="1.0833333333333333"/>
    <n v="0"/>
    <n v="2.1666666666666665"/>
  </r>
  <r>
    <n v="6867"/>
    <x v="4"/>
    <m/>
    <s v="259-311 Battersea Park Road, SW 11 (Doddington Estate part)"/>
    <m/>
    <n v="528331.56229999894"/>
    <n v="176668.96749999901"/>
    <s v="Battersea Park"/>
    <m/>
    <m/>
    <n v="0"/>
    <n v="4"/>
    <n v="4"/>
    <n v="20"/>
    <n v="20"/>
    <s v="Y"/>
    <s v="Redevelopment"/>
    <s v="NONE"/>
    <m/>
    <m/>
    <m/>
    <s v="Nil"/>
    <m/>
    <s v="BF"/>
    <s v="NB"/>
    <x v="0"/>
    <x v="0"/>
    <n v="0"/>
    <m/>
    <x v="0"/>
    <m/>
    <s v="Social/Affordable Rent"/>
    <s v="AA"/>
    <s v="OUT2"/>
    <m/>
    <n v="0"/>
    <n v="0"/>
    <n v="0"/>
    <n v="0"/>
    <n v="0"/>
    <n v="0"/>
    <n v="0"/>
    <n v="0"/>
    <n v="0"/>
    <n v="0"/>
    <n v="4"/>
    <n v="0"/>
    <n v="0"/>
    <n v="0"/>
    <n v="0"/>
    <n v="0"/>
    <n v="0"/>
    <n v="4"/>
    <n v="0"/>
    <n v="0"/>
    <n v="0"/>
    <n v="0"/>
    <n v="0"/>
    <n v="0"/>
    <n v="0"/>
    <n v="0"/>
    <n v="0"/>
    <n v="0"/>
    <n v="0"/>
    <n v="0"/>
    <n v="0"/>
    <n v="0"/>
    <m/>
    <m/>
    <s v="Rest of Borough"/>
    <n v="19"/>
    <m/>
    <m/>
    <m/>
    <m/>
    <m/>
    <m/>
    <m/>
    <m/>
    <m/>
    <n v="0.33333333333333331"/>
    <n v="0.33333333333333331"/>
    <n v="0.33333333333333331"/>
    <n v="0.33333333333333331"/>
    <n v="0.33333333333333331"/>
    <n v="0.33333333333333331"/>
    <n v="0.33333333333333331"/>
    <n v="0.33333333333333331"/>
    <n v="0.33333333333333331"/>
    <n v="0.33333333333333331"/>
    <n v="0.33333333333333331"/>
    <n v="0"/>
    <n v="0.66666666666666663"/>
  </r>
  <r>
    <n v="6867"/>
    <x v="4"/>
    <m/>
    <s v="259-311 Battersea Park Road, SW 11 (Doddington Estate part)"/>
    <m/>
    <n v="528331.56229999894"/>
    <n v="176668.96749999901"/>
    <s v="Battersea Park"/>
    <m/>
    <m/>
    <n v="0"/>
    <n v="3"/>
    <n v="3"/>
    <n v="20"/>
    <n v="20"/>
    <s v="Y"/>
    <s v="Redevelopment"/>
    <s v="NONE"/>
    <m/>
    <m/>
    <m/>
    <s v="Nil"/>
    <m/>
    <s v="BF"/>
    <s v="NB"/>
    <x v="0"/>
    <x v="0"/>
    <n v="0"/>
    <m/>
    <x v="0"/>
    <m/>
    <s v="Intermediate"/>
    <s v="IU"/>
    <s v="OUT2"/>
    <m/>
    <n v="0"/>
    <n v="0"/>
    <n v="0"/>
    <n v="0"/>
    <n v="0"/>
    <n v="0"/>
    <n v="0"/>
    <n v="0"/>
    <n v="0"/>
    <n v="0"/>
    <n v="3"/>
    <n v="0"/>
    <n v="0"/>
    <n v="0"/>
    <n v="0"/>
    <n v="0"/>
    <n v="0"/>
    <n v="3"/>
    <n v="0"/>
    <n v="0"/>
    <n v="0"/>
    <n v="0"/>
    <n v="0"/>
    <n v="0"/>
    <n v="0"/>
    <n v="0"/>
    <n v="0"/>
    <n v="0"/>
    <n v="0"/>
    <n v="0"/>
    <n v="0"/>
    <n v="0"/>
    <m/>
    <m/>
    <s v="Rest of Borough"/>
    <n v="19"/>
    <m/>
    <m/>
    <m/>
    <m/>
    <m/>
    <m/>
    <m/>
    <m/>
    <m/>
    <n v="0.25"/>
    <n v="0.25"/>
    <n v="0.25"/>
    <n v="0.25"/>
    <n v="0.25"/>
    <n v="0.25"/>
    <n v="0.25"/>
    <n v="0.25"/>
    <n v="0.25"/>
    <n v="0.25"/>
    <n v="0.25"/>
    <n v="0"/>
    <n v="0.5"/>
  </r>
  <r>
    <n v="223"/>
    <x v="4"/>
    <m/>
    <s v="282 Mitcham Lane, SW16"/>
    <m/>
    <n v="528890"/>
    <n v="170545"/>
    <s v="Furzedown"/>
    <m/>
    <m/>
    <n v="0"/>
    <n v="2"/>
    <n v="2"/>
    <n v="2"/>
    <n v="2"/>
    <m/>
    <s v="Redevelopment"/>
    <s v="NONE"/>
    <m/>
    <m/>
    <m/>
    <s v="Nil"/>
    <m/>
    <s v="BF"/>
    <s v="NB"/>
    <x v="2"/>
    <x v="1"/>
    <n v="0"/>
    <m/>
    <x v="0"/>
    <m/>
    <s v="Open Market"/>
    <s v="M"/>
    <m/>
    <m/>
    <n v="0"/>
    <n v="0"/>
    <n v="0"/>
    <n v="0"/>
    <n v="0"/>
    <n v="0"/>
    <n v="0"/>
    <n v="0"/>
    <n v="0"/>
    <n v="0"/>
    <n v="2"/>
    <n v="0"/>
    <n v="0"/>
    <n v="0"/>
    <n v="0"/>
    <n v="0"/>
    <n v="0"/>
    <n v="2"/>
    <n v="0"/>
    <n v="0"/>
    <n v="0"/>
    <n v="0"/>
    <n v="0"/>
    <n v="0"/>
    <n v="0"/>
    <n v="0"/>
    <n v="0"/>
    <n v="0"/>
    <n v="0"/>
    <n v="0"/>
    <n v="0"/>
    <n v="0"/>
    <m/>
    <m/>
    <s v="Rest of Borough"/>
    <n v="19"/>
    <m/>
    <m/>
    <m/>
    <m/>
    <m/>
    <n v="2"/>
    <m/>
    <m/>
    <m/>
    <m/>
    <m/>
    <m/>
    <m/>
    <m/>
    <m/>
    <m/>
    <m/>
    <m/>
    <m/>
    <m/>
    <n v="2"/>
    <n v="2"/>
  </r>
  <r>
    <n v="6869"/>
    <x v="4"/>
    <m/>
    <s v="36 Lombard Road"/>
    <m/>
    <n v="526639"/>
    <n v="176128"/>
    <s v="St Mary's"/>
    <m/>
    <m/>
    <n v="0"/>
    <n v="43"/>
    <n v="43"/>
    <n v="64"/>
    <n v="64"/>
    <s v="Y"/>
    <s v="Redevelopment"/>
    <s v="NONE"/>
    <m/>
    <m/>
    <m/>
    <s v="Nil"/>
    <m/>
    <s v="BF"/>
    <s v="NB"/>
    <x v="0"/>
    <x v="0"/>
    <n v="0"/>
    <m/>
    <x v="0"/>
    <m/>
    <s v="Open Market"/>
    <s v="M"/>
    <s v="RIV6"/>
    <m/>
    <n v="0"/>
    <n v="0"/>
    <n v="0"/>
    <n v="0"/>
    <n v="0"/>
    <n v="0"/>
    <n v="0"/>
    <n v="0"/>
    <n v="0"/>
    <n v="0"/>
    <n v="43"/>
    <n v="0"/>
    <n v="0"/>
    <n v="0"/>
    <n v="0"/>
    <n v="0"/>
    <n v="0"/>
    <n v="43"/>
    <n v="0"/>
    <n v="0"/>
    <n v="0"/>
    <n v="0"/>
    <n v="0"/>
    <n v="0"/>
    <n v="0"/>
    <n v="0"/>
    <n v="0"/>
    <n v="0"/>
    <n v="0"/>
    <n v="0"/>
    <n v="0"/>
    <n v="0"/>
    <m/>
    <m/>
    <s v="Wandsworth riverside"/>
    <n v="19"/>
    <m/>
    <m/>
    <m/>
    <m/>
    <m/>
    <n v="2.6875"/>
    <n v="2.6875"/>
    <n v="2.6875"/>
    <n v="2.6875"/>
    <n v="2.6875"/>
    <n v="2.6875"/>
    <n v="2.6875"/>
    <n v="2.6875"/>
    <n v="2.6875"/>
    <n v="2.6875"/>
    <n v="2.6875"/>
    <n v="2.6875"/>
    <n v="2.6875"/>
    <n v="2.6875"/>
    <n v="2.6875"/>
    <n v="2.6875"/>
    <n v="16.125"/>
  </r>
  <r>
    <n v="6869"/>
    <x v="4"/>
    <m/>
    <s v="36 Lombard Road"/>
    <m/>
    <n v="526639"/>
    <n v="176128"/>
    <s v="St Mary's"/>
    <m/>
    <m/>
    <n v="0"/>
    <n v="13"/>
    <n v="13"/>
    <n v="64"/>
    <n v="64"/>
    <s v="Y"/>
    <s v="Redevelopment"/>
    <s v="NONE"/>
    <m/>
    <m/>
    <m/>
    <s v="Nil"/>
    <m/>
    <s v="BF"/>
    <s v="NB"/>
    <x v="0"/>
    <x v="0"/>
    <n v="0"/>
    <m/>
    <x v="0"/>
    <m/>
    <s v="Social/Affordable Rent"/>
    <s v="AA"/>
    <s v="RIV6"/>
    <m/>
    <n v="0"/>
    <n v="0"/>
    <n v="0"/>
    <n v="0"/>
    <n v="0"/>
    <n v="0"/>
    <n v="0"/>
    <n v="0"/>
    <n v="0"/>
    <n v="0"/>
    <n v="13"/>
    <n v="0"/>
    <n v="0"/>
    <n v="0"/>
    <n v="0"/>
    <n v="0"/>
    <n v="0"/>
    <n v="13"/>
    <n v="0"/>
    <n v="0"/>
    <n v="0"/>
    <n v="0"/>
    <n v="0"/>
    <n v="0"/>
    <n v="0"/>
    <n v="0"/>
    <n v="0"/>
    <n v="0"/>
    <n v="0"/>
    <n v="0"/>
    <n v="0"/>
    <n v="0"/>
    <m/>
    <m/>
    <s v="Wandsworth riverside"/>
    <n v="19"/>
    <m/>
    <m/>
    <m/>
    <m/>
    <m/>
    <n v="0.8125"/>
    <n v="0.8125"/>
    <n v="0.8125"/>
    <n v="0.8125"/>
    <n v="0.8125"/>
    <n v="0.8125"/>
    <n v="0.8125"/>
    <n v="0.8125"/>
    <n v="0.8125"/>
    <n v="0.8125"/>
    <n v="0.8125"/>
    <n v="0.8125"/>
    <n v="0.8125"/>
    <n v="0.8125"/>
    <n v="0.8125"/>
    <n v="0.8125"/>
    <n v="4.875"/>
  </r>
  <r>
    <n v="6869"/>
    <x v="4"/>
    <m/>
    <s v="36 Lombard Road"/>
    <m/>
    <n v="526639"/>
    <n v="176128"/>
    <s v="St Mary's"/>
    <m/>
    <m/>
    <n v="0"/>
    <n v="8"/>
    <n v="8"/>
    <n v="64"/>
    <n v="64"/>
    <s v="Y"/>
    <s v="Redevelopment"/>
    <s v="NONE"/>
    <m/>
    <m/>
    <m/>
    <s v="Nil"/>
    <m/>
    <s v="BF"/>
    <s v="NB"/>
    <x v="0"/>
    <x v="0"/>
    <n v="0"/>
    <m/>
    <x v="0"/>
    <m/>
    <s v="Intermediate"/>
    <s v="IU"/>
    <s v="RIV6"/>
    <m/>
    <n v="0"/>
    <n v="0"/>
    <n v="0"/>
    <n v="0"/>
    <n v="0"/>
    <n v="0"/>
    <n v="0"/>
    <n v="0"/>
    <n v="0"/>
    <n v="0"/>
    <n v="8"/>
    <n v="0"/>
    <n v="0"/>
    <n v="0"/>
    <n v="0"/>
    <n v="0"/>
    <n v="0"/>
    <n v="8"/>
    <n v="0"/>
    <n v="0"/>
    <n v="0"/>
    <n v="0"/>
    <n v="0"/>
    <n v="0"/>
    <n v="0"/>
    <n v="0"/>
    <n v="0"/>
    <n v="0"/>
    <n v="0"/>
    <n v="0"/>
    <n v="0"/>
    <n v="0"/>
    <m/>
    <m/>
    <s v="Wandsworth riverside"/>
    <n v="19"/>
    <m/>
    <m/>
    <m/>
    <m/>
    <m/>
    <n v="0.5"/>
    <n v="0.5"/>
    <n v="0.5"/>
    <n v="0.5"/>
    <n v="0.5"/>
    <n v="0.5"/>
    <n v="0.5"/>
    <n v="0.5"/>
    <n v="0.5"/>
    <n v="0.5"/>
    <n v="0.5"/>
    <n v="0.5"/>
    <n v="0.5"/>
    <n v="0.5"/>
    <n v="0.5"/>
    <n v="0.5"/>
    <n v="3"/>
  </r>
  <r>
    <n v="7580"/>
    <x v="4"/>
    <m/>
    <s v="50  56 Tooting High Street, Tooting, SW17"/>
    <m/>
    <n v="527411.84160000004"/>
    <n v="171480.26829999901"/>
    <s v="Tooting Broadway"/>
    <m/>
    <m/>
    <n v="0"/>
    <n v="5"/>
    <n v="5"/>
    <n v="5"/>
    <n v="5"/>
    <m/>
    <s v="Redevelopment"/>
    <s v="NONE"/>
    <m/>
    <m/>
    <m/>
    <s v="Nil"/>
    <m/>
    <s v="BF"/>
    <s v="NB"/>
    <x v="2"/>
    <x v="1"/>
    <n v="0"/>
    <m/>
    <x v="0"/>
    <m/>
    <s v="Open Market"/>
    <s v="M"/>
    <s v="TO3"/>
    <m/>
    <n v="0"/>
    <n v="0"/>
    <n v="0"/>
    <n v="0"/>
    <n v="0"/>
    <n v="0"/>
    <n v="0"/>
    <n v="0"/>
    <n v="0"/>
    <n v="0"/>
    <n v="5"/>
    <n v="0"/>
    <n v="0"/>
    <n v="0"/>
    <n v="0"/>
    <n v="0"/>
    <n v="0"/>
    <n v="5"/>
    <n v="0"/>
    <n v="0"/>
    <n v="0"/>
    <n v="0"/>
    <n v="0"/>
    <n v="0"/>
    <n v="0"/>
    <n v="0"/>
    <n v="0"/>
    <n v="0"/>
    <n v="0"/>
    <n v="0"/>
    <n v="0"/>
    <n v="0"/>
    <s v="Tooting"/>
    <m/>
    <s v="Tooting"/>
    <n v="19"/>
    <m/>
    <m/>
    <m/>
    <m/>
    <n v="1"/>
    <n v="1"/>
    <n v="1"/>
    <n v="1"/>
    <n v="1"/>
    <m/>
    <m/>
    <m/>
    <m/>
    <m/>
    <m/>
    <m/>
    <m/>
    <m/>
    <m/>
    <m/>
    <n v="2"/>
    <n v="5"/>
  </r>
  <r>
    <n v="3515"/>
    <x v="4"/>
    <m/>
    <s v="56-70, 56-66 Putney High Street (Wereldhave Site)"/>
    <m/>
    <n v="524039"/>
    <n v="175460"/>
    <s v="Thamesfield"/>
    <m/>
    <m/>
    <n v="0"/>
    <n v="65"/>
    <n v="65"/>
    <n v="97"/>
    <n v="97"/>
    <s v="Y"/>
    <s v="Redevelopment"/>
    <s v="NONE"/>
    <m/>
    <m/>
    <m/>
    <s v="Nil"/>
    <m/>
    <s v="BF"/>
    <s v="NB"/>
    <x v="0"/>
    <x v="0"/>
    <n v="0"/>
    <m/>
    <x v="0"/>
    <m/>
    <s v="Open Market"/>
    <s v="M"/>
    <s v="PUT1"/>
    <m/>
    <n v="0"/>
    <n v="0"/>
    <n v="0"/>
    <n v="0"/>
    <n v="0"/>
    <n v="0"/>
    <n v="0"/>
    <n v="0"/>
    <n v="0"/>
    <n v="0"/>
    <n v="65"/>
    <n v="0"/>
    <n v="0"/>
    <n v="0"/>
    <n v="0"/>
    <n v="0"/>
    <n v="0"/>
    <n v="65"/>
    <n v="0"/>
    <n v="0"/>
    <n v="0"/>
    <n v="0"/>
    <n v="0"/>
    <n v="0"/>
    <n v="0"/>
    <n v="0"/>
    <n v="0"/>
    <n v="0"/>
    <n v="0"/>
    <n v="0"/>
    <n v="0"/>
    <n v="0"/>
    <s v="Putney"/>
    <m/>
    <s v="Putney Town Centre"/>
    <n v="19"/>
    <m/>
    <m/>
    <m/>
    <m/>
    <m/>
    <m/>
    <m/>
    <n v="16.25"/>
    <n v="16.25"/>
    <n v="16.25"/>
    <n v="16.25"/>
    <m/>
    <m/>
    <m/>
    <m/>
    <m/>
    <m/>
    <m/>
    <m/>
    <m/>
    <n v="0"/>
    <n v="65"/>
  </r>
  <r>
    <n v="3515"/>
    <x v="4"/>
    <m/>
    <s v="56-70, 56-66 Putney High Street (Wereldhave Site)"/>
    <m/>
    <n v="524039"/>
    <n v="175460"/>
    <s v="Thamesfield"/>
    <m/>
    <m/>
    <n v="0"/>
    <n v="20"/>
    <n v="20"/>
    <n v="97"/>
    <n v="97"/>
    <s v="Y"/>
    <s v="Redevelopment"/>
    <s v="NONE"/>
    <m/>
    <m/>
    <m/>
    <s v="Nil"/>
    <m/>
    <s v="BF"/>
    <s v="NB"/>
    <x v="0"/>
    <x v="0"/>
    <n v="0"/>
    <m/>
    <x v="0"/>
    <m/>
    <s v="Social/Affordable Rent"/>
    <s v="AA"/>
    <s v="PUT1"/>
    <m/>
    <n v="0"/>
    <n v="0"/>
    <n v="0"/>
    <n v="0"/>
    <n v="0"/>
    <n v="0"/>
    <n v="0"/>
    <n v="0"/>
    <n v="0"/>
    <n v="0"/>
    <n v="20"/>
    <n v="0"/>
    <n v="0"/>
    <n v="0"/>
    <n v="0"/>
    <n v="0"/>
    <n v="0"/>
    <n v="20"/>
    <n v="0"/>
    <n v="0"/>
    <n v="0"/>
    <n v="0"/>
    <n v="0"/>
    <n v="0"/>
    <n v="0"/>
    <n v="0"/>
    <n v="0"/>
    <n v="0"/>
    <n v="0"/>
    <n v="0"/>
    <n v="0"/>
    <n v="0"/>
    <s v="Putney"/>
    <m/>
    <s v="Putney Town Centre"/>
    <n v="19"/>
    <m/>
    <m/>
    <m/>
    <m/>
    <m/>
    <m/>
    <m/>
    <n v="5"/>
    <n v="5"/>
    <n v="5"/>
    <n v="5"/>
    <m/>
    <m/>
    <m/>
    <m/>
    <m/>
    <m/>
    <m/>
    <m/>
    <m/>
    <n v="0"/>
    <n v="20"/>
  </r>
  <r>
    <n v="3515"/>
    <x v="4"/>
    <m/>
    <s v="56-70, 56-66 Putney High Street (Wereldhave Site)"/>
    <m/>
    <n v="524039"/>
    <n v="175460"/>
    <s v="Thamesfield"/>
    <m/>
    <m/>
    <n v="0"/>
    <n v="12"/>
    <n v="12"/>
    <n v="97"/>
    <n v="97"/>
    <s v="Y"/>
    <s v="Redevelopment"/>
    <s v="NONE"/>
    <m/>
    <m/>
    <m/>
    <s v="Nil"/>
    <m/>
    <s v="BF"/>
    <s v="NB"/>
    <x v="0"/>
    <x v="0"/>
    <n v="0"/>
    <m/>
    <x v="0"/>
    <m/>
    <s v="Intermediate"/>
    <s v="IU"/>
    <s v="PUT1"/>
    <m/>
    <n v="0"/>
    <n v="0"/>
    <n v="0"/>
    <n v="0"/>
    <n v="0"/>
    <n v="0"/>
    <n v="0"/>
    <n v="0"/>
    <n v="0"/>
    <n v="0"/>
    <n v="12"/>
    <n v="0"/>
    <n v="0"/>
    <n v="0"/>
    <n v="0"/>
    <n v="0"/>
    <n v="0"/>
    <n v="12"/>
    <n v="0"/>
    <n v="0"/>
    <n v="0"/>
    <n v="0"/>
    <n v="0"/>
    <n v="0"/>
    <n v="0"/>
    <n v="0"/>
    <n v="0"/>
    <n v="0"/>
    <n v="0"/>
    <n v="0"/>
    <n v="0"/>
    <n v="0"/>
    <s v="Putney"/>
    <m/>
    <s v="Putney Town Centre"/>
    <n v="19"/>
    <m/>
    <m/>
    <m/>
    <m/>
    <m/>
    <m/>
    <m/>
    <n v="3"/>
    <n v="3"/>
    <n v="3"/>
    <n v="3"/>
    <m/>
    <m/>
    <m/>
    <m/>
    <m/>
    <m/>
    <m/>
    <m/>
    <m/>
    <n v="0"/>
    <n v="12"/>
  </r>
  <r>
    <n v="7132"/>
    <x v="4"/>
    <m/>
    <s v="65-71 Wandsworth High Street incl. Spread Eagle Public House; Wandsworth High Street and 5 Garratt Lane, SW18"/>
    <m/>
    <n v="525690.77379999903"/>
    <n v="174603.17490000001"/>
    <s v="Wandsworth Town"/>
    <m/>
    <m/>
    <n v="0"/>
    <n v="7"/>
    <n v="7"/>
    <n v="7"/>
    <n v="7"/>
    <m/>
    <s v="Redevelopment"/>
    <s v="NONE"/>
    <m/>
    <m/>
    <m/>
    <s v="Nil"/>
    <m/>
    <s v="BF"/>
    <s v="NB"/>
    <x v="2"/>
    <x v="1"/>
    <n v="0"/>
    <m/>
    <x v="0"/>
    <m/>
    <s v="Open Market"/>
    <s v="M"/>
    <s v="WT18"/>
    <m/>
    <n v="0"/>
    <n v="0"/>
    <n v="0"/>
    <n v="0"/>
    <n v="0"/>
    <n v="0"/>
    <n v="0"/>
    <n v="0"/>
    <n v="0"/>
    <n v="0"/>
    <n v="7"/>
    <n v="0"/>
    <n v="0"/>
    <n v="0"/>
    <n v="0"/>
    <n v="0"/>
    <n v="0"/>
    <n v="7"/>
    <n v="0"/>
    <n v="0"/>
    <n v="0"/>
    <n v="0"/>
    <n v="0"/>
    <n v="0"/>
    <n v="0"/>
    <n v="0"/>
    <n v="0"/>
    <n v="0"/>
    <n v="0"/>
    <n v="0"/>
    <n v="0"/>
    <n v="0"/>
    <s v="Wandsworth"/>
    <m/>
    <s v="Wandsworth Town, including the Wandle Delta Masterplan Area"/>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7587"/>
    <x v="4"/>
    <m/>
    <s v="70 - 90 Putney Bridge Road and 1-2 Adelaide Road, SW18"/>
    <m/>
    <n v="525271.18099999905"/>
    <n v="174956.73670000001"/>
    <s v="Wandsworth Town"/>
    <m/>
    <m/>
    <n v="0"/>
    <n v="17"/>
    <n v="17"/>
    <n v="25"/>
    <n v="25"/>
    <s v="Y"/>
    <s v="Redevelopment"/>
    <s v="NONE"/>
    <m/>
    <m/>
    <m/>
    <s v="Nil"/>
    <m/>
    <s v="BF"/>
    <s v="NB"/>
    <x v="0"/>
    <x v="0"/>
    <n v="0"/>
    <m/>
    <x v="0"/>
    <m/>
    <s v="Open Market"/>
    <s v="M"/>
    <s v="WT21"/>
    <m/>
    <n v="0"/>
    <n v="0"/>
    <n v="0"/>
    <n v="0"/>
    <n v="0"/>
    <n v="0"/>
    <n v="0"/>
    <n v="0"/>
    <n v="0"/>
    <n v="0"/>
    <n v="17"/>
    <n v="0"/>
    <n v="0"/>
    <n v="0"/>
    <n v="0"/>
    <n v="0"/>
    <n v="0"/>
    <n v="17"/>
    <n v="0"/>
    <n v="0"/>
    <n v="0"/>
    <n v="0"/>
    <n v="0"/>
    <n v="0"/>
    <n v="0"/>
    <n v="0"/>
    <n v="0"/>
    <n v="0"/>
    <n v="0"/>
    <n v="0"/>
    <n v="0"/>
    <n v="0"/>
    <m/>
    <m/>
    <s v="Wandsworth Town, including the Wandle Delta Masterplan Area"/>
    <n v="19"/>
    <m/>
    <m/>
    <m/>
    <m/>
    <n v="17"/>
    <m/>
    <m/>
    <m/>
    <m/>
    <m/>
    <m/>
    <m/>
    <m/>
    <m/>
    <m/>
    <m/>
    <m/>
    <m/>
    <m/>
    <m/>
    <n v="17"/>
    <n v="17"/>
  </r>
  <r>
    <n v="7587"/>
    <x v="4"/>
    <m/>
    <s v="70 - 90 Putney Bridge Road and 1-2 Adelaide Road, SW18"/>
    <m/>
    <n v="525271.18099999905"/>
    <n v="174956.73670000001"/>
    <s v="Wandsworth Town"/>
    <m/>
    <m/>
    <n v="0"/>
    <n v="5"/>
    <n v="5"/>
    <n v="25"/>
    <n v="25"/>
    <s v="Y"/>
    <s v="Redevelopment"/>
    <s v="NONE"/>
    <m/>
    <m/>
    <m/>
    <s v="Nil"/>
    <m/>
    <s v="BF"/>
    <s v="NB"/>
    <x v="0"/>
    <x v="0"/>
    <n v="0"/>
    <m/>
    <x v="0"/>
    <m/>
    <s v="Social/Affordable Rent"/>
    <s v="AA"/>
    <s v="WT21"/>
    <m/>
    <n v="0"/>
    <n v="0"/>
    <n v="0"/>
    <n v="0"/>
    <n v="0"/>
    <n v="0"/>
    <n v="0"/>
    <n v="0"/>
    <n v="0"/>
    <n v="0"/>
    <n v="5"/>
    <n v="0"/>
    <n v="0"/>
    <n v="0"/>
    <n v="0"/>
    <n v="0"/>
    <n v="0"/>
    <n v="5"/>
    <n v="0"/>
    <n v="0"/>
    <n v="0"/>
    <n v="0"/>
    <n v="0"/>
    <n v="0"/>
    <n v="0"/>
    <n v="0"/>
    <n v="0"/>
    <n v="0"/>
    <n v="0"/>
    <n v="0"/>
    <n v="0"/>
    <n v="0"/>
    <m/>
    <m/>
    <s v="Wandsworth Town, including the Wandle Delta Masterplan Area"/>
    <n v="19"/>
    <m/>
    <m/>
    <m/>
    <m/>
    <n v="5"/>
    <m/>
    <m/>
    <m/>
    <m/>
    <m/>
    <m/>
    <m/>
    <m/>
    <m/>
    <m/>
    <m/>
    <m/>
    <m/>
    <m/>
    <m/>
    <n v="5"/>
    <n v="5"/>
  </r>
  <r>
    <n v="7587"/>
    <x v="4"/>
    <m/>
    <s v="70 - 90 Putney Bridge Road and 1-2 Adelaide Road, SW18"/>
    <m/>
    <n v="525271.18099999905"/>
    <n v="174956.73670000001"/>
    <s v="Wandsworth Town"/>
    <m/>
    <m/>
    <n v="0"/>
    <n v="3"/>
    <n v="3"/>
    <n v="25"/>
    <n v="25"/>
    <s v="Y"/>
    <s v="Redevelopment"/>
    <s v="NONE"/>
    <m/>
    <m/>
    <m/>
    <s v="Nil"/>
    <m/>
    <s v="BF"/>
    <s v="NB"/>
    <x v="0"/>
    <x v="0"/>
    <n v="0"/>
    <m/>
    <x v="0"/>
    <m/>
    <s v="Intermediate"/>
    <s v="IU"/>
    <s v="WT21"/>
    <m/>
    <n v="0"/>
    <n v="0"/>
    <n v="0"/>
    <n v="0"/>
    <n v="0"/>
    <n v="0"/>
    <n v="0"/>
    <n v="0"/>
    <n v="0"/>
    <n v="0"/>
    <n v="3"/>
    <n v="0"/>
    <n v="0"/>
    <n v="0"/>
    <n v="0"/>
    <n v="0"/>
    <n v="0"/>
    <n v="3"/>
    <n v="0"/>
    <n v="0"/>
    <n v="0"/>
    <n v="0"/>
    <n v="0"/>
    <n v="0"/>
    <n v="0"/>
    <n v="0"/>
    <n v="0"/>
    <n v="0"/>
    <n v="0"/>
    <n v="0"/>
    <n v="0"/>
    <n v="0"/>
    <m/>
    <m/>
    <s v="Wandsworth Town, including the Wandle Delta Masterplan Area"/>
    <n v="19"/>
    <m/>
    <m/>
    <m/>
    <m/>
    <n v="3"/>
    <m/>
    <m/>
    <m/>
    <m/>
    <m/>
    <m/>
    <m/>
    <m/>
    <m/>
    <m/>
    <m/>
    <m/>
    <m/>
    <m/>
    <m/>
    <n v="3"/>
    <n v="3"/>
  </r>
  <r>
    <n v="6871"/>
    <x v="4"/>
    <m/>
    <s v="80 Gwynne Road, 19 Lombard Road"/>
    <m/>
    <n v="526746"/>
    <n v="176345"/>
    <s v="St Mary's"/>
    <m/>
    <m/>
    <n v="0"/>
    <n v="48"/>
    <n v="48"/>
    <n v="71"/>
    <n v="71"/>
    <s v="Y"/>
    <s v="Redevelopment"/>
    <s v="NONE"/>
    <m/>
    <m/>
    <m/>
    <s v="Nil"/>
    <m/>
    <s v="BF"/>
    <s v="NB"/>
    <x v="0"/>
    <x v="0"/>
    <n v="0"/>
    <m/>
    <x v="0"/>
    <m/>
    <s v="Open Market"/>
    <s v="M"/>
    <s v="RIV8"/>
    <m/>
    <n v="0"/>
    <n v="0"/>
    <n v="0"/>
    <n v="0"/>
    <n v="0"/>
    <n v="0"/>
    <n v="0"/>
    <n v="0"/>
    <n v="0"/>
    <n v="0"/>
    <n v="48"/>
    <n v="0"/>
    <n v="0"/>
    <n v="0"/>
    <n v="0"/>
    <n v="0"/>
    <n v="0"/>
    <n v="48"/>
    <n v="0"/>
    <n v="0"/>
    <n v="0"/>
    <n v="0"/>
    <n v="0"/>
    <n v="0"/>
    <n v="0"/>
    <n v="0"/>
    <n v="0"/>
    <n v="0"/>
    <n v="0"/>
    <n v="0"/>
    <n v="0"/>
    <n v="0"/>
    <m/>
    <m/>
    <s v="Wandsworth riverside"/>
    <n v="19"/>
    <m/>
    <m/>
    <m/>
    <m/>
    <m/>
    <n v="3"/>
    <n v="3"/>
    <n v="3"/>
    <n v="3"/>
    <n v="3"/>
    <n v="3"/>
    <n v="3"/>
    <n v="3"/>
    <n v="3"/>
    <n v="3"/>
    <n v="3"/>
    <n v="3"/>
    <n v="3"/>
    <n v="3"/>
    <n v="3"/>
    <n v="3"/>
    <n v="18"/>
  </r>
  <r>
    <n v="6871"/>
    <x v="4"/>
    <m/>
    <s v="80 Gwynne Road, 19 Lombard Road"/>
    <m/>
    <n v="526746"/>
    <n v="176345"/>
    <s v="St Mary's"/>
    <m/>
    <m/>
    <n v="0"/>
    <n v="14"/>
    <n v="14"/>
    <n v="71"/>
    <n v="71"/>
    <s v="Y"/>
    <s v="Redevelopment"/>
    <s v="NONE"/>
    <m/>
    <m/>
    <m/>
    <s v="Nil"/>
    <m/>
    <s v="BF"/>
    <s v="NB"/>
    <x v="0"/>
    <x v="0"/>
    <n v="0"/>
    <m/>
    <x v="0"/>
    <m/>
    <s v="Social/Affordable Rent"/>
    <s v="AA"/>
    <s v="RIV8"/>
    <m/>
    <n v="0"/>
    <n v="0"/>
    <n v="0"/>
    <n v="0"/>
    <n v="0"/>
    <n v="0"/>
    <n v="0"/>
    <n v="0"/>
    <n v="0"/>
    <n v="0"/>
    <n v="14"/>
    <n v="0"/>
    <n v="0"/>
    <n v="0"/>
    <n v="0"/>
    <n v="0"/>
    <n v="0"/>
    <n v="14"/>
    <n v="0"/>
    <n v="0"/>
    <n v="0"/>
    <n v="0"/>
    <n v="0"/>
    <n v="0"/>
    <n v="0"/>
    <n v="0"/>
    <n v="0"/>
    <n v="0"/>
    <n v="0"/>
    <n v="0"/>
    <n v="0"/>
    <n v="0"/>
    <m/>
    <m/>
    <s v="Wandsworth riverside"/>
    <n v="19"/>
    <m/>
    <m/>
    <m/>
    <m/>
    <m/>
    <n v="0.875"/>
    <n v="0.875"/>
    <n v="0.875"/>
    <n v="0.875"/>
    <n v="0.875"/>
    <n v="0.875"/>
    <n v="0.875"/>
    <n v="0.875"/>
    <n v="0.875"/>
    <n v="0.875"/>
    <n v="0.875"/>
    <n v="0.875"/>
    <n v="0.875"/>
    <n v="0.875"/>
    <n v="0.875"/>
    <n v="0.875"/>
    <n v="5.25"/>
  </r>
  <r>
    <n v="6871"/>
    <x v="4"/>
    <m/>
    <s v="80 Gwynne Road, 19 Lombard Road"/>
    <m/>
    <n v="526746"/>
    <n v="176345"/>
    <s v="St Mary's"/>
    <m/>
    <m/>
    <n v="0"/>
    <n v="9"/>
    <n v="9"/>
    <n v="71"/>
    <n v="71"/>
    <s v="Y"/>
    <s v="Redevelopment"/>
    <s v="NONE"/>
    <m/>
    <m/>
    <m/>
    <s v="Nil"/>
    <m/>
    <s v="BF"/>
    <s v="NB"/>
    <x v="0"/>
    <x v="0"/>
    <n v="0"/>
    <m/>
    <x v="0"/>
    <m/>
    <s v="Intermediate"/>
    <s v="IU"/>
    <s v="RIV8"/>
    <m/>
    <n v="0"/>
    <n v="0"/>
    <n v="0"/>
    <n v="0"/>
    <n v="0"/>
    <n v="0"/>
    <n v="0"/>
    <n v="0"/>
    <n v="0"/>
    <n v="0"/>
    <n v="9"/>
    <n v="0"/>
    <n v="0"/>
    <n v="0"/>
    <n v="0"/>
    <n v="0"/>
    <n v="0"/>
    <n v="9"/>
    <n v="0"/>
    <n v="0"/>
    <n v="0"/>
    <n v="0"/>
    <n v="0"/>
    <n v="0"/>
    <n v="0"/>
    <n v="0"/>
    <n v="0"/>
    <n v="0"/>
    <n v="0"/>
    <n v="0"/>
    <n v="0"/>
    <n v="0"/>
    <m/>
    <m/>
    <s v="Wandsworth riverside"/>
    <n v="19"/>
    <m/>
    <m/>
    <m/>
    <m/>
    <m/>
    <n v="0.5625"/>
    <n v="0.5625"/>
    <n v="0.5625"/>
    <n v="0.5625"/>
    <n v="0.5625"/>
    <n v="0.5625"/>
    <n v="0.5625"/>
    <n v="0.5625"/>
    <n v="0.5625"/>
    <n v="0.5625"/>
    <n v="0.5625"/>
    <n v="0.5625"/>
    <n v="0.5625"/>
    <n v="0.5625"/>
    <n v="0.5625"/>
    <n v="0.5625"/>
    <n v="3.375"/>
  </r>
  <r>
    <n v="7546"/>
    <x v="4"/>
    <m/>
    <s v="8-10 Chelverton Road, Putney Bus Garage, SW15 1RH"/>
    <m/>
    <n v="523936"/>
    <n v="175285"/>
    <s v="Thamesfield"/>
    <m/>
    <m/>
    <n v="0"/>
    <n v="1"/>
    <n v="1"/>
    <n v="1"/>
    <n v="1"/>
    <m/>
    <s v="Redevelopment"/>
    <s v="NONE"/>
    <m/>
    <m/>
    <m/>
    <s v="Nil"/>
    <m/>
    <s v="BF"/>
    <s v="NB"/>
    <x v="2"/>
    <x v="1"/>
    <n v="0"/>
    <m/>
    <x v="0"/>
    <m/>
    <s v="Open Market"/>
    <s v="M"/>
    <m/>
    <m/>
    <n v="0"/>
    <n v="0"/>
    <n v="0"/>
    <n v="0"/>
    <n v="0"/>
    <n v="0"/>
    <n v="0"/>
    <n v="0"/>
    <n v="0"/>
    <n v="0"/>
    <n v="1"/>
    <n v="0"/>
    <n v="0"/>
    <n v="0"/>
    <n v="0"/>
    <n v="0"/>
    <n v="0"/>
    <n v="1"/>
    <n v="0"/>
    <n v="0"/>
    <n v="0"/>
    <n v="0"/>
    <n v="0"/>
    <n v="0"/>
    <n v="0"/>
    <n v="0"/>
    <n v="0"/>
    <n v="0"/>
    <n v="0"/>
    <n v="0"/>
    <n v="0"/>
    <n v="0"/>
    <s v="Putney"/>
    <m/>
    <s v="Putney Town Centre"/>
    <n v="19"/>
    <m/>
    <m/>
    <m/>
    <m/>
    <m/>
    <n v="1"/>
    <m/>
    <m/>
    <m/>
    <m/>
    <m/>
    <m/>
    <m/>
    <m/>
    <m/>
    <m/>
    <m/>
    <m/>
    <m/>
    <m/>
    <n v="1"/>
    <n v="1"/>
  </r>
  <r>
    <n v="6897"/>
    <x v="4"/>
    <m/>
    <s v="Asda, Lidl and Boots Sites, Falcon Lane"/>
    <m/>
    <n v="527569"/>
    <n v="175602"/>
    <s v="Shaftesbury &amp; Queenstown"/>
    <m/>
    <m/>
    <n v="0"/>
    <n v="53"/>
    <n v="53"/>
    <n v="79"/>
    <n v="79"/>
    <s v="Y"/>
    <s v="Redevelopment"/>
    <s v="NONE"/>
    <m/>
    <m/>
    <m/>
    <s v="Nil"/>
    <m/>
    <s v="BF"/>
    <s v="NB"/>
    <x v="0"/>
    <x v="0"/>
    <n v="0"/>
    <m/>
    <x v="0"/>
    <m/>
    <s v="Open Market"/>
    <s v="M"/>
    <s v="CJ1"/>
    <m/>
    <n v="0"/>
    <n v="0"/>
    <n v="0"/>
    <n v="0"/>
    <n v="0"/>
    <n v="0"/>
    <n v="0"/>
    <n v="0"/>
    <n v="0"/>
    <n v="0"/>
    <n v="53"/>
    <n v="0"/>
    <n v="0"/>
    <n v="0"/>
    <n v="0"/>
    <n v="0"/>
    <n v="0"/>
    <n v="53"/>
    <n v="0"/>
    <n v="0"/>
    <n v="0"/>
    <n v="0"/>
    <n v="0"/>
    <n v="0"/>
    <n v="0"/>
    <n v="0"/>
    <n v="0"/>
    <n v="0"/>
    <n v="0"/>
    <n v="0"/>
    <n v="0"/>
    <n v="0"/>
    <s v="Clapham Junction"/>
    <m/>
    <s v="Clapham Junction Spatial Area Strategy"/>
    <n v="19"/>
    <m/>
    <m/>
    <m/>
    <m/>
    <m/>
    <m/>
    <m/>
    <m/>
    <m/>
    <n v="4.416666666666667"/>
    <n v="4.416666666666667"/>
    <n v="4.416666666666667"/>
    <n v="4.416666666666667"/>
    <n v="4.416666666666667"/>
    <n v="4.416666666666667"/>
    <n v="4.416666666666667"/>
    <n v="4.416666666666667"/>
    <n v="4.416666666666667"/>
    <n v="4.416666666666667"/>
    <n v="4.416666666666667"/>
    <n v="0"/>
    <n v="8.8333333333333339"/>
  </r>
  <r>
    <n v="6897"/>
    <x v="4"/>
    <m/>
    <s v="Asda, Lidl and Boots Sites, Falcon Lane"/>
    <m/>
    <n v="527569"/>
    <n v="175602"/>
    <s v="Shaftesbury &amp; Queenstown"/>
    <m/>
    <m/>
    <n v="0"/>
    <n v="16"/>
    <n v="16"/>
    <n v="79"/>
    <n v="79"/>
    <s v="Y"/>
    <s v="Redevelopment"/>
    <s v="NONE"/>
    <m/>
    <m/>
    <m/>
    <s v="Nil"/>
    <m/>
    <s v="BF"/>
    <s v="NB"/>
    <x v="0"/>
    <x v="0"/>
    <n v="0"/>
    <m/>
    <x v="0"/>
    <m/>
    <s v="Social/Affordable Rent"/>
    <s v="AA"/>
    <s v="CJ1"/>
    <m/>
    <n v="0"/>
    <n v="0"/>
    <n v="0"/>
    <n v="0"/>
    <n v="0"/>
    <n v="0"/>
    <n v="0"/>
    <n v="0"/>
    <n v="0"/>
    <n v="0"/>
    <n v="16"/>
    <n v="0"/>
    <n v="0"/>
    <n v="0"/>
    <n v="0"/>
    <n v="0"/>
    <n v="0"/>
    <n v="16"/>
    <n v="0"/>
    <n v="0"/>
    <n v="0"/>
    <n v="0"/>
    <n v="0"/>
    <n v="0"/>
    <n v="0"/>
    <n v="0"/>
    <n v="0"/>
    <n v="0"/>
    <n v="0"/>
    <n v="0"/>
    <n v="0"/>
    <n v="0"/>
    <s v="Clapham Junction"/>
    <m/>
    <s v="Clapham Junction Spatial Area Strategy"/>
    <n v="19"/>
    <m/>
    <m/>
    <m/>
    <m/>
    <m/>
    <m/>
    <m/>
    <m/>
    <m/>
    <n v="1.3333333333333333"/>
    <n v="1.3333333333333333"/>
    <n v="1.3333333333333333"/>
    <n v="1.3333333333333333"/>
    <n v="1.3333333333333333"/>
    <n v="1.3333333333333333"/>
    <n v="1.3333333333333333"/>
    <n v="1.3333333333333333"/>
    <n v="1.3333333333333333"/>
    <n v="1.3333333333333333"/>
    <n v="1.3333333333333333"/>
    <n v="0"/>
    <n v="2.6666666666666665"/>
  </r>
  <r>
    <n v="6897"/>
    <x v="4"/>
    <m/>
    <s v="Asda, Lidl and Boots Sites, Falcon Lane"/>
    <m/>
    <n v="527569"/>
    <n v="175602"/>
    <s v="Shaftesbury &amp; Queenstown"/>
    <m/>
    <m/>
    <n v="0"/>
    <n v="10"/>
    <n v="10"/>
    <n v="79"/>
    <n v="79"/>
    <s v="Y"/>
    <s v="Redevelopment"/>
    <s v="NONE"/>
    <m/>
    <m/>
    <m/>
    <s v="Nil"/>
    <m/>
    <s v="BF"/>
    <s v="NB"/>
    <x v="0"/>
    <x v="0"/>
    <n v="0"/>
    <m/>
    <x v="0"/>
    <m/>
    <s v="Intermediate"/>
    <s v="IU"/>
    <s v="CJ1"/>
    <m/>
    <n v="0"/>
    <n v="0"/>
    <n v="0"/>
    <n v="0"/>
    <n v="0"/>
    <n v="0"/>
    <n v="0"/>
    <n v="0"/>
    <n v="0"/>
    <n v="0"/>
    <n v="10"/>
    <n v="0"/>
    <n v="0"/>
    <n v="0"/>
    <n v="0"/>
    <n v="0"/>
    <n v="0"/>
    <n v="10"/>
    <n v="0"/>
    <n v="0"/>
    <n v="0"/>
    <n v="0"/>
    <n v="0"/>
    <n v="0"/>
    <n v="0"/>
    <n v="0"/>
    <n v="0"/>
    <n v="0"/>
    <n v="0"/>
    <n v="0"/>
    <n v="0"/>
    <n v="0"/>
    <s v="Clapham Junction"/>
    <m/>
    <s v="Clapham Junction Spatial Area Strategy"/>
    <n v="19"/>
    <m/>
    <m/>
    <m/>
    <m/>
    <m/>
    <m/>
    <m/>
    <m/>
    <m/>
    <n v="0.83333333333333337"/>
    <n v="0.83333333333333337"/>
    <n v="0.83333333333333337"/>
    <n v="0.83333333333333337"/>
    <n v="0.83333333333333337"/>
    <n v="0.83333333333333337"/>
    <n v="0.83333333333333337"/>
    <n v="0.83333333333333337"/>
    <n v="0.83333333333333337"/>
    <n v="0.83333333333333337"/>
    <n v="0.83333333333333337"/>
    <n v="0"/>
    <n v="1.6666666666666667"/>
  </r>
  <r>
    <n v="7387"/>
    <x v="4"/>
    <m/>
    <s v="Ashburton Community Centre, Westleigh Avenue (Ashburton South Estate)"/>
    <m/>
    <n v="523041"/>
    <n v="174501"/>
    <s v="West Putney"/>
    <m/>
    <m/>
    <n v="0"/>
    <n v="1"/>
    <n v="1"/>
    <n v="1"/>
    <n v="1"/>
    <m/>
    <s v="Redevelopment"/>
    <s v="NONE"/>
    <m/>
    <m/>
    <m/>
    <s v="Nil"/>
    <m/>
    <s v="BF"/>
    <s v="NB"/>
    <x v="2"/>
    <x v="1"/>
    <n v="0"/>
    <m/>
    <x v="0"/>
    <m/>
    <s v="Open Market"/>
    <s v="M"/>
    <m/>
    <m/>
    <n v="0"/>
    <n v="0"/>
    <n v="0"/>
    <n v="0"/>
    <n v="0"/>
    <n v="0"/>
    <n v="0"/>
    <n v="0"/>
    <n v="0"/>
    <n v="0"/>
    <n v="1"/>
    <n v="0"/>
    <n v="0"/>
    <n v="0"/>
    <n v="0"/>
    <n v="0"/>
    <n v="0"/>
    <n v="1"/>
    <n v="0"/>
    <n v="0"/>
    <n v="0"/>
    <n v="0"/>
    <n v="0"/>
    <n v="0"/>
    <n v="0"/>
    <n v="0"/>
    <n v="0"/>
    <n v="0"/>
    <n v="0"/>
    <n v="0"/>
    <n v="0"/>
    <n v="0"/>
    <m/>
    <m/>
    <s v="Rest of Borough"/>
    <n v="19"/>
    <m/>
    <m/>
    <m/>
    <m/>
    <m/>
    <n v="1"/>
    <m/>
    <m/>
    <m/>
    <m/>
    <m/>
    <m/>
    <m/>
    <m/>
    <m/>
    <m/>
    <m/>
    <m/>
    <m/>
    <m/>
    <n v="1"/>
    <n v="1"/>
  </r>
  <r>
    <n v="6910"/>
    <x v="4"/>
    <m/>
    <s v="Balham Health Centre, 120 Bedford Hill"/>
    <m/>
    <n v="528743"/>
    <n v="172931"/>
    <s v="South Balham"/>
    <m/>
    <m/>
    <n v="0"/>
    <n v="29"/>
    <n v="29"/>
    <n v="44"/>
    <n v="44"/>
    <s v="Y"/>
    <s v="Redevelopment"/>
    <s v="NONE"/>
    <m/>
    <m/>
    <m/>
    <s v="Nil"/>
    <m/>
    <s v="BF"/>
    <s v="NB"/>
    <x v="0"/>
    <x v="0"/>
    <n v="0"/>
    <m/>
    <x v="0"/>
    <m/>
    <s v="Open Market"/>
    <s v="M"/>
    <s v="OUT1"/>
    <m/>
    <n v="0"/>
    <n v="0"/>
    <n v="0"/>
    <n v="0"/>
    <n v="0"/>
    <n v="0"/>
    <n v="0"/>
    <n v="0"/>
    <n v="0"/>
    <n v="0"/>
    <n v="29"/>
    <n v="0"/>
    <n v="0"/>
    <n v="0"/>
    <n v="0"/>
    <n v="0"/>
    <n v="0"/>
    <n v="29"/>
    <n v="0"/>
    <n v="0"/>
    <n v="0"/>
    <n v="0"/>
    <n v="0"/>
    <n v="0"/>
    <n v="0"/>
    <n v="0"/>
    <n v="0"/>
    <n v="0"/>
    <n v="0"/>
    <n v="0"/>
    <n v="0"/>
    <n v="0"/>
    <m/>
    <m/>
    <s v="Rest of Borough"/>
    <n v="19"/>
    <m/>
    <m/>
    <m/>
    <m/>
    <m/>
    <n v="1.8125"/>
    <n v="1.8125"/>
    <n v="1.8125"/>
    <n v="1.8125"/>
    <n v="1.8125"/>
    <n v="1.8125"/>
    <n v="1.8125"/>
    <n v="1.8125"/>
    <n v="1.8125"/>
    <n v="1.8125"/>
    <n v="1.8125"/>
    <n v="1.8125"/>
    <n v="1.8125"/>
    <n v="1.8125"/>
    <n v="1.8125"/>
    <n v="1.8125"/>
    <n v="10.875"/>
  </r>
  <r>
    <n v="6910"/>
    <x v="4"/>
    <m/>
    <s v="Balham Health Centre, 120 Bedford Hill"/>
    <m/>
    <n v="528743"/>
    <n v="172931"/>
    <s v="South Balham"/>
    <m/>
    <m/>
    <n v="0"/>
    <n v="9"/>
    <n v="9"/>
    <n v="44"/>
    <n v="44"/>
    <s v="Y"/>
    <s v="Redevelopment"/>
    <s v="NONE"/>
    <m/>
    <m/>
    <m/>
    <s v="Nil"/>
    <m/>
    <s v="BF"/>
    <s v="NB"/>
    <x v="0"/>
    <x v="0"/>
    <n v="0"/>
    <m/>
    <x v="0"/>
    <m/>
    <s v="Social/Affordable Rent"/>
    <s v="AA"/>
    <s v="OUT1"/>
    <m/>
    <n v="0"/>
    <n v="0"/>
    <n v="0"/>
    <n v="0"/>
    <n v="0"/>
    <n v="0"/>
    <n v="0"/>
    <n v="0"/>
    <n v="0"/>
    <n v="0"/>
    <n v="9"/>
    <n v="0"/>
    <n v="0"/>
    <n v="0"/>
    <n v="0"/>
    <n v="0"/>
    <n v="0"/>
    <n v="9"/>
    <n v="0"/>
    <n v="0"/>
    <n v="0"/>
    <n v="0"/>
    <n v="0"/>
    <n v="0"/>
    <n v="0"/>
    <n v="0"/>
    <n v="0"/>
    <n v="0"/>
    <n v="0"/>
    <n v="0"/>
    <n v="0"/>
    <n v="0"/>
    <m/>
    <m/>
    <s v="Rest of Borough"/>
    <n v="19"/>
    <m/>
    <m/>
    <m/>
    <m/>
    <m/>
    <n v="0.5625"/>
    <n v="0.5625"/>
    <n v="0.5625"/>
    <n v="0.5625"/>
    <n v="0.5625"/>
    <n v="0.5625"/>
    <n v="0.5625"/>
    <n v="0.5625"/>
    <n v="0.5625"/>
    <n v="0.5625"/>
    <n v="0.5625"/>
    <n v="0.5625"/>
    <n v="0.5625"/>
    <n v="0.5625"/>
    <n v="0.5625"/>
    <n v="0.5625"/>
    <n v="3.375"/>
  </r>
  <r>
    <n v="6910"/>
    <x v="4"/>
    <m/>
    <s v="Balham Health Centre, 120 Bedford Hill"/>
    <m/>
    <n v="528743"/>
    <n v="172931"/>
    <s v="South Balham"/>
    <m/>
    <m/>
    <n v="0"/>
    <n v="6"/>
    <n v="6"/>
    <n v="44"/>
    <n v="44"/>
    <s v="Y"/>
    <s v="Redevelopment"/>
    <s v="NONE"/>
    <m/>
    <m/>
    <m/>
    <s v="Nil"/>
    <m/>
    <s v="BF"/>
    <s v="NB"/>
    <x v="0"/>
    <x v="0"/>
    <n v="0"/>
    <m/>
    <x v="0"/>
    <m/>
    <s v="Intermediate"/>
    <s v="IU"/>
    <s v="OUT1"/>
    <m/>
    <n v="0"/>
    <n v="0"/>
    <n v="0"/>
    <n v="0"/>
    <n v="0"/>
    <n v="0"/>
    <n v="0"/>
    <n v="0"/>
    <n v="0"/>
    <n v="0"/>
    <n v="6"/>
    <n v="0"/>
    <n v="0"/>
    <n v="0"/>
    <n v="0"/>
    <n v="0"/>
    <n v="0"/>
    <n v="6"/>
    <n v="0"/>
    <n v="0"/>
    <n v="0"/>
    <n v="0"/>
    <n v="0"/>
    <n v="0"/>
    <n v="0"/>
    <n v="0"/>
    <n v="0"/>
    <n v="0"/>
    <n v="0"/>
    <n v="0"/>
    <n v="0"/>
    <n v="0"/>
    <m/>
    <m/>
    <s v="Rest of Borough"/>
    <n v="19"/>
    <m/>
    <m/>
    <m/>
    <m/>
    <m/>
    <n v="0.375"/>
    <n v="0.375"/>
    <n v="0.375"/>
    <n v="0.375"/>
    <n v="0.375"/>
    <n v="0.375"/>
    <n v="0.375"/>
    <n v="0.375"/>
    <n v="0.375"/>
    <n v="0.375"/>
    <n v="0.375"/>
    <n v="0.375"/>
    <n v="0.375"/>
    <n v="0.375"/>
    <n v="0.375"/>
    <n v="0.375"/>
    <n v="2.25"/>
  </r>
  <r>
    <n v="7575"/>
    <x v="4"/>
    <m/>
    <s v="Battersea Park Road (between Stewarts Road and Thessally road)"/>
    <m/>
    <n v="529080.52989999903"/>
    <n v="177186.61449999901"/>
    <s v="Shaftesbury &amp; Queenstown"/>
    <m/>
    <m/>
    <n v="0"/>
    <n v="143"/>
    <n v="143"/>
    <n v="168"/>
    <n v="168"/>
    <s v="Y"/>
    <s v="Redevelopment"/>
    <s v="NONE"/>
    <m/>
    <m/>
    <m/>
    <s v="Nil"/>
    <m/>
    <s v="BF"/>
    <s v="NB"/>
    <x v="0"/>
    <x v="0"/>
    <n v="0"/>
    <m/>
    <x v="0"/>
    <m/>
    <s v="Open Market"/>
    <s v="M"/>
    <s v="NE13"/>
    <m/>
    <n v="0"/>
    <n v="0"/>
    <n v="0"/>
    <n v="0"/>
    <n v="0"/>
    <n v="0"/>
    <n v="0"/>
    <n v="0"/>
    <n v="0"/>
    <n v="0"/>
    <n v="143"/>
    <n v="0"/>
    <n v="0"/>
    <n v="0"/>
    <n v="0"/>
    <n v="0"/>
    <n v="0"/>
    <n v="143"/>
    <n v="0"/>
    <n v="0"/>
    <n v="0"/>
    <n v="0"/>
    <n v="0"/>
    <n v="0"/>
    <n v="0"/>
    <n v="0"/>
    <n v="0"/>
    <n v="0"/>
    <n v="0"/>
    <n v="0"/>
    <n v="0"/>
    <n v="0"/>
    <m/>
    <s v="Y"/>
    <s v="Nine Elms Vauxhall Opportunity Area"/>
    <n v="20"/>
    <m/>
    <m/>
    <m/>
    <m/>
    <n v="28.6"/>
    <n v="28.6"/>
    <n v="28.6"/>
    <n v="28.6"/>
    <n v="28.6"/>
    <m/>
    <m/>
    <m/>
    <m/>
    <m/>
    <m/>
    <m/>
    <m/>
    <m/>
    <m/>
    <m/>
    <n v="57.2"/>
    <n v="143"/>
  </r>
  <r>
    <n v="7575"/>
    <x v="4"/>
    <m/>
    <s v="Battersea Park Road (between Stewarts Road and Thessally road)"/>
    <m/>
    <n v="529080.52989999903"/>
    <n v="177186.61449999901"/>
    <s v="Shaftesbury &amp; Queenstown"/>
    <m/>
    <m/>
    <n v="0"/>
    <n v="15"/>
    <n v="15"/>
    <n v="168"/>
    <n v="168"/>
    <s v="Y"/>
    <s v="Redevelopment"/>
    <s v="NONE"/>
    <m/>
    <m/>
    <m/>
    <s v="Nil"/>
    <m/>
    <s v="BF"/>
    <s v="NB"/>
    <x v="0"/>
    <x v="0"/>
    <n v="0"/>
    <m/>
    <x v="0"/>
    <m/>
    <s v="Social/Affordable Rent"/>
    <s v="AA"/>
    <s v="NE13"/>
    <m/>
    <n v="0"/>
    <n v="0"/>
    <n v="0"/>
    <n v="0"/>
    <n v="0"/>
    <n v="0"/>
    <n v="0"/>
    <n v="0"/>
    <n v="0"/>
    <n v="0"/>
    <n v="15"/>
    <n v="0"/>
    <n v="0"/>
    <n v="0"/>
    <n v="0"/>
    <n v="0"/>
    <n v="0"/>
    <n v="15"/>
    <n v="0"/>
    <n v="0"/>
    <n v="0"/>
    <n v="0"/>
    <n v="0"/>
    <n v="0"/>
    <n v="0"/>
    <n v="0"/>
    <n v="0"/>
    <n v="0"/>
    <n v="0"/>
    <n v="0"/>
    <n v="0"/>
    <n v="0"/>
    <m/>
    <s v="Y"/>
    <s v="Nine Elms Vauxhall Opportunity Area"/>
    <n v="20"/>
    <m/>
    <m/>
    <m/>
    <m/>
    <n v="3"/>
    <n v="3"/>
    <n v="3"/>
    <n v="3"/>
    <n v="3"/>
    <m/>
    <m/>
    <m/>
    <m/>
    <m/>
    <m/>
    <m/>
    <m/>
    <m/>
    <m/>
    <m/>
    <n v="6"/>
    <n v="15"/>
  </r>
  <r>
    <n v="7575"/>
    <x v="4"/>
    <m/>
    <s v="Battersea Park Road (between Stewarts Road and Thessally road)"/>
    <m/>
    <n v="529080.52989999903"/>
    <n v="177186.61449999901"/>
    <s v="Shaftesbury &amp; Queenstown"/>
    <m/>
    <m/>
    <n v="0"/>
    <n v="10"/>
    <n v="10"/>
    <n v="168"/>
    <n v="168"/>
    <s v="Y"/>
    <s v="Redevelopment"/>
    <s v="NONE"/>
    <m/>
    <m/>
    <m/>
    <s v="Nil"/>
    <m/>
    <s v="BF"/>
    <s v="NB"/>
    <x v="0"/>
    <x v="0"/>
    <n v="0"/>
    <m/>
    <x v="0"/>
    <m/>
    <s v="Intermediate"/>
    <s v="IU"/>
    <s v="NE13"/>
    <m/>
    <n v="0"/>
    <n v="0"/>
    <n v="0"/>
    <n v="0"/>
    <n v="0"/>
    <n v="0"/>
    <n v="0"/>
    <n v="0"/>
    <n v="0"/>
    <n v="0"/>
    <n v="10"/>
    <n v="0"/>
    <n v="0"/>
    <n v="0"/>
    <n v="0"/>
    <n v="0"/>
    <n v="0"/>
    <n v="10"/>
    <n v="0"/>
    <n v="0"/>
    <n v="0"/>
    <n v="0"/>
    <n v="0"/>
    <n v="0"/>
    <n v="0"/>
    <n v="0"/>
    <n v="0"/>
    <n v="0"/>
    <n v="0"/>
    <n v="0"/>
    <n v="0"/>
    <n v="0"/>
    <m/>
    <s v="Y"/>
    <s v="Nine Elms Vauxhall Opportunity Area"/>
    <n v="20"/>
    <m/>
    <m/>
    <m/>
    <m/>
    <n v="2"/>
    <n v="2"/>
    <n v="2"/>
    <n v="2"/>
    <n v="2"/>
    <m/>
    <m/>
    <m/>
    <m/>
    <m/>
    <m/>
    <m/>
    <m/>
    <m/>
    <m/>
    <m/>
    <n v="4"/>
    <n v="10"/>
  </r>
  <r>
    <n v="4437"/>
    <x v="4"/>
    <m/>
    <s v="Bridgelane Medical Group Practice, 20 Bridge Ln, Battersea, London SW11 3AD"/>
    <m/>
    <n v="527446.42059999902"/>
    <n v="176521.567799999"/>
    <s v="St Mary's"/>
    <m/>
    <m/>
    <n v="0"/>
    <n v="5"/>
    <n v="5"/>
    <n v="5"/>
    <n v="5"/>
    <m/>
    <s v="Redevelopment"/>
    <s v="NONE"/>
    <m/>
    <m/>
    <m/>
    <s v="Nil"/>
    <m/>
    <s v="BF"/>
    <s v="NB"/>
    <x v="2"/>
    <x v="1"/>
    <n v="0"/>
    <m/>
    <x v="0"/>
    <m/>
    <s v="Open Market"/>
    <s v="M"/>
    <s v="OUT5"/>
    <m/>
    <n v="0"/>
    <n v="0"/>
    <n v="0"/>
    <n v="0"/>
    <n v="0"/>
    <n v="0"/>
    <n v="0"/>
    <n v="0"/>
    <n v="0"/>
    <n v="0"/>
    <n v="5"/>
    <n v="0"/>
    <n v="0"/>
    <n v="0"/>
    <n v="0"/>
    <n v="0"/>
    <n v="0"/>
    <n v="5"/>
    <n v="0"/>
    <n v="0"/>
    <n v="0"/>
    <n v="0"/>
    <n v="0"/>
    <n v="0"/>
    <n v="0"/>
    <n v="0"/>
    <n v="0"/>
    <n v="0"/>
    <n v="0"/>
    <n v="0"/>
    <n v="0"/>
    <n v="0"/>
    <m/>
    <m/>
    <s v="Rest of Borough"/>
    <n v="19"/>
    <m/>
    <m/>
    <m/>
    <m/>
    <n v="0.5"/>
    <n v="0.5"/>
    <n v="0.5"/>
    <n v="0.5"/>
    <n v="0.5"/>
    <n v="0.5"/>
    <n v="0.5"/>
    <n v="0.5"/>
    <n v="0.5"/>
    <n v="0.5"/>
    <m/>
    <m/>
    <m/>
    <m/>
    <m/>
    <m/>
    <n v="1"/>
    <n v="3.5"/>
  </r>
  <r>
    <n v="4472"/>
    <x v="4"/>
    <m/>
    <s v="Brooks Court, 1-10 Cringle Street"/>
    <m/>
    <n v="529267"/>
    <n v="177387"/>
    <s v="Nine Elms"/>
    <m/>
    <m/>
    <n v="0"/>
    <n v="32"/>
    <n v="32"/>
    <n v="37"/>
    <n v="37"/>
    <s v="Y"/>
    <s v="Redevelopment"/>
    <s v="NONE"/>
    <m/>
    <m/>
    <m/>
    <s v="Nil"/>
    <m/>
    <s v="BF"/>
    <s v="NB"/>
    <x v="0"/>
    <x v="0"/>
    <n v="0"/>
    <m/>
    <x v="0"/>
    <m/>
    <s v="Open Market"/>
    <s v="M"/>
    <s v="NE5"/>
    <m/>
    <n v="0"/>
    <n v="0"/>
    <n v="0"/>
    <n v="0"/>
    <n v="0"/>
    <n v="0"/>
    <n v="0"/>
    <n v="0"/>
    <n v="0"/>
    <n v="0"/>
    <n v="32"/>
    <n v="0"/>
    <n v="0"/>
    <n v="0"/>
    <n v="0"/>
    <n v="0"/>
    <n v="0"/>
    <n v="32"/>
    <n v="0"/>
    <n v="0"/>
    <n v="0"/>
    <n v="0"/>
    <n v="0"/>
    <n v="0"/>
    <n v="0"/>
    <n v="0"/>
    <n v="0"/>
    <n v="0"/>
    <n v="0"/>
    <n v="0"/>
    <n v="0"/>
    <n v="0"/>
    <m/>
    <s v="Y"/>
    <s v="Nine Elms Vauxhall Opportunity Area"/>
    <n v="20"/>
    <m/>
    <m/>
    <m/>
    <m/>
    <m/>
    <n v="32"/>
    <m/>
    <m/>
    <m/>
    <m/>
    <m/>
    <m/>
    <m/>
    <m/>
    <m/>
    <m/>
    <m/>
    <m/>
    <m/>
    <m/>
    <n v="32"/>
    <n v="32"/>
  </r>
  <r>
    <n v="4472"/>
    <x v="4"/>
    <m/>
    <s v="Brooks Court, 1-10 Cringle Street"/>
    <m/>
    <n v="529267"/>
    <n v="177387"/>
    <s v="Nine Elms"/>
    <m/>
    <m/>
    <n v="0"/>
    <n v="3"/>
    <n v="3"/>
    <n v="37"/>
    <n v="37"/>
    <s v="Y"/>
    <s v="Redevelopment"/>
    <s v="NONE"/>
    <m/>
    <m/>
    <m/>
    <s v="Nil"/>
    <m/>
    <s v="BF"/>
    <s v="NB"/>
    <x v="0"/>
    <x v="0"/>
    <n v="0"/>
    <m/>
    <x v="0"/>
    <m/>
    <s v="Social/Affordable Rent"/>
    <s v="AA"/>
    <s v="NE5"/>
    <m/>
    <n v="0"/>
    <n v="0"/>
    <n v="0"/>
    <n v="0"/>
    <n v="0"/>
    <n v="0"/>
    <n v="0"/>
    <n v="0"/>
    <n v="0"/>
    <n v="0"/>
    <n v="3"/>
    <n v="0"/>
    <n v="0"/>
    <n v="0"/>
    <n v="0"/>
    <n v="0"/>
    <n v="0"/>
    <n v="3"/>
    <n v="0"/>
    <n v="0"/>
    <n v="0"/>
    <n v="0"/>
    <n v="0"/>
    <n v="0"/>
    <n v="0"/>
    <n v="0"/>
    <n v="0"/>
    <n v="0"/>
    <n v="0"/>
    <n v="0"/>
    <n v="0"/>
    <n v="0"/>
    <m/>
    <s v="Y"/>
    <s v="Nine Elms Vauxhall Opportunity Area"/>
    <n v="20"/>
    <m/>
    <m/>
    <m/>
    <m/>
    <m/>
    <n v="3"/>
    <m/>
    <m/>
    <m/>
    <m/>
    <m/>
    <m/>
    <m/>
    <m/>
    <m/>
    <m/>
    <m/>
    <m/>
    <m/>
    <m/>
    <n v="3"/>
    <n v="3"/>
  </r>
  <r>
    <n v="4472"/>
    <x v="4"/>
    <m/>
    <s v="Brooks Court, 1-10 Cringle Street"/>
    <m/>
    <n v="529267"/>
    <n v="177387"/>
    <s v="Nine Elms"/>
    <m/>
    <m/>
    <n v="0"/>
    <n v="2"/>
    <n v="2"/>
    <n v="37"/>
    <n v="37"/>
    <s v="Y"/>
    <s v="Redevelopment"/>
    <s v="NONE"/>
    <m/>
    <m/>
    <m/>
    <s v="Nil"/>
    <m/>
    <s v="BF"/>
    <s v="NB"/>
    <x v="0"/>
    <x v="0"/>
    <n v="0"/>
    <m/>
    <x v="0"/>
    <m/>
    <s v="Intermediate"/>
    <s v="IU"/>
    <s v="NE5"/>
    <m/>
    <n v="0"/>
    <n v="0"/>
    <n v="0"/>
    <n v="0"/>
    <n v="0"/>
    <n v="0"/>
    <n v="0"/>
    <n v="0"/>
    <n v="0"/>
    <n v="0"/>
    <n v="2"/>
    <n v="0"/>
    <n v="0"/>
    <n v="0"/>
    <n v="0"/>
    <n v="0"/>
    <n v="0"/>
    <n v="2"/>
    <n v="0"/>
    <n v="0"/>
    <n v="0"/>
    <n v="0"/>
    <n v="0"/>
    <n v="0"/>
    <n v="0"/>
    <n v="0"/>
    <n v="0"/>
    <n v="0"/>
    <n v="0"/>
    <n v="0"/>
    <n v="0"/>
    <n v="0"/>
    <m/>
    <s v="Y"/>
    <s v="Nine Elms Vauxhall Opportunity Area"/>
    <n v="20"/>
    <m/>
    <m/>
    <m/>
    <m/>
    <m/>
    <n v="2"/>
    <m/>
    <m/>
    <m/>
    <m/>
    <m/>
    <m/>
    <m/>
    <m/>
    <m/>
    <m/>
    <m/>
    <m/>
    <m/>
    <m/>
    <n v="2"/>
    <n v="2"/>
  </r>
  <r>
    <n v="6877"/>
    <x v="4"/>
    <m/>
    <s v="Cable and Wireless Ballymore Site 6, 2a Battersea Park Road"/>
    <m/>
    <n v="529311"/>
    <n v="177427"/>
    <s v="Nine Elms"/>
    <m/>
    <m/>
    <n v="0"/>
    <n v="131"/>
    <n v="131"/>
    <n v="154"/>
    <n v="154"/>
    <s v="Y"/>
    <s v="Redevelopment"/>
    <s v="NONE"/>
    <m/>
    <m/>
    <m/>
    <s v="Nil"/>
    <m/>
    <s v="BF"/>
    <s v="NB"/>
    <x v="0"/>
    <x v="0"/>
    <n v="0"/>
    <m/>
    <x v="0"/>
    <m/>
    <s v="Open Market"/>
    <s v="M"/>
    <s v="NE1"/>
    <m/>
    <n v="0"/>
    <n v="0"/>
    <n v="0"/>
    <n v="0"/>
    <n v="0"/>
    <n v="0"/>
    <n v="0"/>
    <n v="0"/>
    <n v="0"/>
    <n v="0"/>
    <n v="131"/>
    <n v="0"/>
    <n v="0"/>
    <n v="0"/>
    <n v="0"/>
    <n v="0"/>
    <n v="0"/>
    <n v="131"/>
    <n v="0"/>
    <n v="0"/>
    <n v="0"/>
    <n v="0"/>
    <n v="0"/>
    <n v="0"/>
    <n v="0"/>
    <n v="0"/>
    <n v="0"/>
    <n v="0"/>
    <n v="0"/>
    <n v="0"/>
    <n v="0"/>
    <n v="0"/>
    <m/>
    <s v="Y"/>
    <s v="Nine Elms Vauxhall Opportunity Area"/>
    <n v="20"/>
    <m/>
    <m/>
    <m/>
    <m/>
    <m/>
    <n v="131"/>
    <m/>
    <m/>
    <m/>
    <m/>
    <m/>
    <m/>
    <m/>
    <m/>
    <m/>
    <m/>
    <m/>
    <m/>
    <m/>
    <m/>
    <n v="131"/>
    <n v="131"/>
  </r>
  <r>
    <n v="6877"/>
    <x v="4"/>
    <m/>
    <s v="Cable and Wireless Ballymore Site 6, 2a Battersea Park Road"/>
    <m/>
    <n v="529311"/>
    <n v="177427"/>
    <s v="Nine Elms"/>
    <m/>
    <m/>
    <n v="0"/>
    <n v="14"/>
    <n v="14"/>
    <n v="154"/>
    <n v="154"/>
    <s v="Y"/>
    <s v="Redevelopment"/>
    <s v="NONE"/>
    <m/>
    <m/>
    <m/>
    <s v="Nil"/>
    <m/>
    <s v="BF"/>
    <s v="NB"/>
    <x v="0"/>
    <x v="0"/>
    <n v="0"/>
    <m/>
    <x v="0"/>
    <m/>
    <s v="Social/Affordable Rent"/>
    <s v="AA"/>
    <s v="NE1"/>
    <m/>
    <n v="0"/>
    <n v="0"/>
    <n v="0"/>
    <n v="0"/>
    <n v="0"/>
    <n v="0"/>
    <n v="0"/>
    <n v="0"/>
    <n v="0"/>
    <n v="0"/>
    <n v="14"/>
    <n v="0"/>
    <n v="0"/>
    <n v="0"/>
    <n v="0"/>
    <n v="0"/>
    <n v="0"/>
    <n v="14"/>
    <n v="0"/>
    <n v="0"/>
    <n v="0"/>
    <n v="0"/>
    <n v="0"/>
    <n v="0"/>
    <n v="0"/>
    <n v="0"/>
    <n v="0"/>
    <n v="0"/>
    <n v="0"/>
    <n v="0"/>
    <n v="0"/>
    <n v="0"/>
    <m/>
    <s v="Y"/>
    <s v="Nine Elms Vauxhall Opportunity Area"/>
    <n v="20"/>
    <m/>
    <m/>
    <m/>
    <m/>
    <m/>
    <n v="14"/>
    <m/>
    <m/>
    <m/>
    <m/>
    <m/>
    <m/>
    <m/>
    <m/>
    <m/>
    <m/>
    <m/>
    <m/>
    <m/>
    <m/>
    <n v="14"/>
    <n v="14"/>
  </r>
  <r>
    <n v="6877"/>
    <x v="4"/>
    <m/>
    <s v="Cable and Wireless Ballymore Site 6, 2a Battersea Park Road"/>
    <m/>
    <n v="529311"/>
    <n v="177427"/>
    <s v="Nine Elms"/>
    <m/>
    <m/>
    <n v="0"/>
    <n v="9"/>
    <n v="9"/>
    <n v="154"/>
    <n v="154"/>
    <s v="Y"/>
    <s v="Redevelopment"/>
    <s v="NONE"/>
    <m/>
    <m/>
    <m/>
    <s v="Nil"/>
    <m/>
    <s v="BF"/>
    <s v="NB"/>
    <x v="0"/>
    <x v="0"/>
    <n v="0"/>
    <m/>
    <x v="0"/>
    <m/>
    <s v="Intermediate"/>
    <s v="IU"/>
    <s v="NE1"/>
    <m/>
    <n v="0"/>
    <n v="0"/>
    <n v="0"/>
    <n v="0"/>
    <n v="0"/>
    <n v="0"/>
    <n v="0"/>
    <n v="0"/>
    <n v="0"/>
    <n v="0"/>
    <n v="9"/>
    <n v="0"/>
    <n v="0"/>
    <n v="0"/>
    <n v="0"/>
    <n v="0"/>
    <n v="0"/>
    <n v="9"/>
    <n v="0"/>
    <n v="0"/>
    <n v="0"/>
    <n v="0"/>
    <n v="0"/>
    <n v="0"/>
    <n v="0"/>
    <n v="0"/>
    <n v="0"/>
    <n v="0"/>
    <n v="0"/>
    <n v="0"/>
    <n v="0"/>
    <n v="0"/>
    <m/>
    <s v="Y"/>
    <s v="Nine Elms Vauxhall Opportunity Area"/>
    <n v="20"/>
    <m/>
    <m/>
    <m/>
    <m/>
    <m/>
    <n v="9"/>
    <m/>
    <m/>
    <m/>
    <m/>
    <m/>
    <m/>
    <m/>
    <m/>
    <m/>
    <m/>
    <m/>
    <m/>
    <m/>
    <m/>
    <n v="9"/>
    <n v="9"/>
  </r>
  <r>
    <n v="4510"/>
    <x v="4"/>
    <m/>
    <s v="Cemex Battersea Plant, Cringle Street (Kirtling Wharf)"/>
    <m/>
    <n v="529218"/>
    <n v="177561"/>
    <s v="Nine Elms"/>
    <m/>
    <m/>
    <n v="0"/>
    <n v="10"/>
    <n v="10"/>
    <n v="12"/>
    <n v="12"/>
    <s v="Y"/>
    <s v="Redevelopment"/>
    <s v="NONE"/>
    <m/>
    <m/>
    <m/>
    <s v="Nil"/>
    <m/>
    <s v="BF"/>
    <s v="MIX"/>
    <x v="0"/>
    <x v="0"/>
    <n v="0"/>
    <m/>
    <x v="0"/>
    <m/>
    <s v="Open Market"/>
    <s v="M"/>
    <s v="NE9"/>
    <m/>
    <n v="0"/>
    <n v="0"/>
    <n v="0"/>
    <n v="0"/>
    <n v="0"/>
    <n v="0"/>
    <n v="0"/>
    <n v="0"/>
    <n v="0"/>
    <n v="0"/>
    <n v="10"/>
    <n v="0"/>
    <n v="0"/>
    <n v="0"/>
    <n v="0"/>
    <n v="0"/>
    <n v="0"/>
    <n v="10"/>
    <n v="0"/>
    <n v="0"/>
    <n v="0"/>
    <n v="0"/>
    <n v="0"/>
    <n v="0"/>
    <n v="0"/>
    <n v="0"/>
    <n v="0"/>
    <n v="0"/>
    <n v="0"/>
    <n v="0"/>
    <n v="0"/>
    <n v="0"/>
    <m/>
    <s v="Y"/>
    <s v="Nine Elms Vauxhall Opportunity Area"/>
    <n v="20"/>
    <m/>
    <m/>
    <m/>
    <m/>
    <n v="10"/>
    <m/>
    <m/>
    <m/>
    <m/>
    <m/>
    <m/>
    <m/>
    <m/>
    <m/>
    <m/>
    <m/>
    <m/>
    <m/>
    <m/>
    <m/>
    <n v="10"/>
    <n v="10"/>
  </r>
  <r>
    <n v="4510"/>
    <x v="4"/>
    <m/>
    <s v="Cemex Battersea Plant, Cringle Street (Kirtling Wharf)"/>
    <m/>
    <n v="529218"/>
    <n v="177561"/>
    <s v="Nine Elms"/>
    <m/>
    <m/>
    <n v="0"/>
    <n v="1"/>
    <n v="1"/>
    <n v="12"/>
    <n v="12"/>
    <s v="Y"/>
    <s v="Redevelopment"/>
    <s v="NONE"/>
    <m/>
    <m/>
    <m/>
    <s v="Nil"/>
    <m/>
    <s v="BF"/>
    <s v="MIX"/>
    <x v="0"/>
    <x v="0"/>
    <n v="0"/>
    <m/>
    <x v="0"/>
    <m/>
    <s v="Intermediate"/>
    <s v="IU"/>
    <s v="NE9"/>
    <m/>
    <n v="0"/>
    <n v="0"/>
    <n v="0"/>
    <n v="0"/>
    <n v="0"/>
    <n v="0"/>
    <n v="0"/>
    <n v="0"/>
    <n v="0"/>
    <n v="0"/>
    <n v="1"/>
    <n v="0"/>
    <n v="0"/>
    <n v="0"/>
    <n v="0"/>
    <n v="0"/>
    <n v="0"/>
    <n v="1"/>
    <n v="0"/>
    <n v="0"/>
    <n v="0"/>
    <n v="0"/>
    <n v="0"/>
    <n v="0"/>
    <n v="0"/>
    <n v="0"/>
    <n v="0"/>
    <n v="0"/>
    <n v="0"/>
    <n v="0"/>
    <n v="0"/>
    <n v="0"/>
    <m/>
    <s v="Y"/>
    <s v="Nine Elms Vauxhall Opportunity Area"/>
    <n v="20"/>
    <m/>
    <m/>
    <m/>
    <m/>
    <n v="1"/>
    <m/>
    <m/>
    <m/>
    <m/>
    <m/>
    <m/>
    <m/>
    <m/>
    <m/>
    <m/>
    <m/>
    <m/>
    <m/>
    <m/>
    <m/>
    <n v="1"/>
    <n v="1"/>
  </r>
  <r>
    <n v="4510"/>
    <x v="4"/>
    <m/>
    <s v="Cemex Battersea Plant, Cringle Street (Kirtling Wharf)"/>
    <m/>
    <n v="529218"/>
    <n v="177561"/>
    <s v="Nine Elms"/>
    <m/>
    <m/>
    <n v="0"/>
    <n v="1"/>
    <n v="1"/>
    <n v="12"/>
    <n v="12"/>
    <s v="Y"/>
    <s v="Redevelopment"/>
    <s v="NONE"/>
    <m/>
    <m/>
    <m/>
    <s v="Nil"/>
    <m/>
    <s v="BF"/>
    <s v="MIX"/>
    <x v="0"/>
    <x v="0"/>
    <n v="0"/>
    <m/>
    <x v="0"/>
    <m/>
    <s v="Social/Affordable Rent"/>
    <s v="AA"/>
    <s v="NE9"/>
    <m/>
    <n v="0"/>
    <n v="0"/>
    <n v="0"/>
    <n v="0"/>
    <n v="0"/>
    <n v="0"/>
    <n v="0"/>
    <n v="0"/>
    <n v="0"/>
    <n v="0"/>
    <n v="1"/>
    <n v="0"/>
    <n v="0"/>
    <n v="0"/>
    <n v="0"/>
    <n v="0"/>
    <n v="0"/>
    <n v="1"/>
    <n v="0"/>
    <n v="0"/>
    <n v="0"/>
    <n v="0"/>
    <n v="0"/>
    <n v="0"/>
    <n v="0"/>
    <n v="0"/>
    <n v="0"/>
    <n v="0"/>
    <n v="0"/>
    <n v="0"/>
    <n v="0"/>
    <n v="0"/>
    <m/>
    <s v="Y"/>
    <s v="Nine Elms Vauxhall Opportunity Area"/>
    <n v="20"/>
    <m/>
    <m/>
    <m/>
    <m/>
    <n v="1"/>
    <m/>
    <m/>
    <m/>
    <m/>
    <m/>
    <m/>
    <m/>
    <m/>
    <m/>
    <m/>
    <m/>
    <m/>
    <m/>
    <m/>
    <m/>
    <n v="1"/>
    <n v="1"/>
  </r>
  <r>
    <n v="6904"/>
    <x v="4"/>
    <m/>
    <s v="Chelsea Cars and KwikFit, Armoury Way"/>
    <m/>
    <n v="525354"/>
    <n v="174734"/>
    <s v="Wandsworth Town"/>
    <m/>
    <m/>
    <n v="0"/>
    <n v="8"/>
    <n v="8"/>
    <n v="11"/>
    <n v="11"/>
    <s v="Y"/>
    <s v="Redevelopment"/>
    <s v="NONE"/>
    <m/>
    <m/>
    <m/>
    <s v="Nil"/>
    <m/>
    <s v="BF"/>
    <s v="NB"/>
    <x v="0"/>
    <x v="0"/>
    <n v="0"/>
    <m/>
    <x v="0"/>
    <m/>
    <s v="Open Market"/>
    <s v="M"/>
    <s v="WT1"/>
    <m/>
    <n v="0"/>
    <n v="0"/>
    <n v="0"/>
    <n v="0"/>
    <n v="0"/>
    <n v="0"/>
    <n v="0"/>
    <n v="0"/>
    <n v="0"/>
    <n v="0"/>
    <n v="8"/>
    <n v="0"/>
    <n v="0"/>
    <n v="0"/>
    <n v="0"/>
    <n v="0"/>
    <n v="0"/>
    <n v="8"/>
    <n v="0"/>
    <n v="0"/>
    <n v="0"/>
    <n v="0"/>
    <n v="0"/>
    <n v="0"/>
    <n v="0"/>
    <n v="0"/>
    <n v="0"/>
    <n v="0"/>
    <n v="0"/>
    <n v="0"/>
    <n v="0"/>
    <n v="0"/>
    <s v="Wandsworth"/>
    <m/>
    <s v="Wandsworth Town, including the Wandle Delta Masterplan Area"/>
    <n v="19"/>
    <m/>
    <m/>
    <m/>
    <m/>
    <m/>
    <n v="1.6"/>
    <n v="1.6"/>
    <n v="1.6"/>
    <n v="1.6"/>
    <n v="1.6"/>
    <m/>
    <m/>
    <m/>
    <m/>
    <m/>
    <m/>
    <m/>
    <m/>
    <m/>
    <m/>
    <n v="1.6"/>
    <n v="8"/>
  </r>
  <r>
    <n v="6904"/>
    <x v="4"/>
    <m/>
    <s v="Chelsea Cars and KwikFit, Armoury Way"/>
    <m/>
    <n v="525354"/>
    <n v="174734"/>
    <s v="Wandsworth Town"/>
    <m/>
    <m/>
    <n v="0"/>
    <n v="2"/>
    <n v="2"/>
    <n v="11"/>
    <n v="11"/>
    <s v="Y"/>
    <s v="Redevelopment"/>
    <s v="NONE"/>
    <m/>
    <m/>
    <m/>
    <s v="Nil"/>
    <m/>
    <s v="BF"/>
    <s v="NB"/>
    <x v="0"/>
    <x v="0"/>
    <n v="0"/>
    <m/>
    <x v="0"/>
    <m/>
    <s v="Social/Affordable Rent"/>
    <s v="AA"/>
    <s v="WT1"/>
    <m/>
    <n v="0"/>
    <n v="0"/>
    <n v="0"/>
    <n v="0"/>
    <n v="0"/>
    <n v="0"/>
    <n v="0"/>
    <n v="0"/>
    <n v="0"/>
    <n v="0"/>
    <n v="2"/>
    <n v="0"/>
    <n v="0"/>
    <n v="0"/>
    <n v="0"/>
    <n v="0"/>
    <n v="0"/>
    <n v="2"/>
    <n v="0"/>
    <n v="0"/>
    <n v="0"/>
    <n v="0"/>
    <n v="0"/>
    <n v="0"/>
    <n v="0"/>
    <n v="0"/>
    <n v="0"/>
    <n v="0"/>
    <n v="0"/>
    <n v="0"/>
    <n v="0"/>
    <n v="0"/>
    <s v="Wandsworth"/>
    <m/>
    <s v="Wandsworth Town, including the Wandle Delta Masterplan Area"/>
    <n v="19"/>
    <m/>
    <m/>
    <m/>
    <m/>
    <m/>
    <n v="0.4"/>
    <n v="0.4"/>
    <n v="0.4"/>
    <n v="0.4"/>
    <n v="0.4"/>
    <m/>
    <m/>
    <m/>
    <m/>
    <m/>
    <m/>
    <m/>
    <m/>
    <m/>
    <m/>
    <n v="0.4"/>
    <n v="2"/>
  </r>
  <r>
    <n v="6904"/>
    <x v="4"/>
    <m/>
    <s v="Chelsea Cars and KwikFit, Armoury Way"/>
    <m/>
    <n v="525354"/>
    <n v="174734"/>
    <s v="Wandsworth Town"/>
    <m/>
    <m/>
    <n v="0"/>
    <n v="1"/>
    <n v="1"/>
    <n v="11"/>
    <n v="11"/>
    <s v="Y"/>
    <s v="Redevelopment"/>
    <s v="NONE"/>
    <m/>
    <m/>
    <m/>
    <s v="Nil"/>
    <m/>
    <s v="BF"/>
    <s v="NB"/>
    <x v="0"/>
    <x v="0"/>
    <n v="0"/>
    <m/>
    <x v="0"/>
    <m/>
    <s v="Intermediate"/>
    <s v="IU"/>
    <s v="WT1"/>
    <m/>
    <n v="0"/>
    <n v="0"/>
    <n v="0"/>
    <n v="0"/>
    <n v="0"/>
    <n v="0"/>
    <n v="0"/>
    <n v="0"/>
    <n v="0"/>
    <n v="0"/>
    <n v="1"/>
    <n v="0"/>
    <n v="0"/>
    <n v="0"/>
    <n v="0"/>
    <n v="0"/>
    <n v="0"/>
    <n v="1"/>
    <n v="0"/>
    <n v="0"/>
    <n v="0"/>
    <n v="0"/>
    <n v="0"/>
    <n v="0"/>
    <n v="0"/>
    <n v="0"/>
    <n v="0"/>
    <n v="0"/>
    <n v="0"/>
    <n v="0"/>
    <n v="0"/>
    <n v="0"/>
    <s v="Wandsworth"/>
    <m/>
    <s v="Wandsworth Town, including the Wandle Delta Masterplan Area"/>
    <n v="19"/>
    <m/>
    <m/>
    <m/>
    <m/>
    <m/>
    <n v="0.2"/>
    <n v="0.2"/>
    <n v="0.2"/>
    <n v="0.2"/>
    <n v="0.2"/>
    <m/>
    <m/>
    <m/>
    <m/>
    <m/>
    <m/>
    <m/>
    <m/>
    <m/>
    <m/>
    <n v="0.2"/>
    <n v="1"/>
  </r>
  <r>
    <n v="7573"/>
    <x v="4"/>
    <m/>
    <s v="Clapham Junction Station Approach, SW12"/>
    <m/>
    <n v="527299.08160000003"/>
    <n v="175481.82680000001"/>
    <s v="Falconbrook"/>
    <m/>
    <m/>
    <n v="0"/>
    <n v="136"/>
    <n v="136"/>
    <n v="202"/>
    <n v="202"/>
    <s v="Y"/>
    <s v="Redevelopment"/>
    <s v="NONE"/>
    <m/>
    <m/>
    <m/>
    <s v="Nil"/>
    <m/>
    <s v="BF"/>
    <s v="NB"/>
    <x v="0"/>
    <x v="0"/>
    <n v="0"/>
    <m/>
    <x v="0"/>
    <m/>
    <s v="Open Market"/>
    <s v="M"/>
    <s v="CJ2"/>
    <m/>
    <n v="0"/>
    <n v="0"/>
    <n v="0"/>
    <n v="0"/>
    <n v="0"/>
    <n v="0"/>
    <n v="0"/>
    <n v="0"/>
    <n v="0"/>
    <n v="0"/>
    <n v="136"/>
    <n v="0"/>
    <n v="0"/>
    <n v="0"/>
    <n v="0"/>
    <n v="0"/>
    <n v="0"/>
    <n v="136"/>
    <n v="0"/>
    <n v="0"/>
    <n v="0"/>
    <n v="0"/>
    <n v="0"/>
    <n v="0"/>
    <n v="0"/>
    <n v="0"/>
    <n v="0"/>
    <n v="0"/>
    <n v="0"/>
    <n v="0"/>
    <n v="0"/>
    <n v="0"/>
    <s v="Clapham Junction"/>
    <m/>
    <s v="Clapham Junction Spatial Area Strategy"/>
    <n v="19"/>
    <m/>
    <m/>
    <m/>
    <m/>
    <m/>
    <n v="13.6"/>
    <n v="13.6"/>
    <n v="13.6"/>
    <n v="13.6"/>
    <n v="13.6"/>
    <n v="13.6"/>
    <n v="13.6"/>
    <n v="13.6"/>
    <n v="13.6"/>
    <n v="13.6"/>
    <m/>
    <m/>
    <m/>
    <m/>
    <m/>
    <n v="13.6"/>
    <n v="81.599999999999994"/>
  </r>
  <r>
    <n v="7573"/>
    <x v="4"/>
    <m/>
    <s v="Clapham Junction Station Approach, SW12"/>
    <m/>
    <n v="527299.08160000003"/>
    <n v="175481.82680000001"/>
    <s v="Falconbrook"/>
    <m/>
    <m/>
    <n v="0"/>
    <n v="40"/>
    <n v="40"/>
    <n v="202"/>
    <n v="202"/>
    <s v="Y"/>
    <s v="Redevelopment"/>
    <s v="NONE"/>
    <m/>
    <m/>
    <m/>
    <s v="Nil"/>
    <m/>
    <s v="BF"/>
    <s v="NB"/>
    <x v="0"/>
    <x v="0"/>
    <n v="0"/>
    <m/>
    <x v="0"/>
    <m/>
    <s v="Social/Affordable Rent"/>
    <s v="AA"/>
    <s v="CJ2"/>
    <m/>
    <n v="0"/>
    <n v="0"/>
    <n v="0"/>
    <n v="0"/>
    <n v="0"/>
    <n v="0"/>
    <n v="0"/>
    <n v="0"/>
    <n v="0"/>
    <n v="0"/>
    <n v="40"/>
    <n v="0"/>
    <n v="0"/>
    <n v="0"/>
    <n v="0"/>
    <n v="0"/>
    <n v="0"/>
    <n v="40"/>
    <n v="0"/>
    <n v="0"/>
    <n v="0"/>
    <n v="0"/>
    <n v="0"/>
    <n v="0"/>
    <n v="0"/>
    <n v="0"/>
    <n v="0"/>
    <n v="0"/>
    <n v="0"/>
    <n v="0"/>
    <n v="0"/>
    <n v="0"/>
    <s v="Clapham Junction"/>
    <m/>
    <s v="Clapham Junction Spatial Area Strategy"/>
    <n v="19"/>
    <m/>
    <m/>
    <m/>
    <m/>
    <m/>
    <n v="4"/>
    <n v="4"/>
    <n v="4"/>
    <n v="4"/>
    <n v="4"/>
    <n v="4"/>
    <n v="4"/>
    <n v="4"/>
    <n v="4"/>
    <n v="4"/>
    <m/>
    <m/>
    <m/>
    <m/>
    <m/>
    <n v="4"/>
    <n v="24"/>
  </r>
  <r>
    <n v="7573"/>
    <x v="4"/>
    <m/>
    <s v="Clapham Junction Station Approach, SW12"/>
    <m/>
    <n v="527299.08160000003"/>
    <n v="175481.82680000001"/>
    <s v="Falconbrook"/>
    <m/>
    <m/>
    <n v="0"/>
    <n v="26"/>
    <n v="26"/>
    <n v="202"/>
    <n v="202"/>
    <s v="Y"/>
    <s v="Redevelopment"/>
    <s v="NONE"/>
    <m/>
    <m/>
    <m/>
    <s v="Nil"/>
    <m/>
    <s v="BF"/>
    <s v="NB"/>
    <x v="0"/>
    <x v="0"/>
    <n v="0"/>
    <m/>
    <x v="0"/>
    <m/>
    <s v="Intermediate"/>
    <s v="IU"/>
    <s v="CJ2"/>
    <m/>
    <n v="0"/>
    <n v="0"/>
    <n v="0"/>
    <n v="0"/>
    <n v="0"/>
    <n v="0"/>
    <n v="0"/>
    <n v="0"/>
    <n v="0"/>
    <n v="0"/>
    <n v="26"/>
    <n v="0"/>
    <n v="0"/>
    <n v="0"/>
    <n v="0"/>
    <n v="0"/>
    <n v="0"/>
    <n v="26"/>
    <n v="0"/>
    <n v="0"/>
    <n v="0"/>
    <n v="0"/>
    <n v="0"/>
    <n v="0"/>
    <n v="0"/>
    <n v="0"/>
    <n v="0"/>
    <n v="0"/>
    <n v="0"/>
    <n v="0"/>
    <n v="0"/>
    <n v="0"/>
    <s v="Clapham Junction"/>
    <m/>
    <s v="Clapham Junction Spatial Area Strategy"/>
    <n v="19"/>
    <m/>
    <m/>
    <m/>
    <m/>
    <m/>
    <n v="2.6"/>
    <n v="2.6"/>
    <n v="2.6"/>
    <n v="2.6"/>
    <n v="2.6"/>
    <n v="2.6"/>
    <n v="2.6"/>
    <n v="2.6"/>
    <n v="2.6"/>
    <n v="2.6"/>
    <m/>
    <m/>
    <m/>
    <m/>
    <m/>
    <n v="2.6"/>
    <n v="15.6"/>
  </r>
  <r>
    <n v="58"/>
    <x v="4"/>
    <m/>
    <s v="Cloisters Business Centre, Battersea Park Road"/>
    <m/>
    <n v="528810"/>
    <n v="177019"/>
    <s v="Nine Elms"/>
    <m/>
    <m/>
    <n v="0"/>
    <n v="2"/>
    <n v="2"/>
    <n v="2"/>
    <n v="2"/>
    <m/>
    <s v="Redevelopment"/>
    <s v="NONE"/>
    <m/>
    <m/>
    <m/>
    <s v="Nil"/>
    <m/>
    <s v="BF"/>
    <s v="NB"/>
    <x v="2"/>
    <x v="1"/>
    <n v="0"/>
    <m/>
    <x v="0"/>
    <m/>
    <s v="Open Market"/>
    <s v="M"/>
    <m/>
    <m/>
    <n v="0"/>
    <n v="0"/>
    <n v="0"/>
    <n v="0"/>
    <n v="0"/>
    <n v="0"/>
    <n v="0"/>
    <n v="0"/>
    <n v="0"/>
    <n v="0"/>
    <n v="2"/>
    <n v="0"/>
    <n v="0"/>
    <n v="0"/>
    <n v="0"/>
    <n v="0"/>
    <n v="0"/>
    <n v="2"/>
    <n v="0"/>
    <n v="0"/>
    <n v="0"/>
    <n v="0"/>
    <n v="0"/>
    <n v="0"/>
    <n v="0"/>
    <n v="0"/>
    <n v="0"/>
    <n v="0"/>
    <n v="0"/>
    <n v="0"/>
    <n v="0"/>
    <n v="0"/>
    <m/>
    <s v="Y"/>
    <s v="Nine Elms Vauxhall Opportunity Area"/>
    <n v="20"/>
    <m/>
    <m/>
    <m/>
    <m/>
    <m/>
    <m/>
    <n v="2"/>
    <m/>
    <m/>
    <m/>
    <m/>
    <m/>
    <m/>
    <m/>
    <m/>
    <m/>
    <m/>
    <m/>
    <m/>
    <m/>
    <n v="0"/>
    <n v="2"/>
  </r>
  <r>
    <n v="8056"/>
    <x v="4"/>
    <m/>
    <s v="Battersea Ring Main"/>
    <m/>
    <n v="529149"/>
    <n v="177464"/>
    <s v="Nine Elms"/>
    <m/>
    <m/>
    <n v="0"/>
    <n v="85"/>
    <n v="85"/>
    <n v="100"/>
    <n v="100"/>
    <s v="Y"/>
    <s v="Redevelopment"/>
    <s v="NONE"/>
    <m/>
    <m/>
    <m/>
    <s v="Nil"/>
    <m/>
    <s v="BF"/>
    <s v="MIX"/>
    <x v="0"/>
    <x v="0"/>
    <n v="0"/>
    <m/>
    <x v="0"/>
    <m/>
    <s v="Open Market"/>
    <s v="M"/>
    <s v="NE14"/>
    <m/>
    <n v="0"/>
    <n v="0"/>
    <n v="0"/>
    <n v="0"/>
    <n v="0"/>
    <n v="0"/>
    <n v="0"/>
    <n v="0"/>
    <n v="0"/>
    <n v="0"/>
    <n v="85"/>
    <n v="0"/>
    <n v="0"/>
    <n v="0"/>
    <n v="0"/>
    <n v="0"/>
    <n v="0"/>
    <n v="85"/>
    <n v="0"/>
    <n v="0"/>
    <n v="0"/>
    <n v="0"/>
    <n v="0"/>
    <n v="0"/>
    <n v="0"/>
    <n v="0"/>
    <n v="0"/>
    <n v="0"/>
    <n v="0"/>
    <n v="0"/>
    <n v="0"/>
    <n v="0"/>
    <m/>
    <s v="Y"/>
    <s v="Nine Elms Vauxhall Opportunity Area"/>
    <n v="20"/>
    <m/>
    <m/>
    <m/>
    <m/>
    <m/>
    <m/>
    <n v="28.333333333333332"/>
    <n v="28.333333333333332"/>
    <n v="28.333333333333332"/>
    <m/>
    <m/>
    <m/>
    <m/>
    <m/>
    <m/>
    <m/>
    <m/>
    <m/>
    <m/>
    <m/>
    <n v="0"/>
    <n v="85"/>
  </r>
  <r>
    <n v="8056"/>
    <x v="4"/>
    <m/>
    <s v="Battersea Ring Main"/>
    <m/>
    <n v="529149"/>
    <n v="177464"/>
    <s v="Nine Elms"/>
    <m/>
    <m/>
    <n v="0"/>
    <n v="9"/>
    <n v="9"/>
    <n v="100"/>
    <n v="100"/>
    <s v="Y"/>
    <s v="Redevelopment"/>
    <s v="NONE"/>
    <m/>
    <m/>
    <m/>
    <s v="Nil"/>
    <m/>
    <s v="BF"/>
    <s v="MIX"/>
    <x v="0"/>
    <x v="0"/>
    <n v="0"/>
    <m/>
    <x v="0"/>
    <m/>
    <s v="Social/Affordable Rent"/>
    <s v="AA"/>
    <s v="NE14"/>
    <m/>
    <n v="0"/>
    <n v="0"/>
    <n v="0"/>
    <n v="0"/>
    <n v="0"/>
    <n v="0"/>
    <n v="0"/>
    <n v="0"/>
    <n v="0"/>
    <n v="0"/>
    <n v="9"/>
    <n v="0"/>
    <n v="0"/>
    <n v="0"/>
    <n v="0"/>
    <n v="0"/>
    <n v="0"/>
    <n v="9"/>
    <n v="0"/>
    <n v="0"/>
    <n v="0"/>
    <n v="0"/>
    <n v="0"/>
    <n v="0"/>
    <n v="0"/>
    <n v="0"/>
    <n v="0"/>
    <n v="0"/>
    <n v="0"/>
    <n v="0"/>
    <n v="0"/>
    <n v="0"/>
    <m/>
    <s v="Y"/>
    <s v="Nine Elms Vauxhall Opportunity Area"/>
    <n v="20"/>
    <m/>
    <m/>
    <m/>
    <m/>
    <m/>
    <m/>
    <n v="3"/>
    <n v="3"/>
    <n v="3"/>
    <m/>
    <m/>
    <m/>
    <m/>
    <m/>
    <m/>
    <m/>
    <m/>
    <m/>
    <m/>
    <m/>
    <n v="0"/>
    <n v="9"/>
  </r>
  <r>
    <n v="8056"/>
    <x v="4"/>
    <m/>
    <s v="Battersea Ring Main"/>
    <m/>
    <n v="529149"/>
    <n v="177464"/>
    <s v="Nine Elms"/>
    <m/>
    <m/>
    <n v="0"/>
    <n v="6"/>
    <n v="6"/>
    <n v="100"/>
    <n v="100"/>
    <s v="Y"/>
    <s v="Redevelopment"/>
    <s v="NONE"/>
    <m/>
    <m/>
    <m/>
    <s v="Nil"/>
    <m/>
    <s v="BF"/>
    <s v="MIX"/>
    <x v="0"/>
    <x v="0"/>
    <n v="0"/>
    <m/>
    <x v="0"/>
    <m/>
    <s v="Intermediate"/>
    <s v="IU"/>
    <s v="NE14"/>
    <m/>
    <n v="0"/>
    <n v="0"/>
    <n v="0"/>
    <n v="0"/>
    <n v="0"/>
    <n v="0"/>
    <n v="0"/>
    <n v="0"/>
    <n v="0"/>
    <n v="0"/>
    <n v="6"/>
    <n v="0"/>
    <n v="0"/>
    <n v="0"/>
    <n v="0"/>
    <n v="0"/>
    <n v="0"/>
    <n v="6"/>
    <n v="0"/>
    <n v="0"/>
    <n v="0"/>
    <n v="0"/>
    <n v="0"/>
    <n v="0"/>
    <n v="0"/>
    <n v="0"/>
    <n v="0"/>
    <n v="0"/>
    <n v="0"/>
    <n v="0"/>
    <n v="0"/>
    <n v="0"/>
    <m/>
    <s v="Y"/>
    <s v="Nine Elms Vauxhall Opportunity Area"/>
    <n v="20"/>
    <m/>
    <m/>
    <m/>
    <m/>
    <m/>
    <m/>
    <n v="2"/>
    <n v="2"/>
    <n v="2"/>
    <m/>
    <m/>
    <m/>
    <m/>
    <m/>
    <m/>
    <m/>
    <m/>
    <m/>
    <m/>
    <m/>
    <n v="0"/>
    <n v="6"/>
  </r>
  <r>
    <n v="4509"/>
    <x v="4"/>
    <m/>
    <s v="Cringle Dock, Nine Elms, SW8"/>
    <m/>
    <n v="529144.33070000005"/>
    <n v="177568.643099999"/>
    <s v="Nine Elms"/>
    <m/>
    <m/>
    <n v="0"/>
    <n v="18"/>
    <n v="18"/>
    <n v="21"/>
    <n v="21"/>
    <s v="Y"/>
    <s v="Redevelopment"/>
    <s v="NONE"/>
    <m/>
    <m/>
    <m/>
    <s v="Nil"/>
    <m/>
    <s v="BF"/>
    <s v="NB"/>
    <x v="0"/>
    <x v="0"/>
    <n v="0"/>
    <m/>
    <x v="0"/>
    <m/>
    <s v="Open Market"/>
    <s v="M"/>
    <s v="NE11"/>
    <m/>
    <n v="0"/>
    <n v="0"/>
    <n v="0"/>
    <n v="0"/>
    <n v="0"/>
    <n v="0"/>
    <n v="0"/>
    <n v="0"/>
    <n v="0"/>
    <n v="0"/>
    <n v="18"/>
    <n v="0"/>
    <n v="0"/>
    <n v="0"/>
    <n v="0"/>
    <n v="0"/>
    <n v="0"/>
    <n v="18"/>
    <n v="0"/>
    <n v="0"/>
    <n v="0"/>
    <n v="0"/>
    <n v="0"/>
    <n v="0"/>
    <n v="0"/>
    <n v="0"/>
    <n v="0"/>
    <n v="0"/>
    <n v="0"/>
    <n v="0"/>
    <n v="0"/>
    <n v="0"/>
    <m/>
    <s v="Y"/>
    <s v="Nine Elms Vauxhall Opportunity Area"/>
    <n v="20"/>
    <m/>
    <m/>
    <m/>
    <m/>
    <n v="3.6"/>
    <n v="3.6"/>
    <n v="3.6"/>
    <n v="3.6"/>
    <n v="3.6"/>
    <m/>
    <m/>
    <m/>
    <m/>
    <m/>
    <m/>
    <m/>
    <m/>
    <m/>
    <m/>
    <m/>
    <n v="7.2"/>
    <n v="18"/>
  </r>
  <r>
    <n v="4509"/>
    <x v="4"/>
    <m/>
    <s v="Cringle Dock, Nine Elms, SW8"/>
    <m/>
    <n v="529144.33070000005"/>
    <n v="177568.643099999"/>
    <s v="Nine Elms"/>
    <m/>
    <m/>
    <n v="0"/>
    <n v="2"/>
    <n v="2"/>
    <n v="21"/>
    <n v="21"/>
    <s v="Y"/>
    <s v="Redevelopment"/>
    <s v="NONE"/>
    <m/>
    <m/>
    <m/>
    <s v="Nil"/>
    <m/>
    <s v="BF"/>
    <s v="NB"/>
    <x v="0"/>
    <x v="0"/>
    <n v="0"/>
    <m/>
    <x v="0"/>
    <m/>
    <s v="Social/Affordable Rent"/>
    <s v="AA"/>
    <s v="NE11"/>
    <m/>
    <n v="0"/>
    <n v="0"/>
    <n v="0"/>
    <n v="0"/>
    <n v="0"/>
    <n v="0"/>
    <n v="0"/>
    <n v="0"/>
    <n v="0"/>
    <n v="0"/>
    <n v="2"/>
    <n v="0"/>
    <n v="0"/>
    <n v="0"/>
    <n v="0"/>
    <n v="0"/>
    <n v="0"/>
    <n v="2"/>
    <n v="0"/>
    <n v="0"/>
    <n v="0"/>
    <n v="0"/>
    <n v="0"/>
    <n v="0"/>
    <n v="0"/>
    <n v="0"/>
    <n v="0"/>
    <n v="0"/>
    <n v="0"/>
    <n v="0"/>
    <n v="0"/>
    <n v="0"/>
    <m/>
    <s v="Y"/>
    <s v="Nine Elms Vauxhall Opportunity Area"/>
    <n v="20"/>
    <m/>
    <m/>
    <m/>
    <m/>
    <n v="0.4"/>
    <n v="0.4"/>
    <n v="0.4"/>
    <n v="0.4"/>
    <n v="0.4"/>
    <m/>
    <m/>
    <m/>
    <m/>
    <m/>
    <m/>
    <m/>
    <m/>
    <m/>
    <m/>
    <m/>
    <n v="0.8"/>
    <n v="2"/>
  </r>
  <r>
    <n v="4509"/>
    <x v="4"/>
    <m/>
    <s v="Cringle Dock, Nine Elms, SW8"/>
    <m/>
    <n v="529144.33070000005"/>
    <n v="177568.643099999"/>
    <s v="Nine Elms"/>
    <m/>
    <m/>
    <n v="0"/>
    <n v="1"/>
    <n v="1"/>
    <n v="21"/>
    <n v="21"/>
    <s v="Y"/>
    <s v="Redevelopment"/>
    <s v="NONE"/>
    <m/>
    <m/>
    <m/>
    <s v="Nil"/>
    <m/>
    <s v="BF"/>
    <s v="NB"/>
    <x v="0"/>
    <x v="0"/>
    <n v="0"/>
    <m/>
    <x v="0"/>
    <m/>
    <s v="Intermediate"/>
    <s v="IU"/>
    <s v="NE11"/>
    <m/>
    <n v="0"/>
    <n v="0"/>
    <n v="0"/>
    <n v="0"/>
    <n v="0"/>
    <n v="0"/>
    <n v="0"/>
    <n v="0"/>
    <n v="0"/>
    <n v="0"/>
    <n v="1"/>
    <n v="0"/>
    <n v="0"/>
    <n v="0"/>
    <n v="0"/>
    <n v="0"/>
    <n v="0"/>
    <n v="1"/>
    <n v="0"/>
    <n v="0"/>
    <n v="0"/>
    <n v="0"/>
    <n v="0"/>
    <n v="0"/>
    <n v="0"/>
    <n v="0"/>
    <n v="0"/>
    <n v="0"/>
    <n v="0"/>
    <n v="0"/>
    <n v="0"/>
    <n v="0"/>
    <m/>
    <s v="Y"/>
    <s v="Nine Elms Vauxhall Opportunity Area"/>
    <n v="20"/>
    <m/>
    <m/>
    <m/>
    <m/>
    <n v="0.2"/>
    <n v="0.2"/>
    <n v="0.2"/>
    <n v="0.2"/>
    <n v="0.2"/>
    <m/>
    <m/>
    <m/>
    <m/>
    <m/>
    <m/>
    <m/>
    <m/>
    <m/>
    <m/>
    <m/>
    <n v="0.4"/>
    <n v="1"/>
  </r>
  <r>
    <n v="6876"/>
    <x v="4"/>
    <m/>
    <s v="Dovercourt site, York Road, SW11"/>
    <m/>
    <n v="526665"/>
    <n v="176051"/>
    <s v="St Mary's"/>
    <m/>
    <m/>
    <n v="0"/>
    <n v="188"/>
    <n v="188"/>
    <n v="280"/>
    <n v="280"/>
    <s v="Y"/>
    <s v="Redevelopment"/>
    <s v="NONE"/>
    <m/>
    <m/>
    <m/>
    <s v="Nil"/>
    <m/>
    <s v="BF"/>
    <s v="NB"/>
    <x v="0"/>
    <x v="0"/>
    <n v="0"/>
    <m/>
    <x v="0"/>
    <m/>
    <s v="Open Market"/>
    <s v="M"/>
    <s v="RIV2"/>
    <m/>
    <n v="0"/>
    <n v="0"/>
    <n v="0"/>
    <n v="0"/>
    <n v="0"/>
    <n v="0"/>
    <n v="0"/>
    <n v="0"/>
    <n v="0"/>
    <n v="0"/>
    <n v="188"/>
    <n v="0"/>
    <n v="0"/>
    <n v="0"/>
    <n v="0"/>
    <n v="0"/>
    <n v="0"/>
    <n v="188"/>
    <n v="0"/>
    <n v="0"/>
    <n v="0"/>
    <n v="0"/>
    <n v="0"/>
    <n v="0"/>
    <n v="0"/>
    <n v="0"/>
    <n v="0"/>
    <n v="0"/>
    <n v="0"/>
    <n v="0"/>
    <n v="0"/>
    <n v="0"/>
    <m/>
    <m/>
    <s v="Clapham Junction Spatial Area Strategy"/>
    <n v="19"/>
    <m/>
    <m/>
    <m/>
    <m/>
    <m/>
    <n v="11.75"/>
    <n v="11.75"/>
    <n v="11.75"/>
    <n v="11.75"/>
    <n v="11.75"/>
    <n v="11.75"/>
    <n v="11.75"/>
    <n v="11.75"/>
    <n v="11.75"/>
    <n v="11.75"/>
    <n v="11.75"/>
    <n v="11.75"/>
    <n v="11.75"/>
    <n v="11.75"/>
    <n v="11.75"/>
    <n v="11.75"/>
    <n v="70.5"/>
  </r>
  <r>
    <n v="6876"/>
    <x v="4"/>
    <m/>
    <s v="Dovercourt site, York Road, SW11"/>
    <m/>
    <n v="526665"/>
    <n v="176051"/>
    <s v="St Mary's"/>
    <m/>
    <m/>
    <n v="0"/>
    <n v="56"/>
    <n v="56"/>
    <n v="280"/>
    <n v="280"/>
    <s v="Y"/>
    <s v="Redevelopment"/>
    <s v="NONE"/>
    <m/>
    <m/>
    <m/>
    <s v="Nil"/>
    <m/>
    <s v="BF"/>
    <s v="NB"/>
    <x v="0"/>
    <x v="0"/>
    <n v="0"/>
    <m/>
    <x v="0"/>
    <m/>
    <s v="Social/Affordable Rent"/>
    <s v="AA"/>
    <s v="RIV2"/>
    <m/>
    <n v="0"/>
    <n v="0"/>
    <n v="0"/>
    <n v="0"/>
    <n v="0"/>
    <n v="0"/>
    <n v="0"/>
    <n v="0"/>
    <n v="0"/>
    <n v="0"/>
    <n v="56"/>
    <n v="0"/>
    <n v="0"/>
    <n v="0"/>
    <n v="0"/>
    <n v="0"/>
    <n v="0"/>
    <n v="56"/>
    <n v="0"/>
    <n v="0"/>
    <n v="0"/>
    <n v="0"/>
    <n v="0"/>
    <n v="0"/>
    <n v="0"/>
    <n v="0"/>
    <n v="0"/>
    <n v="0"/>
    <n v="0"/>
    <n v="0"/>
    <n v="0"/>
    <n v="0"/>
    <m/>
    <m/>
    <s v="Clapham Junction Spatial Area Strategy"/>
    <n v="19"/>
    <m/>
    <m/>
    <m/>
    <m/>
    <m/>
    <n v="3.5"/>
    <n v="3.5"/>
    <n v="3.5"/>
    <n v="3.5"/>
    <n v="3.5"/>
    <n v="3.5"/>
    <n v="3.5"/>
    <n v="3.5"/>
    <n v="3.5"/>
    <n v="3.5"/>
    <n v="3.5"/>
    <n v="3.5"/>
    <n v="3.5"/>
    <n v="3.5"/>
    <n v="3.5"/>
    <n v="3.5"/>
    <n v="21"/>
  </r>
  <r>
    <n v="6876"/>
    <x v="4"/>
    <m/>
    <s v="Dovercourt site, York Road, SW11"/>
    <m/>
    <n v="526665"/>
    <n v="176051"/>
    <s v="St Mary's"/>
    <m/>
    <m/>
    <n v="0"/>
    <n v="36"/>
    <n v="36"/>
    <n v="280"/>
    <n v="280"/>
    <s v="Y"/>
    <s v="Redevelopment"/>
    <s v="NONE"/>
    <m/>
    <m/>
    <m/>
    <s v="Nil"/>
    <m/>
    <s v="BF"/>
    <s v="NB"/>
    <x v="0"/>
    <x v="0"/>
    <n v="0"/>
    <m/>
    <x v="0"/>
    <m/>
    <s v="Intermediate"/>
    <s v="IU"/>
    <s v="RIV2"/>
    <m/>
    <n v="0"/>
    <n v="0"/>
    <n v="0"/>
    <n v="0"/>
    <n v="0"/>
    <n v="0"/>
    <n v="0"/>
    <n v="0"/>
    <n v="0"/>
    <n v="0"/>
    <n v="36"/>
    <n v="0"/>
    <n v="0"/>
    <n v="0"/>
    <n v="0"/>
    <n v="0"/>
    <n v="0"/>
    <n v="36"/>
    <n v="0"/>
    <n v="0"/>
    <n v="0"/>
    <n v="0"/>
    <n v="0"/>
    <n v="0"/>
    <n v="0"/>
    <n v="0"/>
    <n v="0"/>
    <n v="0"/>
    <n v="0"/>
    <n v="0"/>
    <n v="0"/>
    <n v="0"/>
    <m/>
    <m/>
    <s v="Clapham Junction Spatial Area Strategy"/>
    <n v="19"/>
    <m/>
    <m/>
    <m/>
    <m/>
    <m/>
    <n v="2.25"/>
    <n v="2.25"/>
    <n v="2.25"/>
    <n v="2.25"/>
    <n v="2.25"/>
    <n v="2.25"/>
    <n v="2.25"/>
    <n v="2.25"/>
    <n v="2.25"/>
    <n v="2.25"/>
    <n v="2.25"/>
    <n v="2.25"/>
    <n v="2.25"/>
    <n v="2.25"/>
    <n v="2.25"/>
    <n v="2.25"/>
    <n v="13.5"/>
  </r>
  <r>
    <n v="6895"/>
    <x v="4"/>
    <m/>
    <s v="Feathers Wharf, The Causeway"/>
    <m/>
    <n v="525545"/>
    <n v="175231"/>
    <s v="St Mary's"/>
    <m/>
    <m/>
    <n v="0"/>
    <n v="95"/>
    <n v="95"/>
    <n v="141"/>
    <n v="141"/>
    <s v="Y"/>
    <s v="Redevelopment"/>
    <s v="NONE"/>
    <m/>
    <m/>
    <m/>
    <s v="Nil"/>
    <m/>
    <s v="BF"/>
    <s v="NB"/>
    <x v="0"/>
    <x v="0"/>
    <n v="0"/>
    <m/>
    <x v="0"/>
    <m/>
    <s v="Open Market"/>
    <s v="M"/>
    <s v="WT9"/>
    <m/>
    <n v="0"/>
    <n v="0"/>
    <n v="0"/>
    <n v="0"/>
    <n v="0"/>
    <n v="0"/>
    <n v="0"/>
    <n v="0"/>
    <n v="0"/>
    <n v="0"/>
    <n v="95"/>
    <n v="0"/>
    <n v="0"/>
    <n v="0"/>
    <n v="0"/>
    <n v="0"/>
    <n v="0"/>
    <n v="95"/>
    <n v="0"/>
    <n v="0"/>
    <n v="0"/>
    <n v="0"/>
    <n v="0"/>
    <n v="0"/>
    <n v="0"/>
    <n v="0"/>
    <n v="0"/>
    <n v="0"/>
    <n v="0"/>
    <n v="0"/>
    <n v="0"/>
    <n v="0"/>
    <m/>
    <m/>
    <s v="Wandsworth Town, including the Wandle Delta Masterplan Area"/>
    <n v="19"/>
    <m/>
    <m/>
    <m/>
    <m/>
    <m/>
    <m/>
    <m/>
    <m/>
    <m/>
    <n v="7.916666666666667"/>
    <n v="7.916666666666667"/>
    <n v="7.916666666666667"/>
    <n v="7.916666666666667"/>
    <n v="7.916666666666667"/>
    <n v="7.916666666666667"/>
    <n v="7.916666666666667"/>
    <n v="7.916666666666667"/>
    <n v="7.916666666666667"/>
    <n v="7.916666666666667"/>
    <n v="7.916666666666667"/>
    <n v="0"/>
    <n v="15.833333333333334"/>
  </r>
  <r>
    <n v="6895"/>
    <x v="4"/>
    <m/>
    <s v="Feathers Wharf, The Causeway"/>
    <m/>
    <n v="525545"/>
    <n v="175231"/>
    <s v="St Mary's"/>
    <m/>
    <m/>
    <n v="0"/>
    <n v="28"/>
    <n v="28"/>
    <n v="141"/>
    <n v="141"/>
    <s v="Y"/>
    <s v="Redevelopment"/>
    <s v="NONE"/>
    <m/>
    <m/>
    <m/>
    <s v="Nil"/>
    <m/>
    <s v="BF"/>
    <s v="NB"/>
    <x v="0"/>
    <x v="0"/>
    <n v="0"/>
    <m/>
    <x v="0"/>
    <m/>
    <s v="Social/Affordable Rent"/>
    <s v="AA"/>
    <s v="WT9"/>
    <m/>
    <n v="0"/>
    <n v="0"/>
    <n v="0"/>
    <n v="0"/>
    <n v="0"/>
    <n v="0"/>
    <n v="0"/>
    <n v="0"/>
    <n v="0"/>
    <n v="0"/>
    <n v="28"/>
    <n v="0"/>
    <n v="0"/>
    <n v="0"/>
    <n v="0"/>
    <n v="0"/>
    <n v="0"/>
    <n v="28"/>
    <n v="0"/>
    <n v="0"/>
    <n v="0"/>
    <n v="0"/>
    <n v="0"/>
    <n v="0"/>
    <n v="0"/>
    <n v="0"/>
    <n v="0"/>
    <n v="0"/>
    <n v="0"/>
    <n v="0"/>
    <n v="0"/>
    <n v="0"/>
    <m/>
    <m/>
    <s v="Wandsworth Town, including the Wandle Delta Masterplan Area"/>
    <n v="19"/>
    <m/>
    <m/>
    <m/>
    <m/>
    <m/>
    <m/>
    <m/>
    <m/>
    <m/>
    <n v="2.3333333333333335"/>
    <n v="2.3333333333333335"/>
    <n v="2.3333333333333335"/>
    <n v="2.3333333333333335"/>
    <n v="2.3333333333333335"/>
    <n v="2.3333333333333335"/>
    <n v="2.3333333333333335"/>
    <n v="2.3333333333333335"/>
    <n v="2.3333333333333335"/>
    <n v="2.3333333333333335"/>
    <n v="2.3333333333333335"/>
    <n v="0"/>
    <n v="4.666666666666667"/>
  </r>
  <r>
    <n v="6895"/>
    <x v="4"/>
    <m/>
    <s v="Feathers Wharf, The Causeway"/>
    <m/>
    <n v="525545"/>
    <n v="175231"/>
    <s v="St Mary's"/>
    <m/>
    <m/>
    <n v="0"/>
    <n v="18"/>
    <n v="18"/>
    <n v="141"/>
    <n v="141"/>
    <s v="Y"/>
    <s v="Redevelopment"/>
    <s v="NONE"/>
    <m/>
    <m/>
    <m/>
    <s v="Nil"/>
    <m/>
    <s v="BF"/>
    <s v="NB"/>
    <x v="0"/>
    <x v="0"/>
    <n v="0"/>
    <m/>
    <x v="0"/>
    <m/>
    <s v="Intermediate"/>
    <s v="IU"/>
    <s v="WT9"/>
    <m/>
    <n v="0"/>
    <n v="0"/>
    <n v="0"/>
    <n v="0"/>
    <n v="0"/>
    <n v="0"/>
    <n v="0"/>
    <n v="0"/>
    <n v="0"/>
    <n v="0"/>
    <n v="18"/>
    <n v="0"/>
    <n v="0"/>
    <n v="0"/>
    <n v="0"/>
    <n v="0"/>
    <n v="0"/>
    <n v="18"/>
    <n v="0"/>
    <n v="0"/>
    <n v="0"/>
    <n v="0"/>
    <n v="0"/>
    <n v="0"/>
    <n v="0"/>
    <n v="0"/>
    <n v="0"/>
    <n v="0"/>
    <n v="0"/>
    <n v="0"/>
    <n v="0"/>
    <n v="0"/>
    <m/>
    <m/>
    <s v="Wandsworth Town, including the Wandle Delta Masterplan Area"/>
    <n v="19"/>
    <m/>
    <m/>
    <m/>
    <m/>
    <m/>
    <m/>
    <m/>
    <m/>
    <m/>
    <n v="1.5"/>
    <n v="1.5"/>
    <n v="1.5"/>
    <n v="1.5"/>
    <n v="1.5"/>
    <n v="1.5"/>
    <n v="1.5"/>
    <n v="1.5"/>
    <n v="1.5"/>
    <n v="1.5"/>
    <n v="1.5"/>
    <n v="0"/>
    <n v="3"/>
  </r>
  <r>
    <n v="6905"/>
    <x v="4"/>
    <m/>
    <s v="Frogmore Depot, Dormay Street"/>
    <m/>
    <n v="525428"/>
    <n v="174978"/>
    <s v="Wandsworth Town"/>
    <m/>
    <m/>
    <n v="0"/>
    <n v="115"/>
    <n v="115"/>
    <n v="172"/>
    <n v="172"/>
    <s v="Y"/>
    <s v="Redevelopment"/>
    <s v="NONE"/>
    <m/>
    <m/>
    <m/>
    <s v="Nil"/>
    <m/>
    <s v="BF"/>
    <s v="NB"/>
    <x v="0"/>
    <x v="0"/>
    <n v="0"/>
    <m/>
    <x v="0"/>
    <m/>
    <s v="Open Market"/>
    <s v="M"/>
    <s v="WT6"/>
    <m/>
    <n v="0"/>
    <n v="0"/>
    <n v="0"/>
    <n v="0"/>
    <n v="0"/>
    <n v="0"/>
    <n v="0"/>
    <n v="0"/>
    <n v="0"/>
    <n v="0"/>
    <n v="115"/>
    <n v="0"/>
    <n v="0"/>
    <n v="0"/>
    <n v="0"/>
    <n v="0"/>
    <n v="0"/>
    <n v="115"/>
    <n v="0"/>
    <n v="0"/>
    <n v="0"/>
    <n v="0"/>
    <n v="0"/>
    <n v="0"/>
    <n v="0"/>
    <n v="0"/>
    <n v="0"/>
    <n v="0"/>
    <n v="0"/>
    <n v="0"/>
    <n v="0"/>
    <n v="0"/>
    <m/>
    <m/>
    <s v="Wandsworth Town, including the Wandle Delta Masterplan Area"/>
    <n v="19"/>
    <m/>
    <m/>
    <m/>
    <m/>
    <m/>
    <n v="11.5"/>
    <n v="11.5"/>
    <n v="11.5"/>
    <n v="11.5"/>
    <n v="11.5"/>
    <n v="11.5"/>
    <n v="11.5"/>
    <n v="11.5"/>
    <n v="11.5"/>
    <n v="11.5"/>
    <m/>
    <m/>
    <m/>
    <m/>
    <m/>
    <n v="11.5"/>
    <n v="69"/>
  </r>
  <r>
    <n v="6905"/>
    <x v="4"/>
    <m/>
    <s v="Frogmore Depot, Dormay Street"/>
    <m/>
    <n v="525428"/>
    <n v="174978"/>
    <s v="Wandsworth Town"/>
    <m/>
    <m/>
    <n v="0"/>
    <n v="34"/>
    <n v="34"/>
    <n v="172"/>
    <n v="172"/>
    <s v="Y"/>
    <s v="Redevelopment"/>
    <s v="NONE"/>
    <m/>
    <m/>
    <m/>
    <s v="Nil"/>
    <m/>
    <s v="BF"/>
    <s v="NB"/>
    <x v="0"/>
    <x v="0"/>
    <n v="0"/>
    <m/>
    <x v="0"/>
    <m/>
    <s v="Social/Affordable Rent"/>
    <s v="AA"/>
    <s v="WT6"/>
    <m/>
    <n v="0"/>
    <n v="0"/>
    <n v="0"/>
    <n v="0"/>
    <n v="0"/>
    <n v="0"/>
    <n v="0"/>
    <n v="0"/>
    <n v="0"/>
    <n v="0"/>
    <n v="34"/>
    <n v="0"/>
    <n v="0"/>
    <n v="0"/>
    <n v="0"/>
    <n v="0"/>
    <n v="0"/>
    <n v="34"/>
    <n v="0"/>
    <n v="0"/>
    <n v="0"/>
    <n v="0"/>
    <n v="0"/>
    <n v="0"/>
    <n v="0"/>
    <n v="0"/>
    <n v="0"/>
    <n v="0"/>
    <n v="0"/>
    <n v="0"/>
    <n v="0"/>
    <n v="0"/>
    <m/>
    <m/>
    <s v="Wandsworth Town, including the Wandle Delta Masterplan Area"/>
    <n v="19"/>
    <m/>
    <m/>
    <m/>
    <m/>
    <m/>
    <n v="3.4"/>
    <n v="3.4"/>
    <n v="3.4"/>
    <n v="3.4"/>
    <n v="3.4"/>
    <n v="3.4"/>
    <n v="3.4"/>
    <n v="3.4"/>
    <n v="3.4"/>
    <n v="3.4"/>
    <m/>
    <m/>
    <m/>
    <m/>
    <m/>
    <n v="3.4"/>
    <n v="20.399999999999999"/>
  </r>
  <r>
    <n v="6905"/>
    <x v="4"/>
    <m/>
    <s v="Frogmore Depot, Dormay Street"/>
    <m/>
    <n v="525428"/>
    <n v="174978"/>
    <s v="Wandsworth Town"/>
    <m/>
    <m/>
    <n v="0"/>
    <n v="22"/>
    <n v="22"/>
    <n v="172"/>
    <n v="172"/>
    <s v="Y"/>
    <s v="Redevelopment"/>
    <s v="NONE"/>
    <m/>
    <m/>
    <m/>
    <s v="Nil"/>
    <m/>
    <s v="BF"/>
    <s v="NB"/>
    <x v="0"/>
    <x v="0"/>
    <n v="0"/>
    <m/>
    <x v="0"/>
    <m/>
    <s v="Intermediate"/>
    <s v="IU"/>
    <s v="WT6"/>
    <m/>
    <n v="0"/>
    <n v="0"/>
    <n v="0"/>
    <n v="0"/>
    <n v="0"/>
    <n v="0"/>
    <n v="0"/>
    <n v="0"/>
    <n v="0"/>
    <n v="0"/>
    <n v="22"/>
    <n v="0"/>
    <n v="0"/>
    <n v="0"/>
    <n v="0"/>
    <n v="0"/>
    <n v="0"/>
    <n v="22"/>
    <n v="0"/>
    <n v="0"/>
    <n v="0"/>
    <n v="0"/>
    <n v="0"/>
    <n v="0"/>
    <n v="0"/>
    <n v="0"/>
    <n v="0"/>
    <n v="0"/>
    <n v="0"/>
    <n v="0"/>
    <n v="0"/>
    <n v="0"/>
    <m/>
    <m/>
    <s v="Wandsworth Town, including the Wandle Delta Masterplan Area"/>
    <n v="19"/>
    <m/>
    <m/>
    <m/>
    <m/>
    <m/>
    <n v="2.2000000000000002"/>
    <n v="2.2000000000000002"/>
    <n v="2.2000000000000002"/>
    <n v="2.2000000000000002"/>
    <n v="2.2000000000000002"/>
    <n v="2.2000000000000002"/>
    <n v="2.2000000000000002"/>
    <n v="2.2000000000000002"/>
    <n v="2.2000000000000002"/>
    <n v="2.2000000000000002"/>
    <m/>
    <m/>
    <m/>
    <m/>
    <m/>
    <n v="2.2000000000000002"/>
    <n v="13.2"/>
  </r>
  <r>
    <n v="6874"/>
    <x v="4"/>
    <m/>
    <s v="Gartons Industrial Estate, Gartons Way"/>
    <m/>
    <n v="526442"/>
    <n v="175680"/>
    <s v="St Mary's"/>
    <m/>
    <m/>
    <n v="0"/>
    <n v="52"/>
    <n v="52"/>
    <n v="77"/>
    <n v="77"/>
    <s v="Y"/>
    <s v="Redevelopment"/>
    <s v="NONE"/>
    <m/>
    <m/>
    <m/>
    <s v="Nil"/>
    <m/>
    <s v="BF"/>
    <s v="NB"/>
    <x v="0"/>
    <x v="0"/>
    <n v="0"/>
    <m/>
    <x v="0"/>
    <m/>
    <s v="Open Market"/>
    <s v="M"/>
    <s v="RIV4"/>
    <m/>
    <n v="0"/>
    <n v="0"/>
    <n v="0"/>
    <n v="0"/>
    <n v="0"/>
    <n v="0"/>
    <n v="0"/>
    <n v="0"/>
    <n v="0"/>
    <n v="0"/>
    <n v="52"/>
    <n v="0"/>
    <n v="0"/>
    <n v="0"/>
    <n v="0"/>
    <n v="0"/>
    <n v="0"/>
    <n v="52"/>
    <n v="0"/>
    <n v="0"/>
    <n v="0"/>
    <n v="0"/>
    <n v="0"/>
    <n v="0"/>
    <n v="0"/>
    <n v="0"/>
    <n v="0"/>
    <n v="0"/>
    <n v="0"/>
    <n v="0"/>
    <n v="0"/>
    <n v="0"/>
    <m/>
    <m/>
    <s v="Wandsworth riverside"/>
    <n v="19"/>
    <m/>
    <m/>
    <m/>
    <m/>
    <m/>
    <n v="3.25"/>
    <n v="3.25"/>
    <n v="3.25"/>
    <n v="3.25"/>
    <n v="3.25"/>
    <n v="3.25"/>
    <n v="3.25"/>
    <n v="3.25"/>
    <n v="3.25"/>
    <n v="3.25"/>
    <n v="3.25"/>
    <n v="3.25"/>
    <n v="3.25"/>
    <n v="3.25"/>
    <n v="3.25"/>
    <n v="3.25"/>
    <n v="19.5"/>
  </r>
  <r>
    <n v="6874"/>
    <x v="4"/>
    <m/>
    <s v="Gartons Industrial Estate, Gartons Way"/>
    <m/>
    <n v="526442"/>
    <n v="175680"/>
    <s v="St Mary's"/>
    <m/>
    <m/>
    <n v="0"/>
    <n v="15"/>
    <n v="15"/>
    <n v="77"/>
    <n v="77"/>
    <s v="Y"/>
    <s v="Redevelopment"/>
    <s v="NONE"/>
    <m/>
    <m/>
    <m/>
    <s v="Nil"/>
    <m/>
    <s v="BF"/>
    <s v="NB"/>
    <x v="0"/>
    <x v="0"/>
    <n v="0"/>
    <m/>
    <x v="0"/>
    <m/>
    <s v="Social/Affordable Rent"/>
    <s v="AA"/>
    <s v="RIV4"/>
    <m/>
    <n v="0"/>
    <n v="0"/>
    <n v="0"/>
    <n v="0"/>
    <n v="0"/>
    <n v="0"/>
    <n v="0"/>
    <n v="0"/>
    <n v="0"/>
    <n v="0"/>
    <n v="15"/>
    <n v="0"/>
    <n v="0"/>
    <n v="0"/>
    <n v="0"/>
    <n v="0"/>
    <n v="0"/>
    <n v="15"/>
    <n v="0"/>
    <n v="0"/>
    <n v="0"/>
    <n v="0"/>
    <n v="0"/>
    <n v="0"/>
    <n v="0"/>
    <n v="0"/>
    <n v="0"/>
    <n v="0"/>
    <n v="0"/>
    <n v="0"/>
    <n v="0"/>
    <n v="0"/>
    <m/>
    <m/>
    <s v="Wandsworth riverside"/>
    <n v="19"/>
    <m/>
    <m/>
    <m/>
    <m/>
    <m/>
    <n v="0.9375"/>
    <n v="0.9375"/>
    <n v="0.9375"/>
    <n v="0.9375"/>
    <n v="0.9375"/>
    <n v="0.9375"/>
    <n v="0.9375"/>
    <n v="0.9375"/>
    <n v="0.9375"/>
    <n v="0.9375"/>
    <n v="0.9375"/>
    <n v="0.9375"/>
    <n v="0.9375"/>
    <n v="0.9375"/>
    <n v="0.9375"/>
    <n v="0.9375"/>
    <n v="5.625"/>
  </r>
  <r>
    <n v="6874"/>
    <x v="4"/>
    <m/>
    <s v="Gartons Industrial Estate, Gartons Way"/>
    <m/>
    <n v="526442"/>
    <n v="175680"/>
    <s v="St Mary's"/>
    <m/>
    <m/>
    <n v="0"/>
    <n v="10"/>
    <n v="10"/>
    <n v="77"/>
    <n v="77"/>
    <s v="Y"/>
    <s v="Redevelopment"/>
    <s v="NONE"/>
    <m/>
    <m/>
    <m/>
    <s v="Nil"/>
    <m/>
    <s v="BF"/>
    <s v="NB"/>
    <x v="0"/>
    <x v="0"/>
    <n v="0"/>
    <m/>
    <x v="0"/>
    <m/>
    <s v="Intermediate"/>
    <s v="IU"/>
    <s v="RIV4"/>
    <m/>
    <n v="0"/>
    <n v="0"/>
    <n v="0"/>
    <n v="0"/>
    <n v="0"/>
    <n v="0"/>
    <n v="0"/>
    <n v="0"/>
    <n v="0"/>
    <n v="0"/>
    <n v="10"/>
    <n v="0"/>
    <n v="0"/>
    <n v="0"/>
    <n v="0"/>
    <n v="0"/>
    <n v="0"/>
    <n v="10"/>
    <n v="0"/>
    <n v="0"/>
    <n v="0"/>
    <n v="0"/>
    <n v="0"/>
    <n v="0"/>
    <n v="0"/>
    <n v="0"/>
    <n v="0"/>
    <n v="0"/>
    <n v="0"/>
    <n v="0"/>
    <n v="0"/>
    <n v="0"/>
    <m/>
    <m/>
    <s v="Wandsworth riverside"/>
    <n v="19"/>
    <m/>
    <m/>
    <m/>
    <m/>
    <m/>
    <n v="0.625"/>
    <n v="0.625"/>
    <n v="0.625"/>
    <n v="0.625"/>
    <n v="0.625"/>
    <n v="0.625"/>
    <n v="0.625"/>
    <n v="0.625"/>
    <n v="0.625"/>
    <n v="0.625"/>
    <n v="0.625"/>
    <n v="0.625"/>
    <n v="0.625"/>
    <n v="0.625"/>
    <n v="0.625"/>
    <n v="0.625"/>
    <n v="3.75"/>
  </r>
  <r>
    <n v="6892"/>
    <x v="4"/>
    <m/>
    <s v="Hunts Trucks and adjoining gasholder, Armoury Way"/>
    <m/>
    <n v="525690"/>
    <n v="174971"/>
    <s v="Wandsworth Town"/>
    <m/>
    <m/>
    <n v="0"/>
    <n v="310"/>
    <n v="310"/>
    <n v="462"/>
    <n v="462"/>
    <s v="Y"/>
    <s v="Redevelopment"/>
    <s v="NONE"/>
    <m/>
    <m/>
    <m/>
    <s v="Nil"/>
    <m/>
    <s v="BF"/>
    <s v="NB"/>
    <x v="0"/>
    <x v="0"/>
    <n v="0"/>
    <m/>
    <x v="0"/>
    <m/>
    <s v="Open Market"/>
    <s v="M"/>
    <s v="WT4"/>
    <m/>
    <n v="0"/>
    <n v="0"/>
    <n v="0"/>
    <n v="0"/>
    <n v="0"/>
    <n v="0"/>
    <n v="0"/>
    <n v="0"/>
    <n v="0"/>
    <n v="0"/>
    <n v="310"/>
    <n v="0"/>
    <n v="0"/>
    <n v="0"/>
    <n v="0"/>
    <n v="0"/>
    <n v="0"/>
    <n v="310"/>
    <n v="0"/>
    <n v="0"/>
    <n v="0"/>
    <n v="0"/>
    <n v="0"/>
    <n v="0"/>
    <n v="0"/>
    <n v="0"/>
    <n v="0"/>
    <n v="0"/>
    <n v="0"/>
    <n v="0"/>
    <n v="0"/>
    <n v="0"/>
    <m/>
    <m/>
    <s v="Wandsworth Town, including the Wandle Delta Masterplan Area"/>
    <n v="19"/>
    <m/>
    <m/>
    <m/>
    <n v="31"/>
    <n v="31"/>
    <n v="31"/>
    <n v="31"/>
    <n v="31"/>
    <n v="31"/>
    <n v="31"/>
    <n v="31"/>
    <n v="31"/>
    <n v="31"/>
    <m/>
    <m/>
    <m/>
    <m/>
    <m/>
    <m/>
    <m/>
    <n v="93"/>
    <n v="248"/>
  </r>
  <r>
    <n v="6892"/>
    <x v="4"/>
    <m/>
    <s v="Hunts Trucks and adjoining gasholder, Armoury Way"/>
    <m/>
    <n v="525690"/>
    <n v="174971"/>
    <s v="Wandsworth Town"/>
    <m/>
    <m/>
    <n v="0"/>
    <n v="92"/>
    <n v="92"/>
    <n v="462"/>
    <n v="462"/>
    <s v="Y"/>
    <s v="Redevelopment"/>
    <s v="NONE"/>
    <m/>
    <m/>
    <m/>
    <s v="Nil"/>
    <m/>
    <s v="BF"/>
    <s v="NB"/>
    <x v="0"/>
    <x v="0"/>
    <n v="0"/>
    <m/>
    <x v="0"/>
    <m/>
    <s v="Social/Affordable Rent"/>
    <s v="AA"/>
    <s v="WT4"/>
    <m/>
    <n v="0"/>
    <n v="0"/>
    <n v="0"/>
    <n v="0"/>
    <n v="0"/>
    <n v="0"/>
    <n v="0"/>
    <n v="0"/>
    <n v="0"/>
    <n v="0"/>
    <n v="92"/>
    <n v="0"/>
    <n v="0"/>
    <n v="0"/>
    <n v="0"/>
    <n v="0"/>
    <n v="0"/>
    <n v="92"/>
    <n v="0"/>
    <n v="0"/>
    <n v="0"/>
    <n v="0"/>
    <n v="0"/>
    <n v="0"/>
    <n v="0"/>
    <n v="0"/>
    <n v="0"/>
    <n v="0"/>
    <n v="0"/>
    <n v="0"/>
    <n v="0"/>
    <n v="0"/>
    <m/>
    <m/>
    <s v="Wandsworth Town, including the Wandle Delta Masterplan Area"/>
    <n v="19"/>
    <m/>
    <m/>
    <m/>
    <n v="9.1999999999999993"/>
    <n v="9.1999999999999993"/>
    <n v="9.1999999999999993"/>
    <n v="9.1999999999999993"/>
    <n v="9.1999999999999993"/>
    <n v="9.1999999999999993"/>
    <n v="9.1999999999999993"/>
    <n v="9.1999999999999993"/>
    <n v="9.1999999999999993"/>
    <n v="9.1999999999999993"/>
    <m/>
    <m/>
    <m/>
    <m/>
    <m/>
    <m/>
    <m/>
    <n v="27.599999999999998"/>
    <n v="73.600000000000009"/>
  </r>
  <r>
    <n v="6892"/>
    <x v="4"/>
    <m/>
    <s v="Hunts Trucks and adjoining gasholder, Armoury Way"/>
    <m/>
    <n v="525690"/>
    <n v="174971"/>
    <s v="Wandsworth Town"/>
    <m/>
    <m/>
    <n v="0"/>
    <n v="60"/>
    <n v="60"/>
    <n v="462"/>
    <n v="462"/>
    <s v="Y"/>
    <s v="Redevelopment"/>
    <s v="NONE"/>
    <m/>
    <m/>
    <m/>
    <s v="Nil"/>
    <m/>
    <s v="BF"/>
    <s v="NB"/>
    <x v="0"/>
    <x v="0"/>
    <n v="0"/>
    <m/>
    <x v="0"/>
    <m/>
    <s v="Intermediate"/>
    <s v="IU"/>
    <s v="WT4"/>
    <m/>
    <n v="0"/>
    <n v="0"/>
    <n v="0"/>
    <n v="0"/>
    <n v="0"/>
    <n v="0"/>
    <n v="0"/>
    <n v="0"/>
    <n v="0"/>
    <n v="0"/>
    <n v="60"/>
    <n v="0"/>
    <n v="0"/>
    <n v="0"/>
    <n v="0"/>
    <n v="0"/>
    <n v="0"/>
    <n v="60"/>
    <n v="0"/>
    <n v="0"/>
    <n v="0"/>
    <n v="0"/>
    <n v="0"/>
    <n v="0"/>
    <n v="0"/>
    <n v="0"/>
    <n v="0"/>
    <n v="0"/>
    <n v="0"/>
    <n v="0"/>
    <n v="0"/>
    <n v="0"/>
    <m/>
    <m/>
    <s v="Wandsworth Town, including the Wandle Delta Masterplan Area"/>
    <n v="19"/>
    <m/>
    <m/>
    <m/>
    <n v="6"/>
    <n v="6"/>
    <n v="6"/>
    <n v="6"/>
    <n v="6"/>
    <n v="6"/>
    <n v="6"/>
    <n v="6"/>
    <n v="6"/>
    <n v="6"/>
    <m/>
    <m/>
    <m/>
    <m/>
    <m/>
    <m/>
    <m/>
    <n v="18"/>
    <n v="48"/>
  </r>
  <r>
    <n v="6901"/>
    <x v="4"/>
    <m/>
    <s v="Jubilee House and cinema, 230-232 Putney Bridge Road"/>
    <m/>
    <n v="524170"/>
    <n v="175517"/>
    <s v="Thamesfield"/>
    <m/>
    <m/>
    <n v="0"/>
    <n v="5"/>
    <n v="5"/>
    <n v="5"/>
    <n v="5"/>
    <m/>
    <s v="Redevelopment"/>
    <s v="NONE"/>
    <m/>
    <m/>
    <m/>
    <s v="Nil"/>
    <m/>
    <s v="BF"/>
    <s v="NB"/>
    <x v="2"/>
    <x v="1"/>
    <n v="0"/>
    <m/>
    <x v="0"/>
    <m/>
    <s v="Open Market"/>
    <s v="M"/>
    <s v="PUT2"/>
    <m/>
    <n v="0"/>
    <n v="0"/>
    <n v="0"/>
    <n v="0"/>
    <n v="0"/>
    <n v="0"/>
    <n v="0"/>
    <n v="0"/>
    <n v="0"/>
    <n v="0"/>
    <n v="5"/>
    <n v="0"/>
    <n v="0"/>
    <n v="0"/>
    <n v="0"/>
    <n v="0"/>
    <n v="0"/>
    <n v="5"/>
    <n v="0"/>
    <n v="0"/>
    <n v="0"/>
    <n v="0"/>
    <n v="0"/>
    <n v="0"/>
    <n v="0"/>
    <n v="0"/>
    <n v="0"/>
    <n v="0"/>
    <n v="0"/>
    <n v="0"/>
    <n v="0"/>
    <n v="0"/>
    <s v="Putney"/>
    <m/>
    <s v="Putney Town Centre"/>
    <n v="19"/>
    <m/>
    <m/>
    <m/>
    <m/>
    <m/>
    <m/>
    <m/>
    <m/>
    <m/>
    <n v="0.41666666666666669"/>
    <n v="0.41666666666666669"/>
    <n v="0.41666666666666669"/>
    <n v="0.41666666666666669"/>
    <n v="0.41666666666666669"/>
    <n v="0.41666666666666669"/>
    <n v="0.41666666666666669"/>
    <n v="0.41666666666666669"/>
    <n v="0.41666666666666669"/>
    <n v="0.41666666666666669"/>
    <n v="0.41666666666666669"/>
    <n v="0"/>
    <n v="0.83333333333333337"/>
  </r>
  <r>
    <n v="6893"/>
    <x v="4"/>
    <m/>
    <s v="Keltbray Site Wentworth House and adjacent land at, Dormay Street"/>
    <m/>
    <n v="525561"/>
    <n v="174936"/>
    <s v="Wandsworth Town"/>
    <m/>
    <m/>
    <n v="0"/>
    <n v="21"/>
    <n v="21"/>
    <n v="31"/>
    <n v="31"/>
    <s v="Y"/>
    <s v="Redevelopment"/>
    <s v="NONE"/>
    <m/>
    <m/>
    <m/>
    <s v="Nil"/>
    <m/>
    <s v="BF"/>
    <s v="NB"/>
    <x v="0"/>
    <x v="0"/>
    <n v="0"/>
    <m/>
    <x v="0"/>
    <m/>
    <s v="Open Market"/>
    <s v="M"/>
    <s v="WT5"/>
    <m/>
    <n v="0"/>
    <n v="0"/>
    <n v="0"/>
    <n v="0"/>
    <n v="0"/>
    <n v="0"/>
    <n v="0"/>
    <n v="0"/>
    <n v="0"/>
    <n v="0"/>
    <n v="21"/>
    <n v="0"/>
    <n v="0"/>
    <n v="0"/>
    <n v="0"/>
    <n v="0"/>
    <n v="0"/>
    <n v="21"/>
    <n v="0"/>
    <n v="0"/>
    <n v="0"/>
    <n v="0"/>
    <n v="0"/>
    <n v="0"/>
    <n v="0"/>
    <n v="0"/>
    <n v="0"/>
    <n v="0"/>
    <n v="0"/>
    <n v="0"/>
    <n v="0"/>
    <n v="0"/>
    <m/>
    <m/>
    <s v="Wandsworth Town, including the Wandle Delta Masterplan Area"/>
    <n v="19"/>
    <m/>
    <m/>
    <m/>
    <m/>
    <m/>
    <n v="1.3125"/>
    <n v="1.3125"/>
    <n v="1.3125"/>
    <n v="1.3125"/>
    <n v="1.3125"/>
    <n v="1.3125"/>
    <n v="1.3125"/>
    <n v="1.3125"/>
    <n v="1.3125"/>
    <n v="1.3125"/>
    <n v="1.3125"/>
    <n v="1.3125"/>
    <n v="1.3125"/>
    <n v="1.3125"/>
    <n v="1.3125"/>
    <n v="1.3125"/>
    <n v="7.875"/>
  </r>
  <r>
    <n v="6893"/>
    <x v="4"/>
    <m/>
    <s v="Keltbray Site Wentworth House and adjacent land at, Dormay Street"/>
    <m/>
    <n v="525561"/>
    <n v="174936"/>
    <s v="Wandsworth Town"/>
    <m/>
    <m/>
    <n v="0"/>
    <n v="6"/>
    <n v="6"/>
    <n v="31"/>
    <n v="31"/>
    <s v="Y"/>
    <s v="Redevelopment"/>
    <s v="NONE"/>
    <m/>
    <m/>
    <m/>
    <s v="Nil"/>
    <m/>
    <s v="BF"/>
    <s v="NB"/>
    <x v="0"/>
    <x v="0"/>
    <n v="0"/>
    <m/>
    <x v="0"/>
    <m/>
    <s v="Social/Affordable Rent"/>
    <s v="AA"/>
    <s v="WT5"/>
    <m/>
    <n v="0"/>
    <n v="0"/>
    <n v="0"/>
    <n v="0"/>
    <n v="0"/>
    <n v="0"/>
    <n v="0"/>
    <n v="0"/>
    <n v="0"/>
    <n v="0"/>
    <n v="6"/>
    <n v="0"/>
    <n v="0"/>
    <n v="0"/>
    <n v="0"/>
    <n v="0"/>
    <n v="0"/>
    <n v="6"/>
    <n v="0"/>
    <n v="0"/>
    <n v="0"/>
    <n v="0"/>
    <n v="0"/>
    <n v="0"/>
    <n v="0"/>
    <n v="0"/>
    <n v="0"/>
    <n v="0"/>
    <n v="0"/>
    <n v="0"/>
    <n v="0"/>
    <n v="0"/>
    <m/>
    <m/>
    <s v="Wandsworth Town, including the Wandle Delta Masterplan Area"/>
    <n v="19"/>
    <m/>
    <m/>
    <m/>
    <m/>
    <m/>
    <n v="0.375"/>
    <n v="0.375"/>
    <n v="0.375"/>
    <n v="0.375"/>
    <n v="0.375"/>
    <n v="0.375"/>
    <n v="0.375"/>
    <n v="0.375"/>
    <n v="0.375"/>
    <n v="0.375"/>
    <n v="0.375"/>
    <n v="0.375"/>
    <n v="0.375"/>
    <n v="0.375"/>
    <n v="0.375"/>
    <n v="0.375"/>
    <n v="2.25"/>
  </r>
  <r>
    <n v="6893"/>
    <x v="4"/>
    <m/>
    <s v="Keltbray Site Wentworth House and adjacent land at, Dormay Street"/>
    <m/>
    <n v="525561"/>
    <n v="174936"/>
    <s v="Wandsworth Town"/>
    <m/>
    <m/>
    <n v="0"/>
    <n v="4"/>
    <n v="4"/>
    <n v="31"/>
    <n v="31"/>
    <s v="Y"/>
    <s v="Redevelopment"/>
    <s v="NONE"/>
    <m/>
    <m/>
    <m/>
    <s v="Nil"/>
    <m/>
    <s v="BF"/>
    <s v="NB"/>
    <x v="0"/>
    <x v="0"/>
    <n v="0"/>
    <m/>
    <x v="0"/>
    <m/>
    <s v="Intermediate"/>
    <s v="IU"/>
    <s v="WT5"/>
    <m/>
    <n v="0"/>
    <n v="0"/>
    <n v="0"/>
    <n v="0"/>
    <n v="0"/>
    <n v="0"/>
    <n v="0"/>
    <n v="0"/>
    <n v="0"/>
    <n v="0"/>
    <n v="4"/>
    <n v="0"/>
    <n v="0"/>
    <n v="0"/>
    <n v="0"/>
    <n v="0"/>
    <n v="0"/>
    <n v="4"/>
    <n v="0"/>
    <n v="0"/>
    <n v="0"/>
    <n v="0"/>
    <n v="0"/>
    <n v="0"/>
    <n v="0"/>
    <n v="0"/>
    <n v="0"/>
    <n v="0"/>
    <n v="0"/>
    <n v="0"/>
    <n v="0"/>
    <n v="0"/>
    <m/>
    <m/>
    <s v="Wandsworth Town, including the Wandle Delta Masterplan Area"/>
    <n v="19"/>
    <m/>
    <m/>
    <m/>
    <m/>
    <m/>
    <n v="0.25"/>
    <n v="0.25"/>
    <n v="0.25"/>
    <n v="0.25"/>
    <n v="0.25"/>
    <n v="0.25"/>
    <n v="0.25"/>
    <n v="0.25"/>
    <n v="0.25"/>
    <n v="0.25"/>
    <n v="0.25"/>
    <n v="0.25"/>
    <n v="0.25"/>
    <n v="0.25"/>
    <n v="0.25"/>
    <n v="0.25"/>
    <n v="1.5"/>
  </r>
  <r>
    <n v="7542"/>
    <x v="4"/>
    <m/>
    <s v="Land adjacent to 102 Roehampton Vale, SW15 3RX"/>
    <m/>
    <n v="521741"/>
    <n v="172550"/>
    <s v="Roehampton"/>
    <m/>
    <m/>
    <n v="0"/>
    <n v="2"/>
    <n v="2"/>
    <n v="2"/>
    <n v="2"/>
    <m/>
    <s v="Redevelopment"/>
    <s v="NONE"/>
    <m/>
    <m/>
    <m/>
    <s v="Nil"/>
    <m/>
    <s v="BF"/>
    <s v="NB"/>
    <x v="2"/>
    <x v="1"/>
    <n v="0"/>
    <m/>
    <x v="0"/>
    <m/>
    <s v="Open Market"/>
    <s v="M"/>
    <m/>
    <m/>
    <n v="0"/>
    <n v="0"/>
    <n v="0"/>
    <n v="0"/>
    <n v="0"/>
    <n v="0"/>
    <n v="0"/>
    <n v="0"/>
    <n v="0"/>
    <n v="0"/>
    <n v="2"/>
    <n v="0"/>
    <n v="0"/>
    <n v="0"/>
    <n v="0"/>
    <n v="0"/>
    <n v="0"/>
    <n v="2"/>
    <n v="0"/>
    <n v="0"/>
    <n v="0"/>
    <n v="0"/>
    <n v="0"/>
    <n v="0"/>
    <n v="0"/>
    <n v="0"/>
    <n v="0"/>
    <n v="0"/>
    <n v="0"/>
    <n v="0"/>
    <n v="0"/>
    <n v="0"/>
    <m/>
    <m/>
    <s v="Rest of Borough"/>
    <n v="19"/>
    <m/>
    <m/>
    <m/>
    <m/>
    <m/>
    <n v="2"/>
    <m/>
    <m/>
    <m/>
    <m/>
    <m/>
    <m/>
    <m/>
    <m/>
    <m/>
    <m/>
    <m/>
    <m/>
    <m/>
    <m/>
    <n v="2"/>
    <n v="2"/>
  </r>
  <r>
    <n v="4484"/>
    <x v="4"/>
    <m/>
    <s v="Land at Clapham Junction station, SW11"/>
    <m/>
    <n v="526998.49629999895"/>
    <n v="175370.1955"/>
    <s v="Falconbrook"/>
    <m/>
    <m/>
    <n v="0"/>
    <n v="56"/>
    <n v="56"/>
    <n v="83"/>
    <n v="83"/>
    <s v="Y"/>
    <s v="Redevelopment"/>
    <s v="NONE"/>
    <m/>
    <m/>
    <m/>
    <s v="Nil"/>
    <m/>
    <s v="BF"/>
    <s v="NB"/>
    <x v="0"/>
    <x v="0"/>
    <n v="0"/>
    <m/>
    <x v="0"/>
    <m/>
    <s v="Open Market"/>
    <s v="M"/>
    <s v="CJ4"/>
    <m/>
    <n v="0"/>
    <n v="0"/>
    <n v="0"/>
    <n v="0"/>
    <n v="0"/>
    <n v="0"/>
    <n v="0"/>
    <n v="0"/>
    <n v="0"/>
    <n v="0"/>
    <n v="56"/>
    <n v="0"/>
    <n v="0"/>
    <n v="0"/>
    <n v="0"/>
    <n v="0"/>
    <n v="0"/>
    <n v="56"/>
    <n v="0"/>
    <n v="0"/>
    <n v="0"/>
    <n v="0"/>
    <n v="0"/>
    <n v="0"/>
    <n v="0"/>
    <n v="0"/>
    <n v="0"/>
    <n v="0"/>
    <n v="0"/>
    <n v="0"/>
    <n v="0"/>
    <n v="0"/>
    <m/>
    <m/>
    <s v="Clapham Junction Spatial Area Strategy"/>
    <n v="19"/>
    <m/>
    <m/>
    <m/>
    <m/>
    <m/>
    <m/>
    <m/>
    <m/>
    <m/>
    <m/>
    <m/>
    <m/>
    <m/>
    <m/>
    <n v="8"/>
    <n v="8"/>
    <n v="8"/>
    <n v="8"/>
    <n v="8"/>
    <n v="8"/>
    <n v="0"/>
    <n v="0"/>
  </r>
  <r>
    <n v="4484"/>
    <x v="4"/>
    <m/>
    <s v="Land at Clapham Junction station, SW11"/>
    <m/>
    <n v="526998.49629999895"/>
    <n v="175370.1955"/>
    <s v="Falconbrook"/>
    <m/>
    <m/>
    <n v="0"/>
    <n v="17"/>
    <n v="17"/>
    <n v="83"/>
    <n v="83"/>
    <s v="Y"/>
    <s v="Redevelopment"/>
    <s v="NONE"/>
    <m/>
    <m/>
    <m/>
    <s v="Nil"/>
    <m/>
    <s v="BF"/>
    <s v="NB"/>
    <x v="0"/>
    <x v="0"/>
    <n v="0"/>
    <m/>
    <x v="0"/>
    <m/>
    <s v="Social/Affordable Rent"/>
    <s v="AA"/>
    <s v="CJ4"/>
    <m/>
    <n v="0"/>
    <n v="0"/>
    <n v="0"/>
    <n v="0"/>
    <n v="0"/>
    <n v="0"/>
    <n v="0"/>
    <n v="0"/>
    <n v="0"/>
    <n v="0"/>
    <n v="17"/>
    <n v="0"/>
    <n v="0"/>
    <n v="0"/>
    <n v="0"/>
    <n v="0"/>
    <n v="0"/>
    <n v="17"/>
    <n v="0"/>
    <n v="0"/>
    <n v="0"/>
    <n v="0"/>
    <n v="0"/>
    <n v="0"/>
    <n v="0"/>
    <n v="0"/>
    <n v="0"/>
    <n v="0"/>
    <n v="0"/>
    <n v="0"/>
    <n v="0"/>
    <n v="0"/>
    <m/>
    <m/>
    <s v="Clapham Junction Spatial Area Strategy"/>
    <n v="19"/>
    <m/>
    <m/>
    <m/>
    <m/>
    <m/>
    <m/>
    <m/>
    <m/>
    <m/>
    <m/>
    <m/>
    <m/>
    <m/>
    <m/>
    <n v="2.4285714285714284"/>
    <n v="2.4285714285714284"/>
    <n v="2.4285714285714284"/>
    <n v="2.4285714285714284"/>
    <n v="2.4285714285714284"/>
    <n v="2.4285714285714284"/>
    <n v="0"/>
    <n v="0"/>
  </r>
  <r>
    <n v="4484"/>
    <x v="4"/>
    <m/>
    <s v="Land at Clapham Junction station, SW11"/>
    <m/>
    <n v="526998.49629999895"/>
    <n v="175370.1955"/>
    <s v="Falconbrook"/>
    <m/>
    <m/>
    <n v="0"/>
    <n v="10"/>
    <n v="10"/>
    <n v="83"/>
    <n v="83"/>
    <s v="Y"/>
    <s v="Redevelopment"/>
    <s v="NONE"/>
    <m/>
    <m/>
    <m/>
    <s v="Nil"/>
    <m/>
    <s v="BF"/>
    <s v="NB"/>
    <x v="0"/>
    <x v="0"/>
    <n v="0"/>
    <m/>
    <x v="0"/>
    <m/>
    <s v="Intermediate"/>
    <s v="IU"/>
    <s v="CJ4"/>
    <m/>
    <n v="0"/>
    <n v="0"/>
    <n v="0"/>
    <n v="0"/>
    <n v="0"/>
    <n v="0"/>
    <n v="0"/>
    <n v="0"/>
    <n v="0"/>
    <n v="0"/>
    <n v="10"/>
    <n v="0"/>
    <n v="0"/>
    <n v="0"/>
    <n v="0"/>
    <n v="0"/>
    <n v="0"/>
    <n v="10"/>
    <n v="0"/>
    <n v="0"/>
    <n v="0"/>
    <n v="0"/>
    <n v="0"/>
    <n v="0"/>
    <n v="0"/>
    <n v="0"/>
    <n v="0"/>
    <n v="0"/>
    <n v="0"/>
    <n v="0"/>
    <n v="0"/>
    <n v="0"/>
    <m/>
    <m/>
    <s v="Clapham Junction Spatial Area Strategy"/>
    <n v="19"/>
    <m/>
    <m/>
    <m/>
    <m/>
    <m/>
    <m/>
    <m/>
    <m/>
    <m/>
    <m/>
    <m/>
    <m/>
    <m/>
    <m/>
    <n v="1.4285714285714286"/>
    <n v="1.4285714285714286"/>
    <n v="1.4285714285714286"/>
    <n v="1.4285714285714286"/>
    <n v="1.4285714285714286"/>
    <n v="1.4285714285714286"/>
    <n v="0"/>
    <n v="0"/>
  </r>
  <r>
    <n v="6896"/>
    <x v="4"/>
    <m/>
    <s v="Land at the Causeway, The Causeway"/>
    <m/>
    <n v="525597"/>
    <n v="175113"/>
    <s v="St Mary's"/>
    <m/>
    <m/>
    <n v="0"/>
    <n v="24"/>
    <n v="24"/>
    <n v="36"/>
    <n v="36"/>
    <s v="Y"/>
    <s v="Redevelopment"/>
    <s v="NONE"/>
    <m/>
    <m/>
    <m/>
    <s v="Nil"/>
    <m/>
    <s v="BF"/>
    <s v="NB"/>
    <x v="0"/>
    <x v="0"/>
    <n v="0"/>
    <m/>
    <x v="0"/>
    <m/>
    <s v="Open Market"/>
    <s v="M"/>
    <s v="WT10"/>
    <m/>
    <n v="0"/>
    <n v="0"/>
    <n v="0"/>
    <n v="0"/>
    <n v="0"/>
    <n v="0"/>
    <n v="0"/>
    <n v="0"/>
    <n v="0"/>
    <n v="0"/>
    <n v="24"/>
    <n v="0"/>
    <n v="0"/>
    <n v="0"/>
    <n v="0"/>
    <n v="0"/>
    <n v="0"/>
    <n v="24"/>
    <n v="0"/>
    <n v="0"/>
    <n v="0"/>
    <n v="0"/>
    <n v="0"/>
    <n v="0"/>
    <n v="0"/>
    <n v="0"/>
    <n v="0"/>
    <n v="0"/>
    <n v="0"/>
    <n v="0"/>
    <n v="0"/>
    <n v="0"/>
    <m/>
    <m/>
    <s v="Wandsworth Town, including the Wandle Delta Masterplan Area"/>
    <n v="19"/>
    <m/>
    <m/>
    <m/>
    <m/>
    <m/>
    <m/>
    <m/>
    <m/>
    <m/>
    <m/>
    <m/>
    <m/>
    <m/>
    <m/>
    <n v="3.4285714285714284"/>
    <n v="3.4285714285714284"/>
    <n v="3.4285714285714284"/>
    <n v="3.4285714285714284"/>
    <n v="3.4285714285714284"/>
    <n v="3.4285714285714284"/>
    <n v="0"/>
    <n v="0"/>
  </r>
  <r>
    <n v="6896"/>
    <x v="4"/>
    <m/>
    <s v="Land at the Causeway, The Causeway"/>
    <m/>
    <n v="525597"/>
    <n v="175113"/>
    <s v="St Mary's"/>
    <m/>
    <m/>
    <n v="0"/>
    <n v="7"/>
    <n v="7"/>
    <n v="36"/>
    <n v="36"/>
    <s v="Y"/>
    <s v="Redevelopment"/>
    <s v="NONE"/>
    <m/>
    <m/>
    <m/>
    <s v="Nil"/>
    <m/>
    <s v="BF"/>
    <s v="NB"/>
    <x v="0"/>
    <x v="0"/>
    <n v="0"/>
    <m/>
    <x v="0"/>
    <m/>
    <s v="Social/Affordable Rent"/>
    <s v="AA"/>
    <s v="WT10"/>
    <m/>
    <n v="0"/>
    <n v="0"/>
    <n v="0"/>
    <n v="0"/>
    <n v="0"/>
    <n v="0"/>
    <n v="0"/>
    <n v="0"/>
    <n v="0"/>
    <n v="0"/>
    <n v="7"/>
    <n v="0"/>
    <n v="0"/>
    <n v="0"/>
    <n v="0"/>
    <n v="0"/>
    <n v="0"/>
    <n v="7"/>
    <n v="0"/>
    <n v="0"/>
    <n v="0"/>
    <n v="0"/>
    <n v="0"/>
    <n v="0"/>
    <n v="0"/>
    <n v="0"/>
    <n v="0"/>
    <n v="0"/>
    <n v="0"/>
    <n v="0"/>
    <n v="0"/>
    <n v="0"/>
    <m/>
    <m/>
    <s v="Wandsworth Town, including the Wandle Delta Masterplan Area"/>
    <n v="19"/>
    <m/>
    <m/>
    <m/>
    <m/>
    <m/>
    <m/>
    <m/>
    <m/>
    <m/>
    <m/>
    <m/>
    <m/>
    <m/>
    <m/>
    <n v="1"/>
    <n v="1"/>
    <n v="1"/>
    <n v="1"/>
    <n v="1"/>
    <n v="1"/>
    <n v="0"/>
    <n v="0"/>
  </r>
  <r>
    <n v="6896"/>
    <x v="4"/>
    <m/>
    <s v="Land at the Causeway, The Causeway"/>
    <m/>
    <n v="525597"/>
    <n v="175113"/>
    <s v="St Mary's"/>
    <m/>
    <m/>
    <n v="0"/>
    <n v="5"/>
    <n v="5"/>
    <n v="36"/>
    <n v="36"/>
    <s v="Y"/>
    <s v="Redevelopment"/>
    <s v="NONE"/>
    <m/>
    <m/>
    <m/>
    <s v="Nil"/>
    <m/>
    <s v="BF"/>
    <s v="NB"/>
    <x v="0"/>
    <x v="0"/>
    <n v="0"/>
    <m/>
    <x v="0"/>
    <m/>
    <s v="Intermediate"/>
    <s v="IU"/>
    <s v="WT10"/>
    <m/>
    <n v="0"/>
    <n v="0"/>
    <n v="0"/>
    <n v="0"/>
    <n v="0"/>
    <n v="0"/>
    <n v="0"/>
    <n v="0"/>
    <n v="0"/>
    <n v="0"/>
    <n v="5"/>
    <n v="0"/>
    <n v="0"/>
    <n v="0"/>
    <n v="0"/>
    <n v="0"/>
    <n v="0"/>
    <n v="5"/>
    <n v="0"/>
    <n v="0"/>
    <n v="0"/>
    <n v="0"/>
    <n v="0"/>
    <n v="0"/>
    <n v="0"/>
    <n v="0"/>
    <n v="0"/>
    <n v="0"/>
    <n v="0"/>
    <n v="0"/>
    <n v="0"/>
    <n v="0"/>
    <m/>
    <m/>
    <s v="Wandsworth Town, including the Wandle Delta Masterplan Area"/>
    <n v="19"/>
    <m/>
    <m/>
    <m/>
    <m/>
    <m/>
    <m/>
    <m/>
    <m/>
    <m/>
    <m/>
    <m/>
    <m/>
    <m/>
    <m/>
    <n v="0.7142857142857143"/>
    <n v="0.7142857142857143"/>
    <n v="0.7142857142857143"/>
    <n v="0.7142857142857143"/>
    <n v="0.7142857142857143"/>
    <n v="0.7142857142857143"/>
    <n v="0"/>
    <n v="0"/>
  </r>
  <r>
    <n v="7540"/>
    <x v="4"/>
    <m/>
    <s v="Land South of Fawe Park Road, London, SW15 2EG"/>
    <m/>
    <n v="524772"/>
    <n v="175005"/>
    <s v="Thamesfield"/>
    <m/>
    <m/>
    <n v="0"/>
    <n v="9"/>
    <n v="9"/>
    <n v="9"/>
    <n v="9"/>
    <m/>
    <s v="Redevelopment"/>
    <s v="NONE"/>
    <m/>
    <m/>
    <m/>
    <s v="Nil"/>
    <m/>
    <s v="BF"/>
    <s v="NB"/>
    <x v="2"/>
    <x v="1"/>
    <n v="0"/>
    <m/>
    <x v="0"/>
    <m/>
    <s v="Open Market"/>
    <s v="M"/>
    <m/>
    <m/>
    <n v="0"/>
    <n v="0"/>
    <n v="0"/>
    <n v="0"/>
    <n v="0"/>
    <n v="0"/>
    <n v="0"/>
    <n v="0"/>
    <n v="0"/>
    <n v="0"/>
    <n v="9"/>
    <n v="0"/>
    <n v="0"/>
    <n v="0"/>
    <n v="0"/>
    <n v="0"/>
    <n v="0"/>
    <n v="9"/>
    <n v="0"/>
    <n v="0"/>
    <n v="0"/>
    <n v="0"/>
    <n v="0"/>
    <n v="0"/>
    <n v="0"/>
    <n v="0"/>
    <n v="0"/>
    <n v="0"/>
    <n v="0"/>
    <n v="0"/>
    <n v="0"/>
    <n v="0"/>
    <m/>
    <m/>
    <s v="Rest of Borough"/>
    <n v="19"/>
    <m/>
    <m/>
    <m/>
    <m/>
    <m/>
    <n v="9"/>
    <m/>
    <m/>
    <m/>
    <m/>
    <m/>
    <m/>
    <m/>
    <m/>
    <m/>
    <m/>
    <m/>
    <m/>
    <m/>
    <m/>
    <n v="9"/>
    <n v="9"/>
  </r>
  <r>
    <n v="6864"/>
    <x v="4"/>
    <m/>
    <s v="Market Area, Tooting High Street"/>
    <m/>
    <n v="527562"/>
    <n v="171554"/>
    <s v="Tooting Broadway"/>
    <m/>
    <m/>
    <n v="0"/>
    <n v="36"/>
    <n v="36"/>
    <n v="54"/>
    <n v="54"/>
    <s v="Y"/>
    <s v="Redevelopment"/>
    <s v="NONE"/>
    <m/>
    <m/>
    <m/>
    <s v="Nil"/>
    <m/>
    <s v="BF"/>
    <s v="NB"/>
    <x v="0"/>
    <x v="0"/>
    <n v="0"/>
    <m/>
    <x v="0"/>
    <m/>
    <s v="Open Market"/>
    <s v="M"/>
    <s v="TO1"/>
    <m/>
    <n v="0"/>
    <n v="0"/>
    <n v="0"/>
    <n v="0"/>
    <n v="0"/>
    <n v="0"/>
    <n v="0"/>
    <n v="0"/>
    <n v="0"/>
    <n v="0"/>
    <n v="36"/>
    <n v="0"/>
    <n v="0"/>
    <n v="0"/>
    <n v="0"/>
    <n v="0"/>
    <n v="0"/>
    <n v="36"/>
    <n v="0"/>
    <n v="0"/>
    <n v="0"/>
    <n v="0"/>
    <n v="0"/>
    <n v="0"/>
    <n v="0"/>
    <n v="0"/>
    <n v="0"/>
    <n v="0"/>
    <n v="0"/>
    <n v="0"/>
    <n v="0"/>
    <n v="0"/>
    <s v="Tooting"/>
    <m/>
    <s v="Tooting"/>
    <n v="19"/>
    <m/>
    <m/>
    <m/>
    <m/>
    <m/>
    <m/>
    <m/>
    <m/>
    <m/>
    <n v="3"/>
    <n v="3"/>
    <n v="3"/>
    <n v="3"/>
    <n v="3"/>
    <n v="3"/>
    <n v="3"/>
    <n v="3"/>
    <n v="3"/>
    <n v="3"/>
    <n v="3"/>
    <n v="0"/>
    <n v="6"/>
  </r>
  <r>
    <n v="6864"/>
    <x v="4"/>
    <m/>
    <s v="Market Area, Tooting High Street"/>
    <m/>
    <n v="527562"/>
    <n v="171554"/>
    <s v="Tooting Broadway"/>
    <m/>
    <m/>
    <n v="0"/>
    <n v="11"/>
    <n v="11"/>
    <n v="54"/>
    <n v="54"/>
    <s v="Y"/>
    <s v="Redevelopment"/>
    <s v="NONE"/>
    <m/>
    <m/>
    <m/>
    <s v="Nil"/>
    <m/>
    <s v="BF"/>
    <s v="NB"/>
    <x v="0"/>
    <x v="0"/>
    <n v="0"/>
    <m/>
    <x v="0"/>
    <m/>
    <s v="Social/Affordable Rent"/>
    <s v="AA"/>
    <s v="TO1"/>
    <m/>
    <n v="0"/>
    <n v="0"/>
    <n v="0"/>
    <n v="0"/>
    <n v="0"/>
    <n v="0"/>
    <n v="0"/>
    <n v="0"/>
    <n v="0"/>
    <n v="0"/>
    <n v="11"/>
    <n v="0"/>
    <n v="0"/>
    <n v="0"/>
    <n v="0"/>
    <n v="0"/>
    <n v="0"/>
    <n v="11"/>
    <n v="0"/>
    <n v="0"/>
    <n v="0"/>
    <n v="0"/>
    <n v="0"/>
    <n v="0"/>
    <n v="0"/>
    <n v="0"/>
    <n v="0"/>
    <n v="0"/>
    <n v="0"/>
    <n v="0"/>
    <n v="0"/>
    <n v="0"/>
    <s v="Tooting"/>
    <m/>
    <s v="Tooting"/>
    <n v="19"/>
    <m/>
    <m/>
    <m/>
    <m/>
    <m/>
    <m/>
    <m/>
    <m/>
    <m/>
    <n v="0.91666666666666663"/>
    <n v="0.91666666666666663"/>
    <n v="0.91666666666666663"/>
    <n v="0.91666666666666663"/>
    <n v="0.91666666666666663"/>
    <n v="0.91666666666666663"/>
    <n v="0.91666666666666663"/>
    <n v="0.91666666666666663"/>
    <n v="0.91666666666666663"/>
    <n v="0.91666666666666663"/>
    <n v="0.91666666666666663"/>
    <n v="0"/>
    <n v="1.8333333333333333"/>
  </r>
  <r>
    <n v="6864"/>
    <x v="4"/>
    <m/>
    <s v="Market Area, Tooting High Street"/>
    <m/>
    <n v="527562"/>
    <n v="171554"/>
    <s v="Tooting Broadway"/>
    <m/>
    <m/>
    <n v="0"/>
    <n v="7"/>
    <n v="7"/>
    <n v="54"/>
    <n v="54"/>
    <s v="Y"/>
    <s v="Redevelopment"/>
    <s v="NONE"/>
    <m/>
    <m/>
    <m/>
    <s v="Nil"/>
    <m/>
    <s v="BF"/>
    <s v="NB"/>
    <x v="0"/>
    <x v="0"/>
    <n v="0"/>
    <m/>
    <x v="0"/>
    <m/>
    <s v="Intermediate"/>
    <s v="IU"/>
    <s v="TO1"/>
    <m/>
    <n v="0"/>
    <n v="0"/>
    <n v="0"/>
    <n v="0"/>
    <n v="0"/>
    <n v="0"/>
    <n v="0"/>
    <n v="0"/>
    <n v="0"/>
    <n v="0"/>
    <n v="7"/>
    <n v="0"/>
    <n v="0"/>
    <n v="0"/>
    <n v="0"/>
    <n v="0"/>
    <n v="0"/>
    <n v="7"/>
    <n v="0"/>
    <n v="0"/>
    <n v="0"/>
    <n v="0"/>
    <n v="0"/>
    <n v="0"/>
    <n v="0"/>
    <n v="0"/>
    <n v="0"/>
    <n v="0"/>
    <n v="0"/>
    <n v="0"/>
    <n v="0"/>
    <n v="0"/>
    <s v="Tooting"/>
    <m/>
    <s v="Tooting"/>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3523"/>
    <x v="4"/>
    <m/>
    <s v="McDonald's, Swandon Way (1 Marl Road)"/>
    <m/>
    <n v="526043"/>
    <n v="175254"/>
    <s v="St Mary's"/>
    <m/>
    <m/>
    <n v="0"/>
    <n v="7"/>
    <n v="7"/>
    <n v="10"/>
    <n v="10"/>
    <s v="Y"/>
    <s v="Redevelopment"/>
    <s v="NONE"/>
    <m/>
    <m/>
    <m/>
    <s v="Nil"/>
    <m/>
    <s v="BF"/>
    <s v="NB"/>
    <x v="0"/>
    <x v="0"/>
    <n v="0"/>
    <m/>
    <x v="0"/>
    <m/>
    <s v="Open Market"/>
    <s v="M"/>
    <s v="WT14"/>
    <m/>
    <n v="0"/>
    <n v="0"/>
    <n v="0"/>
    <n v="0"/>
    <n v="0"/>
    <n v="0"/>
    <n v="0"/>
    <n v="0"/>
    <n v="0"/>
    <n v="0"/>
    <n v="7"/>
    <n v="0"/>
    <n v="0"/>
    <n v="0"/>
    <n v="0"/>
    <n v="0"/>
    <n v="0"/>
    <n v="7"/>
    <n v="0"/>
    <n v="0"/>
    <n v="0"/>
    <n v="0"/>
    <n v="0"/>
    <n v="0"/>
    <n v="0"/>
    <n v="0"/>
    <n v="0"/>
    <n v="0"/>
    <n v="0"/>
    <n v="0"/>
    <n v="0"/>
    <n v="0"/>
    <m/>
    <m/>
    <s v="Wandsworth Town, including the Wandle Delta Masterplan Area"/>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3523"/>
    <x v="4"/>
    <m/>
    <s v="McDonald's, Swandon Way (1 Marl Road)"/>
    <m/>
    <n v="526043"/>
    <n v="175254"/>
    <s v="St Mary's"/>
    <m/>
    <m/>
    <n v="0"/>
    <n v="2"/>
    <n v="2"/>
    <n v="10"/>
    <n v="10"/>
    <s v="Y"/>
    <s v="Redevelopment"/>
    <s v="NONE"/>
    <m/>
    <m/>
    <m/>
    <s v="Nil"/>
    <m/>
    <s v="BF"/>
    <s v="NB"/>
    <x v="0"/>
    <x v="0"/>
    <n v="0"/>
    <m/>
    <x v="0"/>
    <m/>
    <s v="Social/Affordable Rent"/>
    <s v="AA"/>
    <s v="WT14"/>
    <m/>
    <n v="0"/>
    <n v="0"/>
    <n v="0"/>
    <n v="0"/>
    <n v="0"/>
    <n v="0"/>
    <n v="0"/>
    <n v="0"/>
    <n v="0"/>
    <n v="0"/>
    <n v="2"/>
    <n v="0"/>
    <n v="0"/>
    <n v="0"/>
    <n v="0"/>
    <n v="0"/>
    <n v="0"/>
    <n v="2"/>
    <n v="0"/>
    <n v="0"/>
    <n v="0"/>
    <n v="0"/>
    <n v="0"/>
    <n v="0"/>
    <n v="0"/>
    <n v="0"/>
    <n v="0"/>
    <n v="0"/>
    <n v="0"/>
    <n v="0"/>
    <n v="0"/>
    <n v="0"/>
    <m/>
    <m/>
    <s v="Wandsworth Town, including the Wandle Delta Masterplan Area"/>
    <n v="19"/>
    <m/>
    <m/>
    <m/>
    <m/>
    <m/>
    <m/>
    <m/>
    <m/>
    <m/>
    <n v="0.16666666666666666"/>
    <n v="0.16666666666666666"/>
    <n v="0.16666666666666666"/>
    <n v="0.16666666666666666"/>
    <n v="0.16666666666666666"/>
    <n v="0.16666666666666666"/>
    <n v="0.16666666666666666"/>
    <n v="0.16666666666666666"/>
    <n v="0.16666666666666666"/>
    <n v="0.16666666666666666"/>
    <n v="0.16666666666666666"/>
    <n v="0"/>
    <n v="0.33333333333333331"/>
  </r>
  <r>
    <n v="3523"/>
    <x v="4"/>
    <m/>
    <s v="McDonald's, Swandon Way (1 Marl Road)"/>
    <m/>
    <n v="526043"/>
    <n v="175254"/>
    <s v="St Mary's"/>
    <m/>
    <m/>
    <n v="0"/>
    <n v="1"/>
    <n v="1"/>
    <n v="10"/>
    <n v="10"/>
    <s v="Y"/>
    <s v="Redevelopment"/>
    <s v="NONE"/>
    <m/>
    <m/>
    <m/>
    <s v="Nil"/>
    <m/>
    <s v="BF"/>
    <s v="NB"/>
    <x v="0"/>
    <x v="0"/>
    <n v="0"/>
    <m/>
    <x v="0"/>
    <m/>
    <s v="Intermediate"/>
    <s v="IU"/>
    <s v="WT14"/>
    <m/>
    <n v="0"/>
    <n v="0"/>
    <n v="0"/>
    <n v="0"/>
    <n v="0"/>
    <n v="0"/>
    <n v="0"/>
    <n v="0"/>
    <n v="0"/>
    <n v="0"/>
    <n v="1"/>
    <n v="0"/>
    <n v="0"/>
    <n v="0"/>
    <n v="0"/>
    <n v="0"/>
    <n v="0"/>
    <n v="1"/>
    <n v="0"/>
    <n v="0"/>
    <n v="0"/>
    <n v="0"/>
    <n v="0"/>
    <n v="0"/>
    <n v="0"/>
    <n v="0"/>
    <n v="0"/>
    <n v="0"/>
    <n v="0"/>
    <n v="0"/>
    <n v="0"/>
    <n v="0"/>
    <m/>
    <m/>
    <s v="Wandsworth Town, including the Wandle Delta Masterplan Area"/>
    <n v="19"/>
    <m/>
    <m/>
    <m/>
    <m/>
    <m/>
    <m/>
    <m/>
    <m/>
    <m/>
    <n v="8.3333333333333329E-2"/>
    <n v="8.3333333333333329E-2"/>
    <n v="8.3333333333333329E-2"/>
    <n v="8.3333333333333329E-2"/>
    <n v="8.3333333333333329E-2"/>
    <n v="8.3333333333333329E-2"/>
    <n v="8.3333333333333329E-2"/>
    <n v="8.3333333333333329E-2"/>
    <n v="8.3333333333333329E-2"/>
    <n v="8.3333333333333329E-2"/>
    <n v="8.3333333333333329E-2"/>
    <n v="0"/>
    <n v="0.16666666666666666"/>
  </r>
  <r>
    <n v="3955"/>
    <x v="4"/>
    <m/>
    <s v="Mercedes Benz and Bemco, Bridgend Road"/>
    <m/>
    <n v="526045"/>
    <n v="175348"/>
    <s v="St Mary's"/>
    <m/>
    <m/>
    <n v="0"/>
    <n v="128"/>
    <n v="128"/>
    <n v="191"/>
    <n v="191"/>
    <s v="Y"/>
    <s v="Redevelopment"/>
    <s v="NONE"/>
    <m/>
    <m/>
    <m/>
    <s v="Nil"/>
    <m/>
    <s v="BF"/>
    <s v="NB"/>
    <x v="0"/>
    <x v="0"/>
    <n v="0"/>
    <m/>
    <x v="0"/>
    <m/>
    <s v="Open Market"/>
    <s v="M"/>
    <s v="WT15"/>
    <m/>
    <n v="0"/>
    <n v="0"/>
    <n v="0"/>
    <n v="0"/>
    <n v="0"/>
    <n v="0"/>
    <n v="0"/>
    <n v="0"/>
    <n v="0"/>
    <n v="0"/>
    <n v="128"/>
    <n v="0"/>
    <n v="0"/>
    <n v="0"/>
    <n v="0"/>
    <n v="0"/>
    <n v="0"/>
    <n v="128"/>
    <n v="0"/>
    <n v="0"/>
    <n v="0"/>
    <n v="0"/>
    <n v="0"/>
    <n v="0"/>
    <n v="0"/>
    <n v="0"/>
    <n v="0"/>
    <n v="0"/>
    <n v="0"/>
    <n v="0"/>
    <n v="0"/>
    <n v="0"/>
    <m/>
    <m/>
    <s v="Wandsworth Town, including the Wandle Delta Masterplan Area"/>
    <n v="19"/>
    <m/>
    <m/>
    <m/>
    <m/>
    <m/>
    <n v="8"/>
    <n v="8"/>
    <n v="8"/>
    <n v="8"/>
    <n v="8"/>
    <n v="8"/>
    <n v="8"/>
    <n v="8"/>
    <n v="8"/>
    <n v="8"/>
    <n v="8"/>
    <n v="8"/>
    <n v="8"/>
    <n v="8"/>
    <n v="8"/>
    <n v="8"/>
    <n v="48"/>
  </r>
  <r>
    <n v="3955"/>
    <x v="4"/>
    <m/>
    <s v="Mercedes Benz and Bemco, Bridgend Road"/>
    <m/>
    <n v="526045"/>
    <n v="175348"/>
    <s v="St Mary's"/>
    <m/>
    <m/>
    <n v="0"/>
    <n v="38"/>
    <n v="38"/>
    <n v="191"/>
    <n v="191"/>
    <s v="Y"/>
    <s v="Redevelopment"/>
    <s v="NONE"/>
    <m/>
    <m/>
    <m/>
    <s v="Nil"/>
    <m/>
    <s v="BF"/>
    <s v="NB"/>
    <x v="0"/>
    <x v="0"/>
    <n v="0"/>
    <m/>
    <x v="0"/>
    <m/>
    <s v="Social/Affordable Rent"/>
    <s v="AA"/>
    <s v="WT15"/>
    <m/>
    <n v="0"/>
    <n v="0"/>
    <n v="0"/>
    <n v="0"/>
    <n v="0"/>
    <n v="0"/>
    <n v="0"/>
    <n v="0"/>
    <n v="0"/>
    <n v="0"/>
    <n v="38"/>
    <n v="0"/>
    <n v="0"/>
    <n v="0"/>
    <n v="0"/>
    <n v="0"/>
    <n v="0"/>
    <n v="38"/>
    <n v="0"/>
    <n v="0"/>
    <n v="0"/>
    <n v="0"/>
    <n v="0"/>
    <n v="0"/>
    <n v="0"/>
    <n v="0"/>
    <n v="0"/>
    <n v="0"/>
    <n v="0"/>
    <n v="0"/>
    <n v="0"/>
    <n v="0"/>
    <m/>
    <m/>
    <s v="Wandsworth Town, including the Wandle Delta Masterplan Area"/>
    <n v="19"/>
    <m/>
    <m/>
    <m/>
    <m/>
    <m/>
    <n v="2.375"/>
    <n v="2.375"/>
    <n v="2.375"/>
    <n v="2.375"/>
    <n v="2.375"/>
    <n v="2.375"/>
    <n v="2.375"/>
    <n v="2.375"/>
    <n v="2.375"/>
    <n v="2.375"/>
    <n v="2.375"/>
    <n v="2.375"/>
    <n v="2.375"/>
    <n v="2.375"/>
    <n v="2.375"/>
    <n v="2.375"/>
    <n v="14.25"/>
  </r>
  <r>
    <n v="3955"/>
    <x v="4"/>
    <m/>
    <s v="Mercedes Benz and Bemco, Bridgend Road"/>
    <m/>
    <n v="526045"/>
    <n v="175348"/>
    <s v="St Mary's"/>
    <m/>
    <m/>
    <n v="0"/>
    <n v="25"/>
    <n v="25"/>
    <n v="191"/>
    <n v="191"/>
    <s v="Y"/>
    <s v="Redevelopment"/>
    <s v="NONE"/>
    <m/>
    <m/>
    <m/>
    <s v="Nil"/>
    <m/>
    <s v="BF"/>
    <s v="NB"/>
    <x v="0"/>
    <x v="0"/>
    <n v="0"/>
    <m/>
    <x v="0"/>
    <m/>
    <s v="Intermediate"/>
    <s v="IU"/>
    <s v="WT15"/>
    <m/>
    <n v="0"/>
    <n v="0"/>
    <n v="0"/>
    <n v="0"/>
    <n v="0"/>
    <n v="0"/>
    <n v="0"/>
    <n v="0"/>
    <n v="0"/>
    <n v="0"/>
    <n v="25"/>
    <n v="0"/>
    <n v="0"/>
    <n v="0"/>
    <n v="0"/>
    <n v="0"/>
    <n v="0"/>
    <n v="25"/>
    <n v="0"/>
    <n v="0"/>
    <n v="0"/>
    <n v="0"/>
    <n v="0"/>
    <n v="0"/>
    <n v="0"/>
    <n v="0"/>
    <n v="0"/>
    <n v="0"/>
    <n v="0"/>
    <n v="0"/>
    <n v="0"/>
    <n v="0"/>
    <m/>
    <m/>
    <s v="Wandsworth Town, including the Wandle Delta Masterplan Area"/>
    <n v="19"/>
    <m/>
    <m/>
    <m/>
    <m/>
    <m/>
    <n v="1.5625"/>
    <n v="1.5625"/>
    <n v="1.5625"/>
    <n v="1.5625"/>
    <n v="1.5625"/>
    <n v="1.5625"/>
    <n v="1.5625"/>
    <n v="1.5625"/>
    <n v="1.5625"/>
    <n v="1.5625"/>
    <n v="1.5625"/>
    <n v="1.5625"/>
    <n v="1.5625"/>
    <n v="1.5625"/>
    <n v="1.5625"/>
    <n v="1.5625"/>
    <n v="9.375"/>
  </r>
  <r>
    <n v="6890"/>
    <x v="4"/>
    <m/>
    <s v="Metropolitan Police Warehouse Garage, Ponton Road"/>
    <m/>
    <n v="529517"/>
    <n v="177263"/>
    <s v="Nine Elms"/>
    <m/>
    <m/>
    <n v="0"/>
    <n v="156"/>
    <n v="156"/>
    <n v="184"/>
    <n v="184"/>
    <s v="Y"/>
    <s v="Redevelopment"/>
    <s v="NONE"/>
    <m/>
    <m/>
    <m/>
    <s v="Nil"/>
    <m/>
    <s v="BF"/>
    <s v="NB"/>
    <x v="0"/>
    <x v="0"/>
    <n v="0"/>
    <m/>
    <x v="0"/>
    <m/>
    <s v="Open Market"/>
    <s v="M"/>
    <s v="NE4"/>
    <m/>
    <n v="0"/>
    <n v="0"/>
    <n v="0"/>
    <n v="0"/>
    <n v="0"/>
    <n v="0"/>
    <n v="0"/>
    <n v="0"/>
    <n v="0"/>
    <n v="0"/>
    <n v="156"/>
    <n v="0"/>
    <n v="0"/>
    <n v="0"/>
    <n v="0"/>
    <n v="0"/>
    <n v="0"/>
    <n v="156"/>
    <n v="0"/>
    <n v="0"/>
    <n v="0"/>
    <n v="0"/>
    <n v="0"/>
    <n v="0"/>
    <n v="0"/>
    <n v="0"/>
    <n v="0"/>
    <n v="0"/>
    <n v="0"/>
    <n v="0"/>
    <n v="0"/>
    <n v="0"/>
    <m/>
    <s v="Y"/>
    <s v="Nine Elms Vauxhall Opportunity Area"/>
    <n v="20"/>
    <m/>
    <m/>
    <m/>
    <m/>
    <m/>
    <n v="156"/>
    <m/>
    <m/>
    <m/>
    <m/>
    <m/>
    <m/>
    <m/>
    <m/>
    <m/>
    <m/>
    <m/>
    <m/>
    <m/>
    <m/>
    <n v="156"/>
    <n v="156"/>
  </r>
  <r>
    <n v="6890"/>
    <x v="4"/>
    <m/>
    <s v="Metropolitan Police Warehouse Garage, Ponton Road"/>
    <m/>
    <n v="529517"/>
    <n v="177263"/>
    <s v="Nine Elms"/>
    <m/>
    <m/>
    <n v="0"/>
    <n v="17"/>
    <n v="17"/>
    <n v="184"/>
    <n v="184"/>
    <s v="Y"/>
    <s v="Redevelopment"/>
    <s v="NONE"/>
    <m/>
    <m/>
    <m/>
    <s v="Nil"/>
    <m/>
    <s v="BF"/>
    <s v="NB"/>
    <x v="0"/>
    <x v="0"/>
    <n v="0"/>
    <m/>
    <x v="0"/>
    <m/>
    <s v="Social/Affordable Rent"/>
    <s v="AA"/>
    <s v="NE4"/>
    <m/>
    <n v="0"/>
    <n v="0"/>
    <n v="0"/>
    <n v="0"/>
    <n v="0"/>
    <n v="0"/>
    <n v="0"/>
    <n v="0"/>
    <n v="0"/>
    <n v="0"/>
    <n v="17"/>
    <n v="0"/>
    <n v="0"/>
    <n v="0"/>
    <n v="0"/>
    <n v="0"/>
    <n v="0"/>
    <n v="17"/>
    <n v="0"/>
    <n v="0"/>
    <n v="0"/>
    <n v="0"/>
    <n v="0"/>
    <n v="0"/>
    <n v="0"/>
    <n v="0"/>
    <n v="0"/>
    <n v="0"/>
    <n v="0"/>
    <n v="0"/>
    <n v="0"/>
    <n v="0"/>
    <m/>
    <s v="Y"/>
    <s v="Nine Elms Vauxhall Opportunity Area"/>
    <n v="20"/>
    <m/>
    <m/>
    <m/>
    <m/>
    <m/>
    <n v="17"/>
    <m/>
    <m/>
    <m/>
    <m/>
    <m/>
    <m/>
    <m/>
    <m/>
    <m/>
    <m/>
    <m/>
    <m/>
    <m/>
    <m/>
    <n v="17"/>
    <n v="17"/>
  </r>
  <r>
    <n v="6890"/>
    <x v="4"/>
    <m/>
    <s v="Metropolitan Police Warehouse Garage, Ponton Road"/>
    <m/>
    <n v="529517"/>
    <n v="177263"/>
    <s v="Nine Elms"/>
    <m/>
    <m/>
    <n v="0"/>
    <n v="11"/>
    <n v="11"/>
    <n v="184"/>
    <n v="184"/>
    <s v="Y"/>
    <s v="Redevelopment"/>
    <s v="NONE"/>
    <m/>
    <m/>
    <m/>
    <s v="Nil"/>
    <m/>
    <s v="BF"/>
    <s v="NB"/>
    <x v="0"/>
    <x v="0"/>
    <n v="0"/>
    <m/>
    <x v="0"/>
    <m/>
    <s v="Intermediate"/>
    <s v="IU"/>
    <s v="NE4"/>
    <m/>
    <n v="0"/>
    <n v="0"/>
    <n v="0"/>
    <n v="0"/>
    <n v="0"/>
    <n v="0"/>
    <n v="0"/>
    <n v="0"/>
    <n v="0"/>
    <n v="0"/>
    <n v="11"/>
    <n v="0"/>
    <n v="0"/>
    <n v="0"/>
    <n v="0"/>
    <n v="0"/>
    <n v="0"/>
    <n v="11"/>
    <n v="0"/>
    <n v="0"/>
    <n v="0"/>
    <n v="0"/>
    <n v="0"/>
    <n v="0"/>
    <n v="0"/>
    <n v="0"/>
    <n v="0"/>
    <n v="0"/>
    <n v="0"/>
    <n v="0"/>
    <n v="0"/>
    <n v="0"/>
    <m/>
    <s v="Y"/>
    <s v="Nine Elms Vauxhall Opportunity Area"/>
    <n v="20"/>
    <m/>
    <m/>
    <m/>
    <m/>
    <m/>
    <n v="11"/>
    <m/>
    <m/>
    <m/>
    <m/>
    <m/>
    <m/>
    <m/>
    <m/>
    <m/>
    <m/>
    <m/>
    <m/>
    <m/>
    <m/>
    <n v="11"/>
    <n v="11"/>
  </r>
  <r>
    <n v="7574"/>
    <x v="4"/>
    <m/>
    <s v="Middle Wharf, Nine Elms, SW8"/>
    <m/>
    <n v="529574.49120000005"/>
    <n v="177639.5822"/>
    <s v="Nine Elms"/>
    <m/>
    <m/>
    <n v="0"/>
    <n v="1"/>
    <n v="1"/>
    <n v="1"/>
    <n v="1"/>
    <m/>
    <s v="Redevelopment"/>
    <s v="NONE"/>
    <m/>
    <m/>
    <m/>
    <s v="Nil"/>
    <m/>
    <s v="BF"/>
    <s v="NB"/>
    <x v="2"/>
    <x v="1"/>
    <n v="0"/>
    <m/>
    <x v="0"/>
    <m/>
    <s v="Open Market"/>
    <s v="M"/>
    <s v="NE10"/>
    <m/>
    <n v="0"/>
    <n v="0"/>
    <n v="0"/>
    <n v="0"/>
    <n v="0"/>
    <n v="0"/>
    <n v="0"/>
    <n v="0"/>
    <n v="0"/>
    <n v="0"/>
    <n v="1"/>
    <n v="0"/>
    <n v="0"/>
    <n v="0"/>
    <n v="0"/>
    <n v="0"/>
    <n v="0"/>
    <n v="1"/>
    <n v="0"/>
    <n v="0"/>
    <n v="0"/>
    <n v="0"/>
    <n v="0"/>
    <n v="0"/>
    <n v="0"/>
    <n v="0"/>
    <n v="0"/>
    <n v="0"/>
    <n v="0"/>
    <n v="0"/>
    <n v="0"/>
    <n v="0"/>
    <m/>
    <s v="Y"/>
    <s v="Nine Elms Vauxhall Opportunity Area"/>
    <n v="20"/>
    <m/>
    <m/>
    <m/>
    <m/>
    <m/>
    <m/>
    <m/>
    <m/>
    <m/>
    <m/>
    <m/>
    <m/>
    <m/>
    <m/>
    <n v="0.14285714285714285"/>
    <n v="0.14285714285714285"/>
    <n v="0.14285714285714285"/>
    <n v="0.14285714285714285"/>
    <n v="0.14285714285714285"/>
    <n v="0.14285714285714285"/>
    <n v="0"/>
    <n v="0"/>
  </r>
  <r>
    <n v="7581"/>
    <x v="4"/>
    <m/>
    <s v="Mount Clare, Minstead Gardens, Roehampton, SW15"/>
    <m/>
    <n v="521612.7733"/>
    <n v="173961.022399999"/>
    <s v="Roehampton"/>
    <m/>
    <m/>
    <n v="0"/>
    <n v="87"/>
    <n v="87"/>
    <n v="130"/>
    <n v="130"/>
    <s v="Y"/>
    <s v="Redevelopment"/>
    <s v="NONE"/>
    <m/>
    <m/>
    <m/>
    <s v="Nil"/>
    <m/>
    <s v="BF"/>
    <s v="NB"/>
    <x v="0"/>
    <x v="0"/>
    <n v="0"/>
    <m/>
    <x v="0"/>
    <m/>
    <s v="Open Market"/>
    <s v="M"/>
    <s v="RO2"/>
    <m/>
    <n v="0"/>
    <n v="0"/>
    <n v="0"/>
    <n v="0"/>
    <n v="0"/>
    <n v="0"/>
    <n v="0"/>
    <n v="0"/>
    <n v="0"/>
    <n v="0"/>
    <n v="87"/>
    <n v="0"/>
    <n v="0"/>
    <n v="0"/>
    <n v="0"/>
    <n v="0"/>
    <n v="0"/>
    <n v="87"/>
    <n v="0"/>
    <n v="0"/>
    <n v="0"/>
    <n v="0"/>
    <n v="0"/>
    <n v="0"/>
    <n v="0"/>
    <n v="0"/>
    <n v="0"/>
    <n v="0"/>
    <n v="0"/>
    <n v="0"/>
    <n v="0"/>
    <n v="0"/>
    <m/>
    <m/>
    <s v="Roehampton Regeneration Area"/>
    <n v="19"/>
    <m/>
    <m/>
    <m/>
    <m/>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10.235294117647058"/>
    <n v="35.823529411764703"/>
  </r>
  <r>
    <n v="7581"/>
    <x v="4"/>
    <m/>
    <s v="Mount Clare, Minstead Gardens, Roehampton, SW15"/>
    <m/>
    <n v="521612.7733"/>
    <n v="173961.022399999"/>
    <s v="Roehampton"/>
    <m/>
    <m/>
    <n v="0"/>
    <n v="26"/>
    <n v="26"/>
    <n v="130"/>
    <n v="130"/>
    <s v="Y"/>
    <s v="Redevelopment"/>
    <s v="NONE"/>
    <m/>
    <m/>
    <m/>
    <s v="Nil"/>
    <m/>
    <s v="BF"/>
    <s v="NB"/>
    <x v="0"/>
    <x v="0"/>
    <n v="0"/>
    <m/>
    <x v="0"/>
    <m/>
    <s v="Social/Affordable Rent"/>
    <s v="AA"/>
    <s v="RO2"/>
    <m/>
    <n v="0"/>
    <n v="0"/>
    <n v="0"/>
    <n v="0"/>
    <n v="0"/>
    <n v="0"/>
    <n v="0"/>
    <n v="0"/>
    <n v="0"/>
    <n v="0"/>
    <n v="26"/>
    <n v="0"/>
    <n v="0"/>
    <n v="0"/>
    <n v="0"/>
    <n v="0"/>
    <n v="0"/>
    <n v="26"/>
    <n v="0"/>
    <n v="0"/>
    <n v="0"/>
    <n v="0"/>
    <n v="0"/>
    <n v="0"/>
    <n v="0"/>
    <n v="0"/>
    <n v="0"/>
    <n v="0"/>
    <n v="0"/>
    <n v="0"/>
    <n v="0"/>
    <n v="0"/>
    <m/>
    <m/>
    <s v="Roehampton Regeneration Area"/>
    <n v="19"/>
    <m/>
    <m/>
    <m/>
    <m/>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3.0588235294117645"/>
    <n v="10.705882352941176"/>
  </r>
  <r>
    <n v="7581"/>
    <x v="4"/>
    <m/>
    <s v="Mount Clare, Minstead Gardens, Roehampton, SW15"/>
    <m/>
    <n v="521612.7733"/>
    <n v="173961.022399999"/>
    <s v="Roehampton"/>
    <m/>
    <m/>
    <n v="0"/>
    <n v="17"/>
    <n v="17"/>
    <n v="130"/>
    <n v="130"/>
    <s v="Y"/>
    <s v="Redevelopment"/>
    <s v="NONE"/>
    <m/>
    <m/>
    <m/>
    <s v="Nil"/>
    <m/>
    <s v="BF"/>
    <s v="NB"/>
    <x v="0"/>
    <x v="0"/>
    <n v="0"/>
    <m/>
    <x v="0"/>
    <m/>
    <s v="Intermediate"/>
    <s v="IU"/>
    <s v="RO2"/>
    <m/>
    <n v="0"/>
    <n v="0"/>
    <n v="0"/>
    <n v="0"/>
    <n v="0"/>
    <n v="0"/>
    <n v="0"/>
    <n v="0"/>
    <n v="0"/>
    <n v="0"/>
    <n v="17"/>
    <n v="0"/>
    <n v="0"/>
    <n v="0"/>
    <n v="0"/>
    <n v="0"/>
    <n v="0"/>
    <n v="17"/>
    <n v="0"/>
    <n v="0"/>
    <n v="0"/>
    <n v="0"/>
    <n v="0"/>
    <n v="0"/>
    <n v="0"/>
    <n v="0"/>
    <n v="0"/>
    <n v="0"/>
    <n v="0"/>
    <n v="0"/>
    <n v="0"/>
    <n v="0"/>
    <m/>
    <m/>
    <s v="Roehampton Regeneration Area"/>
    <n v="19"/>
    <m/>
    <m/>
    <m/>
    <m/>
    <n v="1"/>
    <n v="1"/>
    <n v="1"/>
    <n v="1"/>
    <n v="1"/>
    <n v="1"/>
    <n v="1"/>
    <n v="1"/>
    <n v="1"/>
    <n v="1"/>
    <n v="1"/>
    <n v="1"/>
    <n v="1"/>
    <n v="1"/>
    <n v="1"/>
    <n v="1"/>
    <n v="2"/>
    <n v="7"/>
  </r>
  <r>
    <n v="6906"/>
    <x v="4"/>
    <m/>
    <s v="Panorama Antennas, Dormay Street"/>
    <m/>
    <n v="525504"/>
    <n v="174901"/>
    <s v="Wandsworth Town"/>
    <m/>
    <m/>
    <n v="0"/>
    <n v="7"/>
    <n v="7"/>
    <n v="7"/>
    <n v="7"/>
    <m/>
    <s v="Redevelopment"/>
    <s v="NONE"/>
    <m/>
    <m/>
    <m/>
    <s v="Nil"/>
    <m/>
    <s v="BF"/>
    <s v="NB"/>
    <x v="2"/>
    <x v="1"/>
    <n v="0"/>
    <m/>
    <x v="0"/>
    <m/>
    <s v="Open Market"/>
    <s v="M"/>
    <s v="WT7"/>
    <m/>
    <n v="0"/>
    <n v="0"/>
    <n v="0"/>
    <n v="0"/>
    <n v="0"/>
    <n v="0"/>
    <n v="0"/>
    <n v="0"/>
    <n v="0"/>
    <n v="0"/>
    <n v="7"/>
    <n v="0"/>
    <n v="0"/>
    <n v="0"/>
    <n v="0"/>
    <n v="0"/>
    <n v="0"/>
    <n v="7"/>
    <n v="0"/>
    <n v="0"/>
    <n v="0"/>
    <n v="0"/>
    <n v="0"/>
    <n v="0"/>
    <n v="0"/>
    <n v="0"/>
    <n v="0"/>
    <n v="0"/>
    <n v="0"/>
    <n v="0"/>
    <n v="0"/>
    <n v="0"/>
    <m/>
    <m/>
    <s v="Wandsworth Town, including the Wandle Delta Masterplan Area"/>
    <n v="19"/>
    <m/>
    <m/>
    <m/>
    <m/>
    <m/>
    <n v="0.7"/>
    <n v="0.7"/>
    <n v="0.7"/>
    <n v="0.7"/>
    <n v="0.7"/>
    <n v="0.7"/>
    <n v="0.7"/>
    <n v="0.7"/>
    <n v="0.7"/>
    <n v="0.7"/>
    <m/>
    <m/>
    <m/>
    <m/>
    <m/>
    <n v="0.7"/>
    <n v="4.2"/>
  </r>
  <r>
    <n v="7535"/>
    <x v="4"/>
    <m/>
    <s v="Patmore Estate, Stewart's Road, Thessaly Road, SW8 4LB"/>
    <m/>
    <n v="529321"/>
    <n v="176863"/>
    <s v="Shaftesbury &amp; Queenstown"/>
    <m/>
    <m/>
    <n v="0"/>
    <n v="56"/>
    <n v="56"/>
    <n v="66"/>
    <n v="66"/>
    <s v="Y"/>
    <s v="Redevelopment"/>
    <s v="NONE"/>
    <m/>
    <m/>
    <m/>
    <s v="Nil"/>
    <m/>
    <s v="BF"/>
    <s v="NB"/>
    <x v="0"/>
    <x v="0"/>
    <n v="0"/>
    <m/>
    <x v="0"/>
    <m/>
    <s v="Open Market"/>
    <s v="M"/>
    <m/>
    <m/>
    <n v="0"/>
    <n v="0"/>
    <n v="0"/>
    <n v="0"/>
    <n v="0"/>
    <n v="0"/>
    <n v="0"/>
    <n v="0"/>
    <n v="0"/>
    <n v="0"/>
    <n v="56"/>
    <n v="0"/>
    <n v="0"/>
    <n v="0"/>
    <n v="0"/>
    <n v="0"/>
    <n v="0"/>
    <n v="56"/>
    <n v="0"/>
    <n v="0"/>
    <n v="0"/>
    <n v="0"/>
    <n v="0"/>
    <n v="0"/>
    <n v="0"/>
    <n v="0"/>
    <n v="0"/>
    <n v="0"/>
    <n v="0"/>
    <n v="0"/>
    <n v="0"/>
    <n v="0"/>
    <m/>
    <s v="Y"/>
    <s v="Nine Elms Vauxhall Opportunity Area"/>
    <n v="20"/>
    <m/>
    <m/>
    <m/>
    <m/>
    <m/>
    <m/>
    <n v="56"/>
    <m/>
    <m/>
    <m/>
    <m/>
    <m/>
    <m/>
    <m/>
    <m/>
    <m/>
    <m/>
    <m/>
    <m/>
    <m/>
    <n v="0"/>
    <n v="56"/>
  </r>
  <r>
    <n v="7535"/>
    <x v="4"/>
    <m/>
    <s v="Patmore Estate, Stewart's Road, Thessaly Road, SW8 4LB"/>
    <m/>
    <n v="529321"/>
    <n v="176863"/>
    <s v="Shaftesbury &amp; Queenstown"/>
    <m/>
    <m/>
    <n v="0"/>
    <n v="6"/>
    <n v="6"/>
    <n v="66"/>
    <n v="66"/>
    <s v="Y"/>
    <s v="Redevelopment"/>
    <s v="NONE"/>
    <m/>
    <m/>
    <m/>
    <s v="Nil"/>
    <m/>
    <s v="BF"/>
    <s v="NB"/>
    <x v="0"/>
    <x v="0"/>
    <n v="0"/>
    <m/>
    <x v="0"/>
    <m/>
    <s v="Social/Affordable Rent"/>
    <s v="AA"/>
    <m/>
    <m/>
    <n v="0"/>
    <n v="0"/>
    <n v="0"/>
    <n v="0"/>
    <n v="0"/>
    <n v="0"/>
    <n v="0"/>
    <n v="0"/>
    <n v="0"/>
    <n v="0"/>
    <n v="6"/>
    <n v="0"/>
    <n v="0"/>
    <n v="0"/>
    <n v="0"/>
    <n v="0"/>
    <n v="0"/>
    <n v="6"/>
    <n v="0"/>
    <n v="0"/>
    <n v="0"/>
    <n v="0"/>
    <n v="0"/>
    <n v="0"/>
    <n v="0"/>
    <n v="0"/>
    <n v="0"/>
    <n v="0"/>
    <n v="0"/>
    <n v="0"/>
    <n v="0"/>
    <n v="0"/>
    <m/>
    <s v="Y"/>
    <s v="Nine Elms Vauxhall Opportunity Area"/>
    <n v="20"/>
    <m/>
    <m/>
    <m/>
    <m/>
    <m/>
    <m/>
    <n v="6"/>
    <m/>
    <m/>
    <m/>
    <m/>
    <m/>
    <m/>
    <m/>
    <m/>
    <m/>
    <m/>
    <m/>
    <m/>
    <m/>
    <n v="0"/>
    <n v="6"/>
  </r>
  <r>
    <n v="7535"/>
    <x v="4"/>
    <m/>
    <s v="Patmore Estate, Stewart's Road, Thessaly Road, SW8 4LB"/>
    <m/>
    <n v="529321"/>
    <n v="176863"/>
    <s v="Shaftesbury &amp; Queenstown"/>
    <m/>
    <m/>
    <n v="0"/>
    <n v="4"/>
    <n v="4"/>
    <n v="66"/>
    <n v="66"/>
    <s v="Y"/>
    <s v="Redevelopment"/>
    <s v="NONE"/>
    <m/>
    <m/>
    <m/>
    <s v="Nil"/>
    <m/>
    <s v="BF"/>
    <s v="NB"/>
    <x v="0"/>
    <x v="0"/>
    <n v="0"/>
    <m/>
    <x v="0"/>
    <m/>
    <s v="Intermediate"/>
    <s v="IU"/>
    <m/>
    <m/>
    <n v="0"/>
    <n v="0"/>
    <n v="0"/>
    <n v="0"/>
    <n v="0"/>
    <n v="0"/>
    <n v="0"/>
    <n v="0"/>
    <n v="0"/>
    <n v="0"/>
    <n v="4"/>
    <n v="0"/>
    <n v="0"/>
    <n v="0"/>
    <n v="0"/>
    <n v="0"/>
    <n v="0"/>
    <n v="4"/>
    <n v="0"/>
    <n v="0"/>
    <n v="0"/>
    <n v="0"/>
    <n v="0"/>
    <n v="0"/>
    <n v="0"/>
    <n v="0"/>
    <n v="0"/>
    <n v="0"/>
    <n v="0"/>
    <n v="0"/>
    <n v="0"/>
    <n v="0"/>
    <m/>
    <s v="Y"/>
    <s v="Nine Elms Vauxhall Opportunity Area"/>
    <n v="20"/>
    <m/>
    <m/>
    <m/>
    <m/>
    <m/>
    <m/>
    <n v="4"/>
    <m/>
    <m/>
    <m/>
    <m/>
    <m/>
    <m/>
    <m/>
    <m/>
    <m/>
    <m/>
    <m/>
    <m/>
    <m/>
    <n v="0"/>
    <n v="4"/>
  </r>
  <r>
    <n v="4508"/>
    <x v="4"/>
    <m/>
    <s v="Pier Wharf, SW18"/>
    <m/>
    <n v="526001.90130000003"/>
    <n v="175434.07680000001"/>
    <s v="St Mary's"/>
    <m/>
    <m/>
    <n v="0"/>
    <n v="2"/>
    <n v="2"/>
    <n v="2"/>
    <n v="2"/>
    <m/>
    <s v="Redevelopment"/>
    <s v="NONE"/>
    <m/>
    <m/>
    <m/>
    <s v="Nil"/>
    <m/>
    <s v="BF"/>
    <s v="NB"/>
    <x v="2"/>
    <x v="1"/>
    <n v="0"/>
    <m/>
    <x v="0"/>
    <m/>
    <s v="Open Market"/>
    <s v="M"/>
    <s v="WT22"/>
    <m/>
    <n v="0"/>
    <n v="0"/>
    <n v="0"/>
    <n v="0"/>
    <n v="0"/>
    <n v="0"/>
    <n v="0"/>
    <n v="0"/>
    <n v="0"/>
    <n v="0"/>
    <n v="2"/>
    <n v="0"/>
    <n v="0"/>
    <n v="0"/>
    <n v="0"/>
    <n v="0"/>
    <n v="0"/>
    <n v="2"/>
    <n v="0"/>
    <n v="0"/>
    <n v="0"/>
    <n v="0"/>
    <n v="0"/>
    <n v="0"/>
    <n v="0"/>
    <n v="0"/>
    <n v="0"/>
    <n v="0"/>
    <n v="0"/>
    <n v="0"/>
    <n v="0"/>
    <n v="0"/>
    <m/>
    <m/>
    <s v="Wandsworth Town, including the Wandle Delta Masterplan Area"/>
    <n v="19"/>
    <m/>
    <m/>
    <m/>
    <m/>
    <m/>
    <m/>
    <m/>
    <m/>
    <m/>
    <m/>
    <m/>
    <m/>
    <m/>
    <m/>
    <m/>
    <m/>
    <m/>
    <m/>
    <m/>
    <n v="2"/>
    <n v="0"/>
    <n v="0"/>
  </r>
  <r>
    <n v="6902"/>
    <x v="4"/>
    <m/>
    <s v="Putney Telephone Exchange, Montserrat Road"/>
    <m/>
    <n v="524118"/>
    <n v="175366"/>
    <s v="Thamesfield"/>
    <m/>
    <m/>
    <n v="0"/>
    <n v="1"/>
    <n v="1"/>
    <n v="1"/>
    <n v="1"/>
    <m/>
    <s v="Redevelopment"/>
    <s v="NONE"/>
    <m/>
    <m/>
    <m/>
    <s v="Nil"/>
    <m/>
    <s v="BF"/>
    <s v="NB"/>
    <x v="2"/>
    <x v="1"/>
    <n v="0"/>
    <m/>
    <x v="0"/>
    <m/>
    <s v="Open Market"/>
    <s v="M"/>
    <s v="PUT4"/>
    <m/>
    <n v="0"/>
    <n v="0"/>
    <n v="0"/>
    <n v="0"/>
    <n v="0"/>
    <n v="0"/>
    <n v="0"/>
    <n v="0"/>
    <n v="0"/>
    <n v="0"/>
    <n v="1"/>
    <n v="0"/>
    <n v="0"/>
    <n v="0"/>
    <n v="0"/>
    <n v="0"/>
    <n v="0"/>
    <n v="1"/>
    <n v="0"/>
    <n v="0"/>
    <n v="0"/>
    <n v="0"/>
    <n v="0"/>
    <n v="0"/>
    <n v="0"/>
    <n v="0"/>
    <n v="0"/>
    <n v="0"/>
    <n v="0"/>
    <n v="0"/>
    <n v="0"/>
    <n v="0"/>
    <s v="Putney"/>
    <m/>
    <s v="Putney Town Centre"/>
    <n v="19"/>
    <m/>
    <m/>
    <m/>
    <m/>
    <m/>
    <n v="6.25E-2"/>
    <n v="6.25E-2"/>
    <n v="6.25E-2"/>
    <n v="6.25E-2"/>
    <n v="6.25E-2"/>
    <n v="6.25E-2"/>
    <n v="6.25E-2"/>
    <n v="6.25E-2"/>
    <n v="6.25E-2"/>
    <n v="6.25E-2"/>
    <n v="6.25E-2"/>
    <n v="6.25E-2"/>
    <n v="6.25E-2"/>
    <n v="6.25E-2"/>
    <n v="6.25E-2"/>
    <n v="6.25E-2"/>
    <n v="0.375"/>
  </r>
  <r>
    <n v="7582"/>
    <x v="4"/>
    <m/>
    <s v="Queen Mary's Hospital car park, SW15"/>
    <m/>
    <n v="522287.01610000001"/>
    <n v="174318.467299999"/>
    <s v="Roehampton"/>
    <m/>
    <m/>
    <n v="0"/>
    <n v="203"/>
    <n v="203"/>
    <n v="303"/>
    <n v="303"/>
    <s v="Y"/>
    <s v="Redevelopment"/>
    <s v="NONE"/>
    <m/>
    <m/>
    <m/>
    <s v="Nil"/>
    <m/>
    <s v="BF"/>
    <s v="NB"/>
    <x v="0"/>
    <x v="0"/>
    <n v="0"/>
    <m/>
    <x v="0"/>
    <m/>
    <s v="Open Market"/>
    <s v="M"/>
    <s v="RO3"/>
    <m/>
    <n v="0"/>
    <n v="0"/>
    <n v="0"/>
    <n v="0"/>
    <n v="0"/>
    <n v="0"/>
    <n v="0"/>
    <n v="0"/>
    <n v="0"/>
    <n v="0"/>
    <n v="203"/>
    <n v="0"/>
    <n v="0"/>
    <n v="0"/>
    <n v="0"/>
    <n v="0"/>
    <n v="0"/>
    <n v="203"/>
    <n v="0"/>
    <n v="0"/>
    <n v="0"/>
    <n v="0"/>
    <n v="0"/>
    <n v="0"/>
    <n v="0"/>
    <n v="0"/>
    <n v="0"/>
    <n v="0"/>
    <n v="0"/>
    <n v="0"/>
    <n v="0"/>
    <n v="0"/>
    <m/>
    <m/>
    <s v="Roehampton Regeneration Area"/>
    <n v="19"/>
    <m/>
    <m/>
    <m/>
    <m/>
    <m/>
    <m/>
    <m/>
    <m/>
    <n v="16.916666666666668"/>
    <n v="16.916666666666668"/>
    <n v="16.916666666666668"/>
    <n v="16.916666666666668"/>
    <n v="16.916666666666668"/>
    <n v="16.916666666666668"/>
    <n v="16.916666666666668"/>
    <n v="16.916666666666668"/>
    <n v="16.916666666666668"/>
    <n v="16.916666666666668"/>
    <n v="16.916666666666668"/>
    <n v="16.916666666666668"/>
    <n v="0"/>
    <n v="50.75"/>
  </r>
  <r>
    <n v="7582"/>
    <x v="4"/>
    <m/>
    <s v="Queen Mary's Hospital car park, SW15"/>
    <m/>
    <n v="522287.01610000001"/>
    <n v="174318.467299999"/>
    <s v="Roehampton"/>
    <m/>
    <m/>
    <n v="0"/>
    <n v="61"/>
    <n v="61"/>
    <n v="303"/>
    <n v="303"/>
    <s v="Y"/>
    <s v="Redevelopment"/>
    <s v="NONE"/>
    <m/>
    <m/>
    <m/>
    <s v="Nil"/>
    <m/>
    <s v="BF"/>
    <s v="NB"/>
    <x v="0"/>
    <x v="0"/>
    <n v="0"/>
    <m/>
    <x v="0"/>
    <m/>
    <s v="Social/Affordable Rent"/>
    <s v="AA"/>
    <s v="RO3"/>
    <m/>
    <n v="0"/>
    <n v="0"/>
    <n v="0"/>
    <n v="0"/>
    <n v="0"/>
    <n v="0"/>
    <n v="0"/>
    <n v="0"/>
    <n v="0"/>
    <n v="0"/>
    <n v="61"/>
    <n v="0"/>
    <n v="0"/>
    <n v="0"/>
    <n v="0"/>
    <n v="0"/>
    <n v="0"/>
    <n v="61"/>
    <n v="0"/>
    <n v="0"/>
    <n v="0"/>
    <n v="0"/>
    <n v="0"/>
    <n v="0"/>
    <n v="0"/>
    <n v="0"/>
    <n v="0"/>
    <n v="0"/>
    <n v="0"/>
    <n v="0"/>
    <n v="0"/>
    <n v="0"/>
    <m/>
    <m/>
    <s v="Roehampton Regeneration Area"/>
    <n v="19"/>
    <m/>
    <m/>
    <m/>
    <m/>
    <m/>
    <m/>
    <m/>
    <m/>
    <n v="5.083333333333333"/>
    <n v="5.083333333333333"/>
    <n v="5.083333333333333"/>
    <n v="5.083333333333333"/>
    <n v="5.083333333333333"/>
    <n v="5.083333333333333"/>
    <n v="5.083333333333333"/>
    <n v="5.083333333333333"/>
    <n v="5.083333333333333"/>
    <n v="5.083333333333333"/>
    <n v="5.083333333333333"/>
    <n v="5.083333333333333"/>
    <n v="0"/>
    <n v="15.25"/>
  </r>
  <r>
    <n v="7582"/>
    <x v="4"/>
    <m/>
    <s v="Queen Mary's Hospital car park, SW15"/>
    <m/>
    <n v="522287.01610000001"/>
    <n v="174318.467299999"/>
    <s v="Roehampton"/>
    <m/>
    <m/>
    <n v="0"/>
    <n v="39"/>
    <n v="39"/>
    <n v="303"/>
    <n v="303"/>
    <s v="Y"/>
    <s v="Redevelopment"/>
    <s v="NONE"/>
    <m/>
    <m/>
    <m/>
    <s v="Nil"/>
    <m/>
    <s v="BF"/>
    <s v="NB"/>
    <x v="0"/>
    <x v="0"/>
    <n v="0"/>
    <m/>
    <x v="0"/>
    <m/>
    <s v="Intermediate"/>
    <s v="IU"/>
    <s v="RO3"/>
    <m/>
    <n v="0"/>
    <n v="0"/>
    <n v="0"/>
    <n v="0"/>
    <n v="0"/>
    <n v="0"/>
    <n v="0"/>
    <n v="0"/>
    <n v="0"/>
    <n v="0"/>
    <n v="39"/>
    <n v="0"/>
    <n v="0"/>
    <n v="0"/>
    <n v="0"/>
    <n v="0"/>
    <n v="0"/>
    <n v="39"/>
    <n v="0"/>
    <n v="0"/>
    <n v="0"/>
    <n v="0"/>
    <n v="0"/>
    <n v="0"/>
    <n v="0"/>
    <n v="0"/>
    <n v="0"/>
    <n v="0"/>
    <n v="0"/>
    <n v="0"/>
    <n v="0"/>
    <n v="0"/>
    <m/>
    <m/>
    <s v="Roehampton Regeneration Area"/>
    <n v="19"/>
    <m/>
    <m/>
    <m/>
    <m/>
    <m/>
    <m/>
    <m/>
    <m/>
    <n v="3.25"/>
    <n v="3.25"/>
    <n v="3.25"/>
    <n v="3.25"/>
    <n v="3.25"/>
    <n v="3.25"/>
    <n v="3.25"/>
    <n v="3.25"/>
    <n v="3.25"/>
    <n v="3.25"/>
    <n v="3.25"/>
    <n v="3.25"/>
    <n v="0"/>
    <n v="9.75"/>
  </r>
  <r>
    <n v="7547"/>
    <x v="4"/>
    <m/>
    <s v="Railway arches , Grant Road, SW11 2NU"/>
    <m/>
    <n v="527126"/>
    <n v="175600"/>
    <s v="Falconbrook"/>
    <m/>
    <m/>
    <n v="0"/>
    <n v="9"/>
    <n v="9"/>
    <n v="14"/>
    <n v="14"/>
    <s v="Y"/>
    <s v="Redevelopment"/>
    <s v="NONE"/>
    <m/>
    <m/>
    <m/>
    <s v="Nil"/>
    <m/>
    <s v="BF"/>
    <s v="NB"/>
    <x v="0"/>
    <x v="0"/>
    <n v="0"/>
    <m/>
    <x v="0"/>
    <m/>
    <s v="Open Market"/>
    <s v="M"/>
    <m/>
    <m/>
    <n v="0"/>
    <n v="0"/>
    <n v="0"/>
    <n v="0"/>
    <n v="0"/>
    <n v="0"/>
    <n v="0"/>
    <n v="0"/>
    <n v="0"/>
    <n v="0"/>
    <n v="9"/>
    <n v="0"/>
    <n v="0"/>
    <n v="0"/>
    <n v="0"/>
    <n v="0"/>
    <n v="0"/>
    <n v="9"/>
    <n v="0"/>
    <n v="0"/>
    <n v="0"/>
    <n v="0"/>
    <n v="0"/>
    <n v="0"/>
    <n v="0"/>
    <n v="0"/>
    <n v="0"/>
    <n v="0"/>
    <n v="0"/>
    <n v="0"/>
    <n v="0"/>
    <n v="0"/>
    <s v="Clapham Junction"/>
    <m/>
    <s v="Clapham Junction Spatial Area Strategy"/>
    <n v="19"/>
    <m/>
    <m/>
    <m/>
    <m/>
    <m/>
    <n v="9"/>
    <m/>
    <m/>
    <m/>
    <m/>
    <m/>
    <m/>
    <m/>
    <m/>
    <m/>
    <m/>
    <m/>
    <m/>
    <m/>
    <m/>
    <n v="9"/>
    <n v="9"/>
  </r>
  <r>
    <n v="7547"/>
    <x v="4"/>
    <m/>
    <s v="Railway arches , Grant Road, SW11 2NU"/>
    <m/>
    <n v="527126"/>
    <n v="175600"/>
    <s v="Falconbrook"/>
    <m/>
    <m/>
    <n v="0"/>
    <n v="3"/>
    <n v="3"/>
    <n v="14"/>
    <n v="14"/>
    <s v="Y"/>
    <s v="Redevelopment"/>
    <s v="NONE"/>
    <m/>
    <m/>
    <m/>
    <s v="Nil"/>
    <m/>
    <s v="BF"/>
    <s v="NB"/>
    <x v="0"/>
    <x v="0"/>
    <n v="0"/>
    <m/>
    <x v="0"/>
    <m/>
    <s v="Social/Affordable Rent"/>
    <s v="AA"/>
    <m/>
    <m/>
    <n v="0"/>
    <n v="0"/>
    <n v="0"/>
    <n v="0"/>
    <n v="0"/>
    <n v="0"/>
    <n v="0"/>
    <n v="0"/>
    <n v="0"/>
    <n v="0"/>
    <n v="3"/>
    <n v="0"/>
    <n v="0"/>
    <n v="0"/>
    <n v="0"/>
    <n v="0"/>
    <n v="0"/>
    <n v="3"/>
    <n v="0"/>
    <n v="0"/>
    <n v="0"/>
    <n v="0"/>
    <n v="0"/>
    <n v="0"/>
    <n v="0"/>
    <n v="0"/>
    <n v="0"/>
    <n v="0"/>
    <n v="0"/>
    <n v="0"/>
    <n v="0"/>
    <n v="0"/>
    <s v="Clapham Junction"/>
    <m/>
    <s v="Clapham Junction Spatial Area Strategy"/>
    <n v="19"/>
    <m/>
    <m/>
    <m/>
    <m/>
    <m/>
    <n v="3"/>
    <m/>
    <m/>
    <m/>
    <m/>
    <m/>
    <m/>
    <m/>
    <m/>
    <m/>
    <m/>
    <m/>
    <m/>
    <m/>
    <m/>
    <n v="3"/>
    <n v="3"/>
  </r>
  <r>
    <n v="7547"/>
    <x v="4"/>
    <m/>
    <s v="Railway arches , Grant Road, SW11 2NU"/>
    <m/>
    <n v="527126"/>
    <n v="175600"/>
    <s v="Falconbrook"/>
    <m/>
    <m/>
    <n v="0"/>
    <n v="2"/>
    <n v="2"/>
    <n v="14"/>
    <n v="14"/>
    <s v="Y"/>
    <s v="Redevelopment"/>
    <s v="NONE"/>
    <m/>
    <m/>
    <m/>
    <s v="Nil"/>
    <m/>
    <s v="BF"/>
    <s v="NB"/>
    <x v="0"/>
    <x v="0"/>
    <n v="0"/>
    <m/>
    <x v="0"/>
    <m/>
    <s v="Intermediate"/>
    <s v="IU"/>
    <m/>
    <m/>
    <n v="0"/>
    <n v="0"/>
    <n v="0"/>
    <n v="0"/>
    <n v="0"/>
    <n v="0"/>
    <n v="0"/>
    <n v="0"/>
    <n v="0"/>
    <n v="0"/>
    <n v="2"/>
    <n v="0"/>
    <n v="0"/>
    <n v="0"/>
    <n v="0"/>
    <n v="0"/>
    <n v="0"/>
    <n v="2"/>
    <n v="0"/>
    <n v="0"/>
    <n v="0"/>
    <n v="0"/>
    <n v="0"/>
    <n v="0"/>
    <n v="0"/>
    <n v="0"/>
    <n v="0"/>
    <n v="0"/>
    <n v="0"/>
    <n v="0"/>
    <n v="0"/>
    <n v="0"/>
    <s v="Clapham Junction"/>
    <m/>
    <s v="Clapham Junction Spatial Area Strategy"/>
    <n v="19"/>
    <m/>
    <m/>
    <m/>
    <m/>
    <m/>
    <n v="2"/>
    <m/>
    <m/>
    <m/>
    <m/>
    <m/>
    <m/>
    <m/>
    <m/>
    <m/>
    <m/>
    <m/>
    <m/>
    <m/>
    <m/>
    <n v="2"/>
    <n v="2"/>
  </r>
  <r>
    <n v="7545"/>
    <x v="4"/>
    <m/>
    <s v="Railway arches adjacent to Battersea Dogs and Cats Home, 6 Battersea Park Road, SW8 4AA"/>
    <m/>
    <n v="528896"/>
    <n v="177124"/>
    <s v="Nine Elms"/>
    <m/>
    <m/>
    <n v="0"/>
    <n v="9"/>
    <n v="9"/>
    <n v="9"/>
    <n v="9"/>
    <m/>
    <s v="Redevelopment"/>
    <s v="NONE"/>
    <m/>
    <m/>
    <m/>
    <s v="Nil"/>
    <m/>
    <s v="BF"/>
    <s v="NB"/>
    <x v="2"/>
    <x v="1"/>
    <n v="0"/>
    <m/>
    <x v="0"/>
    <m/>
    <s v="Open Market"/>
    <s v="M"/>
    <m/>
    <m/>
    <n v="0"/>
    <n v="0"/>
    <n v="0"/>
    <n v="0"/>
    <n v="0"/>
    <n v="0"/>
    <n v="0"/>
    <n v="0"/>
    <n v="0"/>
    <n v="0"/>
    <n v="9"/>
    <n v="0"/>
    <n v="0"/>
    <n v="0"/>
    <n v="0"/>
    <n v="0"/>
    <n v="0"/>
    <n v="9"/>
    <n v="0"/>
    <n v="0"/>
    <n v="0"/>
    <n v="0"/>
    <n v="0"/>
    <n v="0"/>
    <n v="0"/>
    <n v="0"/>
    <n v="0"/>
    <n v="0"/>
    <n v="0"/>
    <n v="0"/>
    <n v="0"/>
    <n v="0"/>
    <m/>
    <s v="Y"/>
    <s v="Nine Elms Vauxhall Opportunity Area"/>
    <n v="20"/>
    <m/>
    <m/>
    <m/>
    <m/>
    <m/>
    <m/>
    <n v="9"/>
    <m/>
    <m/>
    <m/>
    <m/>
    <m/>
    <m/>
    <m/>
    <m/>
    <m/>
    <m/>
    <m/>
    <m/>
    <m/>
    <n v="0"/>
    <n v="9"/>
  </r>
  <r>
    <n v="7544"/>
    <x v="4"/>
    <m/>
    <s v="Railway arches, 14 Winthorpe Road, SW15 2LW"/>
    <m/>
    <n v="524433"/>
    <n v="175204"/>
    <s v="Thamesfield"/>
    <m/>
    <m/>
    <n v="0"/>
    <n v="5"/>
    <n v="5"/>
    <n v="5"/>
    <n v="5"/>
    <m/>
    <s v="Redevelopment"/>
    <s v="NONE"/>
    <m/>
    <m/>
    <m/>
    <s v="Nil"/>
    <m/>
    <s v="BF"/>
    <s v="NB"/>
    <x v="2"/>
    <x v="1"/>
    <n v="0"/>
    <m/>
    <x v="0"/>
    <m/>
    <s v="Open Market"/>
    <s v="M"/>
    <m/>
    <m/>
    <n v="0"/>
    <n v="0"/>
    <n v="0"/>
    <n v="0"/>
    <n v="0"/>
    <n v="0"/>
    <n v="0"/>
    <n v="0"/>
    <n v="0"/>
    <n v="0"/>
    <n v="5"/>
    <n v="0"/>
    <n v="0"/>
    <n v="0"/>
    <n v="0"/>
    <n v="0"/>
    <n v="0"/>
    <n v="5"/>
    <n v="0"/>
    <n v="0"/>
    <n v="0"/>
    <n v="0"/>
    <n v="0"/>
    <n v="0"/>
    <n v="0"/>
    <n v="0"/>
    <n v="0"/>
    <n v="0"/>
    <n v="0"/>
    <n v="0"/>
    <n v="0"/>
    <n v="0"/>
    <m/>
    <m/>
    <s v="Rest of Borough"/>
    <n v="19"/>
    <m/>
    <m/>
    <m/>
    <m/>
    <m/>
    <n v="5"/>
    <m/>
    <m/>
    <m/>
    <m/>
    <m/>
    <m/>
    <m/>
    <m/>
    <m/>
    <m/>
    <m/>
    <m/>
    <m/>
    <m/>
    <n v="5"/>
    <n v="5"/>
  </r>
  <r>
    <n v="7538"/>
    <x v="4"/>
    <m/>
    <s v="Railway land, Falcon Lane, SW11 2LG"/>
    <m/>
    <n v="527505"/>
    <n v="175729"/>
    <s v="Falconbrook"/>
    <m/>
    <m/>
    <n v="0"/>
    <n v="8"/>
    <n v="8"/>
    <n v="8"/>
    <n v="8"/>
    <m/>
    <s v="Redevelopment"/>
    <s v="NONE"/>
    <m/>
    <m/>
    <m/>
    <s v="Nil"/>
    <m/>
    <s v="BF"/>
    <s v="NB"/>
    <x v="2"/>
    <x v="1"/>
    <n v="0"/>
    <m/>
    <x v="0"/>
    <m/>
    <s v="Open Market"/>
    <s v="M"/>
    <m/>
    <m/>
    <n v="0"/>
    <n v="0"/>
    <n v="0"/>
    <n v="0"/>
    <n v="0"/>
    <n v="0"/>
    <n v="0"/>
    <n v="0"/>
    <n v="0"/>
    <n v="0"/>
    <n v="8"/>
    <n v="0"/>
    <n v="0"/>
    <n v="0"/>
    <n v="0"/>
    <n v="0"/>
    <n v="0"/>
    <n v="8"/>
    <n v="0"/>
    <n v="0"/>
    <n v="0"/>
    <n v="0"/>
    <n v="0"/>
    <n v="0"/>
    <n v="0"/>
    <n v="0"/>
    <n v="0"/>
    <n v="0"/>
    <n v="0"/>
    <n v="0"/>
    <n v="0"/>
    <n v="0"/>
    <m/>
    <m/>
    <s v="Clapham Junction Spatial Area Strategy"/>
    <n v="19"/>
    <m/>
    <m/>
    <m/>
    <m/>
    <m/>
    <n v="8"/>
    <m/>
    <m/>
    <m/>
    <m/>
    <m/>
    <m/>
    <m/>
    <m/>
    <m/>
    <m/>
    <m/>
    <m/>
    <m/>
    <m/>
    <n v="8"/>
    <n v="8"/>
  </r>
  <r>
    <n v="6866"/>
    <x v="4"/>
    <m/>
    <s v="Sainsbury's Car Park, Bedford Hill"/>
    <m/>
    <n v="528627"/>
    <n v="173224"/>
    <s v="Balham"/>
    <m/>
    <m/>
    <n v="0"/>
    <n v="40"/>
    <n v="40"/>
    <n v="59"/>
    <n v="59"/>
    <s v="Y"/>
    <s v="Redevelopment"/>
    <s v="NONE"/>
    <m/>
    <m/>
    <m/>
    <s v="Nil"/>
    <m/>
    <s v="BF"/>
    <s v="NB"/>
    <x v="0"/>
    <x v="0"/>
    <n v="0"/>
    <m/>
    <x v="0"/>
    <m/>
    <s v="Open Market"/>
    <s v="M"/>
    <s v="BA1"/>
    <m/>
    <n v="0"/>
    <n v="0"/>
    <n v="0"/>
    <n v="0"/>
    <n v="0"/>
    <n v="0"/>
    <n v="0"/>
    <n v="0"/>
    <n v="0"/>
    <n v="0"/>
    <n v="40"/>
    <n v="0"/>
    <n v="0"/>
    <n v="0"/>
    <n v="0"/>
    <n v="0"/>
    <n v="0"/>
    <n v="40"/>
    <n v="0"/>
    <n v="0"/>
    <n v="0"/>
    <n v="0"/>
    <n v="0"/>
    <n v="0"/>
    <n v="0"/>
    <n v="0"/>
    <n v="0"/>
    <n v="0"/>
    <n v="0"/>
    <n v="0"/>
    <n v="0"/>
    <n v="0"/>
    <s v="Balham"/>
    <m/>
    <s v="Balham"/>
    <n v="19"/>
    <m/>
    <m/>
    <m/>
    <m/>
    <m/>
    <m/>
    <m/>
    <m/>
    <m/>
    <n v="3.3333333333333335"/>
    <n v="3.3333333333333335"/>
    <n v="3.3333333333333335"/>
    <n v="3.3333333333333335"/>
    <n v="3.3333333333333335"/>
    <n v="3.3333333333333335"/>
    <n v="3.3333333333333335"/>
    <n v="3.3333333333333335"/>
    <n v="3.3333333333333335"/>
    <n v="3.3333333333333335"/>
    <n v="3.3333333333333335"/>
    <n v="0"/>
    <n v="6.666666666666667"/>
  </r>
  <r>
    <n v="6866"/>
    <x v="4"/>
    <m/>
    <s v="Sainsbury's Car Park, Bedford Hill"/>
    <m/>
    <n v="528627"/>
    <n v="173224"/>
    <s v="Balham"/>
    <m/>
    <m/>
    <n v="0"/>
    <n v="12"/>
    <n v="12"/>
    <n v="59"/>
    <n v="59"/>
    <s v="Y"/>
    <s v="Redevelopment"/>
    <s v="NONE"/>
    <m/>
    <m/>
    <m/>
    <s v="Nil"/>
    <m/>
    <s v="BF"/>
    <s v="NB"/>
    <x v="0"/>
    <x v="0"/>
    <n v="0"/>
    <m/>
    <x v="0"/>
    <m/>
    <s v="Social/Affordable Rent"/>
    <s v="AA"/>
    <s v="BA1"/>
    <m/>
    <n v="0"/>
    <n v="0"/>
    <n v="0"/>
    <n v="0"/>
    <n v="0"/>
    <n v="0"/>
    <n v="0"/>
    <n v="0"/>
    <n v="0"/>
    <n v="0"/>
    <n v="12"/>
    <n v="0"/>
    <n v="0"/>
    <n v="0"/>
    <n v="0"/>
    <n v="0"/>
    <n v="0"/>
    <n v="12"/>
    <n v="0"/>
    <n v="0"/>
    <n v="0"/>
    <n v="0"/>
    <n v="0"/>
    <n v="0"/>
    <n v="0"/>
    <n v="0"/>
    <n v="0"/>
    <n v="0"/>
    <n v="0"/>
    <n v="0"/>
    <n v="0"/>
    <n v="0"/>
    <s v="Balham"/>
    <m/>
    <s v="Balham"/>
    <n v="19"/>
    <m/>
    <m/>
    <m/>
    <m/>
    <m/>
    <m/>
    <m/>
    <m/>
    <m/>
    <n v="1"/>
    <n v="1"/>
    <n v="1"/>
    <n v="1"/>
    <n v="1"/>
    <n v="1"/>
    <n v="1"/>
    <n v="1"/>
    <n v="1"/>
    <n v="1"/>
    <n v="1"/>
    <n v="0"/>
    <n v="2"/>
  </r>
  <r>
    <n v="6866"/>
    <x v="4"/>
    <m/>
    <s v="Sainsbury's Car Park, Bedford Hill"/>
    <m/>
    <n v="528627"/>
    <n v="173224"/>
    <s v="Balham"/>
    <m/>
    <m/>
    <n v="0"/>
    <n v="7"/>
    <n v="7"/>
    <n v="59"/>
    <n v="59"/>
    <s v="Y"/>
    <s v="Redevelopment"/>
    <s v="NONE"/>
    <m/>
    <m/>
    <m/>
    <s v="Nil"/>
    <m/>
    <s v="BF"/>
    <s v="NB"/>
    <x v="0"/>
    <x v="0"/>
    <n v="0"/>
    <m/>
    <x v="0"/>
    <m/>
    <s v="Intermediate"/>
    <s v="IU"/>
    <s v="BA1"/>
    <m/>
    <n v="0"/>
    <n v="0"/>
    <n v="0"/>
    <n v="0"/>
    <n v="0"/>
    <n v="0"/>
    <n v="0"/>
    <n v="0"/>
    <n v="0"/>
    <n v="0"/>
    <n v="7"/>
    <n v="0"/>
    <n v="0"/>
    <n v="0"/>
    <n v="0"/>
    <n v="0"/>
    <n v="0"/>
    <n v="7"/>
    <n v="0"/>
    <n v="0"/>
    <n v="0"/>
    <n v="0"/>
    <n v="0"/>
    <n v="0"/>
    <n v="0"/>
    <n v="0"/>
    <n v="0"/>
    <n v="0"/>
    <n v="0"/>
    <n v="0"/>
    <n v="0"/>
    <n v="0"/>
    <s v="Balham"/>
    <m/>
    <s v="Balham"/>
    <n v="19"/>
    <m/>
    <m/>
    <m/>
    <m/>
    <m/>
    <m/>
    <m/>
    <m/>
    <m/>
    <n v="0.58333333333333337"/>
    <n v="0.58333333333333337"/>
    <n v="0.58333333333333337"/>
    <n v="0.58333333333333337"/>
    <n v="0.58333333333333337"/>
    <n v="0.58333333333333337"/>
    <n v="0.58333333333333337"/>
    <n v="0.58333333333333337"/>
    <n v="0.58333333333333337"/>
    <n v="0.58333333333333337"/>
    <n v="0.58333333333333337"/>
    <n v="0"/>
    <n v="1.1666666666666667"/>
  </r>
  <r>
    <n v="3970"/>
    <x v="4"/>
    <m/>
    <s v="Sainsbury's, 2-6 Werter Road"/>
    <m/>
    <n v="524058"/>
    <n v="175199"/>
    <s v="Thamesfield"/>
    <m/>
    <m/>
    <n v="0"/>
    <n v="3"/>
    <n v="3"/>
    <n v="3"/>
    <n v="3"/>
    <m/>
    <s v="Redevelopment"/>
    <s v="NONE"/>
    <m/>
    <m/>
    <m/>
    <s v="Nil"/>
    <m/>
    <s v="BF"/>
    <s v="NB"/>
    <x v="2"/>
    <x v="1"/>
    <n v="0"/>
    <m/>
    <x v="0"/>
    <m/>
    <s v="Open Market"/>
    <s v="M"/>
    <s v="PUT5"/>
    <m/>
    <n v="0"/>
    <n v="0"/>
    <n v="0"/>
    <n v="0"/>
    <n v="0"/>
    <n v="0"/>
    <n v="0"/>
    <n v="0"/>
    <n v="0"/>
    <n v="0"/>
    <n v="3"/>
    <n v="0"/>
    <n v="0"/>
    <n v="0"/>
    <n v="0"/>
    <n v="0"/>
    <n v="0"/>
    <n v="3"/>
    <n v="0"/>
    <n v="0"/>
    <n v="0"/>
    <n v="0"/>
    <n v="0"/>
    <n v="0"/>
    <n v="0"/>
    <n v="0"/>
    <n v="0"/>
    <n v="0"/>
    <n v="0"/>
    <n v="0"/>
    <n v="0"/>
    <n v="0"/>
    <s v="Putney"/>
    <m/>
    <s v="Putney Town Centre"/>
    <n v="19"/>
    <m/>
    <m/>
    <m/>
    <m/>
    <m/>
    <m/>
    <m/>
    <m/>
    <m/>
    <n v="0.25"/>
    <n v="0.25"/>
    <n v="0.25"/>
    <n v="0.25"/>
    <n v="0.25"/>
    <n v="0.25"/>
    <n v="0.25"/>
    <n v="0.25"/>
    <n v="0.25"/>
    <n v="0.25"/>
    <n v="0.25"/>
    <n v="0"/>
    <n v="0.5"/>
  </r>
  <r>
    <n v="3942"/>
    <x v="4"/>
    <m/>
    <s v="Securicor Site, 80 Kirtling Street"/>
    <m/>
    <n v="529292"/>
    <n v="177503"/>
    <s v="Nine Elms"/>
    <m/>
    <m/>
    <n v="0"/>
    <n v="177"/>
    <n v="177"/>
    <n v="208"/>
    <n v="208"/>
    <s v="Y"/>
    <s v="Redevelopment"/>
    <s v="NONE"/>
    <m/>
    <m/>
    <m/>
    <s v="Nil"/>
    <m/>
    <s v="BF"/>
    <s v="NB"/>
    <x v="0"/>
    <x v="0"/>
    <n v="0"/>
    <m/>
    <x v="0"/>
    <m/>
    <s v="Open Market"/>
    <s v="M"/>
    <s v="NE3"/>
    <m/>
    <n v="0"/>
    <n v="0"/>
    <n v="0"/>
    <n v="0"/>
    <n v="0"/>
    <n v="0"/>
    <n v="0"/>
    <n v="0"/>
    <n v="0"/>
    <n v="0"/>
    <n v="177"/>
    <n v="0"/>
    <n v="0"/>
    <n v="0"/>
    <n v="0"/>
    <n v="0"/>
    <n v="0"/>
    <n v="177"/>
    <n v="0"/>
    <n v="0"/>
    <n v="0"/>
    <n v="0"/>
    <n v="0"/>
    <n v="0"/>
    <n v="0"/>
    <n v="0"/>
    <n v="0"/>
    <n v="0"/>
    <n v="0"/>
    <n v="0"/>
    <n v="0"/>
    <n v="0"/>
    <m/>
    <s v="Y"/>
    <s v="Nine Elms Vauxhall Opportunity Area"/>
    <n v="20"/>
    <m/>
    <m/>
    <m/>
    <m/>
    <m/>
    <n v="177"/>
    <m/>
    <m/>
    <m/>
    <m/>
    <m/>
    <m/>
    <m/>
    <m/>
    <m/>
    <m/>
    <m/>
    <m/>
    <m/>
    <m/>
    <n v="177"/>
    <n v="177"/>
  </r>
  <r>
    <n v="3942"/>
    <x v="4"/>
    <m/>
    <s v="Securicor Site, 80 Kirtling Street"/>
    <m/>
    <n v="529292"/>
    <n v="177503"/>
    <s v="Nine Elms"/>
    <m/>
    <m/>
    <n v="0"/>
    <n v="19"/>
    <n v="19"/>
    <n v="208"/>
    <n v="208"/>
    <s v="Y"/>
    <s v="Redevelopment"/>
    <s v="NONE"/>
    <m/>
    <m/>
    <m/>
    <s v="Nil"/>
    <m/>
    <s v="BF"/>
    <s v="NB"/>
    <x v="0"/>
    <x v="0"/>
    <n v="0"/>
    <m/>
    <x v="0"/>
    <m/>
    <s v="Social/Affordable Rent"/>
    <s v="AA"/>
    <s v="NE3"/>
    <m/>
    <n v="0"/>
    <n v="0"/>
    <n v="0"/>
    <n v="0"/>
    <n v="0"/>
    <n v="0"/>
    <n v="0"/>
    <n v="0"/>
    <n v="0"/>
    <n v="0"/>
    <n v="19"/>
    <n v="0"/>
    <n v="0"/>
    <n v="0"/>
    <n v="0"/>
    <n v="0"/>
    <n v="0"/>
    <n v="19"/>
    <n v="0"/>
    <n v="0"/>
    <n v="0"/>
    <n v="0"/>
    <n v="0"/>
    <n v="0"/>
    <n v="0"/>
    <n v="0"/>
    <n v="0"/>
    <n v="0"/>
    <n v="0"/>
    <n v="0"/>
    <n v="0"/>
    <n v="0"/>
    <m/>
    <s v="Y"/>
    <s v="Nine Elms Vauxhall Opportunity Area"/>
    <n v="20"/>
    <m/>
    <m/>
    <m/>
    <m/>
    <m/>
    <n v="19"/>
    <m/>
    <m/>
    <m/>
    <m/>
    <m/>
    <m/>
    <m/>
    <m/>
    <m/>
    <m/>
    <m/>
    <m/>
    <m/>
    <m/>
    <n v="19"/>
    <n v="19"/>
  </r>
  <r>
    <n v="3942"/>
    <x v="4"/>
    <m/>
    <s v="Securicor Site, 80 Kirtling Street"/>
    <m/>
    <n v="529292"/>
    <n v="177503"/>
    <s v="Nine Elms"/>
    <m/>
    <m/>
    <n v="0"/>
    <n v="12"/>
    <n v="12"/>
    <n v="208"/>
    <n v="208"/>
    <s v="Y"/>
    <s v="Redevelopment"/>
    <s v="NONE"/>
    <m/>
    <m/>
    <m/>
    <s v="Nil"/>
    <m/>
    <s v="BF"/>
    <s v="NB"/>
    <x v="0"/>
    <x v="0"/>
    <n v="0"/>
    <m/>
    <x v="0"/>
    <m/>
    <s v="Intermediate"/>
    <s v="IU"/>
    <s v="NE3"/>
    <m/>
    <n v="0"/>
    <n v="0"/>
    <n v="0"/>
    <n v="0"/>
    <n v="0"/>
    <n v="0"/>
    <n v="0"/>
    <n v="0"/>
    <n v="0"/>
    <n v="0"/>
    <n v="12"/>
    <n v="0"/>
    <n v="0"/>
    <n v="0"/>
    <n v="0"/>
    <n v="0"/>
    <n v="0"/>
    <n v="12"/>
    <n v="0"/>
    <n v="0"/>
    <n v="0"/>
    <n v="0"/>
    <n v="0"/>
    <n v="0"/>
    <n v="0"/>
    <n v="0"/>
    <n v="0"/>
    <n v="0"/>
    <n v="0"/>
    <n v="0"/>
    <n v="0"/>
    <n v="0"/>
    <m/>
    <s v="Y"/>
    <s v="Nine Elms Vauxhall Opportunity Area"/>
    <n v="20"/>
    <m/>
    <m/>
    <m/>
    <m/>
    <m/>
    <n v="12"/>
    <m/>
    <m/>
    <m/>
    <m/>
    <m/>
    <m/>
    <m/>
    <m/>
    <m/>
    <m/>
    <m/>
    <m/>
    <m/>
    <m/>
    <n v="12"/>
    <n v="12"/>
  </r>
  <r>
    <n v="7543"/>
    <x v="4"/>
    <m/>
    <s v="Southfields Library  and adjoining carpark to the west, 300 Wimbledon Park Road, SW19 6NL"/>
    <m/>
    <n v="524585"/>
    <n v="173139"/>
    <s v="West Hill"/>
    <m/>
    <m/>
    <n v="0"/>
    <n v="6"/>
    <n v="6"/>
    <n v="6"/>
    <n v="6"/>
    <m/>
    <s v="Redevelopment"/>
    <s v="NONE"/>
    <m/>
    <m/>
    <m/>
    <s v="Nil"/>
    <m/>
    <s v="BF"/>
    <s v="NB"/>
    <x v="2"/>
    <x v="1"/>
    <n v="0"/>
    <m/>
    <x v="0"/>
    <m/>
    <s v="Open Market"/>
    <s v="M"/>
    <m/>
    <m/>
    <n v="0"/>
    <n v="0"/>
    <n v="0"/>
    <n v="0"/>
    <n v="0"/>
    <n v="0"/>
    <n v="0"/>
    <n v="0"/>
    <n v="0"/>
    <n v="0"/>
    <n v="6"/>
    <n v="0"/>
    <n v="0"/>
    <n v="0"/>
    <n v="0"/>
    <n v="0"/>
    <n v="0"/>
    <n v="6"/>
    <n v="0"/>
    <n v="0"/>
    <n v="0"/>
    <n v="0"/>
    <n v="0"/>
    <n v="0"/>
    <n v="0"/>
    <n v="0"/>
    <n v="0"/>
    <n v="0"/>
    <n v="0"/>
    <n v="0"/>
    <n v="0"/>
    <n v="0"/>
    <m/>
    <m/>
    <s v="Rest of Borough"/>
    <n v="19"/>
    <m/>
    <m/>
    <m/>
    <m/>
    <m/>
    <n v="6"/>
    <m/>
    <m/>
    <m/>
    <m/>
    <m/>
    <m/>
    <m/>
    <m/>
    <m/>
    <m/>
    <m/>
    <m/>
    <m/>
    <m/>
    <n v="6"/>
    <n v="6"/>
  </r>
  <r>
    <n v="7586"/>
    <x v="4"/>
    <m/>
    <s v="Southside Shopping Centre, Wandsworth High Street, SW18"/>
    <m/>
    <n v="525580.16070000001"/>
    <n v="174464.45579999901"/>
    <s v="Wandsworth Town"/>
    <m/>
    <m/>
    <n v="0"/>
    <n v="610"/>
    <n v="610"/>
    <n v="910"/>
    <n v="910"/>
    <s v="Y"/>
    <s v="Redevelopment"/>
    <s v="NONE"/>
    <m/>
    <m/>
    <m/>
    <s v="Nil"/>
    <m/>
    <s v="BF"/>
    <s v="NB"/>
    <x v="0"/>
    <x v="0"/>
    <n v="0"/>
    <m/>
    <x v="0"/>
    <m/>
    <s v="Open Market"/>
    <s v="M"/>
    <s v="WT20"/>
    <m/>
    <n v="0"/>
    <n v="0"/>
    <n v="0"/>
    <n v="0"/>
    <n v="0"/>
    <n v="0"/>
    <n v="0"/>
    <n v="0"/>
    <n v="0"/>
    <n v="0"/>
    <n v="610"/>
    <n v="0"/>
    <n v="0"/>
    <n v="0"/>
    <n v="0"/>
    <n v="0"/>
    <n v="0"/>
    <n v="610"/>
    <n v="0"/>
    <n v="0"/>
    <n v="0"/>
    <n v="0"/>
    <n v="0"/>
    <n v="0"/>
    <n v="0"/>
    <n v="0"/>
    <n v="0"/>
    <n v="0"/>
    <n v="0"/>
    <n v="0"/>
    <n v="0"/>
    <n v="0"/>
    <s v="Wandsworth"/>
    <m/>
    <s v="Wandsworth Town, including the Wandle Delta Masterplan Area"/>
    <n v="19"/>
    <m/>
    <m/>
    <m/>
    <m/>
    <n v="61"/>
    <n v="61"/>
    <n v="61"/>
    <n v="61"/>
    <n v="61"/>
    <n v="61"/>
    <n v="61"/>
    <n v="61"/>
    <n v="61"/>
    <n v="61"/>
    <m/>
    <m/>
    <m/>
    <m/>
    <m/>
    <m/>
    <n v="122"/>
    <n v="427"/>
  </r>
  <r>
    <n v="7586"/>
    <x v="4"/>
    <m/>
    <s v="Southside Shopping Centre, Wandsworth High Street, SW18"/>
    <m/>
    <n v="525580.16070000001"/>
    <n v="174464.45579999901"/>
    <s v="Wandsworth Town"/>
    <m/>
    <m/>
    <n v="0"/>
    <n v="182"/>
    <n v="182"/>
    <n v="910"/>
    <n v="910"/>
    <s v="Y"/>
    <s v="Redevelopment"/>
    <s v="NONE"/>
    <m/>
    <m/>
    <m/>
    <s v="Nil"/>
    <m/>
    <s v="BF"/>
    <s v="NB"/>
    <x v="0"/>
    <x v="0"/>
    <n v="0"/>
    <m/>
    <x v="0"/>
    <m/>
    <s v="Social/Affordable Rent"/>
    <s v="AA"/>
    <s v="WT20"/>
    <m/>
    <n v="0"/>
    <n v="0"/>
    <n v="0"/>
    <n v="0"/>
    <n v="0"/>
    <n v="0"/>
    <n v="0"/>
    <n v="0"/>
    <n v="0"/>
    <n v="0"/>
    <n v="182"/>
    <n v="0"/>
    <n v="0"/>
    <n v="0"/>
    <n v="0"/>
    <n v="0"/>
    <n v="0"/>
    <n v="182"/>
    <n v="0"/>
    <n v="0"/>
    <n v="0"/>
    <n v="0"/>
    <n v="0"/>
    <n v="0"/>
    <n v="0"/>
    <n v="0"/>
    <n v="0"/>
    <n v="0"/>
    <n v="0"/>
    <n v="0"/>
    <n v="0"/>
    <n v="0"/>
    <s v="Wandsworth"/>
    <m/>
    <s v="Wandsworth Town, including the Wandle Delta Masterplan Area"/>
    <n v="19"/>
    <m/>
    <m/>
    <m/>
    <m/>
    <n v="18.2"/>
    <n v="18.2"/>
    <n v="18.2"/>
    <n v="18.2"/>
    <n v="18.2"/>
    <n v="18.2"/>
    <n v="18.2"/>
    <n v="18.2"/>
    <n v="18.2"/>
    <n v="18.2"/>
    <m/>
    <m/>
    <m/>
    <m/>
    <m/>
    <m/>
    <n v="36.4"/>
    <n v="127.4"/>
  </r>
  <r>
    <n v="7586"/>
    <x v="4"/>
    <m/>
    <s v="Southside Shopping Centre, Wandsworth High Street, SW18"/>
    <m/>
    <n v="525580.16070000001"/>
    <n v="174464.45579999901"/>
    <s v="Wandsworth Town"/>
    <m/>
    <m/>
    <n v="0"/>
    <n v="118"/>
    <n v="118"/>
    <n v="910"/>
    <n v="910"/>
    <s v="Y"/>
    <s v="Redevelopment"/>
    <s v="NONE"/>
    <m/>
    <m/>
    <m/>
    <s v="Nil"/>
    <m/>
    <s v="BF"/>
    <s v="NB"/>
    <x v="0"/>
    <x v="0"/>
    <n v="0"/>
    <m/>
    <x v="0"/>
    <m/>
    <s v="Intermediate"/>
    <s v="IU"/>
    <s v="WT20"/>
    <m/>
    <n v="0"/>
    <n v="0"/>
    <n v="0"/>
    <n v="0"/>
    <n v="0"/>
    <n v="0"/>
    <n v="0"/>
    <n v="0"/>
    <n v="0"/>
    <n v="0"/>
    <n v="118"/>
    <n v="0"/>
    <n v="0"/>
    <n v="0"/>
    <n v="0"/>
    <n v="0"/>
    <n v="0"/>
    <n v="118"/>
    <n v="0"/>
    <n v="0"/>
    <n v="0"/>
    <n v="0"/>
    <n v="0"/>
    <n v="0"/>
    <n v="0"/>
    <n v="0"/>
    <n v="0"/>
    <n v="0"/>
    <n v="0"/>
    <n v="0"/>
    <n v="0"/>
    <n v="0"/>
    <s v="Wandsworth"/>
    <m/>
    <s v="Wandsworth Town, including the Wandle Delta Masterplan Area"/>
    <n v="19"/>
    <m/>
    <m/>
    <m/>
    <m/>
    <n v="11.8"/>
    <n v="11.8"/>
    <n v="11.8"/>
    <n v="11.8"/>
    <n v="11.8"/>
    <n v="11.8"/>
    <n v="11.8"/>
    <n v="11.8"/>
    <n v="11.8"/>
    <n v="11.8"/>
    <m/>
    <m/>
    <m/>
    <m/>
    <m/>
    <m/>
    <n v="23.6"/>
    <n v="82.6"/>
  </r>
  <r>
    <n v="7579"/>
    <x v="4"/>
    <m/>
    <s v="St George's Hospital, Blackshaw SW17"/>
    <m/>
    <n v="526984"/>
    <n v="171324"/>
    <s v="Tooting Broadway"/>
    <m/>
    <m/>
    <n v="0"/>
    <n v="63"/>
    <n v="63"/>
    <n v="94"/>
    <n v="94"/>
    <s v="Y"/>
    <s v="Redevelopment"/>
    <s v="NONE"/>
    <m/>
    <m/>
    <m/>
    <s v="Nil"/>
    <m/>
    <s v="BF"/>
    <s v="NB"/>
    <x v="0"/>
    <x v="0"/>
    <n v="0"/>
    <m/>
    <x v="0"/>
    <m/>
    <s v="Open Market"/>
    <s v="M"/>
    <s v="TO2"/>
    <m/>
    <n v="0"/>
    <n v="0"/>
    <n v="0"/>
    <n v="0"/>
    <n v="0"/>
    <n v="0"/>
    <n v="0"/>
    <n v="0"/>
    <n v="0"/>
    <n v="0"/>
    <n v="63"/>
    <n v="0"/>
    <n v="0"/>
    <n v="0"/>
    <n v="0"/>
    <n v="0"/>
    <n v="0"/>
    <n v="63"/>
    <n v="0"/>
    <n v="0"/>
    <n v="0"/>
    <n v="0"/>
    <n v="0"/>
    <n v="0"/>
    <n v="0"/>
    <n v="0"/>
    <n v="0"/>
    <n v="0"/>
    <n v="0"/>
    <n v="0"/>
    <n v="0"/>
    <n v="0"/>
    <m/>
    <m/>
    <s v="Tooting"/>
    <n v="19"/>
    <m/>
    <m/>
    <m/>
    <m/>
    <m/>
    <n v="3.9375"/>
    <n v="3.9375"/>
    <n v="3.9375"/>
    <n v="3.9375"/>
    <n v="3.9375"/>
    <n v="3.9375"/>
    <n v="3.9375"/>
    <n v="3.9375"/>
    <n v="3.9375"/>
    <n v="3.9375"/>
    <n v="3.9375"/>
    <n v="3.9375"/>
    <n v="3.9375"/>
    <n v="3.9375"/>
    <n v="3.9375"/>
    <n v="3.9375"/>
    <n v="23.625"/>
  </r>
  <r>
    <n v="7579"/>
    <x v="4"/>
    <m/>
    <s v="St George's Hospital, Blackshaw SW17"/>
    <m/>
    <n v="526984"/>
    <n v="171324"/>
    <s v="Tooting Broadway"/>
    <m/>
    <m/>
    <n v="0"/>
    <n v="19"/>
    <n v="19"/>
    <n v="94"/>
    <n v="94"/>
    <s v="Y"/>
    <s v="Redevelopment"/>
    <s v="NONE"/>
    <m/>
    <m/>
    <m/>
    <s v="Nil"/>
    <m/>
    <s v="BF"/>
    <s v="NB"/>
    <x v="0"/>
    <x v="0"/>
    <n v="0"/>
    <m/>
    <x v="0"/>
    <m/>
    <s v="Social/Affordable Rent"/>
    <s v="AA"/>
    <s v="TO2"/>
    <m/>
    <n v="0"/>
    <n v="0"/>
    <n v="0"/>
    <n v="0"/>
    <n v="0"/>
    <n v="0"/>
    <n v="0"/>
    <n v="0"/>
    <n v="0"/>
    <n v="0"/>
    <n v="19"/>
    <n v="0"/>
    <n v="0"/>
    <n v="0"/>
    <n v="0"/>
    <n v="0"/>
    <n v="0"/>
    <n v="19"/>
    <n v="0"/>
    <n v="0"/>
    <n v="0"/>
    <n v="0"/>
    <n v="0"/>
    <n v="0"/>
    <n v="0"/>
    <n v="0"/>
    <n v="0"/>
    <n v="0"/>
    <n v="0"/>
    <n v="0"/>
    <n v="0"/>
    <n v="0"/>
    <m/>
    <m/>
    <s v="Tooting"/>
    <n v="19"/>
    <m/>
    <m/>
    <m/>
    <m/>
    <m/>
    <n v="1.1875"/>
    <n v="1.1875"/>
    <n v="1.1875"/>
    <n v="1.1875"/>
    <n v="1.1875"/>
    <n v="1.1875"/>
    <n v="1.1875"/>
    <n v="1.1875"/>
    <n v="1.1875"/>
    <n v="1.1875"/>
    <n v="1.1875"/>
    <n v="1.1875"/>
    <n v="1.1875"/>
    <n v="1.1875"/>
    <n v="1.1875"/>
    <n v="1.1875"/>
    <n v="7.125"/>
  </r>
  <r>
    <n v="7579"/>
    <x v="4"/>
    <m/>
    <s v="St George's Hospital, Blackshaw SW17"/>
    <m/>
    <n v="526984"/>
    <n v="171324"/>
    <s v="Tooting Broadway"/>
    <m/>
    <m/>
    <n v="0"/>
    <n v="12"/>
    <n v="12"/>
    <n v="94"/>
    <n v="94"/>
    <s v="Y"/>
    <s v="Redevelopment"/>
    <s v="NONE"/>
    <m/>
    <m/>
    <m/>
    <s v="Nil"/>
    <m/>
    <s v="BF"/>
    <s v="NB"/>
    <x v="0"/>
    <x v="0"/>
    <n v="0"/>
    <m/>
    <x v="0"/>
    <m/>
    <s v="Intermediate"/>
    <s v="IU"/>
    <s v="TO2"/>
    <m/>
    <n v="0"/>
    <n v="0"/>
    <n v="0"/>
    <n v="0"/>
    <n v="0"/>
    <n v="0"/>
    <n v="0"/>
    <n v="0"/>
    <n v="0"/>
    <n v="0"/>
    <n v="12"/>
    <n v="0"/>
    <n v="0"/>
    <n v="0"/>
    <n v="0"/>
    <n v="0"/>
    <n v="0"/>
    <n v="12"/>
    <n v="0"/>
    <n v="0"/>
    <n v="0"/>
    <n v="0"/>
    <n v="0"/>
    <n v="0"/>
    <n v="0"/>
    <n v="0"/>
    <n v="0"/>
    <n v="0"/>
    <n v="0"/>
    <n v="0"/>
    <n v="0"/>
    <n v="0"/>
    <m/>
    <m/>
    <s v="Tooting"/>
    <n v="19"/>
    <m/>
    <m/>
    <m/>
    <m/>
    <m/>
    <n v="0.75"/>
    <n v="0.75"/>
    <n v="0.75"/>
    <n v="0.75"/>
    <n v="0.75"/>
    <n v="0.75"/>
    <n v="0.75"/>
    <n v="0.75"/>
    <n v="0.75"/>
    <n v="0.75"/>
    <n v="0.75"/>
    <n v="0.75"/>
    <n v="0.75"/>
    <n v="0.75"/>
    <n v="0.75"/>
    <n v="0.75"/>
    <n v="4.5"/>
  </r>
  <r>
    <n v="6872"/>
    <x v="4"/>
    <m/>
    <s v="Travelodge Hotel, 200 York Road"/>
    <m/>
    <n v="526497"/>
    <n v="175661"/>
    <s v="St Mary's"/>
    <m/>
    <m/>
    <n v="0"/>
    <n v="9"/>
    <n v="9"/>
    <n v="9"/>
    <n v="9"/>
    <m/>
    <s v="Redevelopment"/>
    <s v="NONE"/>
    <m/>
    <m/>
    <m/>
    <s v="Nil"/>
    <m/>
    <s v="BF"/>
    <s v="NB"/>
    <x v="2"/>
    <x v="1"/>
    <n v="0"/>
    <m/>
    <x v="0"/>
    <m/>
    <s v="Open Market"/>
    <s v="M"/>
    <s v="RIV10"/>
    <m/>
    <n v="0"/>
    <n v="0"/>
    <n v="0"/>
    <n v="0"/>
    <n v="0"/>
    <n v="0"/>
    <n v="0"/>
    <n v="0"/>
    <n v="0"/>
    <n v="0"/>
    <n v="9"/>
    <n v="0"/>
    <n v="0"/>
    <n v="0"/>
    <n v="0"/>
    <n v="0"/>
    <n v="0"/>
    <n v="9"/>
    <n v="0"/>
    <n v="0"/>
    <n v="0"/>
    <n v="0"/>
    <n v="0"/>
    <n v="0"/>
    <n v="0"/>
    <n v="0"/>
    <n v="0"/>
    <n v="0"/>
    <n v="0"/>
    <n v="0"/>
    <n v="0"/>
    <n v="0"/>
    <m/>
    <m/>
    <s v="Wandsworth riverside"/>
    <n v="19"/>
    <m/>
    <m/>
    <m/>
    <m/>
    <m/>
    <m/>
    <m/>
    <m/>
    <m/>
    <n v="0.75"/>
    <n v="0.75"/>
    <n v="0.75"/>
    <n v="0.75"/>
    <n v="0.75"/>
    <n v="0.75"/>
    <n v="0.75"/>
    <n v="0.75"/>
    <n v="0.75"/>
    <n v="0.75"/>
    <n v="0.75"/>
    <n v="0"/>
    <n v="1.5"/>
  </r>
  <r>
    <n v="6870"/>
    <x v="4"/>
    <m/>
    <s v="Travis Perkins, 37 Lombard Road"/>
    <m/>
    <n v="526722"/>
    <n v="176263"/>
    <s v="St Mary's"/>
    <m/>
    <m/>
    <n v="0"/>
    <n v="139"/>
    <n v="139"/>
    <n v="207"/>
    <n v="207"/>
    <s v="Y"/>
    <s v="Redevelopment"/>
    <s v="NONE"/>
    <m/>
    <m/>
    <m/>
    <s v="Nil"/>
    <m/>
    <s v="BF"/>
    <s v="NB"/>
    <x v="0"/>
    <x v="0"/>
    <n v="0"/>
    <m/>
    <x v="0"/>
    <m/>
    <s v="Open Market"/>
    <s v="M"/>
    <s v="RIV7"/>
    <m/>
    <n v="0"/>
    <n v="0"/>
    <n v="0"/>
    <n v="0"/>
    <n v="0"/>
    <n v="0"/>
    <n v="0"/>
    <n v="0"/>
    <n v="0"/>
    <n v="0"/>
    <n v="139"/>
    <n v="0"/>
    <n v="0"/>
    <n v="0"/>
    <n v="0"/>
    <n v="0"/>
    <n v="0"/>
    <n v="139"/>
    <n v="0"/>
    <n v="0"/>
    <n v="0"/>
    <n v="0"/>
    <n v="0"/>
    <n v="0"/>
    <n v="0"/>
    <n v="0"/>
    <n v="0"/>
    <n v="0"/>
    <n v="0"/>
    <n v="0"/>
    <n v="0"/>
    <n v="0"/>
    <m/>
    <m/>
    <s v="Wandsworth riverside"/>
    <n v="19"/>
    <m/>
    <m/>
    <m/>
    <m/>
    <m/>
    <n v="8.6875"/>
    <n v="8.6875"/>
    <n v="8.6875"/>
    <n v="8.6875"/>
    <n v="8.6875"/>
    <n v="8.6875"/>
    <n v="8.6875"/>
    <n v="8.6875"/>
    <n v="8.6875"/>
    <n v="8.6875"/>
    <n v="8.6875"/>
    <n v="8.6875"/>
    <n v="8.6875"/>
    <n v="8.6875"/>
    <n v="8.6875"/>
    <n v="8.6875"/>
    <n v="52.125"/>
  </r>
  <r>
    <n v="6870"/>
    <x v="4"/>
    <m/>
    <s v="Travis Perkins, 37 Lombard Road"/>
    <m/>
    <n v="526722"/>
    <n v="176263"/>
    <s v="St Mary's"/>
    <m/>
    <m/>
    <n v="0"/>
    <n v="41"/>
    <n v="41"/>
    <n v="207"/>
    <n v="207"/>
    <s v="Y"/>
    <s v="Redevelopment"/>
    <s v="NONE"/>
    <m/>
    <m/>
    <m/>
    <s v="Nil"/>
    <m/>
    <s v="BF"/>
    <s v="NB"/>
    <x v="0"/>
    <x v="0"/>
    <n v="0"/>
    <m/>
    <x v="0"/>
    <m/>
    <s v="Social/Affordable Rent"/>
    <s v="AA"/>
    <s v="RIV7"/>
    <m/>
    <n v="0"/>
    <n v="0"/>
    <n v="0"/>
    <n v="0"/>
    <n v="0"/>
    <n v="0"/>
    <n v="0"/>
    <n v="0"/>
    <n v="0"/>
    <n v="0"/>
    <n v="41"/>
    <n v="0"/>
    <n v="0"/>
    <n v="0"/>
    <n v="0"/>
    <n v="0"/>
    <n v="0"/>
    <n v="41"/>
    <n v="0"/>
    <n v="0"/>
    <n v="0"/>
    <n v="0"/>
    <n v="0"/>
    <n v="0"/>
    <n v="0"/>
    <n v="0"/>
    <n v="0"/>
    <n v="0"/>
    <n v="0"/>
    <n v="0"/>
    <n v="0"/>
    <n v="0"/>
    <m/>
    <m/>
    <s v="Wandsworth riverside"/>
    <n v="19"/>
    <m/>
    <m/>
    <m/>
    <m/>
    <m/>
    <n v="2.5625"/>
    <n v="2.5625"/>
    <n v="2.5625"/>
    <n v="2.5625"/>
    <n v="2.5625"/>
    <n v="2.5625"/>
    <n v="2.5625"/>
    <n v="2.5625"/>
    <n v="2.5625"/>
    <n v="2.5625"/>
    <n v="2.5625"/>
    <n v="2.5625"/>
    <n v="2.5625"/>
    <n v="2.5625"/>
    <n v="2.5625"/>
    <n v="2.5625"/>
    <n v="15.375"/>
  </r>
  <r>
    <n v="6870"/>
    <x v="4"/>
    <m/>
    <s v="Travis Perkins, 37 Lombard Road"/>
    <m/>
    <n v="526722"/>
    <n v="176263"/>
    <s v="St Mary's"/>
    <m/>
    <m/>
    <n v="0"/>
    <n v="27"/>
    <n v="27"/>
    <n v="207"/>
    <n v="207"/>
    <s v="Y"/>
    <s v="Redevelopment"/>
    <s v="NONE"/>
    <m/>
    <m/>
    <m/>
    <s v="Nil"/>
    <m/>
    <s v="BF"/>
    <s v="NB"/>
    <x v="0"/>
    <x v="0"/>
    <n v="0"/>
    <m/>
    <x v="0"/>
    <m/>
    <s v="Intermediate"/>
    <s v="IU"/>
    <s v="RIV7"/>
    <m/>
    <n v="0"/>
    <n v="0"/>
    <n v="0"/>
    <n v="0"/>
    <n v="0"/>
    <n v="0"/>
    <n v="0"/>
    <n v="0"/>
    <n v="0"/>
    <n v="0"/>
    <n v="27"/>
    <n v="0"/>
    <n v="0"/>
    <n v="0"/>
    <n v="0"/>
    <n v="0"/>
    <n v="0"/>
    <n v="27"/>
    <n v="0"/>
    <n v="0"/>
    <n v="0"/>
    <n v="0"/>
    <n v="0"/>
    <n v="0"/>
    <n v="0"/>
    <n v="0"/>
    <n v="0"/>
    <n v="0"/>
    <n v="0"/>
    <n v="0"/>
    <n v="0"/>
    <n v="0"/>
    <m/>
    <m/>
    <s v="Wandsworth riverside"/>
    <n v="19"/>
    <m/>
    <m/>
    <m/>
    <m/>
    <m/>
    <n v="1.6875"/>
    <n v="1.6875"/>
    <n v="1.6875"/>
    <n v="1.6875"/>
    <n v="1.6875"/>
    <n v="1.6875"/>
    <n v="1.6875"/>
    <n v="1.6875"/>
    <n v="1.6875"/>
    <n v="1.6875"/>
    <n v="1.6875"/>
    <n v="1.6875"/>
    <n v="1.6875"/>
    <n v="1.6875"/>
    <n v="1.6875"/>
    <n v="1.6875"/>
    <n v="10.125"/>
  </r>
  <r>
    <n v="3956"/>
    <x v="4"/>
    <m/>
    <s v="Wandsworth Bridge Roundabout"/>
    <m/>
    <n v="526150"/>
    <n v="175269"/>
    <s v="St Mary's"/>
    <m/>
    <m/>
    <n v="0"/>
    <n v="14"/>
    <n v="14"/>
    <n v="21"/>
    <n v="21"/>
    <s v="Y"/>
    <s v="Redevelopment"/>
    <s v="NONE"/>
    <m/>
    <m/>
    <m/>
    <s v="Nil"/>
    <m/>
    <s v="BF"/>
    <s v="NB"/>
    <x v="0"/>
    <x v="0"/>
    <n v="0"/>
    <m/>
    <x v="0"/>
    <m/>
    <s v="Open Market"/>
    <s v="M"/>
    <s v="WT16"/>
    <m/>
    <n v="0"/>
    <n v="0"/>
    <n v="0"/>
    <n v="0"/>
    <n v="0"/>
    <n v="0"/>
    <n v="0"/>
    <n v="0"/>
    <n v="0"/>
    <n v="0"/>
    <n v="14"/>
    <n v="0"/>
    <n v="0"/>
    <n v="0"/>
    <n v="0"/>
    <n v="0"/>
    <n v="0"/>
    <n v="14"/>
    <n v="0"/>
    <n v="0"/>
    <n v="0"/>
    <n v="0"/>
    <n v="0"/>
    <n v="0"/>
    <n v="0"/>
    <n v="0"/>
    <n v="0"/>
    <n v="0"/>
    <n v="0"/>
    <n v="0"/>
    <n v="0"/>
    <n v="0"/>
    <m/>
    <m/>
    <s v="Wandsworth Town, including the Wandle Delta Masterplan Area"/>
    <n v="19"/>
    <m/>
    <m/>
    <m/>
    <m/>
    <m/>
    <m/>
    <m/>
    <m/>
    <m/>
    <n v="1.1666666666666667"/>
    <n v="1.1666666666666667"/>
    <n v="1.1666666666666667"/>
    <n v="1.1666666666666667"/>
    <n v="1.1666666666666667"/>
    <n v="1.1666666666666667"/>
    <n v="1.1666666666666667"/>
    <n v="1.1666666666666667"/>
    <n v="1.1666666666666667"/>
    <n v="1.1666666666666667"/>
    <n v="1.1666666666666667"/>
    <n v="0"/>
    <n v="2.3333333333333335"/>
  </r>
  <r>
    <n v="3956"/>
    <x v="4"/>
    <m/>
    <s v="Wandsworth Bridge Roundabout"/>
    <m/>
    <n v="526150"/>
    <n v="175269"/>
    <s v="St Mary's"/>
    <m/>
    <m/>
    <n v="0"/>
    <n v="4"/>
    <n v="4"/>
    <n v="21"/>
    <n v="21"/>
    <s v="Y"/>
    <s v="Redevelopment"/>
    <s v="NONE"/>
    <m/>
    <m/>
    <m/>
    <s v="Nil"/>
    <m/>
    <s v="BF"/>
    <s v="NB"/>
    <x v="0"/>
    <x v="0"/>
    <n v="0"/>
    <m/>
    <x v="0"/>
    <m/>
    <s v="Social/Affordable Rent"/>
    <s v="AA"/>
    <s v="WT16"/>
    <m/>
    <n v="0"/>
    <n v="0"/>
    <n v="0"/>
    <n v="0"/>
    <n v="0"/>
    <n v="0"/>
    <n v="0"/>
    <n v="0"/>
    <n v="0"/>
    <n v="0"/>
    <n v="4"/>
    <n v="0"/>
    <n v="0"/>
    <n v="0"/>
    <n v="0"/>
    <n v="0"/>
    <n v="0"/>
    <n v="4"/>
    <n v="0"/>
    <n v="0"/>
    <n v="0"/>
    <n v="0"/>
    <n v="0"/>
    <n v="0"/>
    <n v="0"/>
    <n v="0"/>
    <n v="0"/>
    <n v="0"/>
    <n v="0"/>
    <n v="0"/>
    <n v="0"/>
    <n v="0"/>
    <m/>
    <m/>
    <s v="Wandsworth Town, including the Wandle Delta Masterplan Area"/>
    <n v="19"/>
    <m/>
    <m/>
    <m/>
    <m/>
    <m/>
    <m/>
    <m/>
    <m/>
    <m/>
    <n v="0.33333333333333331"/>
    <n v="0.33333333333333331"/>
    <n v="0.33333333333333331"/>
    <n v="0.33333333333333331"/>
    <n v="0.33333333333333331"/>
    <n v="0.33333333333333331"/>
    <n v="0.33333333333333331"/>
    <n v="0.33333333333333331"/>
    <n v="0.33333333333333331"/>
    <n v="0.33333333333333331"/>
    <n v="0.33333333333333331"/>
    <n v="0"/>
    <n v="0.66666666666666663"/>
  </r>
  <r>
    <n v="3956"/>
    <x v="4"/>
    <m/>
    <s v="Wandsworth Bridge Roundabout"/>
    <m/>
    <n v="526150"/>
    <n v="175269"/>
    <s v="St Mary's"/>
    <m/>
    <m/>
    <n v="0"/>
    <n v="3"/>
    <n v="3"/>
    <n v="21"/>
    <n v="21"/>
    <s v="Y"/>
    <s v="Redevelopment"/>
    <s v="NONE"/>
    <m/>
    <m/>
    <m/>
    <s v="Nil"/>
    <m/>
    <s v="BF"/>
    <s v="NB"/>
    <x v="0"/>
    <x v="0"/>
    <n v="0"/>
    <m/>
    <x v="0"/>
    <m/>
    <s v="Intermediate"/>
    <s v="IU"/>
    <s v="WT16"/>
    <m/>
    <n v="0"/>
    <n v="0"/>
    <n v="0"/>
    <n v="0"/>
    <n v="0"/>
    <n v="0"/>
    <n v="0"/>
    <n v="0"/>
    <n v="0"/>
    <n v="0"/>
    <n v="3"/>
    <n v="0"/>
    <n v="0"/>
    <n v="0"/>
    <n v="0"/>
    <n v="0"/>
    <n v="0"/>
    <n v="3"/>
    <n v="0"/>
    <n v="0"/>
    <n v="0"/>
    <n v="0"/>
    <n v="0"/>
    <n v="0"/>
    <n v="0"/>
    <n v="0"/>
    <n v="0"/>
    <n v="0"/>
    <n v="0"/>
    <n v="0"/>
    <n v="0"/>
    <n v="0"/>
    <m/>
    <m/>
    <s v="Wandsworth Town, including the Wandle Delta Masterplan Area"/>
    <n v="19"/>
    <m/>
    <m/>
    <m/>
    <m/>
    <m/>
    <m/>
    <m/>
    <m/>
    <m/>
    <n v="0.25"/>
    <n v="0.25"/>
    <n v="0.25"/>
    <n v="0.25"/>
    <n v="0.25"/>
    <n v="0.25"/>
    <n v="0.25"/>
    <n v="0.25"/>
    <n v="0.25"/>
    <n v="0.25"/>
    <n v="0.25"/>
    <n v="0"/>
    <n v="0.5"/>
  </r>
  <r>
    <n v="4283"/>
    <x v="4"/>
    <m/>
    <s v="Wandsworth Bus Garage, Jews Row"/>
    <m/>
    <n v="525979"/>
    <n v="175334"/>
    <s v="St Mary's"/>
    <m/>
    <m/>
    <n v="0"/>
    <n v="3"/>
    <n v="3"/>
    <n v="3"/>
    <n v="3"/>
    <m/>
    <s v="Redevelopment"/>
    <s v="NONE"/>
    <m/>
    <m/>
    <m/>
    <s v="Nil"/>
    <m/>
    <s v="BF"/>
    <s v="MIX"/>
    <x v="2"/>
    <x v="1"/>
    <n v="0"/>
    <m/>
    <x v="0"/>
    <m/>
    <s v="Open Market"/>
    <s v="M"/>
    <s v="WT17"/>
    <m/>
    <n v="0"/>
    <n v="0"/>
    <n v="0"/>
    <n v="0"/>
    <n v="0"/>
    <n v="0"/>
    <n v="0"/>
    <n v="0"/>
    <n v="0"/>
    <n v="0"/>
    <n v="3"/>
    <n v="0"/>
    <n v="0"/>
    <n v="0"/>
    <n v="0"/>
    <n v="0"/>
    <n v="0"/>
    <n v="3"/>
    <n v="0"/>
    <n v="0"/>
    <n v="0"/>
    <n v="0"/>
    <n v="0"/>
    <n v="0"/>
    <n v="0"/>
    <n v="0"/>
    <n v="0"/>
    <n v="0"/>
    <n v="0"/>
    <n v="0"/>
    <n v="0"/>
    <n v="0"/>
    <m/>
    <m/>
    <s v="Wandsworth Town, including the Wandle Delta Masterplan Area"/>
    <n v="19"/>
    <m/>
    <m/>
    <m/>
    <m/>
    <m/>
    <m/>
    <m/>
    <m/>
    <m/>
    <n v="0.25"/>
    <n v="0.25"/>
    <n v="0.25"/>
    <n v="0.25"/>
    <n v="0.25"/>
    <n v="0.25"/>
    <n v="0.25"/>
    <n v="0.25"/>
    <n v="0.25"/>
    <n v="0.25"/>
    <n v="0.25"/>
    <n v="0"/>
    <n v="0.5"/>
  </r>
  <r>
    <n v="7584"/>
    <x v="4"/>
    <m/>
    <s v="Wandsworth Town Hall, Wandsworth High Street, SW18"/>
    <m/>
    <n v="525773.66240000003"/>
    <n v="174729.85870000001"/>
    <s v="Wandsworth Town"/>
    <m/>
    <m/>
    <n v="0"/>
    <n v="16"/>
    <n v="16"/>
    <n v="24"/>
    <n v="24"/>
    <s v="Y"/>
    <s v="Redevelopment"/>
    <s v="NONE"/>
    <m/>
    <m/>
    <m/>
    <s v="Nil"/>
    <m/>
    <s v="BF"/>
    <s v="NB"/>
    <x v="0"/>
    <x v="0"/>
    <n v="0"/>
    <m/>
    <x v="0"/>
    <m/>
    <s v="Open Market"/>
    <s v="M"/>
    <s v="WT19"/>
    <m/>
    <n v="0"/>
    <n v="0"/>
    <n v="0"/>
    <n v="0"/>
    <n v="0"/>
    <n v="0"/>
    <n v="0"/>
    <n v="0"/>
    <n v="0"/>
    <n v="0"/>
    <n v="16"/>
    <n v="0"/>
    <n v="0"/>
    <n v="0"/>
    <n v="0"/>
    <n v="0"/>
    <n v="0"/>
    <n v="16"/>
    <n v="0"/>
    <n v="0"/>
    <n v="0"/>
    <n v="0"/>
    <n v="0"/>
    <n v="0"/>
    <n v="0"/>
    <n v="0"/>
    <n v="0"/>
    <n v="0"/>
    <n v="0"/>
    <n v="0"/>
    <n v="0"/>
    <n v="0"/>
    <s v="Wandsworth"/>
    <m/>
    <s v="Wandsworth Town, including the Wandle Delta Masterplan Area"/>
    <n v="19"/>
    <m/>
    <m/>
    <m/>
    <m/>
    <n v="1.6"/>
    <n v="1.6"/>
    <n v="1.6"/>
    <n v="1.6"/>
    <n v="1.6"/>
    <n v="1.6"/>
    <n v="1.6"/>
    <n v="1.6"/>
    <n v="1.6"/>
    <n v="1.6"/>
    <m/>
    <m/>
    <m/>
    <m/>
    <m/>
    <m/>
    <n v="3.2"/>
    <n v="11.2"/>
  </r>
  <r>
    <n v="7584"/>
    <x v="4"/>
    <m/>
    <s v="Wandsworth Town Hall, Wandsworth High Street, SW18"/>
    <m/>
    <n v="525773.66240000003"/>
    <n v="174729.85870000001"/>
    <s v="Wandsworth Town"/>
    <m/>
    <m/>
    <n v="0"/>
    <n v="5"/>
    <n v="5"/>
    <n v="24"/>
    <n v="24"/>
    <s v="Y"/>
    <s v="Redevelopment"/>
    <s v="NONE"/>
    <m/>
    <m/>
    <m/>
    <s v="Nil"/>
    <m/>
    <s v="BF"/>
    <s v="NB"/>
    <x v="0"/>
    <x v="0"/>
    <n v="0"/>
    <m/>
    <x v="0"/>
    <m/>
    <s v="Social/Affordable Rent"/>
    <s v="AA"/>
    <s v="WT19"/>
    <m/>
    <n v="0"/>
    <n v="0"/>
    <n v="0"/>
    <n v="0"/>
    <n v="0"/>
    <n v="0"/>
    <n v="0"/>
    <n v="0"/>
    <n v="0"/>
    <n v="0"/>
    <n v="5"/>
    <n v="0"/>
    <n v="0"/>
    <n v="0"/>
    <n v="0"/>
    <n v="0"/>
    <n v="0"/>
    <n v="5"/>
    <n v="0"/>
    <n v="0"/>
    <n v="0"/>
    <n v="0"/>
    <n v="0"/>
    <n v="0"/>
    <n v="0"/>
    <n v="0"/>
    <n v="0"/>
    <n v="0"/>
    <n v="0"/>
    <n v="0"/>
    <n v="0"/>
    <n v="0"/>
    <s v="Wandsworth"/>
    <m/>
    <s v="Wandsworth Town, including the Wandle Delta Masterplan Area"/>
    <n v="19"/>
    <m/>
    <m/>
    <m/>
    <m/>
    <n v="0.5"/>
    <n v="0.5"/>
    <n v="0.5"/>
    <n v="0.5"/>
    <n v="0.5"/>
    <n v="0.5"/>
    <n v="0.5"/>
    <n v="0.5"/>
    <n v="0.5"/>
    <n v="0.5"/>
    <m/>
    <m/>
    <m/>
    <m/>
    <m/>
    <m/>
    <n v="1"/>
    <n v="3.5"/>
  </r>
  <r>
    <n v="7584"/>
    <x v="4"/>
    <m/>
    <s v="Wandsworth Town Hall, Wandsworth High Street, SW18"/>
    <m/>
    <n v="525773.66240000003"/>
    <n v="174729.85870000001"/>
    <s v="Wandsworth Town"/>
    <m/>
    <m/>
    <n v="0"/>
    <n v="3"/>
    <n v="3"/>
    <n v="24"/>
    <n v="24"/>
    <s v="Y"/>
    <s v="Redevelopment"/>
    <s v="NONE"/>
    <m/>
    <m/>
    <m/>
    <s v="Nil"/>
    <m/>
    <s v="BF"/>
    <s v="NB"/>
    <x v="0"/>
    <x v="0"/>
    <n v="0"/>
    <m/>
    <x v="0"/>
    <m/>
    <s v="Intermediate"/>
    <s v="IU"/>
    <s v="WT19"/>
    <m/>
    <n v="0"/>
    <n v="0"/>
    <n v="0"/>
    <n v="0"/>
    <n v="0"/>
    <n v="0"/>
    <n v="0"/>
    <n v="0"/>
    <n v="0"/>
    <n v="0"/>
    <n v="3"/>
    <n v="0"/>
    <n v="0"/>
    <n v="0"/>
    <n v="0"/>
    <n v="0"/>
    <n v="0"/>
    <n v="3"/>
    <n v="0"/>
    <n v="0"/>
    <n v="0"/>
    <n v="0"/>
    <n v="0"/>
    <n v="0"/>
    <n v="0"/>
    <n v="0"/>
    <n v="0"/>
    <n v="0"/>
    <n v="0"/>
    <n v="0"/>
    <n v="0"/>
    <n v="0"/>
    <s v="Wandsworth"/>
    <m/>
    <s v="Wandsworth Town, including the Wandle Delta Masterplan Area"/>
    <n v="19"/>
    <m/>
    <m/>
    <m/>
    <m/>
    <n v="0.3"/>
    <n v="0.3"/>
    <n v="0.3"/>
    <n v="0.3"/>
    <n v="0.3"/>
    <n v="0.3"/>
    <n v="0.3"/>
    <n v="0.3"/>
    <n v="0.3"/>
    <n v="0.3"/>
    <m/>
    <m/>
    <m/>
    <m/>
    <m/>
    <m/>
    <n v="0.6"/>
    <n v="2.1"/>
  </r>
  <r>
    <n v="7539"/>
    <x v="4"/>
    <m/>
    <s v="Wimbledon Park Estate, Wimbledon Park Road, SW19 6PF"/>
    <m/>
    <n v="524520"/>
    <n v="173088"/>
    <s v="West Hill"/>
    <m/>
    <m/>
    <n v="0"/>
    <n v="23"/>
    <n v="23"/>
    <n v="35"/>
    <n v="35"/>
    <s v="Y"/>
    <s v="Redevelopment"/>
    <s v="NONE"/>
    <m/>
    <m/>
    <m/>
    <s v="Nil"/>
    <m/>
    <s v="BF"/>
    <s v="NB"/>
    <x v="0"/>
    <x v="0"/>
    <n v="0"/>
    <m/>
    <x v="0"/>
    <m/>
    <s v="Open Market"/>
    <s v="M"/>
    <m/>
    <m/>
    <n v="0"/>
    <n v="0"/>
    <n v="0"/>
    <n v="0"/>
    <n v="0"/>
    <n v="0"/>
    <n v="0"/>
    <n v="0"/>
    <n v="0"/>
    <n v="0"/>
    <n v="23"/>
    <n v="0"/>
    <n v="0"/>
    <n v="0"/>
    <n v="0"/>
    <n v="0"/>
    <n v="0"/>
    <n v="23"/>
    <n v="0"/>
    <n v="0"/>
    <n v="0"/>
    <n v="0"/>
    <n v="0"/>
    <n v="0"/>
    <n v="0"/>
    <n v="0"/>
    <n v="0"/>
    <n v="0"/>
    <n v="0"/>
    <n v="0"/>
    <n v="0"/>
    <n v="0"/>
    <m/>
    <m/>
    <s v="Rest of Borough"/>
    <n v="19"/>
    <m/>
    <m/>
    <m/>
    <m/>
    <m/>
    <n v="23"/>
    <m/>
    <m/>
    <m/>
    <m/>
    <m/>
    <m/>
    <m/>
    <m/>
    <m/>
    <m/>
    <m/>
    <m/>
    <m/>
    <m/>
    <n v="23"/>
    <n v="23"/>
  </r>
  <r>
    <n v="7539"/>
    <x v="4"/>
    <m/>
    <s v="Wimbledon Park Estate, Wimbledon Park Road, SW19 6PF"/>
    <m/>
    <n v="524520"/>
    <n v="173088"/>
    <s v="West Hill"/>
    <m/>
    <m/>
    <n v="0"/>
    <n v="7"/>
    <n v="7"/>
    <n v="35"/>
    <n v="35"/>
    <s v="Y"/>
    <s v="Redevelopment"/>
    <s v="NONE"/>
    <m/>
    <m/>
    <m/>
    <s v="Nil"/>
    <m/>
    <s v="BF"/>
    <s v="NB"/>
    <x v="0"/>
    <x v="0"/>
    <n v="0"/>
    <m/>
    <x v="0"/>
    <m/>
    <s v="Social/Affordable Rent"/>
    <s v="AA"/>
    <m/>
    <m/>
    <n v="0"/>
    <n v="0"/>
    <n v="0"/>
    <n v="0"/>
    <n v="0"/>
    <n v="0"/>
    <n v="0"/>
    <n v="0"/>
    <n v="0"/>
    <n v="0"/>
    <n v="7"/>
    <n v="0"/>
    <n v="0"/>
    <n v="0"/>
    <n v="0"/>
    <n v="0"/>
    <n v="0"/>
    <n v="7"/>
    <n v="0"/>
    <n v="0"/>
    <n v="0"/>
    <n v="0"/>
    <n v="0"/>
    <n v="0"/>
    <n v="0"/>
    <n v="0"/>
    <n v="0"/>
    <n v="0"/>
    <n v="0"/>
    <n v="0"/>
    <n v="0"/>
    <n v="0"/>
    <m/>
    <m/>
    <s v="Rest of Borough"/>
    <n v="19"/>
    <m/>
    <m/>
    <m/>
    <m/>
    <m/>
    <n v="7"/>
    <m/>
    <m/>
    <m/>
    <m/>
    <m/>
    <m/>
    <m/>
    <m/>
    <m/>
    <m/>
    <m/>
    <m/>
    <m/>
    <m/>
    <n v="7"/>
    <n v="7"/>
  </r>
  <r>
    <n v="7539"/>
    <x v="4"/>
    <m/>
    <s v="Wimbledon Park Estate, Wimbledon Park Road, SW19 6PF"/>
    <m/>
    <n v="524520"/>
    <n v="173088"/>
    <s v="West Hill"/>
    <m/>
    <m/>
    <n v="0"/>
    <n v="5"/>
    <n v="5"/>
    <n v="35"/>
    <n v="35"/>
    <s v="Y"/>
    <s v="Redevelopment"/>
    <s v="NONE"/>
    <m/>
    <m/>
    <m/>
    <s v="Nil"/>
    <m/>
    <s v="BF"/>
    <s v="NB"/>
    <x v="0"/>
    <x v="0"/>
    <n v="0"/>
    <m/>
    <x v="0"/>
    <m/>
    <s v="Intermediate"/>
    <s v="IU"/>
    <m/>
    <m/>
    <n v="0"/>
    <n v="0"/>
    <n v="0"/>
    <n v="0"/>
    <n v="0"/>
    <n v="0"/>
    <n v="0"/>
    <n v="0"/>
    <n v="0"/>
    <n v="0"/>
    <n v="5"/>
    <n v="0"/>
    <n v="0"/>
    <n v="0"/>
    <n v="0"/>
    <n v="0"/>
    <n v="0"/>
    <n v="5"/>
    <n v="0"/>
    <n v="0"/>
    <n v="0"/>
    <n v="0"/>
    <n v="0"/>
    <n v="0"/>
    <n v="0"/>
    <n v="0"/>
    <n v="0"/>
    <n v="0"/>
    <n v="0"/>
    <n v="0"/>
    <n v="0"/>
    <n v="0"/>
    <m/>
    <m/>
    <s v="Rest of Borough"/>
    <n v="19"/>
    <m/>
    <m/>
    <m/>
    <m/>
    <m/>
    <n v="5"/>
    <m/>
    <m/>
    <m/>
    <m/>
    <m/>
    <m/>
    <m/>
    <m/>
    <m/>
    <m/>
    <m/>
    <m/>
    <m/>
    <m/>
    <n v="5"/>
    <n v="5"/>
  </r>
  <r>
    <m/>
    <x v="5"/>
    <m/>
    <m/>
    <m/>
    <m/>
    <m/>
    <m/>
    <m/>
    <m/>
    <n v="0"/>
    <n v="208"/>
    <n v="208"/>
    <n v="0"/>
    <n v="0"/>
    <s v="Y"/>
    <s v="Redevelopment"/>
    <s v="NONE"/>
    <m/>
    <m/>
    <m/>
    <s v="Nil"/>
    <m/>
    <s v="BF"/>
    <s v="NB"/>
    <x v="0"/>
    <x v="0"/>
    <n v="0"/>
    <m/>
    <x v="0"/>
    <m/>
    <s v="Open Market"/>
    <s v="M"/>
    <m/>
    <m/>
    <n v="0"/>
    <n v="0"/>
    <n v="0"/>
    <n v="0"/>
    <n v="0"/>
    <n v="0"/>
    <n v="0"/>
    <n v="0"/>
    <n v="0"/>
    <n v="0"/>
    <n v="208"/>
    <n v="0"/>
    <n v="0"/>
    <n v="0"/>
    <n v="0"/>
    <n v="0"/>
    <n v="0"/>
    <n v="208"/>
    <n v="0"/>
    <n v="0"/>
    <n v="0"/>
    <n v="0"/>
    <n v="0"/>
    <n v="0"/>
    <n v="0"/>
    <n v="0"/>
    <n v="0"/>
    <n v="0"/>
    <n v="0"/>
    <n v="0"/>
    <n v="0"/>
    <n v="0"/>
    <m/>
    <m/>
    <s v="Borough-wide"/>
    <n v="21"/>
    <m/>
    <m/>
    <m/>
    <m/>
    <m/>
    <n v="14.857142857142858"/>
    <n v="14.857142857142858"/>
    <n v="14.857142857142858"/>
    <n v="14.857142857142858"/>
    <n v="14.857142857142858"/>
    <n v="14.857142857142858"/>
    <n v="14.857142857142858"/>
    <n v="14.857142857142858"/>
    <n v="14.857142857142858"/>
    <n v="14.857142857142858"/>
    <n v="14.857142857142858"/>
    <n v="14.857142857142858"/>
    <n v="14.857142857142858"/>
    <n v="14.857142857142858"/>
    <m/>
    <n v="14.857142857142858"/>
    <n v="89.142857142857153"/>
  </r>
  <r>
    <m/>
    <x v="5"/>
    <m/>
    <m/>
    <m/>
    <m/>
    <m/>
    <m/>
    <m/>
    <m/>
    <n v="0"/>
    <n v="62"/>
    <n v="62"/>
    <n v="0"/>
    <n v="0"/>
    <s v="Y"/>
    <s v="Redevelopment"/>
    <s v="NONE"/>
    <m/>
    <m/>
    <m/>
    <s v="Nil"/>
    <m/>
    <s v="BF"/>
    <s v="NB"/>
    <x v="0"/>
    <x v="0"/>
    <n v="0"/>
    <m/>
    <x v="0"/>
    <m/>
    <s v="Social/Affordable Rent"/>
    <s v="AA"/>
    <m/>
    <m/>
    <n v="0"/>
    <n v="0"/>
    <n v="0"/>
    <n v="0"/>
    <n v="0"/>
    <n v="0"/>
    <n v="0"/>
    <n v="0"/>
    <n v="0"/>
    <n v="0"/>
    <n v="62"/>
    <n v="0"/>
    <n v="0"/>
    <n v="0"/>
    <n v="0"/>
    <n v="0"/>
    <n v="0"/>
    <n v="62"/>
    <n v="0"/>
    <n v="0"/>
    <n v="0"/>
    <n v="0"/>
    <n v="0"/>
    <n v="0"/>
    <n v="0"/>
    <n v="0"/>
    <n v="0"/>
    <n v="0"/>
    <n v="0"/>
    <n v="0"/>
    <n v="0"/>
    <n v="0"/>
    <m/>
    <m/>
    <s v="Borough-wide"/>
    <n v="21"/>
    <m/>
    <m/>
    <m/>
    <m/>
    <m/>
    <n v="4.4285714285714288"/>
    <n v="4.4285714285714288"/>
    <n v="4.4285714285714288"/>
    <n v="4.4285714285714288"/>
    <n v="4.4285714285714288"/>
    <n v="4.4285714285714288"/>
    <n v="4.4285714285714288"/>
    <n v="4.4285714285714288"/>
    <n v="4.4285714285714288"/>
    <n v="4.4285714285714288"/>
    <n v="4.4285714285714288"/>
    <n v="4.4285714285714288"/>
    <n v="4.4285714285714288"/>
    <n v="4.4285714285714288"/>
    <m/>
    <n v="4.4285714285714288"/>
    <n v="26.571428571428577"/>
  </r>
  <r>
    <m/>
    <x v="5"/>
    <m/>
    <m/>
    <m/>
    <m/>
    <m/>
    <m/>
    <m/>
    <m/>
    <n v="0"/>
    <n v="41"/>
    <n v="41"/>
    <n v="0"/>
    <n v="0"/>
    <s v="Y"/>
    <s v="Redevelopment"/>
    <s v="NONE"/>
    <m/>
    <m/>
    <m/>
    <s v="Nil"/>
    <m/>
    <s v="BF"/>
    <s v="NB"/>
    <x v="0"/>
    <x v="0"/>
    <n v="0"/>
    <m/>
    <x v="0"/>
    <m/>
    <s v="Intermediate"/>
    <s v="IU"/>
    <m/>
    <m/>
    <n v="0"/>
    <n v="0"/>
    <n v="0"/>
    <n v="0"/>
    <n v="0"/>
    <n v="0"/>
    <n v="0"/>
    <n v="0"/>
    <n v="0"/>
    <n v="0"/>
    <n v="41"/>
    <n v="0"/>
    <n v="0"/>
    <n v="0"/>
    <n v="0"/>
    <n v="0"/>
    <n v="0"/>
    <n v="41"/>
    <n v="0"/>
    <n v="0"/>
    <n v="0"/>
    <n v="0"/>
    <n v="0"/>
    <n v="0"/>
    <n v="0"/>
    <n v="0"/>
    <n v="0"/>
    <n v="0"/>
    <n v="0"/>
    <n v="0"/>
    <n v="0"/>
    <n v="0"/>
    <m/>
    <m/>
    <s v="Borough-wide"/>
    <n v="21"/>
    <m/>
    <m/>
    <m/>
    <m/>
    <m/>
    <n v="2.9285714285714284"/>
    <n v="2.9285714285714284"/>
    <n v="2.9285714285714284"/>
    <n v="2.9285714285714284"/>
    <n v="2.9285714285714284"/>
    <n v="2.9285714285714284"/>
    <n v="2.9285714285714284"/>
    <n v="2.9285714285714284"/>
    <n v="2.9285714285714284"/>
    <n v="2.9285714285714284"/>
    <n v="2.9285714285714284"/>
    <n v="2.9285714285714284"/>
    <n v="2.9285714285714284"/>
    <n v="2.9285714285714284"/>
    <m/>
    <n v="2.9285714285714284"/>
    <n v="17.571428571428569"/>
  </r>
  <r>
    <m/>
    <x v="6"/>
    <m/>
    <m/>
    <m/>
    <m/>
    <m/>
    <m/>
    <m/>
    <m/>
    <n v="0"/>
    <n v="4788"/>
    <n v="4788"/>
    <n v="0"/>
    <n v="0"/>
    <m/>
    <s v="Redevelopment"/>
    <s v="NONE"/>
    <m/>
    <m/>
    <m/>
    <s v="Nil"/>
    <m/>
    <s v="BF"/>
    <s v="CON"/>
    <x v="2"/>
    <x v="5"/>
    <n v="0"/>
    <m/>
    <x v="0"/>
    <m/>
    <s v="Unknown"/>
    <s v="UK"/>
    <m/>
    <m/>
    <n v="0"/>
    <n v="0"/>
    <n v="0"/>
    <n v="0"/>
    <n v="0"/>
    <n v="0"/>
    <n v="0"/>
    <n v="0"/>
    <n v="0"/>
    <n v="0"/>
    <n v="5222"/>
    <n v="0"/>
    <n v="0"/>
    <n v="0"/>
    <n v="0"/>
    <n v="0"/>
    <n v="0"/>
    <n v="5222"/>
    <n v="0"/>
    <n v="0"/>
    <n v="0"/>
    <n v="0"/>
    <n v="0"/>
    <n v="0"/>
    <n v="0"/>
    <n v="0"/>
    <n v="0"/>
    <n v="0"/>
    <n v="0"/>
    <n v="0"/>
    <n v="0"/>
    <n v="0"/>
    <m/>
    <m/>
    <s v="Borough-wide"/>
    <n v="22"/>
    <m/>
    <n v="177"/>
    <n v="177"/>
    <n v="177"/>
    <n v="177"/>
    <n v="177"/>
    <n v="177"/>
    <n v="414"/>
    <n v="414"/>
    <n v="414"/>
    <n v="414"/>
    <n v="414"/>
    <n v="414"/>
    <n v="414"/>
    <n v="414"/>
    <n v="414"/>
    <m/>
    <m/>
    <m/>
    <m/>
    <n v="885"/>
    <n v="2718"/>
  </r>
  <r>
    <m/>
    <x v="7"/>
    <m/>
    <m/>
    <m/>
    <m/>
    <m/>
    <m/>
    <m/>
    <m/>
    <m/>
    <m/>
    <m/>
    <m/>
    <m/>
    <m/>
    <m/>
    <m/>
    <m/>
    <m/>
    <m/>
    <m/>
    <m/>
    <m/>
    <m/>
    <x v="7"/>
    <x v="14"/>
    <m/>
    <m/>
    <x v="0"/>
    <m/>
    <m/>
    <m/>
    <m/>
    <m/>
    <m/>
    <m/>
    <m/>
    <m/>
    <m/>
    <m/>
    <m/>
    <m/>
    <m/>
    <m/>
    <m/>
    <m/>
    <m/>
    <m/>
    <m/>
    <m/>
    <m/>
    <m/>
    <m/>
    <m/>
    <m/>
    <m/>
    <m/>
    <m/>
    <m/>
    <m/>
    <m/>
    <m/>
    <m/>
    <m/>
    <m/>
    <m/>
    <m/>
    <m/>
    <m/>
    <m/>
    <m/>
    <m/>
    <m/>
    <m/>
    <m/>
    <m/>
    <m/>
    <m/>
    <m/>
    <m/>
    <m/>
    <m/>
    <m/>
    <m/>
    <m/>
    <m/>
    <m/>
    <m/>
    <m/>
    <m/>
    <m/>
    <m/>
  </r>
  <r>
    <m/>
    <x v="7"/>
    <m/>
    <m/>
    <m/>
    <m/>
    <m/>
    <m/>
    <m/>
    <m/>
    <m/>
    <m/>
    <m/>
    <m/>
    <m/>
    <m/>
    <m/>
    <m/>
    <m/>
    <m/>
    <m/>
    <m/>
    <m/>
    <m/>
    <m/>
    <x v="7"/>
    <x v="14"/>
    <m/>
    <m/>
    <x v="0"/>
    <m/>
    <m/>
    <m/>
    <m/>
    <m/>
    <m/>
    <m/>
    <m/>
    <m/>
    <m/>
    <m/>
    <m/>
    <m/>
    <m/>
    <m/>
    <m/>
    <m/>
    <m/>
    <m/>
    <m/>
    <m/>
    <m/>
    <m/>
    <m/>
    <m/>
    <m/>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n v="6827"/>
    <x v="0"/>
    <s v="2020/2460"/>
    <s v="Cedars Hall, 141 Welham Road"/>
    <n v="528519"/>
    <n v="170963"/>
    <s v="Furzedown"/>
    <d v="2021-04-01T00:00:00"/>
    <d v="2022-08-02T00:00:00"/>
    <n v="0"/>
    <n v="0"/>
    <n v="0"/>
    <n v="0"/>
    <n v="0"/>
    <n v="0"/>
    <n v="0"/>
    <n v="0"/>
    <n v="0"/>
    <n v="0"/>
    <n v="0"/>
    <n v="0"/>
    <n v="0"/>
    <n v="41"/>
    <n v="41"/>
    <n v="16.399999999999999"/>
    <n v="0"/>
    <n v="0"/>
    <n v="0"/>
    <n v="0"/>
    <n v="16"/>
    <s v="Alterations including erection of three-storey student accommodation block to Cedars Hall (Class C2); associated landscaping and refuse and bike storage."/>
    <s v="PF"/>
    <d v="2020-07-14T00:00:00"/>
    <d v="2020-12-22T00:00:00"/>
    <s v="Nil"/>
    <m/>
    <d v="2021-04-01T00:00:00"/>
    <d v="2022-08-02T00:00:00"/>
    <s v="Other"/>
    <s v="O"/>
    <s v=""/>
    <m/>
    <m/>
    <s v=""/>
    <n v="1"/>
    <n v="16"/>
    <m/>
    <m/>
    <m/>
    <m/>
    <m/>
    <m/>
    <m/>
    <m/>
    <m/>
    <m/>
    <m/>
    <m/>
    <m/>
    <m/>
    <m/>
    <m/>
    <m/>
    <m/>
    <n v="0"/>
    <n v="0"/>
  </r>
  <r>
    <n v="2589"/>
    <x v="0"/>
    <s v="2021/0652"/>
    <s v="24 Southolm Street"/>
    <n v="528730"/>
    <n v="176714"/>
    <s v="Shaftesbury &amp; Queenstown"/>
    <d v="2021-04-28T00:00:00"/>
    <d v="2022-06-13T00:00:00"/>
    <n v="0"/>
    <n v="0"/>
    <n v="0"/>
    <n v="0"/>
    <n v="0"/>
    <n v="0"/>
    <n v="0"/>
    <n v="0"/>
    <n v="0"/>
    <n v="0"/>
    <n v="0"/>
    <n v="0"/>
    <n v="0"/>
    <n v="0"/>
    <n v="0"/>
    <n v="0"/>
    <n v="0"/>
    <n v="7"/>
    <n v="7"/>
    <n v="3.8888888888888888"/>
    <n v="4"/>
    <s v="Alterations including change of use from residential (Class C3) to 1 x 7-bedroom HMO (Class Sui Generis), replacement windows and bin store to front."/>
    <s v="PF"/>
    <d v="2021-03-11T00:00:00"/>
    <d v="2021-04-28T00:00:00"/>
    <s v="Nil"/>
    <m/>
    <d v="2021-04-28T00:00:00"/>
    <d v="2022-06-13T00:00:00"/>
    <s v="Open Market"/>
    <s v="MR"/>
    <s v=""/>
    <m/>
    <m/>
    <s v=""/>
    <n v="1"/>
    <n v="4"/>
    <m/>
    <m/>
    <m/>
    <m/>
    <m/>
    <m/>
    <m/>
    <m/>
    <m/>
    <m/>
    <m/>
    <m/>
    <m/>
    <m/>
    <m/>
    <m/>
    <m/>
    <m/>
    <n v="0"/>
    <n v="0"/>
  </r>
  <r>
    <n v="7204"/>
    <x v="0"/>
    <s v="2019/2905"/>
    <s v="83 Huron Road"/>
    <n v="528657"/>
    <n v="172323"/>
    <s v="South Balham"/>
    <d v="2020-03-31T00:00:00"/>
    <d v="2022-08-17T00:00:00"/>
    <n v="0"/>
    <n v="0"/>
    <n v="0"/>
    <n v="0"/>
    <n v="0"/>
    <n v="0"/>
    <n v="0"/>
    <n v="0"/>
    <n v="0"/>
    <n v="0"/>
    <n v="0"/>
    <n v="0"/>
    <n v="0"/>
    <n v="0"/>
    <n v="0"/>
    <n v="0"/>
    <n v="12"/>
    <n v="0"/>
    <n v="-12"/>
    <n v="-6.6666666666666661"/>
    <n v="-7"/>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s v="Nil"/>
    <m/>
    <d v="2020-03-31T00:00:00"/>
    <d v="2022-08-17T00:00:00"/>
    <s v="Open Market"/>
    <s v="M"/>
    <s v=""/>
    <m/>
    <m/>
    <s v=""/>
    <n v="1"/>
    <n v="-7"/>
    <m/>
    <m/>
    <m/>
    <m/>
    <m/>
    <m/>
    <m/>
    <m/>
    <m/>
    <m/>
    <m/>
    <m/>
    <m/>
    <m/>
    <m/>
    <m/>
    <m/>
    <m/>
    <n v="0"/>
    <n v="0"/>
  </r>
  <r>
    <n v="2502"/>
    <x v="0"/>
    <s v="2019/2496"/>
    <s v="Springfield Hospital site, 61 Glenburnie Road"/>
    <n v="527221"/>
    <n v="172443"/>
    <s v="Wandsworth Common"/>
    <d v="2021-04-06T00:00:00"/>
    <d v="2023-02-28T00:00:00"/>
    <n v="0"/>
    <n v="0"/>
    <n v="0"/>
    <n v="0"/>
    <n v="0"/>
    <n v="64"/>
    <n v="64"/>
    <n v="64"/>
    <n v="0"/>
    <n v="0"/>
    <n v="0"/>
    <n v="0"/>
    <n v="0"/>
    <n v="0"/>
    <n v="0"/>
    <n v="0"/>
    <n v="0"/>
    <n v="0"/>
    <n v="0"/>
    <n v="0"/>
    <n v="64"/>
    <s v="Details of Reserved Matters relating to appearance, landscaping and scale, in respect of Phase 4B only (the care home), further to condition 1 attached to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no. 2014/6585, dated 04/06/2015, application ref. 2016/4760 dated 24/04/2018 and application 2019/2495 dated 28/02/2020 [Phase 4B of the Masterplan relates to the care home- Plot H]."/>
    <s v="DT"/>
    <d v="2019-06-27T00:00:00"/>
    <d v="2020-02-28T00:00:00"/>
    <s v="Nil"/>
    <m/>
    <d v="2021-04-06T00:00:00"/>
    <d v="2023-02-28T00:00:00"/>
    <s v="Open Market"/>
    <s v="M"/>
    <s v="9.1"/>
    <m/>
    <s v="Y"/>
    <s v="EW"/>
    <n v="1"/>
    <n v="64"/>
    <m/>
    <m/>
    <m/>
    <m/>
    <m/>
    <m/>
    <m/>
    <m/>
    <m/>
    <m/>
    <m/>
    <m/>
    <m/>
    <m/>
    <m/>
    <m/>
    <m/>
    <m/>
    <n v="0"/>
    <n v="0"/>
  </r>
  <r>
    <n v="4486"/>
    <x v="0"/>
    <s v="2021/1400"/>
    <s v="Garratt Mills, Trewint Street"/>
    <n v="525900"/>
    <n v="172713"/>
    <s v="Wandsworth Common"/>
    <d v="2020-11-11T00:00:00"/>
    <d v="2022-10-27T00:00:00"/>
    <n v="0"/>
    <n v="206"/>
    <n v="206"/>
    <n v="114.44444444444444"/>
    <n v="0"/>
    <n v="0"/>
    <n v="0"/>
    <n v="0"/>
    <n v="0"/>
    <n v="0"/>
    <n v="0"/>
    <n v="0"/>
    <n v="0"/>
    <n v="0"/>
    <n v="0"/>
    <n v="0"/>
    <n v="0"/>
    <n v="0"/>
    <n v="0"/>
    <n v="0"/>
    <n v="114"/>
    <s v="Non material amendment to planning application dated 12/08/2020 ref 2020/1552 (Variation of conditions 2 and 43 (in accordance with approved drawings) pursuant to planning permission dated 03/03/2020 ref 2019/1083 (Demolition of existing buildings and the erection of two blocks between 8 and 6 storeys (including double height ground floor with mezzanine) linked by a single storey building with mezzanine level, comprising co-living rooms with internal and external amenity space (Sui Generis), cafe and restaurant use (Class A3), new pedestrian bridge, riverwalk, landscaping, plant, refuse and bicycle stores and associated works.) to allow changes to the site red line boundary; the provision of 18 additional co-living rooms at mezzanine and sixth floor level; changes to the layout of the ground floor including reduction in café size to 345sqm; increase in internal amenity to 1,648sqm; increasing the width of  the roof accommodation in Block  A; changes to the ground floor and mezzanine level elevations; enlargement of the podium building with terrace above; relocation of the proposed bicycle store to shipping containers along the southern boundary; provision of an additional accessible car parking space.) to include 5 additional shared living rooms and associated elevational changes."/>
    <s v="S96A"/>
    <d v="2021-03-24T00:00:00"/>
    <d v="2021-04-15T00:00:00"/>
    <s v="Nil"/>
    <m/>
    <d v="2020-11-11T00:00:00"/>
    <d v="2022-10-27T00:00:00"/>
    <s v="Open Market"/>
    <s v="M"/>
    <s v=""/>
    <m/>
    <m/>
    <s v=""/>
    <n v="1"/>
    <n v="114"/>
    <m/>
    <m/>
    <m/>
    <m/>
    <m/>
    <m/>
    <m/>
    <m/>
    <m/>
    <m/>
    <m/>
    <m/>
    <m/>
    <m/>
    <m/>
    <m/>
    <m/>
    <m/>
    <n v="0"/>
    <n v="0"/>
  </r>
  <r>
    <n v="4486"/>
    <x v="0"/>
    <s v="2021/1400"/>
    <s v="Garratt Mills, Trewint Street"/>
    <n v="525900"/>
    <n v="172713"/>
    <s v="Wandsworth Common"/>
    <d v="2020-11-11T00:00:00"/>
    <d v="2022-10-27T00:00:00"/>
    <n v="0"/>
    <n v="109"/>
    <n v="109"/>
    <n v="60.555555555555557"/>
    <n v="0"/>
    <n v="0"/>
    <n v="0"/>
    <n v="0"/>
    <n v="0"/>
    <n v="0"/>
    <n v="0"/>
    <n v="0"/>
    <n v="0"/>
    <n v="0"/>
    <n v="0"/>
    <n v="0"/>
    <n v="0"/>
    <n v="0"/>
    <n v="0"/>
    <n v="0"/>
    <n v="61"/>
    <s v="Non material amendment to planning application dated 12/08/2020 ref 2020/1552 (Variation of conditions 2 and 43 (in accordance with approved drawings) pursuant to planning permission dated 03/03/2020 ref 2019/1083 (Demolition of existing buildings and the erection of two blocks between 8 and 6 storeys (including double height ground floor with mezzanine) linked by a single storey building with mezzanine level, comprising co-living rooms with internal and external amenity space (Sui Generis), cafe and restaurant use (Class A3), new pedestrian bridge, riverwalk, landscaping, plant, refuse and bicycle stores and associated works.) to allow changes to the site red line boundary; the provision of 18 additional co-living rooms at mezzanine and sixth floor level; changes to the layout of the ground floor including reduction in café size to 345sqm; increase in internal amenity to 1,648sqm; increasing the width of  the roof accommodation in Block  A; changes to the ground floor and mezzanine level elevations; enlargement of the podium building with terrace above; relocation of the proposed bicycle store to shipping containers along the southern boundary; provision of an additional accessible car parking space.) to include 5 additional shared living rooms and associated elevational changes."/>
    <s v="S96A"/>
    <d v="2021-03-24T00:00:00"/>
    <d v="2021-04-15T00:00:00"/>
    <s v="Nil"/>
    <m/>
    <d v="2020-11-11T00:00:00"/>
    <d v="2022-10-27T00:00:00"/>
    <s v="Affordable"/>
    <s v="AC"/>
    <s v=""/>
    <m/>
    <m/>
    <s v=""/>
    <n v="1"/>
    <n v="61"/>
    <m/>
    <m/>
    <m/>
    <m/>
    <m/>
    <m/>
    <m/>
    <m/>
    <m/>
    <m/>
    <m/>
    <m/>
    <m/>
    <m/>
    <m/>
    <m/>
    <m/>
    <m/>
    <n v="0"/>
    <n v="0"/>
  </r>
  <r>
    <n v="1"/>
    <x v="0"/>
    <s v="2022/2710"/>
    <s v="Hostel for the Daughters of Mary Immaculate, 44 Augustus Road"/>
    <n v="524424"/>
    <n v="173204"/>
    <s v="West Hill"/>
    <d v="2022-01-26T00:00:00"/>
    <d v="2022-12-23T00:00:00"/>
    <n v="0"/>
    <n v="2"/>
    <n v="2"/>
    <n v="1.1111111111111112"/>
    <n v="0"/>
    <n v="0"/>
    <n v="0"/>
    <n v="0"/>
    <n v="0"/>
    <n v="0"/>
    <n v="0"/>
    <n v="0"/>
    <n v="0"/>
    <n v="0"/>
    <n v="0"/>
    <n v="0"/>
    <n v="0"/>
    <n v="0"/>
    <n v="0"/>
    <n v="0"/>
    <n v="1"/>
    <s v="Alterations including installation of window to western elevation at lower ground floor level, provision of 2 additional hostel bedrooms and additional cycle storage."/>
    <s v="PF"/>
    <d v="2022-06-30T00:00:00"/>
    <d v="2022-08-25T00:00:00"/>
    <s v="Nil"/>
    <m/>
    <d v="2022-01-26T00:00:00"/>
    <d v="2022-12-23T00:00:00"/>
    <s v="Open Market"/>
    <s v="M"/>
    <s v=""/>
    <m/>
    <m/>
    <s v=""/>
    <n v="1"/>
    <n v="1"/>
    <m/>
    <m/>
    <m/>
    <m/>
    <m/>
    <m/>
    <m/>
    <m/>
    <m/>
    <m/>
    <m/>
    <m/>
    <m/>
    <m/>
    <m/>
    <m/>
    <m/>
    <m/>
    <n v="0"/>
    <n v="0"/>
  </r>
  <r>
    <n v="1"/>
    <x v="0"/>
    <s v="2021/4864"/>
    <s v="Hostel for the Daughters of Mary Immaculate, 44 Augustus Road"/>
    <n v="524424"/>
    <n v="173204"/>
    <s v="West Hill"/>
    <d v="2022-01-26T00:00:00"/>
    <d v="2022-12-23T00:00:00"/>
    <n v="0"/>
    <n v="11"/>
    <n v="11"/>
    <n v="6.1111111111111107"/>
    <n v="0"/>
    <n v="0"/>
    <n v="0"/>
    <n v="0"/>
    <n v="0"/>
    <n v="0"/>
    <n v="0"/>
    <n v="0"/>
    <n v="0"/>
    <n v="0"/>
    <n v="0"/>
    <n v="0"/>
    <n v="0"/>
    <n v="0"/>
    <n v="0"/>
    <n v="0"/>
    <n v="6"/>
    <s v="Alterations including erection of second floor level extension with pitched roof over, to the northern wing to provide 11 additional bedrooms of hostel accommodation; alterations to the facades of the lower floors and replacement fenestration."/>
    <s v="PF"/>
    <d v="2021-10-22T00:00:00"/>
    <d v="2022-01-11T00:00:00"/>
    <s v="Nil"/>
    <m/>
    <d v="2022-01-26T00:00:00"/>
    <d v="2022-12-23T00:00:00"/>
    <s v="Open Market"/>
    <s v="M"/>
    <s v=""/>
    <m/>
    <m/>
    <s v=""/>
    <n v="1"/>
    <n v="6"/>
    <m/>
    <m/>
    <m/>
    <m/>
    <m/>
    <m/>
    <m/>
    <m/>
    <m/>
    <m/>
    <m/>
    <m/>
    <m/>
    <m/>
    <m/>
    <m/>
    <m/>
    <m/>
    <n v="0"/>
    <n v="0"/>
  </r>
  <r>
    <n v="1"/>
    <x v="0"/>
    <s v="2021/4143"/>
    <s v="Hostel for the Daughters of Mary Immaculate, 44 Augustus Road"/>
    <n v="524424"/>
    <n v="173204"/>
    <s v="West Hill"/>
    <d v="2021-10-31T00:00:00"/>
    <d v="2022-12-23T00:00:00"/>
    <n v="62"/>
    <n v="73"/>
    <n v="11"/>
    <n v="6.1111111111111107"/>
    <n v="0"/>
    <n v="0"/>
    <n v="0"/>
    <n v="0"/>
    <n v="0"/>
    <n v="0"/>
    <n v="0"/>
    <n v="0"/>
    <n v="0"/>
    <n v="0"/>
    <n v="0"/>
    <n v="0"/>
    <n v="0"/>
    <n v="0"/>
    <n v="0"/>
    <n v="0"/>
    <n v="6"/>
    <s v="Continued use as a hostel with creation of 11 additional bedspaces."/>
    <s v="LDC Prop"/>
    <d v="2021-09-08T00:00:00"/>
    <d v="2021-10-19T00:00:00"/>
    <s v="Nil"/>
    <m/>
    <d v="2021-10-31T00:00:00"/>
    <d v="2022-12-23T00:00:00"/>
    <s v="Open Market"/>
    <s v="M"/>
    <s v=""/>
    <m/>
    <m/>
    <s v=""/>
    <n v="1"/>
    <n v="6"/>
    <m/>
    <m/>
    <m/>
    <m/>
    <m/>
    <m/>
    <m/>
    <m/>
    <m/>
    <m/>
    <m/>
    <m/>
    <m/>
    <m/>
    <m/>
    <m/>
    <m/>
    <m/>
    <n v="0"/>
    <n v="0"/>
  </r>
  <r>
    <n v="7775"/>
    <x v="1"/>
    <s v="2021/5013"/>
    <s v="3 Culvert Road"/>
    <n v="527859"/>
    <n v="176519"/>
    <s v="Battersea Park"/>
    <d v="2019-03-31T00:00:00"/>
    <m/>
    <n v="0"/>
    <n v="213"/>
    <n v="213"/>
    <n v="118.33333333333333"/>
    <n v="0"/>
    <n v="0"/>
    <n v="0"/>
    <n v="0"/>
    <n v="0"/>
    <n v="0"/>
    <n v="0"/>
    <n v="0"/>
    <n v="0"/>
    <n v="0"/>
    <n v="0"/>
    <n v="0"/>
    <n v="0"/>
    <n v="0"/>
    <n v="0"/>
    <n v="0"/>
    <n v="118.33333333333333"/>
    <s v="Erection of buildings upto 18-storeys high plus basement comprising upto 213 shared-living units with associated internal and external amenity spaces (including outdoor terraces, gym, café, bar, lounge, workspace and kitchens), cycle storage, landscaping, servicing and associated works."/>
    <s v="PFLA"/>
    <d v="2021-11-01T00:00:00"/>
    <d v="2022-08-26T00:00:00"/>
    <s v="Nil"/>
    <m/>
    <d v="2019-03-31T00:00:00"/>
    <m/>
    <s v="Open Market"/>
    <s v="M"/>
    <s v=""/>
    <m/>
    <s v="Y"/>
    <s v="WH"/>
    <n v="5"/>
    <m/>
    <m/>
    <n v="29.583333333333332"/>
    <n v="29.583333333333332"/>
    <n v="29.583333333333332"/>
    <n v="29.583333333333332"/>
    <m/>
    <m/>
    <m/>
    <m/>
    <m/>
    <m/>
    <m/>
    <m/>
    <m/>
    <m/>
    <m/>
    <m/>
    <m/>
    <n v="118.33333333333333"/>
    <n v="118.33333333333333"/>
  </r>
  <r>
    <n v="6478"/>
    <x v="1"/>
    <s v="2021/5545"/>
    <s v="Palmerston Court, 1-3 Havelock Terrace"/>
    <n v="528953"/>
    <n v="177092"/>
    <s v="Shaftesbury &amp; Queenstown"/>
    <d v="2021-06-01T00:00:00"/>
    <m/>
    <n v="0"/>
    <n v="0"/>
    <n v="0"/>
    <n v="0"/>
    <n v="0"/>
    <n v="0"/>
    <n v="0"/>
    <n v="0"/>
    <n v="0"/>
    <n v="0"/>
    <n v="0"/>
    <n v="0"/>
    <n v="0"/>
    <n v="852"/>
    <n v="852"/>
    <n v="340.8"/>
    <n v="0"/>
    <n v="0"/>
    <n v="0"/>
    <n v="0"/>
    <n v="340.8"/>
    <s v="Non-Material Amendment under S96a of the Town and Country Planning Act (1990) to planning permission dated 08/03/2021 ref 2020/2837 (Demolition of all existing buildings and construction of 4 buildings ranging from double basement and ground plus up to 12 storeys to ground plus up to 20 storeys, comprising student accommodation and associated amenity areas (Sui-generis); office and enterprise business accommodation (Use Class B1); retail/cafe unit (Use Class A1); drinking establishment (Use Class A4) and other ancillary uses; public realm improvements; hard and soft landscaping works; plant equipment; servicing facilities including cycle parking and other associated works. An Environmental Statement has been submitted with the application under the Town and Country Planning (Environmental Impact Assessment) Regulations 2017 (as amended). Amendments to allow refinements to the building basses and entrances; fenestration and facade articulation and amendments to roof level to alter the parapet heights of Blocks B and D; the approved floor plan playouts; the student amenity provision and the student unit numbers."/>
    <s v="S96A"/>
    <d v="2021-12-08T00:00:00"/>
    <d v="2022-02-25T00:00:00"/>
    <s v="Nil"/>
    <m/>
    <d v="2021-06-01T00:00:00"/>
    <m/>
    <s v="Open Market"/>
    <s v="MR"/>
    <s v=""/>
    <m/>
    <m/>
    <s v=""/>
    <n v="4"/>
    <m/>
    <m/>
    <n v="340.8"/>
    <m/>
    <m/>
    <m/>
    <m/>
    <m/>
    <m/>
    <m/>
    <m/>
    <m/>
    <m/>
    <m/>
    <m/>
    <m/>
    <m/>
    <m/>
    <m/>
    <n v="340.8"/>
    <n v="340.8"/>
  </r>
  <r>
    <n v="7321"/>
    <x v="1"/>
    <s v="2020/4513"/>
    <s v="11-25 and 41-47, Chatfield Road"/>
    <n v="526389"/>
    <n v="175612"/>
    <s v="St Mary's"/>
    <d v="2021-06-17T00:00:00"/>
    <m/>
    <n v="0"/>
    <n v="239"/>
    <n v="239"/>
    <n v="132.77777777777777"/>
    <n v="0"/>
    <n v="0"/>
    <n v="0"/>
    <n v="0"/>
    <n v="0"/>
    <n v="0"/>
    <n v="0"/>
    <n v="0"/>
    <n v="0"/>
    <n v="0"/>
    <n v="0"/>
    <n v="0"/>
    <n v="0"/>
    <n v="0"/>
    <n v="0"/>
    <n v="0"/>
    <n v="132.77777777777777"/>
    <s v="Variation of conditions 2 (in accordance with approved drawings) and 44 (shared-living and hotel room numbers) pursuant to planning permission dated 30/11/2020 ref 2019/5484 (Demolition of the existing buildings and erection of a podium building with two blocks above (up to 7- and 8-storeys) fronting Chatfield Road and Mendip Road comprising shared-living rooms (Sui Generis) and hotel (Class C1) with associated internal and external amenity space, office space (Class B1a), cafe/restaurant space (Class A3), flexible workspace and community space (Class B1/D1), landscaping, plant and associated works.) to allow 50 hotel rooms to become shared-living rooms, internal re-configuration including 7 additional shared-living rooms created following changes to internal amenity spaces (239 shared-living rooms and 31 hotel rooms now proposed) . Alterations to design and layout of windows and doors to ground floor of east and west elevations and first and seventh floors of north elevation."/>
    <s v="PFLA"/>
    <d v="2020-12-11T00:00:00"/>
    <d v="2021-07-21T00:00:00"/>
    <s v="Nil"/>
    <m/>
    <d v="2021-06-17T00:00:00"/>
    <m/>
    <s v="Unknown"/>
    <s v="U"/>
    <s v="10.6"/>
    <m/>
    <s v="Y"/>
    <s v="WH"/>
    <n v="5"/>
    <m/>
    <m/>
    <n v="33.194444444444443"/>
    <n v="33.194444444444443"/>
    <n v="33.194444444444443"/>
    <n v="33.194444444444443"/>
    <m/>
    <m/>
    <m/>
    <m/>
    <m/>
    <m/>
    <m/>
    <m/>
    <m/>
    <m/>
    <m/>
    <m/>
    <m/>
    <n v="132.77777777777777"/>
    <n v="132.77777777777777"/>
  </r>
  <r>
    <n v="7235"/>
    <x v="1"/>
    <s v="2019/3539"/>
    <s v="95-97 Putney High Street"/>
    <n v="524049"/>
    <n v="175301"/>
    <s v="Thamesfield"/>
    <d v="2022-01-17T00:00:00"/>
    <m/>
    <n v="0"/>
    <n v="0"/>
    <n v="0"/>
    <n v="0"/>
    <n v="0"/>
    <n v="0"/>
    <n v="0"/>
    <n v="0"/>
    <n v="0"/>
    <n v="0"/>
    <n v="0"/>
    <n v="0"/>
    <n v="0"/>
    <n v="0"/>
    <n v="0"/>
    <n v="0"/>
    <n v="0"/>
    <n v="16"/>
    <n v="16"/>
    <n v="8.8888888888888893"/>
    <n v="8.8888888888888893"/>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s v="Nil"/>
    <m/>
    <d v="2022-01-17T00:00:00"/>
    <m/>
    <s v="Open Market"/>
    <s v="M"/>
    <s v=""/>
    <m/>
    <m/>
    <s v=""/>
    <n v="2"/>
    <m/>
    <n v="8.8888888888888893"/>
    <m/>
    <m/>
    <m/>
    <m/>
    <m/>
    <m/>
    <m/>
    <m/>
    <m/>
    <m/>
    <m/>
    <m/>
    <m/>
    <m/>
    <m/>
    <m/>
    <m/>
    <n v="8.8888888888888893"/>
    <n v="8.8888888888888893"/>
  </r>
  <r>
    <n v="4257"/>
    <x v="1"/>
    <s v="2021/4289"/>
    <s v="50-52 Upper Tooting Road"/>
    <n v="527846"/>
    <n v="172221"/>
    <s v="Tooting Bec"/>
    <d v="2022-03-31T00:00:00"/>
    <m/>
    <n v="0"/>
    <n v="0"/>
    <n v="0"/>
    <n v="0"/>
    <n v="0"/>
    <n v="0"/>
    <n v="0"/>
    <n v="0"/>
    <n v="0"/>
    <n v="0"/>
    <n v="0"/>
    <n v="0"/>
    <n v="0"/>
    <n v="0"/>
    <n v="0"/>
    <n v="0"/>
    <n v="0"/>
    <n v="13"/>
    <n v="13"/>
    <n v="7.2222222222222223"/>
    <n v="7.2222222222222223"/>
    <s v="Alterations including demolition of single storey rear extensions and outbuildings at rear of Nos.50-52 and part change of use of rear ground floors from takeaway (Sui Generis) to HMO (Sui Generis) at No.50 and from retail (Class E) to HMO (Sui Generis) at No.52.  Erection of single storey side/rear extension at No.52, erection of two-storey rear extensions and extensions over part of back additions at Nos.50-52, increased height of extract flue in connection with creation of a 13 rooms House of Multiple Occupation."/>
    <s v="PF"/>
    <d v="2021-10-08T00:00:00"/>
    <d v="2022-02-03T00:00:00"/>
    <s v="Nil"/>
    <m/>
    <d v="2022-03-31T00:00:00"/>
    <m/>
    <s v="Open Market"/>
    <s v="MR"/>
    <s v=""/>
    <m/>
    <m/>
    <s v=""/>
    <n v="2"/>
    <m/>
    <n v="7.2222222222222223"/>
    <m/>
    <m/>
    <m/>
    <m/>
    <m/>
    <m/>
    <m/>
    <m/>
    <m/>
    <m/>
    <m/>
    <m/>
    <m/>
    <m/>
    <m/>
    <m/>
    <m/>
    <n v="7.2222222222222223"/>
    <n v="7.2222222222222223"/>
  </r>
  <r>
    <n v="6657"/>
    <x v="1"/>
    <s v="2021/1291"/>
    <s v="Brocklebank Health Centre, 249 Garratt Lane (and others), 229-247 Garratt Lane (Garratt Lane and Atheldene Regeneration Site)"/>
    <n v="525999"/>
    <n v="173647"/>
    <s v="Wandle"/>
    <d v="2022-01-20T00:00:00"/>
    <m/>
    <n v="0"/>
    <n v="0"/>
    <n v="0"/>
    <n v="0"/>
    <n v="37"/>
    <n v="0"/>
    <n v="-37"/>
    <n v="-37"/>
    <n v="0"/>
    <n v="0"/>
    <n v="0"/>
    <n v="0"/>
    <n v="0"/>
    <n v="0"/>
    <n v="0"/>
    <n v="0"/>
    <n v="0"/>
    <n v="0"/>
    <n v="0"/>
    <n v="0"/>
    <n v="-37"/>
    <s v="Submission of details of amendments pursuant to Section 106 agreement attached to planning permission dated 31/07/2020 ref 2017/4141 (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to allow an increase in affordable housing provision."/>
    <s v="S106"/>
    <d v="2021-03-05T00:00:00"/>
    <d v="2021-07-19T00:00:00"/>
    <s v="Nil"/>
    <m/>
    <d v="2022-01-20T00:00:00"/>
    <m/>
    <s v="Unknown"/>
    <s v="U"/>
    <s v=""/>
    <m/>
    <m/>
    <s v=""/>
    <n v="2"/>
    <m/>
    <n v="-37"/>
    <m/>
    <m/>
    <m/>
    <m/>
    <m/>
    <m/>
    <m/>
    <m/>
    <m/>
    <m/>
    <m/>
    <m/>
    <m/>
    <m/>
    <m/>
    <m/>
    <m/>
    <n v="-37"/>
    <n v="-37"/>
  </r>
  <r>
    <n v="6578"/>
    <x v="1"/>
    <s v="2020/2560"/>
    <s v="Hazel Court, Haydon Way"/>
    <n v="526555"/>
    <n v="175062"/>
    <s v="Wandsworth Town"/>
    <d v="2023-03-31T00:00:00"/>
    <m/>
    <n v="0"/>
    <n v="159"/>
    <n v="159"/>
    <n v="88.333333333333329"/>
    <n v="24"/>
    <n v="0"/>
    <n v="-24"/>
    <n v="-24"/>
    <n v="0"/>
    <n v="0"/>
    <n v="0"/>
    <n v="0"/>
    <n v="0"/>
    <n v="0"/>
    <n v="0"/>
    <n v="0"/>
    <n v="0"/>
    <n v="0"/>
    <n v="0"/>
    <n v="0"/>
    <n v="64.333333333333329"/>
    <s v="Demolition of existing building and the erection of a part 2 and 6 storey building comprising 159 co-living rooms (Sui Generis) including internal amenity space (with flexible events and community floor space), external amenities spaces (with external roof terraces at second, fourth and fifth floor levels), landscaping, plant, refuse and bicycle stores, and associated works."/>
    <s v="PFLA"/>
    <d v="2020-07-21T00:00:00"/>
    <d v="2020-12-04T00:00:00"/>
    <s v="APG"/>
    <d v="2021-09-17T00:00:00"/>
    <d v="2023-03-31T00:00:00"/>
    <m/>
    <s v="Open Market"/>
    <s v="M"/>
    <s v=""/>
    <m/>
    <m/>
    <s v=""/>
    <n v="5"/>
    <m/>
    <m/>
    <n v="16.083333333333332"/>
    <n v="16.083333333333332"/>
    <n v="16.083333333333332"/>
    <n v="16.083333333333332"/>
    <m/>
    <m/>
    <m/>
    <m/>
    <m/>
    <m/>
    <m/>
    <m/>
    <m/>
    <m/>
    <m/>
    <m/>
    <m/>
    <n v="64.333333333333329"/>
    <n v="64.333333333333329"/>
  </r>
  <r>
    <n v="6497"/>
    <x v="2"/>
    <s v="2019/5520"/>
    <s v="64-64c Battersea Rise"/>
    <n v="527487"/>
    <n v="175150"/>
    <s v="Lavender"/>
    <m/>
    <m/>
    <n v="0"/>
    <n v="0"/>
    <n v="0"/>
    <n v="0"/>
    <n v="0"/>
    <n v="0"/>
    <n v="0"/>
    <n v="0"/>
    <n v="0"/>
    <n v="0"/>
    <n v="0"/>
    <n v="0"/>
    <n v="0"/>
    <n v="0"/>
    <n v="0"/>
    <n v="0"/>
    <n v="0"/>
    <n v="13"/>
    <n v="13"/>
    <n v="7.2222222222222223"/>
    <n v="7.2222222222222223"/>
    <s v="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
    <s v="PF"/>
    <d v="2020-01-23T00:00:00"/>
    <d v="2020-04-28T00:00:00"/>
    <s v="Nil"/>
    <m/>
    <m/>
    <m/>
    <s v="Open Market"/>
    <s v="M"/>
    <s v=""/>
    <m/>
    <m/>
    <m/>
    <n v="6"/>
    <m/>
    <m/>
    <n v="1.8055555555555556"/>
    <n v="1.8055555555555556"/>
    <n v="1.8055555555555556"/>
    <n v="1.8055555555555556"/>
    <m/>
    <m/>
    <m/>
    <m/>
    <m/>
    <m/>
    <m/>
    <m/>
    <m/>
    <m/>
    <m/>
    <m/>
    <m/>
    <n v="7.2222222222222223"/>
    <n v="7.2222222222222223"/>
  </r>
  <r>
    <n v="7518"/>
    <x v="2"/>
    <s v="2021/0951"/>
    <s v="23 Elspeth Road"/>
    <n v="527807"/>
    <n v="175455"/>
    <s v="Lavender"/>
    <m/>
    <m/>
    <n v="0"/>
    <n v="0"/>
    <n v="0"/>
    <n v="0"/>
    <n v="0"/>
    <n v="0"/>
    <n v="0"/>
    <n v="0"/>
    <n v="0"/>
    <n v="0"/>
    <n v="0"/>
    <n v="0"/>
    <n v="0"/>
    <n v="0"/>
    <n v="0"/>
    <n v="0"/>
    <n v="0"/>
    <n v="7"/>
    <n v="7"/>
    <n v="3.8888888888888888"/>
    <n v="3.8888888888888888"/>
    <s v="Alterations including erection of single-storey rear/side extension and rear roof extension in connection with of change of use from 5-bedroom House of Multiple Occupation (Class C4) to 7-bedroom House of Multiple Occupation (Sui Generis)."/>
    <s v="PF"/>
    <d v="2021-03-18T00:00:00"/>
    <d v="2022-06-27T00:00:00"/>
    <s v="Nil"/>
    <m/>
    <m/>
    <m/>
    <s v="Open Market"/>
    <s v="M"/>
    <s v=""/>
    <m/>
    <m/>
    <m/>
    <n v="6"/>
    <m/>
    <m/>
    <n v="0.97222222222222221"/>
    <n v="0.97222222222222221"/>
    <n v="0.97222222222222221"/>
    <n v="0.97222222222222221"/>
    <m/>
    <m/>
    <m/>
    <m/>
    <m/>
    <m/>
    <m/>
    <m/>
    <m/>
    <m/>
    <m/>
    <m/>
    <m/>
    <n v="3.8888888888888888"/>
    <n v="3.8888888888888888"/>
  </r>
  <r>
    <n v="7519"/>
    <x v="2"/>
    <s v="2021/0952"/>
    <s v="56 Elspeth Road"/>
    <n v="527864"/>
    <n v="175385"/>
    <s v="Lavender"/>
    <m/>
    <m/>
    <n v="0"/>
    <n v="0"/>
    <n v="0"/>
    <n v="0"/>
    <n v="0"/>
    <n v="0"/>
    <n v="0"/>
    <n v="0"/>
    <n v="0"/>
    <n v="0"/>
    <n v="0"/>
    <n v="0"/>
    <n v="0"/>
    <n v="0"/>
    <n v="0"/>
    <n v="0"/>
    <n v="0"/>
    <n v="7"/>
    <n v="7"/>
    <n v="3.8888888888888888"/>
    <n v="3.8888888888888888"/>
    <s v="Alterations including erection of single-storey rear/side extension and rear roof extension in connection with of change of use from 5-bedroom House of Multiple Occupation (Class C4) to 7-bedroom House of Multiple Occupation (Sui Generis)."/>
    <s v="PF"/>
    <d v="2021-03-18T00:00:00"/>
    <d v="2022-06-27T00:00:00"/>
    <s v="Nil"/>
    <m/>
    <m/>
    <m/>
    <s v="Open Market"/>
    <s v="M"/>
    <s v=""/>
    <m/>
    <m/>
    <m/>
    <n v="6"/>
    <m/>
    <m/>
    <n v="0.97222222222222221"/>
    <n v="0.97222222222222221"/>
    <n v="0.97222222222222221"/>
    <n v="0.97222222222222221"/>
    <m/>
    <m/>
    <m/>
    <m/>
    <m/>
    <m/>
    <m/>
    <m/>
    <m/>
    <m/>
    <m/>
    <m/>
    <m/>
    <n v="3.8888888888888888"/>
    <n v="3.8888888888888888"/>
  </r>
  <r>
    <n v="7348"/>
    <x v="2"/>
    <s v="2020/0444"/>
    <s v="29 Honeywell Road"/>
    <n v="527583"/>
    <n v="174336"/>
    <s v="Northcote"/>
    <d v="2022-07-01T00:00:00"/>
    <m/>
    <n v="0"/>
    <n v="0"/>
    <n v="0"/>
    <n v="0"/>
    <n v="0"/>
    <n v="0"/>
    <n v="0"/>
    <n v="0"/>
    <n v="0"/>
    <n v="0"/>
    <n v="0"/>
    <n v="0"/>
    <n v="0"/>
    <n v="0"/>
    <n v="0"/>
    <n v="0"/>
    <n v="7"/>
    <n v="8"/>
    <n v="1"/>
    <n v="0.55555555555555558"/>
    <n v="0.55555555555555558"/>
    <s v="Alterations to include erection of a single-storey rear/side extension to increase HMO from 7 to 8 rooms."/>
    <s v="PF"/>
    <d v="2020-02-18T00:00:00"/>
    <d v="2020-05-20T00:00:00"/>
    <s v="Nil"/>
    <m/>
    <m/>
    <m/>
    <s v="Open Market"/>
    <s v="M"/>
    <s v=""/>
    <m/>
    <m/>
    <m/>
    <n v="6"/>
    <m/>
    <m/>
    <n v="0.1388888888888889"/>
    <n v="0.1388888888888889"/>
    <n v="0.1388888888888889"/>
    <n v="0.1388888888888889"/>
    <m/>
    <m/>
    <m/>
    <m/>
    <m/>
    <m/>
    <m/>
    <m/>
    <m/>
    <m/>
    <m/>
    <m/>
    <m/>
    <n v="0.55555555555555558"/>
    <n v="0.55555555555555558"/>
  </r>
  <r>
    <n v="7765"/>
    <x v="2"/>
    <s v="2022/0480"/>
    <s v="423 Upper Richmond Road"/>
    <n v="522152"/>
    <n v="175463"/>
    <s v="Roehampton"/>
    <m/>
    <m/>
    <n v="0"/>
    <n v="0"/>
    <n v="0"/>
    <n v="0"/>
    <n v="0"/>
    <n v="0"/>
    <n v="0"/>
    <n v="0"/>
    <n v="0"/>
    <n v="0"/>
    <n v="0"/>
    <n v="0"/>
    <n v="0"/>
    <n v="0"/>
    <n v="0"/>
    <n v="0"/>
    <n v="9"/>
    <n v="0"/>
    <n v="-9"/>
    <n v="-5"/>
    <n v="-5"/>
    <s v="Use as a single dwelling house (Class C3) including alteratuions to fenestration."/>
    <s v="PFLA"/>
    <d v="2022-02-23T00:00:00"/>
    <d v="2022-11-29T00:00:00"/>
    <s v="Nil"/>
    <m/>
    <m/>
    <m/>
    <s v="Affordable"/>
    <s v="AC"/>
    <s v=""/>
    <m/>
    <m/>
    <m/>
    <n v="6"/>
    <m/>
    <m/>
    <n v="-1.25"/>
    <n v="-1.25"/>
    <n v="-1.25"/>
    <n v="-1.25"/>
    <m/>
    <m/>
    <m/>
    <m/>
    <m/>
    <m/>
    <m/>
    <m/>
    <m/>
    <m/>
    <m/>
    <m/>
    <m/>
    <n v="-5"/>
    <n v="-5"/>
  </r>
  <r>
    <n v="7766"/>
    <x v="2"/>
    <s v="2022/0494"/>
    <s v="421 Upper Richmond Road"/>
    <n v="522160"/>
    <n v="175461"/>
    <s v="Roehampton"/>
    <m/>
    <m/>
    <n v="0"/>
    <n v="0"/>
    <n v="0"/>
    <n v="0"/>
    <n v="0"/>
    <n v="0"/>
    <n v="0"/>
    <n v="0"/>
    <n v="0"/>
    <n v="0"/>
    <n v="0"/>
    <n v="0"/>
    <n v="0"/>
    <n v="0"/>
    <n v="0"/>
    <n v="0"/>
    <n v="9"/>
    <n v="0"/>
    <n v="-9"/>
    <n v="-5"/>
    <n v="-5"/>
    <s v="Use of property as a single dwelling (Class C3)."/>
    <s v="PFLA"/>
    <d v="2022-02-23T00:00:00"/>
    <d v="2022-11-29T00:00:00"/>
    <s v="Nil"/>
    <m/>
    <m/>
    <m/>
    <s v="Affordable"/>
    <s v="AC"/>
    <s v=""/>
    <m/>
    <m/>
    <m/>
    <n v="6"/>
    <m/>
    <m/>
    <n v="-1.25"/>
    <n v="-1.25"/>
    <n v="-1.25"/>
    <n v="-1.25"/>
    <m/>
    <m/>
    <m/>
    <m/>
    <m/>
    <m/>
    <m/>
    <m/>
    <m/>
    <m/>
    <m/>
    <m/>
    <m/>
    <n v="-5"/>
    <n v="-5"/>
  </r>
  <r>
    <n v="7865"/>
    <x v="2"/>
    <s v="2022/2643"/>
    <s v="32 Glycena Road"/>
    <n v="527998"/>
    <n v="175724"/>
    <s v="Shaftesbury &amp; Queenstown"/>
    <m/>
    <m/>
    <n v="0"/>
    <n v="0"/>
    <n v="0"/>
    <n v="0"/>
    <n v="0"/>
    <n v="0"/>
    <n v="0"/>
    <n v="0"/>
    <n v="0"/>
    <n v="0"/>
    <n v="0"/>
    <n v="0"/>
    <n v="0"/>
    <n v="0"/>
    <n v="0"/>
    <n v="0"/>
    <n v="0"/>
    <n v="7"/>
    <n v="7"/>
    <n v="3.8888888888888888"/>
    <n v="3.8888888888888888"/>
    <s v="Alterations in connection with change of use from single family dwellinghouse to 7 person House of Multiple Occupation (Sui Generis)."/>
    <s v="PF"/>
    <d v="2022-07-21T00:00:00"/>
    <d v="2022-09-15T00:00:00"/>
    <s v="Nil"/>
    <m/>
    <m/>
    <m/>
    <s v="Open Market"/>
    <s v="MR"/>
    <s v=""/>
    <m/>
    <m/>
    <m/>
    <n v="6"/>
    <m/>
    <m/>
    <n v="0.97222222222222221"/>
    <n v="0.97222222222222221"/>
    <n v="0.97222222222222221"/>
    <n v="0.97222222222222221"/>
    <m/>
    <m/>
    <m/>
    <m/>
    <m/>
    <m/>
    <m/>
    <m/>
    <m/>
    <m/>
    <m/>
    <m/>
    <m/>
    <n v="3.8888888888888888"/>
    <n v="3.8888888888888888"/>
  </r>
  <r>
    <n v="4918"/>
    <x v="2"/>
    <s v="2021/2594"/>
    <s v="Altura Tower, Bridges Court Road"/>
    <n v="526574"/>
    <n v="176050"/>
    <s v="St Mary's"/>
    <m/>
    <m/>
    <n v="0"/>
    <n v="0"/>
    <n v="0"/>
    <n v="0"/>
    <n v="0"/>
    <n v="96"/>
    <n v="96"/>
    <n v="96"/>
    <n v="0"/>
    <n v="0"/>
    <n v="0"/>
    <n v="0"/>
    <n v="0"/>
    <n v="0"/>
    <n v="0"/>
    <n v="0"/>
    <n v="0"/>
    <n v="0"/>
    <n v="0"/>
    <n v="0"/>
    <n v="96"/>
    <s v="Change of use from hotel and associated facilities (Class C1) on part of basement to mezzanine floors and on the first to fifth floors and thirteenth floor to 96 bedroom care home (Class C2) and associated facilities."/>
    <s v="PFLA"/>
    <d v="2021-07-23T00:00:00"/>
    <d v="2022-08-03T00:00:00"/>
    <s v="Nil"/>
    <m/>
    <m/>
    <m/>
    <s v="Other"/>
    <s v="O"/>
    <s v=""/>
    <m/>
    <m/>
    <m/>
    <n v="9"/>
    <m/>
    <m/>
    <m/>
    <m/>
    <n v="32"/>
    <n v="32"/>
    <n v="32"/>
    <m/>
    <m/>
    <m/>
    <m/>
    <m/>
    <m/>
    <m/>
    <m/>
    <m/>
    <m/>
    <m/>
    <m/>
    <n v="64"/>
    <n v="96"/>
  </r>
  <r>
    <n v="7317"/>
    <x v="2"/>
    <s v="2019/5000"/>
    <s v="252-254 Upper Tooting Road"/>
    <n v="527570"/>
    <n v="171707"/>
    <s v="Tooting Bec"/>
    <d v="2022-11-11T00:00:00"/>
    <m/>
    <n v="0"/>
    <n v="0"/>
    <n v="0"/>
    <n v="0"/>
    <n v="0"/>
    <n v="0"/>
    <n v="0"/>
    <n v="0"/>
    <n v="0"/>
    <n v="0"/>
    <n v="0"/>
    <n v="0"/>
    <n v="0"/>
    <n v="0"/>
    <n v="0"/>
    <n v="0"/>
    <n v="0"/>
    <n v="18"/>
    <n v="18"/>
    <n v="10"/>
    <n v="10"/>
    <s v="Erection a four-storey rear extension (approximately 12m in height). Change of use from a 1 x House of Multiple Occupation (HMO - 6 rooms) in to 1x HMO (18 rooms), while existing flats (1x studio, 1 x 1-bedroom flat and 2 x 2-bedroom flats) are to be retained."/>
    <s v="PF"/>
    <d v="2019-12-05T00:00:00"/>
    <d v="2020-02-18T00:00:00"/>
    <s v="Nil"/>
    <m/>
    <m/>
    <m/>
    <s v="Open Market"/>
    <s v="M"/>
    <s v=""/>
    <m/>
    <m/>
    <m/>
    <n v="6"/>
    <m/>
    <m/>
    <n v="2.5"/>
    <n v="2.5"/>
    <n v="2.5"/>
    <n v="2.5"/>
    <m/>
    <m/>
    <m/>
    <m/>
    <m/>
    <m/>
    <m/>
    <m/>
    <m/>
    <m/>
    <m/>
    <m/>
    <m/>
    <n v="10"/>
    <n v="10"/>
  </r>
  <r>
    <n v="3307"/>
    <x v="2"/>
    <s v="2021/2079"/>
    <s v="St Augustine Vicarage, 99 Broadwater Road"/>
    <n v="527098"/>
    <n v="171727"/>
    <s v="Tooting Broadway"/>
    <m/>
    <m/>
    <n v="0"/>
    <n v="0"/>
    <n v="0"/>
    <n v="0"/>
    <n v="0"/>
    <n v="0"/>
    <n v="0"/>
    <n v="0"/>
    <n v="0"/>
    <n v="0"/>
    <n v="0"/>
    <n v="0"/>
    <n v="0"/>
    <n v="0"/>
    <n v="0"/>
    <n v="0"/>
    <n v="0"/>
    <n v="8"/>
    <n v="8"/>
    <n v="4.4444444444444446"/>
    <n v="4.4444444444444446"/>
    <s v="Alterations in connection with change of use from residential dwelling (Class C3) to house of multiple occupation (Sui Generis)."/>
    <s v="PF"/>
    <d v="2021-06-14T00:00:00"/>
    <d v="2022-04-20T00:00:00"/>
    <s v="Nil"/>
    <m/>
    <m/>
    <m/>
    <s v="Open Market"/>
    <s v="M"/>
    <s v=""/>
    <m/>
    <m/>
    <m/>
    <n v="6"/>
    <m/>
    <m/>
    <n v="1.1111111111111112"/>
    <n v="1.1111111111111112"/>
    <n v="1.1111111111111112"/>
    <n v="1.1111111111111112"/>
    <m/>
    <m/>
    <m/>
    <m/>
    <m/>
    <m/>
    <m/>
    <m/>
    <m/>
    <m/>
    <m/>
    <m/>
    <m/>
    <n v="4.4444444444444446"/>
    <n v="4.4444444444444446"/>
  </r>
  <r>
    <n v="7118"/>
    <x v="2"/>
    <s v="2019/4906"/>
    <s v="36 Graveney Road"/>
    <n v="527344"/>
    <n v="171674"/>
    <s v="Tooting Broadway"/>
    <m/>
    <m/>
    <n v="0"/>
    <n v="0"/>
    <n v="0"/>
    <n v="0"/>
    <n v="0"/>
    <n v="0"/>
    <n v="0"/>
    <n v="0"/>
    <n v="0"/>
    <n v="0"/>
    <n v="0"/>
    <n v="0"/>
    <n v="0"/>
    <n v="0"/>
    <n v="0"/>
    <n v="0"/>
    <n v="0"/>
    <n v="7"/>
    <n v="7"/>
    <n v="3.8888888888888888"/>
    <n v="3.8888888888888888"/>
    <s v="Alterations in connection with change of use from House in Multiple Occupation (Class C4) to a large House in Multiple Occupation (Sui Generis) for 7 persons."/>
    <s v="PF"/>
    <d v="2019-02-20T00:00:00"/>
    <d v="2020-10-28T00:00:00"/>
    <s v="Nil"/>
    <m/>
    <m/>
    <m/>
    <s v="Open Market"/>
    <s v="M"/>
    <s v=""/>
    <m/>
    <m/>
    <m/>
    <n v="6"/>
    <m/>
    <m/>
    <n v="0.97222222222222221"/>
    <n v="0.97222222222222221"/>
    <n v="0.97222222222222221"/>
    <n v="0.97222222222222221"/>
    <m/>
    <m/>
    <m/>
    <m/>
    <m/>
    <m/>
    <m/>
    <m/>
    <m/>
    <m/>
    <m/>
    <m/>
    <m/>
    <n v="3.8888888888888888"/>
    <n v="3.8888888888888888"/>
  </r>
  <r>
    <n v="7465"/>
    <x v="2"/>
    <s v="2020/2825"/>
    <s v="93 Garratt Terrace"/>
    <n v="527187"/>
    <n v="171602"/>
    <s v="Tooting Broadway"/>
    <m/>
    <m/>
    <n v="0"/>
    <n v="0"/>
    <n v="0"/>
    <n v="0"/>
    <n v="0"/>
    <n v="0"/>
    <n v="0"/>
    <n v="0"/>
    <n v="0"/>
    <n v="0"/>
    <n v="0"/>
    <n v="0"/>
    <n v="0"/>
    <n v="0"/>
    <n v="0"/>
    <n v="0"/>
    <n v="7"/>
    <n v="9"/>
    <n v="2"/>
    <n v="1.1111111111111112"/>
    <n v="1.1111111111111112"/>
    <s v="Alterations including roof extension above three storey back addition; Erection of single-storey rear/side extension, installation of rooflights to front roof slope, in connection with conversion of existing property from 7 x bed HMO (Sui generis) to 9 x bed HMO (Sui generis)."/>
    <s v="PF"/>
    <d v="2020-09-03T00:00:00"/>
    <d v="2020-11-02T00:00:00"/>
    <s v="Nil"/>
    <m/>
    <m/>
    <m/>
    <s v="Open Market"/>
    <s v="M"/>
    <s v=""/>
    <m/>
    <m/>
    <m/>
    <n v="6"/>
    <m/>
    <m/>
    <n v="0.27777777777777779"/>
    <n v="0.27777777777777779"/>
    <n v="0.27777777777777779"/>
    <n v="0.27777777777777779"/>
    <m/>
    <m/>
    <m/>
    <m/>
    <m/>
    <m/>
    <m/>
    <m/>
    <m/>
    <m/>
    <m/>
    <m/>
    <m/>
    <n v="1.1111111111111112"/>
    <n v="1.1111111111111112"/>
  </r>
  <r>
    <n v="7787"/>
    <x v="2"/>
    <s v="2021/3294"/>
    <s v="34 Rogers Road"/>
    <n v="527051"/>
    <n v="171896"/>
    <s v="Tooting Broadway"/>
    <m/>
    <m/>
    <n v="0"/>
    <n v="0"/>
    <n v="0"/>
    <n v="0"/>
    <n v="0"/>
    <n v="0"/>
    <n v="0"/>
    <n v="0"/>
    <n v="0"/>
    <n v="0"/>
    <n v="0"/>
    <n v="0"/>
    <n v="0"/>
    <n v="0"/>
    <n v="0"/>
    <n v="0"/>
    <n v="0"/>
    <n v="7"/>
    <n v="7"/>
    <n v="3.8888888888888888"/>
    <n v="3.8888888888888888"/>
    <s v="Change of use from House of Multiple Occupation (Class C4) for up to 6 occupants to House of Multiple Occupation (Sui generis) for up to 10 occupants and provision of cycle and refuse storage within the front garden."/>
    <s v="PF"/>
    <d v="2021-07-27T00:00:00"/>
    <d v="2021-09-21T00:00:00"/>
    <s v="Nil"/>
    <m/>
    <m/>
    <m/>
    <s v="Open Market"/>
    <s v="MR"/>
    <s v=""/>
    <m/>
    <m/>
    <m/>
    <n v="6"/>
    <m/>
    <m/>
    <n v="0.97222222222222221"/>
    <n v="0.97222222222222221"/>
    <n v="0.97222222222222221"/>
    <n v="0.97222222222222221"/>
    <m/>
    <m/>
    <m/>
    <m/>
    <m/>
    <m/>
    <m/>
    <m/>
    <m/>
    <m/>
    <m/>
    <m/>
    <m/>
    <n v="3.8888888888888888"/>
    <n v="3.8888888888888888"/>
  </r>
  <r>
    <n v="13"/>
    <x v="2"/>
    <s v="2018/1058"/>
    <s v="Trinity Court Nursing Home, 165-167 Trinity Road"/>
    <n v="527592"/>
    <n v="172887"/>
    <s v="Trinity"/>
    <m/>
    <m/>
    <n v="0"/>
    <n v="0"/>
    <n v="0"/>
    <n v="0"/>
    <n v="0"/>
    <n v="8"/>
    <n v="8"/>
    <n v="8"/>
    <n v="0"/>
    <n v="0"/>
    <n v="0"/>
    <n v="0"/>
    <n v="0"/>
    <n v="0"/>
    <n v="0"/>
    <n v="0"/>
    <n v="0"/>
    <n v="0"/>
    <n v="0"/>
    <n v="0"/>
    <n v="8"/>
    <s v="Erection of single storey (plus habitable roofspace) detached 8-bedroom residential building ancillary (Class C2) to Trinity Court Nursing Home."/>
    <s v="PF"/>
    <d v="2018-03-08T00:00:00"/>
    <d v="2018-09-05T00:00:00"/>
    <s v="Nil"/>
    <m/>
    <m/>
    <m/>
    <s v="Open Market"/>
    <s v="M"/>
    <s v=""/>
    <m/>
    <m/>
    <s v="OT"/>
    <n v="6"/>
    <m/>
    <m/>
    <n v="2"/>
    <n v="2"/>
    <n v="2"/>
    <n v="2"/>
    <m/>
    <m/>
    <m/>
    <m/>
    <m/>
    <m/>
    <m/>
    <m/>
    <m/>
    <m/>
    <m/>
    <m/>
    <m/>
    <n v="8"/>
    <n v="8"/>
  </r>
  <r>
    <n v="2502"/>
    <x v="2"/>
    <s v="2010/3703"/>
    <s v="Springfield Hospital site, 61 Glenburnie Road"/>
    <n v="527221"/>
    <n v="172443"/>
    <s v="Wandsworth Common"/>
    <d v="2015-08-28T00:00:00"/>
    <m/>
    <n v="0"/>
    <n v="0"/>
    <n v="0"/>
    <n v="0"/>
    <n v="46"/>
    <n v="0"/>
    <n v="-46"/>
    <n v="-46"/>
    <n v="0"/>
    <n v="0"/>
    <n v="0"/>
    <n v="0"/>
    <n v="0"/>
    <n v="0"/>
    <n v="0"/>
    <n v="0"/>
    <n v="0"/>
    <n v="0"/>
    <n v="0"/>
    <n v="0"/>
    <n v="-46"/>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s v="APG"/>
    <d v="2012-06-22T00:00:00"/>
    <m/>
    <m/>
    <s v="Unknown"/>
    <s v="U"/>
    <s v="9.1"/>
    <m/>
    <s v="Y"/>
    <s v="EW"/>
    <n v="8"/>
    <m/>
    <m/>
    <m/>
    <m/>
    <m/>
    <m/>
    <n v="-11.5"/>
    <n v="-11.5"/>
    <n v="-11.5"/>
    <n v="-11.5"/>
    <m/>
    <m/>
    <m/>
    <m/>
    <m/>
    <m/>
    <m/>
    <m/>
    <m/>
    <n v="0"/>
    <n v="-46"/>
  </r>
  <r>
    <n v="7702"/>
    <x v="3"/>
    <s v="2020/5033"/>
    <s v="5 Spalding Road"/>
    <n v="528703"/>
    <n v="171030"/>
    <s v="Furzedown"/>
    <m/>
    <m/>
    <n v="0"/>
    <n v="0"/>
    <n v="0"/>
    <n v="0"/>
    <n v="0"/>
    <n v="0"/>
    <n v="0"/>
    <n v="0"/>
    <n v="0"/>
    <n v="0"/>
    <n v="0"/>
    <n v="0"/>
    <n v="0"/>
    <n v="63"/>
    <n v="63"/>
    <n v="25.2"/>
    <n v="0"/>
    <n v="0"/>
    <n v="0"/>
    <n v="0"/>
    <n v="25.2"/>
    <s v="Alterations including erection of part two, part three storey extension over existing four-storey student accommodation building at Furzedown Hall (Class C2) and enclosure of fire escape stairs and lifts to each level. Erection of part three, part four storey student accommodation building to eastern side of Furzedown Hall (Class C2); associated landscaping, boundaries treatment, refuse and bike storages."/>
    <s v="SLA"/>
    <d v="2021-06-17T00:00:00"/>
    <m/>
    <s v="Nil"/>
    <m/>
    <m/>
    <m/>
    <s v="Open Market"/>
    <s v="MR"/>
    <s v=""/>
    <m/>
    <m/>
    <m/>
    <n v="8"/>
    <m/>
    <m/>
    <m/>
    <m/>
    <m/>
    <m/>
    <n v="6.3"/>
    <n v="6.3"/>
    <n v="6.3"/>
    <n v="6.3"/>
    <m/>
    <m/>
    <m/>
    <m/>
    <m/>
    <m/>
    <m/>
    <m/>
    <m/>
    <n v="0"/>
    <n v="25.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766131-3987-4F80-ACBB-A45F421CDC19}" name="PivotTable2"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B3" firstHeaderRow="1" firstDataRow="1" firstDataCol="1"/>
  <pivotFields count="93">
    <pivotField showAll="0"/>
    <pivotField axis="axisRow" showAll="0">
      <items count="9">
        <item x="0"/>
        <item h="1" x="2"/>
        <item h="1" x="1"/>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02E1421-3258-43F0-91C3-940A4A7C9B43}" name="PivotTable3"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B3" firstHeaderRow="1" firstDataRow="1" firstDataCol="1"/>
  <pivotFields count="66">
    <pivotField showAll="0"/>
    <pivotField axis="axisRow" showAll="0">
      <items count="6">
        <item x="0"/>
        <item h="1" x="1"/>
        <item h="1" x="3"/>
        <item h="1" m="1" x="4"/>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showAll="0"/>
  </pivotFields>
  <rowFields count="1">
    <field x="1"/>
  </rowFields>
  <rowItems count="2">
    <i>
      <x/>
    </i>
    <i t="grand">
      <x/>
    </i>
  </rowItems>
  <colItems count="1">
    <i/>
  </colItems>
  <dataFields count="1">
    <dataField name="Sum of Net Non-Self-Contained Rooms ratio applied" fld="29" baseField="0" baseItem="0" numFmtId="1"/>
  </dataFields>
  <formats count="2">
    <format dxfId="1">
      <pivotArea dataOnly="0" labelOnly="1" outline="0" axis="axisValues"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49149D2-8AF0-4D9C-B2A9-9A3DE28695D1}" name="PivotTable4"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E4" firstHeaderRow="1" firstDataRow="2" firstDataCol="1"/>
  <pivotFields count="93">
    <pivotField showAll="0"/>
    <pivotField axis="axisRow" showAll="0">
      <items count="9">
        <item x="0"/>
        <item h="1" x="2"/>
        <item h="1" x="1"/>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1">
    <field x="3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EFAF54E-CA1A-4198-83EA-7B04CD66779E}" name="PivotTable1"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C11" firstHeaderRow="0" firstDataRow="1" firstDataCol="1" rowPageCount="2" colPageCount="1"/>
  <pivotFields count="93">
    <pivotField showAll="0"/>
    <pivotField axis="axisRow" showAll="0">
      <items count="9">
        <item x="0"/>
        <item x="2"/>
        <item x="1"/>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1"/>
        <item h="1" x="4"/>
        <item x="2"/>
        <item x="0"/>
        <item h="1" x="6"/>
        <item h="1" x="5"/>
        <item h="1" x="3"/>
        <item t="default"/>
      </items>
    </pivotField>
    <pivotField axis="axisPage" multipleItemSelectionAllowed="1" showAll="0">
      <items count="15">
        <item h="1" x="5"/>
        <item h="1" x="8"/>
        <item h="1" x="9"/>
        <item h="1" x="7"/>
        <item h="1" x="11"/>
        <item h="1" x="4"/>
        <item h="1" x="6"/>
        <item h="1" x="3"/>
        <item h="1" x="12"/>
        <item h="1" x="13"/>
        <item h="1" x="10"/>
        <item h="1"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i>
    <i>
      <x v="1"/>
    </i>
    <i>
      <x v="2"/>
    </i>
    <i>
      <x v="3"/>
    </i>
    <i>
      <x v="5"/>
    </i>
    <i>
      <x v="7"/>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9A422EA-A1BF-489F-B43C-D15183F6E0DD}" name="PivotTable2"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C10" firstHeaderRow="0" firstDataRow="1" firstDataCol="1" rowPageCount="2" colPageCount="1"/>
  <pivotFields count="93">
    <pivotField showAll="0"/>
    <pivotField axis="axisRow" showAll="0">
      <items count="9">
        <item x="0"/>
        <item x="2"/>
        <item x="1"/>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x="1"/>
        <item x="4"/>
        <item x="2"/>
        <item h="1" x="0"/>
        <item x="6"/>
        <item x="5"/>
        <item x="3"/>
        <item t="default"/>
      </items>
    </pivotField>
    <pivotField axis="axisPage" multipleItemSelectionAllowed="1" showAll="0">
      <items count="15">
        <item x="5"/>
        <item x="8"/>
        <item x="9"/>
        <item x="7"/>
        <item x="11"/>
        <item x="4"/>
        <item x="6"/>
        <item x="3"/>
        <item x="12"/>
        <item x="13"/>
        <item x="10"/>
        <item x="2"/>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6">
    <i>
      <x/>
    </i>
    <i>
      <x v="1"/>
    </i>
    <i>
      <x v="2"/>
    </i>
    <i>
      <x v="3"/>
    </i>
    <i>
      <x v="6"/>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9F6F1CD-DC27-4CED-9684-5B9A6CF7C2F6}" name="PivotTable7"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K11" firstHeaderRow="1" firstDataRow="3" firstDataCol="1"/>
  <pivotFields count="93">
    <pivotField showAll="0"/>
    <pivotField axis="axisRow" showAll="0">
      <items count="9">
        <item x="0"/>
        <item x="2"/>
        <item x="1"/>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2"/>
        <item x="0"/>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5"/>
    </i>
    <i>
      <x v="6"/>
    </i>
    <i>
      <x v="7"/>
    </i>
    <i t="grand">
      <x/>
    </i>
  </rowItems>
  <colFields count="2">
    <field x="31"/>
    <field x="-2"/>
  </colFields>
  <colItems count="10">
    <i>
      <x/>
      <x/>
    </i>
    <i r="1" i="1">
      <x v="1"/>
    </i>
    <i>
      <x v="1"/>
      <x/>
    </i>
    <i r="1" i="1">
      <x v="1"/>
    </i>
    <i>
      <x v="2"/>
      <x/>
    </i>
    <i r="1" i="1">
      <x v="1"/>
    </i>
    <i>
      <x v="3"/>
      <x/>
    </i>
    <i r="1" i="1">
      <x v="1"/>
    </i>
    <i t="grand">
      <x/>
    </i>
    <i t="grand" i="1">
      <x/>
    </i>
  </colItem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70D6EC7-FF1E-42E1-B31E-B055C26D31DB}" name="PivotTable8" cacheId="0" applyNumberFormats="0" applyBorderFormats="0" applyFontFormats="0" applyPatternFormats="0" applyAlignmentFormats="0" applyWidthHeightFormats="1" dataCaption="Values" updatedVersion="8" minRefreshableVersion="3" showDrill="0" useAutoFormatting="1" itemPrintTitles="1" createdVersion="4" indent="0" outline="1" outlineData="1" multipleFieldFilters="0">
  <location ref="A4:I13" firstHeaderRow="1" firstDataRow="3" firstDataCol="1" rowPageCount="2" colPageCount="1"/>
  <pivotFields count="93">
    <pivotField showAll="0"/>
    <pivotField axis="axisRow" showAll="0">
      <items count="9">
        <item x="0"/>
        <item x="2"/>
        <item x="1"/>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1"/>
        <item h="1" x="4"/>
        <item x="2"/>
        <item x="0"/>
        <item h="1" x="6"/>
        <item h="1" x="5"/>
        <item h="1" x="3"/>
        <item t="default"/>
      </items>
    </pivotField>
    <pivotField axis="axisPage" multipleItemSelectionAllowed="1" showAll="0">
      <items count="15">
        <item h="1" x="5"/>
        <item h="1" x="8"/>
        <item h="1" x="9"/>
        <item h="1" x="7"/>
        <item h="1" x="11"/>
        <item h="1" x="4"/>
        <item h="1" x="6"/>
        <item h="1" x="3"/>
        <item h="1" x="12"/>
        <item h="1" x="13"/>
        <item h="1" x="10"/>
        <item h="1" x="2"/>
        <item x="1"/>
        <item x="0"/>
        <item t="default"/>
      </items>
    </pivotField>
    <pivotField showAll="0"/>
    <pivotField showAll="0"/>
    <pivotField showAll="0"/>
    <pivotField showAll="0"/>
    <pivotField axis="axisCol" showAll="0">
      <items count="5">
        <item x="2"/>
        <item x="0"/>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i>
    <i>
      <x v="1"/>
    </i>
    <i>
      <x v="2"/>
    </i>
    <i>
      <x v="3"/>
    </i>
    <i>
      <x v="5"/>
    </i>
    <i>
      <x v="7"/>
    </i>
    <i t="grand">
      <x/>
    </i>
  </rowItems>
  <colFields count="2">
    <field x="31"/>
    <field x="-2"/>
  </colFields>
  <colItems count="8">
    <i>
      <x/>
      <x/>
    </i>
    <i r="1" i="1">
      <x v="1"/>
    </i>
    <i>
      <x v="1"/>
      <x/>
    </i>
    <i r="1" i="1">
      <x v="1"/>
    </i>
    <i>
      <x v="3"/>
      <x/>
    </i>
    <i r="1" i="1">
      <x v="1"/>
    </i>
    <i t="grand">
      <x/>
    </i>
    <i t="grand" i="1">
      <x/>
    </i>
  </colItems>
  <pageFields count="2">
    <pageField fld="25" hier="-1"/>
    <pageField fld="26" hier="-1"/>
  </pageField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93F7B4C-E316-40B2-854D-38DFA60DBD81}" name="PivotTable9"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7" firstHeaderRow="1" firstDataRow="1" firstDataCol="1" rowPageCount="1" colPageCount="1"/>
  <pivotFields count="93">
    <pivotField showAll="0"/>
    <pivotField axis="axisRow" showAll="0">
      <items count="9">
        <item x="0"/>
        <item x="2"/>
        <item x="1"/>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B9628FB-2E53-496F-9094-D920AB8AFB70}" name="PivotTable10"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6" firstHeaderRow="1" firstDataRow="1" firstDataCol="1" rowPageCount="1" colPageCount="1"/>
  <pivotFields count="93">
    <pivotField showAll="0"/>
    <pivotField axis="axisRow" showAll="0">
      <items count="9">
        <item x="0"/>
        <item x="2"/>
        <item x="1"/>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964C1E1-54A8-45A1-9C5E-0AC6A59FD938}" name="PivotTable11"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C9" firstHeaderRow="0" firstDataRow="1" firstDataCol="1" rowPageCount="3" colPageCount="1"/>
  <pivotFields count="93">
    <pivotField showAll="0"/>
    <pivotField axis="axisRow" showAll="0">
      <items count="9">
        <item x="0"/>
        <item x="2"/>
        <item x="1"/>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axis="axisPage" multipleItemSelectionAllowed="1" showAll="0">
      <items count="8">
        <item h="1" x="1"/>
        <item h="1" x="4"/>
        <item x="2"/>
        <item x="0"/>
        <item h="1" x="6"/>
        <item h="1" x="5"/>
        <item h="1" x="3"/>
        <item t="default"/>
      </items>
    </pivotField>
    <pivotField axis="axisPage" multipleItemSelectionAllowed="1" showAll="0">
      <items count="15">
        <item h="1" x="5"/>
        <item h="1" x="8"/>
        <item h="1" x="9"/>
        <item h="1" x="7"/>
        <item h="1" x="11"/>
        <item h="1" x="4"/>
        <item h="1" x="6"/>
        <item h="1" x="3"/>
        <item h="1" x="12"/>
        <item h="1" x="13"/>
        <item h="1" x="10"/>
        <item h="1"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ADC1DF5-FF49-4363-BE48-3F832CD0BA76}" name="PivotTable12"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C9" firstHeaderRow="0" firstDataRow="1" firstDataCol="1" rowPageCount="3" colPageCount="1"/>
  <pivotFields count="93">
    <pivotField showAll="0"/>
    <pivotField axis="axisRow" showAll="0">
      <items count="9">
        <item x="0"/>
        <item x="2"/>
        <item x="1"/>
        <item x="3"/>
        <item m="1" x="7"/>
        <item x="4"/>
        <item x="6"/>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axis="axisPage" multipleItemSelectionAllowed="1" showAll="0">
      <items count="8">
        <item x="1"/>
        <item x="4"/>
        <item x="2"/>
        <item h="1" x="0"/>
        <item x="6"/>
        <item x="5"/>
        <item x="3"/>
        <item t="default"/>
      </items>
    </pivotField>
    <pivotField axis="axisPage" multipleItemSelectionAllowed="1" showAll="0">
      <items count="15">
        <item x="5"/>
        <item x="8"/>
        <item x="9"/>
        <item x="7"/>
        <item x="11"/>
        <item x="4"/>
        <item x="6"/>
        <item x="3"/>
        <item x="12"/>
        <item x="13"/>
        <item x="10"/>
        <item x="2"/>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BE7A68A1-57C6-4C70-B694-65ED9BB53735}" name="PivotTable13"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B8" firstHeaderRow="1" firstDataRow="1" firstDataCol="1" rowPageCount="3" colPageCount="1"/>
  <pivotFields count="93">
    <pivotField showAll="0"/>
    <pivotField axis="axisRow" showAll="0">
      <items count="9">
        <item x="0"/>
        <item x="2"/>
        <item x="1"/>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1"/>
        <item h="1" x="4"/>
        <item x="2"/>
        <item x="0"/>
        <item h="1" x="6"/>
        <item h="1" x="5"/>
        <item h="1" x="3"/>
        <item t="default"/>
      </items>
    </pivotField>
    <pivotField axis="axisPage" multipleItemSelectionAllowed="1" showAll="0">
      <items count="15">
        <item h="1" x="5"/>
        <item h="1" x="8"/>
        <item h="1" x="9"/>
        <item h="1" x="7"/>
        <item h="1" x="11"/>
        <item h="1" x="4"/>
        <item h="1" x="6"/>
        <item h="1" x="3"/>
        <item h="1" x="12"/>
        <item h="1" x="13"/>
        <item h="1" x="10"/>
        <item h="1" x="2"/>
        <item x="1"/>
        <item x="0"/>
        <item t="default"/>
      </items>
    </pivotField>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8CEA603-6454-4A91-90EF-C5A6B466292A}" name="PivotTable14" cacheId="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5:B8" firstHeaderRow="1" firstDataRow="1" firstDataCol="1" rowPageCount="3" colPageCount="1"/>
  <pivotFields count="93">
    <pivotField showAll="0"/>
    <pivotField axis="axisRow" showAll="0">
      <items count="11">
        <item x="0"/>
        <item x="2"/>
        <item x="1"/>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x="1"/>
        <item x="4"/>
        <item x="2"/>
        <item h="1" x="0"/>
        <item x="6"/>
        <item x="5"/>
        <item x="7"/>
        <item x="3"/>
        <item t="default"/>
      </items>
    </pivotField>
    <pivotField axis="axisPage" multipleItemSelectionAllowed="1" showAll="0">
      <items count="17">
        <item x="5"/>
        <item x="8"/>
        <item x="9"/>
        <item x="7"/>
        <item x="11"/>
        <item x="4"/>
        <item x="6"/>
        <item x="3"/>
        <item x="12"/>
        <item x="13"/>
        <item x="10"/>
        <item x="2"/>
        <item h="1" x="1"/>
        <item x="0"/>
        <item m="1" x="15"/>
        <item x="14"/>
        <item t="default"/>
      </items>
    </pivotField>
    <pivotField showAll="0"/>
    <pivotField showAll="0"/>
    <pivotField axis="axisPage" showAll="0">
      <items count="4">
        <item x="1"/>
        <item x="0"/>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9045B2CA-9435-4698-B40A-A548D386B149}" name="PivotTable15"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E8" firstHeaderRow="1" firstDataRow="2" firstDataCol="1" rowPageCount="1" colPageCount="1"/>
  <pivotFields count="93">
    <pivotField showAll="0"/>
    <pivotField axis="axisRow" showAll="0">
      <items count="9">
        <item x="0"/>
        <item x="2"/>
        <item x="1"/>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31"/>
  </colFields>
  <colItems count="4">
    <i>
      <x/>
    </i>
    <i>
      <x v="1"/>
    </i>
    <i>
      <x v="2"/>
    </i>
    <i t="grand">
      <x/>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666B935-D66B-4AF8-B2B5-481F2058754D}" name="PivotTable16"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F7" firstHeaderRow="1" firstDataRow="2" firstDataCol="1" rowPageCount="1" colPageCount="1"/>
  <pivotFields count="93">
    <pivotField showAll="0"/>
    <pivotField axis="axisRow" showAll="0">
      <items count="9">
        <item x="0"/>
        <item x="2"/>
        <item x="1"/>
        <item x="3"/>
        <item m="1" x="7"/>
        <item x="4"/>
        <item x="6"/>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axis="axisCol"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Fields count="1">
    <field x="31"/>
  </colFields>
  <colItems count="5">
    <i>
      <x/>
    </i>
    <i>
      <x v="1"/>
    </i>
    <i>
      <x v="2"/>
    </i>
    <i>
      <x v="3"/>
    </i>
    <i t="grand">
      <x/>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3BCE0C6B-44EB-42D5-8931-3651541F1325}" name="PivotTable17"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J7" firstHeaderRow="1" firstDataRow="3" firstDataCol="1" rowPageCount="1" colPageCount="1"/>
  <pivotFields count="93">
    <pivotField showAll="0"/>
    <pivotField axis="axisRow" showAll="0">
      <items count="9">
        <item x="0"/>
        <item h="1" x="2"/>
        <item h="1" x="1"/>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2">
    <field x="68"/>
    <field x="31"/>
  </colFields>
  <colItems count="9">
    <i>
      <x/>
      <x/>
    </i>
    <i r="1">
      <x v="1"/>
    </i>
    <i r="1">
      <x v="2"/>
    </i>
    <i t="default">
      <x/>
    </i>
    <i>
      <x v="1"/>
      <x/>
    </i>
    <i r="1">
      <x v="1"/>
    </i>
    <i r="1">
      <x v="2"/>
    </i>
    <i t="default">
      <x v="1"/>
    </i>
    <i t="grand">
      <x/>
    </i>
  </colItems>
  <pageFields count="1">
    <pageField fld="15"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CE1AC176-0E02-4A2A-95D3-9BCAFDDFAF8F}" name="PivotTable1"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9" firstHeaderRow="1" firstDataRow="1" firstDataCol="1" rowPageCount="1" colPageCount="1"/>
  <pivotFields count="93">
    <pivotField showAll="0"/>
    <pivotField axis="axisPage" multipleItemSelectionAllowed="1" showAll="0">
      <items count="9">
        <item x="0"/>
        <item h="1" x="2"/>
        <item h="1" x="1"/>
        <item h="1" x="3"/>
        <item h="1" m="1" x="7"/>
        <item h="1" x="4"/>
        <item h="1" x="6"/>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7">
        <item x="1"/>
        <item x="5"/>
        <item x="4"/>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7"/>
  </rowFields>
  <rowItems count="6">
    <i>
      <x/>
    </i>
    <i>
      <x v="2"/>
    </i>
    <i>
      <x v="3"/>
    </i>
    <i>
      <x v="4"/>
    </i>
    <i>
      <x v="5"/>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D3F22BCF-9455-4B2B-BB87-7F986533860F}" name="PivotTable2"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25" firstHeaderRow="1" firstDataRow="1" firstDataCol="1" rowPageCount="1" colPageCount="1"/>
  <pivotFields count="93">
    <pivotField showAll="0"/>
    <pivotField axis="axisPage" multipleItemSelectionAllowed="1" showAll="0">
      <items count="9">
        <item x="0"/>
        <item h="1" x="2"/>
        <item h="1" x="1"/>
        <item h="1" x="3"/>
        <item h="1" m="1" x="7"/>
        <item h="1" x="4"/>
        <item h="1" x="6"/>
        <item h="1" x="5"/>
        <item t="default"/>
      </items>
    </pivotField>
    <pivotField showAll="0"/>
    <pivotField showAll="0"/>
    <pivotField showAll="0"/>
    <pivotField showAll="0"/>
    <pivotField showAll="0"/>
    <pivotField axis="axisRow" showAll="0">
      <items count="25">
        <item x="2"/>
        <item x="17"/>
        <item x="7"/>
        <item x="21"/>
        <item x="13"/>
        <item m="1" x="23"/>
        <item x="12"/>
        <item x="15"/>
        <item x="14"/>
        <item x="16"/>
        <item x="1"/>
        <item x="8"/>
        <item x="20"/>
        <item x="5"/>
        <item x="0"/>
        <item x="9"/>
        <item x="3"/>
        <item x="4"/>
        <item x="11"/>
        <item x="10"/>
        <item x="6"/>
        <item x="19"/>
        <item x="18"/>
        <item x="22"/>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2">
    <i>
      <x/>
    </i>
    <i>
      <x v="1"/>
    </i>
    <i>
      <x v="2"/>
    </i>
    <i>
      <x v="4"/>
    </i>
    <i>
      <x v="6"/>
    </i>
    <i>
      <x v="7"/>
    </i>
    <i>
      <x v="8"/>
    </i>
    <i>
      <x v="9"/>
    </i>
    <i>
      <x v="10"/>
    </i>
    <i>
      <x v="11"/>
    </i>
    <i>
      <x v="12"/>
    </i>
    <i>
      <x v="13"/>
    </i>
    <i>
      <x v="14"/>
    </i>
    <i>
      <x v="15"/>
    </i>
    <i>
      <x v="16"/>
    </i>
    <i>
      <x v="17"/>
    </i>
    <i>
      <x v="18"/>
    </i>
    <i>
      <x v="19"/>
    </i>
    <i>
      <x v="20"/>
    </i>
    <i>
      <x v="21"/>
    </i>
    <i>
      <x v="22"/>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AC98B6FD-A025-4CD5-BD91-9C4AA03F8935}" name="PivotTable3"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B16" firstHeaderRow="1" firstDataRow="1" firstDataCol="1" rowPageCount="1" colPageCount="1"/>
  <pivotFields count="93">
    <pivotField showAll="0"/>
    <pivotField axis="axisPage" multipleItemSelectionAllowed="1" showAll="0">
      <items count="9">
        <item x="0"/>
        <item h="1" x="2"/>
        <item h="1" x="1"/>
        <item h="1" x="3"/>
        <item h="1" m="1" x="7"/>
        <item h="1" x="4"/>
        <item h="1" x="5"/>
        <item h="1" x="6"/>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4">
        <item x="2"/>
        <item x="5"/>
        <item x="7"/>
        <item x="4"/>
        <item x="1"/>
        <item x="9"/>
        <item x="6"/>
        <item x="3"/>
        <item x="8"/>
        <item x="0"/>
        <item x="11"/>
        <item m="1" x="12"/>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9"/>
  </rowFields>
  <rowItems count="12">
    <i>
      <x/>
    </i>
    <i>
      <x v="1"/>
    </i>
    <i>
      <x v="2"/>
    </i>
    <i>
      <x v="3"/>
    </i>
    <i>
      <x v="4"/>
    </i>
    <i>
      <x v="5"/>
    </i>
    <i>
      <x v="6"/>
    </i>
    <i>
      <x v="7"/>
    </i>
    <i>
      <x v="8"/>
    </i>
    <i>
      <x v="9"/>
    </i>
    <i>
      <x v="12"/>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A0A6DAFD-072B-4963-B19B-13F360E14736}" name="PivotTable9" cacheId="0"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1:E25" firstHeaderRow="1" firstDataRow="2" firstDataCol="1"/>
  <pivotFields count="93">
    <pivotField showAll="0"/>
    <pivotField axis="axisCol" multipleItemSelectionAllowed="1" showAll="0">
      <items count="9">
        <item x="0"/>
        <item x="2"/>
        <item x="1"/>
        <item h="1" x="3"/>
        <item h="1" m="1" x="7"/>
        <item h="1" x="4"/>
        <item h="1" x="6"/>
        <item h="1" x="5"/>
        <item t="default"/>
      </items>
    </pivotField>
    <pivotField showAll="0"/>
    <pivotField showAll="0"/>
    <pivotField showAll="0"/>
    <pivotField showAll="0"/>
    <pivotField showAll="0"/>
    <pivotField axis="axisRow" showAll="0">
      <items count="25">
        <item x="2"/>
        <item x="17"/>
        <item x="7"/>
        <item x="21"/>
        <item x="13"/>
        <item m="1" x="23"/>
        <item x="12"/>
        <item x="15"/>
        <item x="14"/>
        <item x="16"/>
        <item x="1"/>
        <item x="8"/>
        <item x="20"/>
        <item x="5"/>
        <item x="0"/>
        <item x="9"/>
        <item x="3"/>
        <item x="4"/>
        <item x="11"/>
        <item x="10"/>
        <item x="6"/>
        <item x="19"/>
        <item x="18"/>
        <item x="22"/>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3">
    <i>
      <x/>
    </i>
    <i>
      <x v="1"/>
    </i>
    <i>
      <x v="2"/>
    </i>
    <i>
      <x v="3"/>
    </i>
    <i>
      <x v="4"/>
    </i>
    <i>
      <x v="6"/>
    </i>
    <i>
      <x v="7"/>
    </i>
    <i>
      <x v="8"/>
    </i>
    <i>
      <x v="9"/>
    </i>
    <i>
      <x v="10"/>
    </i>
    <i>
      <x v="11"/>
    </i>
    <i>
      <x v="12"/>
    </i>
    <i>
      <x v="13"/>
    </i>
    <i>
      <x v="14"/>
    </i>
    <i>
      <x v="15"/>
    </i>
    <i>
      <x v="16"/>
    </i>
    <i>
      <x v="17"/>
    </i>
    <i>
      <x v="18"/>
    </i>
    <i>
      <x v="19"/>
    </i>
    <i>
      <x v="20"/>
    </i>
    <i>
      <x v="21"/>
    </i>
    <i>
      <x v="22"/>
    </i>
    <i t="grand">
      <x/>
    </i>
  </rowItems>
  <colFields count="1">
    <field x="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BCB03A2B-0F3E-4D14-B10F-D0287DAC64D4}" name="PivotTable10" cacheId="0"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1:O6" firstHeaderRow="1" firstDataRow="3" firstDataCol="1"/>
  <pivotFields count="93">
    <pivotField showAll="0"/>
    <pivotField axis="axisCol" multipleItemSelectionAllowed="1" showAll="0">
      <items count="9">
        <item x="1"/>
        <item x="2"/>
        <item h="1" x="3"/>
        <item h="1" m="1" x="7"/>
        <item h="1" x="4"/>
        <item h="1" x="6"/>
        <item x="0"/>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5">
        <item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8"/>
  </rowFields>
  <rowItems count="3">
    <i>
      <x/>
    </i>
    <i>
      <x v="1"/>
    </i>
    <i t="grand">
      <x/>
    </i>
  </rowItems>
  <colFields count="2">
    <field x="1"/>
    <field x="31"/>
  </colFields>
  <colItems count="14">
    <i>
      <x/>
      <x/>
    </i>
    <i r="1">
      <x v="1"/>
    </i>
    <i r="1">
      <x v="2"/>
    </i>
    <i t="default">
      <x/>
    </i>
    <i>
      <x v="1"/>
      <x/>
    </i>
    <i r="1">
      <x v="1"/>
    </i>
    <i r="1">
      <x v="2"/>
    </i>
    <i r="1">
      <x v="3"/>
    </i>
    <i t="default">
      <x v="1"/>
    </i>
    <i>
      <x v="6"/>
      <x/>
    </i>
    <i r="1">
      <x v="1"/>
    </i>
    <i r="1">
      <x v="2"/>
    </i>
    <i t="default">
      <x v="6"/>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89902814-15FF-4997-86CB-075F04D76376}" name="PivotTable11" cacheId="0"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5:I9" firstHeaderRow="0" firstDataRow="1" firstDataCol="1" rowPageCount="3" colPageCount="1"/>
  <pivotFields count="93">
    <pivotField showAll="0"/>
    <pivotField axis="axisPage" multipleItemSelectionAllowed="1" showAll="0">
      <items count="9">
        <item h="1" x="1"/>
        <item h="1" x="2"/>
        <item h="1" x="3"/>
        <item h="1" m="1" x="7"/>
        <item h="1" x="4"/>
        <item h="1" x="6"/>
        <item x="0"/>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1"/>
        <item h="1" x="4"/>
        <item x="2"/>
        <item x="0"/>
        <item h="1" x="6"/>
        <item h="1" x="5"/>
        <item h="1" x="3"/>
        <item t="default"/>
      </items>
    </pivotField>
    <pivotField axis="axisPage" multipleItemSelectionAllowed="1" showAll="0">
      <items count="15">
        <item h="1" x="5"/>
        <item h="1" x="8"/>
        <item h="1" x="9"/>
        <item h="1" x="7"/>
        <item h="1" x="11"/>
        <item h="1" x="4"/>
        <item h="1" x="6"/>
        <item h="1" x="3"/>
        <item h="1" x="12"/>
        <item h="1" x="13"/>
        <item h="1" x="10"/>
        <item h="1" x="2"/>
        <item x="1"/>
        <item x="0"/>
        <item t="default"/>
      </items>
    </pivotField>
    <pivotField showAll="0"/>
    <pivotField showAll="0"/>
    <pivotField showAll="0"/>
    <pivotField showAll="0"/>
    <pivotField axis="axisRow" showAll="0">
      <items count="5">
        <item x="0"/>
        <item x="2"/>
        <item x="1"/>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CEB89FBB-9891-4A7E-B40E-F1F7D30D1FE1}" name="PivotTable12" cacheId="0"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5:I9" firstHeaderRow="0" firstDataRow="1" firstDataCol="1" rowPageCount="3" colPageCount="1"/>
  <pivotFields count="93">
    <pivotField showAll="0"/>
    <pivotField axis="axisPage" multipleItemSelectionAllowed="1" showAll="0">
      <items count="9">
        <item x="1"/>
        <item x="2"/>
        <item h="1" x="3"/>
        <item h="1" m="1" x="7"/>
        <item h="1" x="4"/>
        <item h="1" x="6"/>
        <item h="1" x="0"/>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1"/>
        <item h="1" x="4"/>
        <item x="2"/>
        <item x="0"/>
        <item h="1" x="6"/>
        <item h="1" x="5"/>
        <item h="1" x="3"/>
        <item t="default"/>
      </items>
    </pivotField>
    <pivotField axis="axisPage" multipleItemSelectionAllowed="1" showAll="0">
      <items count="15">
        <item h="1" x="5"/>
        <item h="1" x="8"/>
        <item h="1" x="9"/>
        <item h="1" x="7"/>
        <item h="1" x="11"/>
        <item h="1" x="4"/>
        <item h="1" x="6"/>
        <item h="1" x="3"/>
        <item h="1" x="12"/>
        <item h="1" x="13"/>
        <item h="1" x="10"/>
        <item h="1" x="2"/>
        <item x="1"/>
        <item x="0"/>
        <item t="default"/>
      </items>
    </pivotField>
    <pivotField showAll="0"/>
    <pivotField showAll="0"/>
    <pivotField showAll="0"/>
    <pivotField showAll="0"/>
    <pivotField axis="axisRow" showAll="0">
      <items count="5">
        <item x="0"/>
        <item x="2"/>
        <item x="1"/>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C68AF3CA-40A7-4ED3-A9E5-6B156C85E526}" name="PivotTable13" cacheId="0"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3:N11" firstHeaderRow="1" firstDataRow="2" firstDataCol="1" rowPageCount="1" colPageCount="1"/>
  <pivotFields count="93">
    <pivotField showAll="0"/>
    <pivotField axis="axisPage" multipleItemSelectionAllowed="1" showAll="0">
      <items count="9">
        <item h="1" x="1"/>
        <item h="1" x="2"/>
        <item h="1" x="3"/>
        <item h="1" m="1" x="7"/>
        <item h="1" x="4"/>
        <item h="1" x="6"/>
        <item x="0"/>
        <item h="1"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8">
        <item x="1"/>
        <item x="4"/>
        <item x="2"/>
        <item x="0"/>
        <item x="6"/>
        <item x="5"/>
        <item x="3"/>
        <item t="default"/>
      </items>
    </pivotField>
    <pivotField axis="axisCol" multipleItemSelectionAllowed="1" showAll="0">
      <items count="15">
        <item x="5"/>
        <item x="8"/>
        <item x="9"/>
        <item x="7"/>
        <item x="11"/>
        <item x="4"/>
        <item x="6"/>
        <item x="3"/>
        <item x="12"/>
        <item x="13"/>
        <item x="10"/>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7">
    <i>
      <x/>
    </i>
    <i>
      <x v="1"/>
    </i>
    <i>
      <x v="2"/>
    </i>
    <i>
      <x v="3"/>
    </i>
    <i>
      <x v="5"/>
    </i>
    <i>
      <x v="6"/>
    </i>
    <i t="grand">
      <x/>
    </i>
  </rowItems>
  <colFields count="1">
    <field x="26"/>
  </colFields>
  <colItems count="13">
    <i>
      <x/>
    </i>
    <i>
      <x v="1"/>
    </i>
    <i>
      <x v="2"/>
    </i>
    <i>
      <x v="3"/>
    </i>
    <i>
      <x v="4"/>
    </i>
    <i>
      <x v="5"/>
    </i>
    <i>
      <x v="6"/>
    </i>
    <i>
      <x v="7"/>
    </i>
    <i>
      <x v="10"/>
    </i>
    <i>
      <x v="11"/>
    </i>
    <i>
      <x v="12"/>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2AFBA6CA-BB8F-4DC6-9F7B-ADFEA5A5E098}" name="PivotTable14" cacheId="0" applyNumberFormats="0" applyBorderFormats="0" applyFontFormats="0" applyPatternFormats="0" applyAlignmentFormats="0" applyWidthHeightFormats="1" dataCaption="Values" missingCaption="0" updatedVersion="8" minRefreshableVersion="3" useAutoFormatting="1" itemPrintTitles="1" createdVersion="4" indent="0" outline="1" outlineData="1" multipleFieldFilters="0">
  <location ref="A3:O10" firstHeaderRow="1" firstDataRow="2" firstDataCol="1" rowPageCount="1" colPageCount="1"/>
  <pivotFields count="93">
    <pivotField showAll="0"/>
    <pivotField axis="axisPage" multipleItemSelectionAllowed="1" showAll="0">
      <items count="9">
        <item x="1"/>
        <item x="2"/>
        <item h="1" x="3"/>
        <item h="1" m="1" x="7"/>
        <item h="1" x="4"/>
        <item h="1" x="6"/>
        <item h="1" x="0"/>
        <item h="1"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8">
        <item x="1"/>
        <item x="4"/>
        <item x="2"/>
        <item h="1" x="0"/>
        <item x="6"/>
        <item x="5"/>
        <item h="1" x="3"/>
        <item t="default"/>
      </items>
    </pivotField>
    <pivotField axis="axisCol" multipleItemSelectionAllowed="1" showAll="0">
      <items count="15">
        <item x="5"/>
        <item x="8"/>
        <item x="9"/>
        <item x="7"/>
        <item x="11"/>
        <item x="4"/>
        <item x="6"/>
        <item x="3"/>
        <item x="12"/>
        <item x="13"/>
        <item x="10"/>
        <item x="2"/>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6">
    <i>
      <x/>
    </i>
    <i>
      <x v="1"/>
    </i>
    <i>
      <x v="2"/>
    </i>
    <i>
      <x v="4"/>
    </i>
    <i>
      <x v="5"/>
    </i>
    <i t="grand">
      <x/>
    </i>
  </rowItems>
  <colFields count="1">
    <field x="26"/>
  </colFields>
  <colItems count="14">
    <i>
      <x/>
    </i>
    <i>
      <x v="1"/>
    </i>
    <i>
      <x v="2"/>
    </i>
    <i>
      <x v="3"/>
    </i>
    <i>
      <x v="4"/>
    </i>
    <i>
      <x v="5"/>
    </i>
    <i>
      <x v="6"/>
    </i>
    <i>
      <x v="7"/>
    </i>
    <i>
      <x v="8"/>
    </i>
    <i>
      <x v="9"/>
    </i>
    <i>
      <x v="10"/>
    </i>
    <i>
      <x v="11"/>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andsworth Counci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7.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8.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9.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10.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11.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1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13.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4.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15.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16.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17.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ivotTable" Target="../pivotTables/pivotTable18.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19.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ivotTable" Target="../pivotTables/pivotTable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ivotTable" Target="../pivotTables/pivotTable21.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ivotTable" Target="../pivotTables/pivotTable22.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ivotTable" Target="../pivotTables/pivotTable23.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ivotTable" Target="../pivotTables/pivotTable24.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ivotTable" Target="../pivotTables/pivot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U359"/>
  <sheetViews>
    <sheetView tabSelected="1" zoomScaleNormal="100" workbookViewId="0">
      <selection sqref="A1:Q1"/>
    </sheetView>
  </sheetViews>
  <sheetFormatPr defaultColWidth="9.109375" defaultRowHeight="13.2" x14ac:dyDescent="0.25"/>
  <cols>
    <col min="1" max="1" width="11.109375" customWidth="1"/>
    <col min="2" max="2" width="9.5546875" customWidth="1"/>
    <col min="4" max="4" width="9.6640625" customWidth="1"/>
    <col min="8" max="8" width="9.6640625" customWidth="1"/>
  </cols>
  <sheetData>
    <row r="1" spans="1:17" ht="31.5" customHeight="1" x14ac:dyDescent="0.25">
      <c r="A1" s="313" t="s">
        <v>0</v>
      </c>
      <c r="B1" s="313"/>
      <c r="C1" s="313"/>
      <c r="D1" s="313"/>
      <c r="E1" s="313"/>
      <c r="F1" s="313"/>
      <c r="G1" s="313"/>
      <c r="H1" s="313"/>
      <c r="I1" s="313"/>
      <c r="J1" s="313"/>
      <c r="K1" s="313"/>
      <c r="L1" s="313"/>
      <c r="M1" s="313"/>
      <c r="N1" s="313"/>
      <c r="O1" s="313"/>
      <c r="P1" s="313"/>
      <c r="Q1" s="313"/>
    </row>
    <row r="3" spans="1:17" s="46" customFormat="1" ht="17.399999999999999" x14ac:dyDescent="0.3">
      <c r="A3" s="101" t="s">
        <v>1</v>
      </c>
      <c r="B3" s="102"/>
      <c r="C3" s="102"/>
      <c r="D3" s="102"/>
      <c r="E3" s="102"/>
      <c r="F3" s="102"/>
      <c r="G3" s="102"/>
      <c r="H3" s="102"/>
      <c r="I3" s="102"/>
      <c r="J3" s="102"/>
      <c r="K3" s="102"/>
      <c r="L3" s="102"/>
      <c r="M3" s="102"/>
      <c r="N3" s="102"/>
      <c r="O3" s="102"/>
      <c r="P3" s="102"/>
      <c r="Q3" s="102"/>
    </row>
    <row r="4" spans="1:17" x14ac:dyDescent="0.25">
      <c r="A4" s="26"/>
      <c r="B4" s="26"/>
      <c r="C4" s="26"/>
      <c r="D4" s="26"/>
      <c r="E4" s="26"/>
      <c r="F4" s="26"/>
      <c r="G4" s="26"/>
      <c r="H4" s="26"/>
      <c r="I4" s="26"/>
      <c r="J4" s="26"/>
      <c r="K4" s="26"/>
      <c r="L4" s="26"/>
      <c r="M4" s="26"/>
      <c r="N4" s="26"/>
      <c r="O4" s="26"/>
      <c r="P4" s="26"/>
      <c r="Q4" s="26"/>
    </row>
    <row r="5" spans="1:17" x14ac:dyDescent="0.25">
      <c r="A5" s="7" t="s">
        <v>2</v>
      </c>
      <c r="B5" s="7" t="s">
        <v>3</v>
      </c>
      <c r="C5" s="3"/>
      <c r="D5" s="3"/>
      <c r="E5" s="3"/>
      <c r="F5" s="3"/>
      <c r="G5" s="3"/>
      <c r="H5" s="3"/>
      <c r="I5" s="3"/>
      <c r="J5" s="26"/>
      <c r="K5" s="26"/>
      <c r="L5" s="26"/>
      <c r="M5" s="26"/>
      <c r="N5" s="26"/>
      <c r="O5" s="26"/>
      <c r="P5" s="3"/>
      <c r="Q5" s="3"/>
    </row>
    <row r="6" spans="1:17" ht="16.2" customHeight="1" x14ac:dyDescent="0.25">
      <c r="A6" s="321" t="s">
        <v>4</v>
      </c>
      <c r="B6" s="322"/>
      <c r="C6" s="322"/>
      <c r="D6" s="323"/>
      <c r="E6" s="278" t="s">
        <v>5</v>
      </c>
      <c r="F6" s="278" t="s">
        <v>6</v>
      </c>
      <c r="G6" s="295" t="s">
        <v>7</v>
      </c>
      <c r="H6" s="297"/>
      <c r="I6" s="278" t="s">
        <v>8</v>
      </c>
      <c r="J6" s="278" t="s">
        <v>9</v>
      </c>
      <c r="K6" s="186"/>
      <c r="L6" s="366"/>
      <c r="M6" s="366"/>
      <c r="N6" s="26"/>
      <c r="O6" s="26"/>
      <c r="P6" s="3"/>
      <c r="Q6" s="3"/>
    </row>
    <row r="7" spans="1:17" ht="16.2" customHeight="1" x14ac:dyDescent="0.25">
      <c r="A7" s="321"/>
      <c r="B7" s="322"/>
      <c r="C7" s="322"/>
      <c r="D7" s="323"/>
      <c r="E7" s="294"/>
      <c r="F7" s="294"/>
      <c r="G7" s="367"/>
      <c r="H7" s="368"/>
      <c r="I7" s="294"/>
      <c r="J7" s="294"/>
      <c r="K7" s="186"/>
      <c r="L7" s="366"/>
      <c r="M7" s="366"/>
      <c r="N7" s="26"/>
      <c r="O7" s="26"/>
      <c r="P7" s="3"/>
      <c r="Q7" s="3"/>
    </row>
    <row r="8" spans="1:17" ht="16.2" customHeight="1" x14ac:dyDescent="0.25">
      <c r="A8" s="321"/>
      <c r="B8" s="322"/>
      <c r="C8" s="322"/>
      <c r="D8" s="323"/>
      <c r="E8" s="279"/>
      <c r="F8" s="279"/>
      <c r="G8" s="253" t="s">
        <v>10</v>
      </c>
      <c r="H8" s="252" t="s">
        <v>11</v>
      </c>
      <c r="I8" s="279"/>
      <c r="J8" s="279"/>
      <c r="K8" s="187"/>
      <c r="L8" s="366"/>
      <c r="M8" s="366"/>
      <c r="N8" s="26"/>
      <c r="O8" s="26"/>
      <c r="P8" s="3"/>
      <c r="Q8" s="3"/>
    </row>
    <row r="9" spans="1:17" x14ac:dyDescent="0.25">
      <c r="A9" s="324" t="s">
        <v>12</v>
      </c>
      <c r="B9" s="325"/>
      <c r="C9" s="325"/>
      <c r="D9" s="326"/>
      <c r="E9" s="195">
        <v>19500</v>
      </c>
      <c r="F9" s="195">
        <f>E9/10</f>
        <v>1950</v>
      </c>
      <c r="G9" s="196">
        <v>1974</v>
      </c>
      <c r="H9" s="196">
        <f>GETPIVOTDATA("Phase Net Units",'1a Conv'!$A$1)+GETPIVOTDATA("Net Non-Self-Contained Rooms ratio applied",'1a NSC'!$A$1)</f>
        <v>2264</v>
      </c>
      <c r="I9" s="196">
        <f>G9+H9</f>
        <v>4238</v>
      </c>
      <c r="J9" s="197">
        <f>I9/E9</f>
        <v>0.21733333333333332</v>
      </c>
      <c r="K9" s="198"/>
      <c r="L9" s="199"/>
      <c r="M9" s="200"/>
      <c r="N9" s="26"/>
      <c r="O9" s="26"/>
      <c r="P9" s="26"/>
      <c r="Q9" s="26"/>
    </row>
    <row r="10" spans="1:17" ht="12.75" customHeight="1" x14ac:dyDescent="0.25">
      <c r="A10" s="7"/>
      <c r="B10" s="7"/>
      <c r="C10" s="3"/>
      <c r="D10" s="3"/>
      <c r="E10" s="3"/>
      <c r="F10" s="3"/>
      <c r="G10" s="3"/>
      <c r="H10" s="3"/>
      <c r="I10" s="3"/>
      <c r="J10" s="3"/>
      <c r="K10" s="3"/>
      <c r="L10" s="3"/>
      <c r="M10" s="3"/>
      <c r="N10" s="3"/>
      <c r="O10" s="3"/>
      <c r="P10" s="3"/>
      <c r="Q10" s="3"/>
    </row>
    <row r="11" spans="1:17" x14ac:dyDescent="0.25">
      <c r="A11" s="7" t="s">
        <v>13</v>
      </c>
      <c r="B11" s="7" t="s">
        <v>14</v>
      </c>
      <c r="C11" s="3"/>
      <c r="D11" s="3"/>
      <c r="E11" s="3"/>
      <c r="F11" s="3"/>
      <c r="G11" s="3"/>
      <c r="H11" s="3"/>
      <c r="I11" s="3"/>
      <c r="J11" s="3"/>
      <c r="K11" s="3"/>
      <c r="L11" s="2"/>
      <c r="M11" s="2"/>
      <c r="N11" s="3"/>
      <c r="O11" s="3"/>
      <c r="P11" s="3"/>
      <c r="Q11" s="3"/>
    </row>
    <row r="12" spans="1:17" ht="12.75" customHeight="1" x14ac:dyDescent="0.25">
      <c r="A12" s="64"/>
      <c r="B12" s="42"/>
      <c r="C12" s="42"/>
      <c r="D12" s="42"/>
      <c r="E12" s="42"/>
      <c r="F12" s="42"/>
      <c r="G12" s="42"/>
      <c r="H12" s="42"/>
      <c r="I12" s="65"/>
      <c r="J12" s="43"/>
      <c r="Q12" s="3"/>
    </row>
    <row r="13" spans="1:17" ht="12.75" customHeight="1" x14ac:dyDescent="0.25">
      <c r="A13" s="66" t="s">
        <v>15</v>
      </c>
      <c r="B13" s="145" t="s">
        <v>16</v>
      </c>
      <c r="C13" s="49"/>
      <c r="D13" s="49"/>
      <c r="E13" s="49"/>
      <c r="F13" s="49"/>
      <c r="G13" s="49"/>
      <c r="H13" s="49"/>
      <c r="I13" s="16">
        <v>19500</v>
      </c>
      <c r="J13" s="41"/>
      <c r="Q13" s="3"/>
    </row>
    <row r="14" spans="1:17" ht="12.75" customHeight="1" x14ac:dyDescent="0.25">
      <c r="A14" s="66" t="s">
        <v>17</v>
      </c>
      <c r="B14" s="145" t="s">
        <v>18</v>
      </c>
      <c r="C14" s="49"/>
      <c r="D14" s="49"/>
      <c r="E14" s="49"/>
      <c r="F14" s="49"/>
      <c r="G14" s="49"/>
      <c r="H14" s="49"/>
      <c r="I14" s="16">
        <f>'Housing Trajectory'!I8</f>
        <v>4238</v>
      </c>
      <c r="J14" s="41"/>
      <c r="Q14" s="3"/>
    </row>
    <row r="15" spans="1:17" ht="12.75" customHeight="1" x14ac:dyDescent="0.25">
      <c r="A15" s="66" t="s">
        <v>19</v>
      </c>
      <c r="B15" s="50" t="s">
        <v>20</v>
      </c>
      <c r="C15" s="49"/>
      <c r="D15" s="49"/>
      <c r="E15" s="49"/>
      <c r="F15" s="49"/>
      <c r="G15" s="49"/>
      <c r="H15" s="146" t="s">
        <v>21</v>
      </c>
      <c r="I15" s="16">
        <f>I13-I14</f>
        <v>15262</v>
      </c>
      <c r="J15" s="41"/>
      <c r="Q15" s="3"/>
    </row>
    <row r="16" spans="1:17" ht="12.75" customHeight="1" x14ac:dyDescent="0.25">
      <c r="A16" s="66" t="s">
        <v>22</v>
      </c>
      <c r="B16" s="50" t="s">
        <v>23</v>
      </c>
      <c r="C16" s="49"/>
      <c r="D16" s="49"/>
      <c r="E16" s="49"/>
      <c r="F16" s="49"/>
      <c r="G16" s="49"/>
      <c r="H16" s="40" t="s">
        <v>24</v>
      </c>
      <c r="I16" s="16">
        <f>I15/8</f>
        <v>1907.75</v>
      </c>
      <c r="J16" s="41"/>
      <c r="Q16" s="3"/>
    </row>
    <row r="17" spans="1:17" ht="12.75" customHeight="1" x14ac:dyDescent="0.25">
      <c r="A17" s="66" t="s">
        <v>25</v>
      </c>
      <c r="B17" s="50" t="s">
        <v>26</v>
      </c>
      <c r="C17" s="49"/>
      <c r="D17" s="49"/>
      <c r="E17" s="49"/>
      <c r="F17" s="49"/>
      <c r="G17" s="49"/>
      <c r="H17" s="40" t="s">
        <v>27</v>
      </c>
      <c r="I17" s="16">
        <f>I16*5</f>
        <v>9538.75</v>
      </c>
      <c r="J17" s="41"/>
      <c r="Q17" s="3"/>
    </row>
    <row r="18" spans="1:17" ht="12.75" customHeight="1" x14ac:dyDescent="0.25">
      <c r="A18" s="66" t="s">
        <v>28</v>
      </c>
      <c r="B18" s="50" t="s">
        <v>29</v>
      </c>
      <c r="C18" s="49"/>
      <c r="D18" s="49"/>
      <c r="E18" s="49"/>
      <c r="F18" s="49"/>
      <c r="G18" s="49"/>
      <c r="H18" s="40" t="s">
        <v>30</v>
      </c>
      <c r="I18" s="16">
        <f>I17*0.05</f>
        <v>476.9375</v>
      </c>
      <c r="J18" s="41"/>
      <c r="Q18" s="3"/>
    </row>
    <row r="19" spans="1:17" ht="12.75" customHeight="1" x14ac:dyDescent="0.25">
      <c r="A19" s="66" t="s">
        <v>31</v>
      </c>
      <c r="B19" s="50" t="s">
        <v>32</v>
      </c>
      <c r="C19" s="49"/>
      <c r="D19" s="49"/>
      <c r="E19" s="49"/>
      <c r="F19" s="49"/>
      <c r="G19" s="49"/>
      <c r="H19" s="40" t="s">
        <v>33</v>
      </c>
      <c r="I19" s="16">
        <f>I17+I18</f>
        <v>10015.6875</v>
      </c>
      <c r="J19" s="41"/>
      <c r="Q19" s="3"/>
    </row>
    <row r="20" spans="1:17" ht="12.75" customHeight="1" x14ac:dyDescent="0.25">
      <c r="A20" s="66" t="s">
        <v>34</v>
      </c>
      <c r="B20" s="50" t="s">
        <v>35</v>
      </c>
      <c r="C20" s="49"/>
      <c r="D20" s="49"/>
      <c r="E20" s="49"/>
      <c r="F20" s="49"/>
      <c r="G20" s="49"/>
      <c r="H20" s="40"/>
      <c r="I20" s="16">
        <f>SUM('Housing Trajectory'!J7:N7)</f>
        <v>14205.758403361342</v>
      </c>
      <c r="J20" s="206"/>
      <c r="Q20" s="3"/>
    </row>
    <row r="21" spans="1:17" ht="12.75" customHeight="1" x14ac:dyDescent="0.25">
      <c r="A21" s="66" t="s">
        <v>36</v>
      </c>
      <c r="B21" s="344" t="s">
        <v>37</v>
      </c>
      <c r="C21" s="345"/>
      <c r="D21" s="345"/>
      <c r="E21" s="345"/>
      <c r="F21" s="345"/>
      <c r="G21" s="345"/>
      <c r="H21" s="40" t="s">
        <v>38</v>
      </c>
      <c r="I21" s="134">
        <f>I20/I17</f>
        <v>1.4892683426404238</v>
      </c>
      <c r="J21" s="41"/>
      <c r="Q21" s="3"/>
    </row>
    <row r="22" spans="1:17" ht="12.75" customHeight="1" x14ac:dyDescent="0.25">
      <c r="A22" s="66" t="s">
        <v>39</v>
      </c>
      <c r="B22" s="50" t="s">
        <v>40</v>
      </c>
      <c r="C22" s="49"/>
      <c r="D22" s="49"/>
      <c r="E22" s="49"/>
      <c r="F22" s="49"/>
      <c r="G22" s="49"/>
      <c r="H22" s="40" t="s">
        <v>41</v>
      </c>
      <c r="I22" s="16">
        <f>I20/I16</f>
        <v>7.446341713202119</v>
      </c>
      <c r="J22" s="41"/>
      <c r="Q22" s="3"/>
    </row>
    <row r="23" spans="1:17" ht="12.75" customHeight="1" x14ac:dyDescent="0.25">
      <c r="A23" s="24"/>
      <c r="B23" s="75"/>
      <c r="C23" s="75"/>
      <c r="D23" s="75"/>
      <c r="E23" s="75"/>
      <c r="F23" s="75"/>
      <c r="G23" s="75"/>
      <c r="H23" s="24"/>
      <c r="I23" s="135"/>
      <c r="J23" s="41"/>
      <c r="Q23" s="3"/>
    </row>
    <row r="24" spans="1:17" ht="12.75" customHeight="1" x14ac:dyDescent="0.25">
      <c r="A24" s="318" t="s">
        <v>42</v>
      </c>
      <c r="B24" s="319"/>
      <c r="C24" s="319"/>
      <c r="D24" s="319"/>
      <c r="E24" s="319"/>
      <c r="F24" s="319"/>
      <c r="G24" s="319"/>
      <c r="H24" s="319"/>
      <c r="I24" s="320"/>
      <c r="J24" s="26"/>
      <c r="K24" s="26"/>
      <c r="L24" s="26"/>
      <c r="M24" s="26"/>
      <c r="N24" s="26"/>
      <c r="O24" s="26"/>
      <c r="P24" s="26"/>
      <c r="Q24" s="26"/>
    </row>
    <row r="25" spans="1:17" ht="12.75" customHeight="1" x14ac:dyDescent="0.25">
      <c r="A25" s="24"/>
      <c r="B25" s="23"/>
      <c r="C25" s="23"/>
      <c r="D25" s="23"/>
      <c r="E25" s="23"/>
      <c r="F25" s="23"/>
      <c r="G25" s="23"/>
      <c r="H25" s="23"/>
      <c r="I25" s="24"/>
      <c r="J25" s="24"/>
      <c r="K25" s="25"/>
      <c r="L25" s="26"/>
      <c r="M25" s="3"/>
      <c r="N25" s="3"/>
      <c r="O25" s="3"/>
      <c r="P25" s="3"/>
      <c r="Q25" s="3"/>
    </row>
    <row r="26" spans="1:17" ht="12.75" customHeight="1" x14ac:dyDescent="0.25">
      <c r="A26" s="51" t="s">
        <v>43</v>
      </c>
      <c r="B26" s="27" t="s">
        <v>44</v>
      </c>
      <c r="C26" s="23"/>
      <c r="D26" s="23"/>
      <c r="E26" s="23"/>
      <c r="F26" s="23"/>
      <c r="G26" s="23"/>
      <c r="H26" s="23"/>
      <c r="I26" s="24"/>
      <c r="J26" s="24"/>
      <c r="K26" s="25"/>
      <c r="L26" s="26"/>
      <c r="M26" s="3"/>
      <c r="N26" s="3"/>
      <c r="O26" s="3"/>
      <c r="P26" s="3"/>
      <c r="Q26" s="3"/>
    </row>
    <row r="27" spans="1:17" ht="12.75" customHeight="1" x14ac:dyDescent="0.25">
      <c r="A27" s="281" t="s">
        <v>45</v>
      </c>
      <c r="B27" s="281"/>
      <c r="C27" s="305" t="s">
        <v>46</v>
      </c>
      <c r="D27" s="306"/>
      <c r="E27" s="307" t="s">
        <v>6</v>
      </c>
      <c r="F27" s="308"/>
      <c r="G27" s="278" t="s">
        <v>47</v>
      </c>
      <c r="H27" s="295" t="s">
        <v>48</v>
      </c>
      <c r="I27" s="296"/>
      <c r="J27" s="296"/>
      <c r="K27" s="296"/>
      <c r="L27" s="297"/>
      <c r="M27" s="278" t="s">
        <v>49</v>
      </c>
      <c r="N27" s="278" t="s">
        <v>50</v>
      </c>
      <c r="P27" s="3"/>
      <c r="Q27" s="3"/>
    </row>
    <row r="28" spans="1:17" ht="12.75" customHeight="1" x14ac:dyDescent="0.25">
      <c r="A28" s="281"/>
      <c r="B28" s="281"/>
      <c r="C28" s="301" t="s">
        <v>51</v>
      </c>
      <c r="D28" s="303" t="s">
        <v>52</v>
      </c>
      <c r="E28" s="309" t="s">
        <v>51</v>
      </c>
      <c r="F28" s="311" t="s">
        <v>52</v>
      </c>
      <c r="G28" s="294"/>
      <c r="H28" s="298"/>
      <c r="I28" s="299"/>
      <c r="J28" s="299"/>
      <c r="K28" s="299"/>
      <c r="L28" s="300"/>
      <c r="M28" s="294"/>
      <c r="N28" s="294"/>
      <c r="P28" s="3"/>
      <c r="Q28" s="3"/>
    </row>
    <row r="29" spans="1:17" ht="20.399999999999999" customHeight="1" x14ac:dyDescent="0.25">
      <c r="A29" s="281"/>
      <c r="B29" s="281"/>
      <c r="C29" s="302"/>
      <c r="D29" s="304"/>
      <c r="E29" s="310"/>
      <c r="F29" s="312"/>
      <c r="G29" s="279"/>
      <c r="H29" s="168" t="s">
        <v>53</v>
      </c>
      <c r="I29" s="168" t="s">
        <v>54</v>
      </c>
      <c r="J29" s="168" t="s">
        <v>55</v>
      </c>
      <c r="K29" s="168" t="s">
        <v>10</v>
      </c>
      <c r="L29" s="168" t="s">
        <v>11</v>
      </c>
      <c r="M29" s="279"/>
      <c r="N29" s="279"/>
      <c r="P29" s="3"/>
      <c r="Q29" s="3"/>
    </row>
    <row r="30" spans="1:17" x14ac:dyDescent="0.25">
      <c r="A30" s="361" t="s">
        <v>56</v>
      </c>
      <c r="B30" s="362"/>
      <c r="C30" s="29">
        <v>918</v>
      </c>
      <c r="D30" s="29">
        <v>617</v>
      </c>
      <c r="E30" s="29">
        <f>C30/5</f>
        <v>183.6</v>
      </c>
      <c r="F30" s="29">
        <f>D30/5</f>
        <v>123.4</v>
      </c>
      <c r="G30" s="169">
        <f>E30*2+F30*3</f>
        <v>737.40000000000009</v>
      </c>
      <c r="H30" s="30">
        <v>173</v>
      </c>
      <c r="I30" s="30">
        <v>196</v>
      </c>
      <c r="J30" s="30">
        <v>220</v>
      </c>
      <c r="K30" s="30">
        <v>224</v>
      </c>
      <c r="L30" s="30">
        <f>GETPIVOTDATA("Phase Net Units",'1d'!$A$1,"Tenure","Intermediate")</f>
        <v>359</v>
      </c>
      <c r="M30" s="30">
        <f>SUM(H30:L30)</f>
        <v>1172</v>
      </c>
      <c r="N30" s="31">
        <f>M30/G30</f>
        <v>1.5893680499050717</v>
      </c>
      <c r="P30" s="3"/>
      <c r="Q30" s="3"/>
    </row>
    <row r="31" spans="1:17" ht="12.75" customHeight="1" x14ac:dyDescent="0.25">
      <c r="A31" s="67" t="s">
        <v>57</v>
      </c>
      <c r="B31" s="28"/>
      <c r="C31" s="29">
        <v>552</v>
      </c>
      <c r="D31" s="29">
        <v>820</v>
      </c>
      <c r="E31" s="29">
        <f>C31/5</f>
        <v>110.4</v>
      </c>
      <c r="F31" s="29">
        <f>D31/5</f>
        <v>164</v>
      </c>
      <c r="G31" s="169">
        <f>E31*2+F31*3</f>
        <v>712.8</v>
      </c>
      <c r="H31" s="30">
        <v>133</v>
      </c>
      <c r="I31" s="30">
        <v>187</v>
      </c>
      <c r="J31" s="30">
        <v>108</v>
      </c>
      <c r="K31" s="30">
        <v>119</v>
      </c>
      <c r="L31" s="30">
        <f>GETPIVOTDATA("Phase Net Units",'1d'!$A$1,"Tenure","Social/Affordable Rent")</f>
        <v>230</v>
      </c>
      <c r="M31" s="30">
        <f>SUM(H31:L31)</f>
        <v>777</v>
      </c>
      <c r="N31" s="31">
        <f>M31/G31</f>
        <v>1.0900673400673402</v>
      </c>
      <c r="P31" s="3"/>
      <c r="Q31" s="3"/>
    </row>
    <row r="32" spans="1:17" ht="12.75" customHeight="1" x14ac:dyDescent="0.25">
      <c r="A32" s="363" t="s">
        <v>49</v>
      </c>
      <c r="B32" s="364"/>
      <c r="C32" s="32">
        <v>1470</v>
      </c>
      <c r="D32" s="32">
        <f>SUM(D30:D31)</f>
        <v>1437</v>
      </c>
      <c r="E32" s="32">
        <f>C32/5</f>
        <v>294</v>
      </c>
      <c r="F32" s="32">
        <f t="shared" ref="F32:G32" si="0">SUM(F30:F31)</f>
        <v>287.39999999999998</v>
      </c>
      <c r="G32" s="170">
        <f t="shared" si="0"/>
        <v>1450.2</v>
      </c>
      <c r="H32" s="33">
        <f>SUM(H30:H31)</f>
        <v>306</v>
      </c>
      <c r="I32" s="33">
        <f>SUM(I30:I31)</f>
        <v>383</v>
      </c>
      <c r="J32" s="33">
        <f>SUM(J30:J31)</f>
        <v>328</v>
      </c>
      <c r="K32" s="33">
        <f>SUM(K30:K31)</f>
        <v>343</v>
      </c>
      <c r="L32" s="33">
        <f>SUM(L30:L31)</f>
        <v>589</v>
      </c>
      <c r="M32" s="33">
        <f>SUM(H32:L32)</f>
        <v>1949</v>
      </c>
      <c r="N32" s="34">
        <f>M32/G32</f>
        <v>1.3439525582678251</v>
      </c>
      <c r="P32" s="3"/>
      <c r="Q32" s="3"/>
    </row>
    <row r="33" spans="1:17" ht="12.75" customHeight="1" x14ac:dyDescent="0.25">
      <c r="A33" s="72"/>
      <c r="B33" s="72"/>
      <c r="C33" s="36"/>
      <c r="D33" s="73"/>
      <c r="E33" s="73"/>
      <c r="F33" s="73"/>
      <c r="G33" s="73"/>
      <c r="H33" s="74"/>
      <c r="I33" s="74"/>
      <c r="J33" s="74"/>
      <c r="K33" s="74"/>
      <c r="L33" s="74"/>
      <c r="M33" s="3"/>
      <c r="N33" s="3"/>
      <c r="O33" s="3"/>
      <c r="P33" s="3"/>
      <c r="Q33" s="3"/>
    </row>
    <row r="34" spans="1:17" x14ac:dyDescent="0.25">
      <c r="A34" s="7" t="s">
        <v>58</v>
      </c>
      <c r="B34" s="7" t="s">
        <v>59</v>
      </c>
      <c r="C34" s="3"/>
      <c r="D34" s="3"/>
      <c r="E34" s="3"/>
      <c r="F34" s="3"/>
      <c r="G34" s="3"/>
      <c r="H34" s="3"/>
      <c r="I34" s="3"/>
      <c r="J34" s="3"/>
      <c r="K34" s="3"/>
      <c r="L34" s="3"/>
      <c r="M34" s="3"/>
      <c r="N34" s="3"/>
      <c r="O34" s="3"/>
      <c r="P34" s="3"/>
      <c r="Q34" s="3"/>
    </row>
    <row r="35" spans="1:17" ht="12.75" customHeight="1" x14ac:dyDescent="0.25">
      <c r="A35" s="295" t="s">
        <v>60</v>
      </c>
      <c r="B35" s="296"/>
      <c r="C35" s="297"/>
      <c r="D35" s="276" t="s">
        <v>61</v>
      </c>
      <c r="E35" s="277"/>
      <c r="F35" s="276" t="s">
        <v>62</v>
      </c>
      <c r="G35" s="277"/>
      <c r="H35" s="276" t="s">
        <v>49</v>
      </c>
      <c r="I35" s="277"/>
      <c r="J35" s="3"/>
      <c r="K35" s="3"/>
      <c r="L35" s="3"/>
      <c r="M35" s="3"/>
      <c r="N35" s="3"/>
      <c r="O35" s="3"/>
      <c r="P35" s="3"/>
      <c r="Q35" s="3"/>
    </row>
    <row r="36" spans="1:17" x14ac:dyDescent="0.25">
      <c r="A36" s="298"/>
      <c r="B36" s="299"/>
      <c r="C36" s="300"/>
      <c r="D36" s="47" t="s">
        <v>63</v>
      </c>
      <c r="E36" s="47" t="s">
        <v>64</v>
      </c>
      <c r="F36" s="47" t="s">
        <v>63</v>
      </c>
      <c r="G36" s="47" t="s">
        <v>64</v>
      </c>
      <c r="H36" s="47" t="s">
        <v>63</v>
      </c>
      <c r="I36" s="47" t="s">
        <v>64</v>
      </c>
      <c r="J36" s="3"/>
      <c r="K36" s="3"/>
      <c r="L36" s="3"/>
      <c r="M36" s="3"/>
      <c r="N36" s="3"/>
      <c r="O36" s="3"/>
      <c r="P36" s="3"/>
      <c r="Q36" s="3"/>
    </row>
    <row r="37" spans="1:17" ht="12.75" customHeight="1" x14ac:dyDescent="0.25">
      <c r="A37" s="327" t="s">
        <v>65</v>
      </c>
      <c r="B37" s="328"/>
      <c r="C37" s="329"/>
      <c r="D37" s="22">
        <f>GETPIVOTDATA("Sum of Phase Proposed Units",'2 NB'!$A$4,"Status","01 Completion")</f>
        <v>1933</v>
      </c>
      <c r="E37" s="22">
        <f>GETPIVOTDATA("Sum of Phase Net Units",'2 NB'!$A$4,"Status","01 Completion")</f>
        <v>1761</v>
      </c>
      <c r="F37" s="22">
        <f>GETPIVOTDATA("Sum of Phase Proposed Units",'2 CON'!$A$4,"Status","01 Completion")</f>
        <v>363</v>
      </c>
      <c r="G37" s="22">
        <f>GETPIVOTDATA("Sum of Phase Net Units",'2 CON'!$A$4,"Status","01 Completion")</f>
        <v>238</v>
      </c>
      <c r="H37" s="22">
        <f t="shared" ref="H37:I44" si="1">D37+F37</f>
        <v>2296</v>
      </c>
      <c r="I37" s="22">
        <f t="shared" si="1"/>
        <v>1999</v>
      </c>
      <c r="J37" s="3"/>
      <c r="K37" s="3"/>
      <c r="L37" s="3"/>
      <c r="M37" s="3"/>
      <c r="N37" s="3"/>
      <c r="O37" s="3"/>
      <c r="P37" s="3"/>
      <c r="Q37" s="3"/>
    </row>
    <row r="38" spans="1:17" ht="12.75" customHeight="1" x14ac:dyDescent="0.25">
      <c r="A38" s="330" t="s">
        <v>66</v>
      </c>
      <c r="B38" s="331"/>
      <c r="C38" s="332"/>
      <c r="D38" s="16">
        <f>GETPIVOTDATA("Sum of Phase Proposed Units",'2 NB'!$A$4,"Status","02 Under Construction")</f>
        <v>6227</v>
      </c>
      <c r="E38" s="16">
        <f>GETPIVOTDATA("Sum of Phase Net Units",'2 NB'!$A$4,"Status","02 Under Construction")</f>
        <v>6127</v>
      </c>
      <c r="F38" s="16">
        <f>GETPIVOTDATA("Sum of Phase Proposed Units",'2 CON'!$A$4,"Status","02 Under Construction")</f>
        <v>407</v>
      </c>
      <c r="G38" s="16">
        <f>GETPIVOTDATA("Sum of Phase Net Units",'2 CON'!$A$4,"Status","02 Under Construction")</f>
        <v>299</v>
      </c>
      <c r="H38" s="16">
        <f t="shared" si="1"/>
        <v>6634</v>
      </c>
      <c r="I38" s="16">
        <f t="shared" si="1"/>
        <v>6426</v>
      </c>
      <c r="J38" s="3"/>
      <c r="K38" s="3"/>
      <c r="L38" s="3"/>
      <c r="M38" s="3"/>
      <c r="N38" s="3"/>
      <c r="O38" s="3"/>
      <c r="P38" s="3"/>
      <c r="Q38" s="3"/>
    </row>
    <row r="39" spans="1:17" ht="12.75" customHeight="1" x14ac:dyDescent="0.25">
      <c r="A39" s="330" t="s">
        <v>67</v>
      </c>
      <c r="B39" s="331"/>
      <c r="C39" s="332"/>
      <c r="D39" s="16">
        <f>GETPIVOTDATA("Sum of Phase Proposed Units",'2 NB'!$A$4,"Status","03 Planning")</f>
        <v>9425</v>
      </c>
      <c r="E39" s="16">
        <f>GETPIVOTDATA("Sum of Phase Net Units",'2 NB'!$A$4,"Status","03 Planning")</f>
        <v>8248</v>
      </c>
      <c r="F39" s="16">
        <f>GETPIVOTDATA("Sum of Phase Proposed Units",'2 CON'!$A$4,"Status","03 Planning")</f>
        <v>818</v>
      </c>
      <c r="G39" s="16">
        <f>GETPIVOTDATA("Sum of Phase Net Units",'2 CON'!$A$4,"Status","03 Planning")</f>
        <v>597</v>
      </c>
      <c r="H39" s="16">
        <f t="shared" si="1"/>
        <v>10243</v>
      </c>
      <c r="I39" s="16">
        <f t="shared" si="1"/>
        <v>8845</v>
      </c>
      <c r="J39" s="3"/>
      <c r="K39" s="3"/>
      <c r="L39" s="3"/>
      <c r="M39" s="3"/>
      <c r="N39" s="3"/>
      <c r="O39" s="3"/>
      <c r="P39" s="3"/>
      <c r="Q39" s="3"/>
    </row>
    <row r="40" spans="1:17" ht="12.75" customHeight="1" x14ac:dyDescent="0.25">
      <c r="A40" s="330" t="s">
        <v>68</v>
      </c>
      <c r="B40" s="331"/>
      <c r="C40" s="332"/>
      <c r="D40" s="16">
        <f>GETPIVOTDATA("Sum of Phase Proposed Units",'2 NB'!$A$4,"Status","04 Subject to Legal Agreement")</f>
        <v>64</v>
      </c>
      <c r="E40" s="16">
        <f>GETPIVOTDATA("Sum of Phase Net Units",'2 NB'!$A$4,"Status","04 Subject to Legal Agreement")</f>
        <v>64</v>
      </c>
      <c r="F40" s="16">
        <f>GETPIVOTDATA("Sum of Phase Proposed Units",'2 CON'!$A$4,"Status","04 Subject to Legal Agreement")</f>
        <v>2</v>
      </c>
      <c r="G40" s="16">
        <f>GETPIVOTDATA("Sum of Phase Net Units",'2 CON'!$A$4,"Status","04 Subject to Legal Agreement")</f>
        <v>2</v>
      </c>
      <c r="H40" s="16">
        <f t="shared" si="1"/>
        <v>66</v>
      </c>
      <c r="I40" s="16">
        <f t="shared" si="1"/>
        <v>66</v>
      </c>
      <c r="J40" s="3"/>
      <c r="K40" s="3"/>
      <c r="L40" s="3"/>
      <c r="M40" s="3"/>
      <c r="N40" s="3"/>
      <c r="O40" s="3"/>
      <c r="P40" s="3"/>
      <c r="Q40" s="3"/>
    </row>
    <row r="41" spans="1:17" ht="12.75" customHeight="1" x14ac:dyDescent="0.25">
      <c r="A41" s="330" t="s">
        <v>69</v>
      </c>
      <c r="B41" s="331"/>
      <c r="C41" s="332"/>
      <c r="D41" s="16">
        <f>GETPIVOTDATA("Sum of Phase Proposed Units",'2 NB'!$A$4,"Status","06 Identified Site")</f>
        <v>5334</v>
      </c>
      <c r="E41" s="16">
        <f>GETPIVOTDATA("Sum of Phase Net Units",'2 NB'!$A$4,"Status","06 Identified Site")</f>
        <v>5334</v>
      </c>
      <c r="F41" s="16">
        <f>IFERROR(GETPIVOTDATA("Sum of Phase Proposed Units",'2 CON'!$A$4,"Status","06 Identified Site"),0)</f>
        <v>0</v>
      </c>
      <c r="G41" s="16">
        <f>IFERROR(GETPIVOTDATA("Sum of Phase Net Units",'2 CON'!$A$4,"Status","06 Identified Site"),0)</f>
        <v>0</v>
      </c>
      <c r="H41" s="16">
        <f t="shared" si="1"/>
        <v>5334</v>
      </c>
      <c r="I41" s="16">
        <f t="shared" si="1"/>
        <v>5334</v>
      </c>
      <c r="J41" s="11"/>
      <c r="K41" s="3"/>
      <c r="L41" s="3"/>
      <c r="M41" s="3"/>
      <c r="N41" s="3"/>
      <c r="O41" s="3"/>
      <c r="P41" s="3"/>
      <c r="Q41" s="3"/>
    </row>
    <row r="42" spans="1:17" ht="12.75" customHeight="1" x14ac:dyDescent="0.25">
      <c r="A42" s="330" t="s">
        <v>70</v>
      </c>
      <c r="B42" s="331"/>
      <c r="C42" s="332"/>
      <c r="D42" s="16">
        <f>GETPIVOTDATA("Sum of Phase Proposed Units",'2 NB'!$A$4,"Status","07 SHLAA Potential Site")</f>
        <v>311</v>
      </c>
      <c r="E42" s="16">
        <f>GETPIVOTDATA("Sum of Phase Net Units",'2 NB'!$A$4,"Status","07 SHLAA Potential Site")</f>
        <v>311</v>
      </c>
      <c r="F42" s="16">
        <v>0</v>
      </c>
      <c r="G42" s="16">
        <v>0</v>
      </c>
      <c r="H42" s="16">
        <f t="shared" si="1"/>
        <v>311</v>
      </c>
      <c r="I42" s="16">
        <f t="shared" si="1"/>
        <v>311</v>
      </c>
      <c r="J42" s="11"/>
      <c r="K42" s="3"/>
      <c r="L42" s="3"/>
      <c r="M42" s="3"/>
      <c r="N42" s="3"/>
      <c r="O42" s="3"/>
      <c r="P42" s="3"/>
      <c r="Q42" s="3"/>
    </row>
    <row r="43" spans="1:17" ht="12.75" customHeight="1" x14ac:dyDescent="0.25">
      <c r="A43" s="330" t="s">
        <v>71</v>
      </c>
      <c r="B43" s="331"/>
      <c r="C43" s="332"/>
      <c r="D43" s="16">
        <v>0</v>
      </c>
      <c r="E43" s="16">
        <v>0</v>
      </c>
      <c r="F43" s="16">
        <f>GETPIVOTDATA("Sum of Phase Proposed Units",'2 CON'!$A$4,"Status","08 SHLAA Small Sites")</f>
        <v>4788</v>
      </c>
      <c r="G43" s="16">
        <f>GETPIVOTDATA("Sum of Phase Net Units",'2 CON'!$A$4,"Status","08 SHLAA Small Sites")</f>
        <v>4788</v>
      </c>
      <c r="H43" s="16">
        <f t="shared" si="1"/>
        <v>4788</v>
      </c>
      <c r="I43" s="16">
        <f t="shared" si="1"/>
        <v>4788</v>
      </c>
      <c r="J43" s="11"/>
      <c r="K43" s="3"/>
      <c r="L43" s="3"/>
      <c r="M43" s="3"/>
      <c r="N43" s="3"/>
      <c r="O43" s="3"/>
      <c r="P43" s="3"/>
      <c r="Q43" s="3"/>
    </row>
    <row r="44" spans="1:17" ht="12.75" customHeight="1" x14ac:dyDescent="0.25">
      <c r="A44" s="333" t="s">
        <v>72</v>
      </c>
      <c r="B44" s="334"/>
      <c r="C44" s="335"/>
      <c r="D44" s="32">
        <f>SUM(D38:D43)</f>
        <v>21361</v>
      </c>
      <c r="E44" s="32">
        <f>SUM(E38:E43)</f>
        <v>20084</v>
      </c>
      <c r="F44" s="32">
        <f>SUM(F38:F43)</f>
        <v>6015</v>
      </c>
      <c r="G44" s="32">
        <f>SUM(G38:G43)</f>
        <v>5686</v>
      </c>
      <c r="H44" s="32">
        <f t="shared" si="1"/>
        <v>27376</v>
      </c>
      <c r="I44" s="32">
        <f t="shared" si="1"/>
        <v>25770</v>
      </c>
      <c r="J44" s="3"/>
      <c r="K44" s="3"/>
      <c r="L44" s="3"/>
      <c r="M44" s="3"/>
      <c r="N44" s="3"/>
      <c r="O44" s="3"/>
      <c r="P44" s="3"/>
      <c r="Q44" s="3"/>
    </row>
    <row r="45" spans="1:17" x14ac:dyDescent="0.25">
      <c r="A45" s="54" t="s">
        <v>73</v>
      </c>
      <c r="B45" s="4"/>
      <c r="C45" s="4"/>
      <c r="D45" s="5"/>
      <c r="E45" s="5"/>
      <c r="F45" s="5"/>
      <c r="G45" s="5"/>
      <c r="H45" s="5"/>
      <c r="I45" s="5"/>
      <c r="J45" s="3"/>
      <c r="K45" s="3"/>
      <c r="L45" s="3"/>
      <c r="M45" s="3"/>
      <c r="N45" s="3"/>
      <c r="O45" s="3"/>
      <c r="P45" s="3"/>
      <c r="Q45" s="3"/>
    </row>
    <row r="46" spans="1:17" x14ac:dyDescent="0.25">
      <c r="A46" s="53"/>
      <c r="B46" s="4"/>
      <c r="C46" s="4"/>
      <c r="D46" s="5"/>
      <c r="E46" s="5"/>
      <c r="F46" s="5"/>
      <c r="G46" s="5"/>
      <c r="H46" s="5"/>
      <c r="I46" s="5"/>
      <c r="J46" s="3"/>
      <c r="K46" s="3"/>
      <c r="L46" s="3"/>
      <c r="M46" s="3"/>
      <c r="N46" s="3"/>
      <c r="O46" s="3"/>
      <c r="P46" s="3"/>
      <c r="Q46" s="3"/>
    </row>
    <row r="47" spans="1:17" x14ac:dyDescent="0.25">
      <c r="A47" s="7" t="s">
        <v>74</v>
      </c>
      <c r="B47" s="7" t="s">
        <v>75</v>
      </c>
      <c r="C47" s="3"/>
      <c r="D47" s="3"/>
      <c r="E47" s="3"/>
      <c r="F47" s="3"/>
      <c r="G47" s="3"/>
      <c r="H47" s="3"/>
      <c r="I47" s="3"/>
      <c r="J47" s="3"/>
      <c r="K47" s="3"/>
      <c r="L47" s="3"/>
      <c r="M47" s="3"/>
      <c r="N47" s="3"/>
      <c r="O47" s="3"/>
      <c r="P47" s="3"/>
      <c r="Q47" s="3"/>
    </row>
    <row r="48" spans="1:17" ht="12.75" customHeight="1" x14ac:dyDescent="0.25">
      <c r="A48" s="286" t="s">
        <v>76</v>
      </c>
      <c r="B48" s="286"/>
      <c r="C48" s="286"/>
      <c r="D48" s="282" t="s">
        <v>77</v>
      </c>
      <c r="E48" s="283"/>
      <c r="F48" s="275" t="s">
        <v>78</v>
      </c>
      <c r="G48" s="275"/>
      <c r="H48" s="275"/>
      <c r="I48" s="275"/>
      <c r="J48" s="295" t="s">
        <v>79</v>
      </c>
      <c r="K48" s="297"/>
      <c r="L48" s="282" t="s">
        <v>80</v>
      </c>
      <c r="M48" s="283"/>
      <c r="N48" s="282" t="s">
        <v>81</v>
      </c>
      <c r="O48" s="283"/>
      <c r="P48" s="282" t="s">
        <v>49</v>
      </c>
      <c r="Q48" s="283"/>
    </row>
    <row r="49" spans="1:17" x14ac:dyDescent="0.25">
      <c r="A49" s="286"/>
      <c r="B49" s="286"/>
      <c r="C49" s="286"/>
      <c r="D49" s="284"/>
      <c r="E49" s="285"/>
      <c r="F49" s="282" t="s">
        <v>56</v>
      </c>
      <c r="G49" s="283"/>
      <c r="H49" s="295" t="s">
        <v>57</v>
      </c>
      <c r="I49" s="297"/>
      <c r="J49" s="316"/>
      <c r="K49" s="317"/>
      <c r="L49" s="284"/>
      <c r="M49" s="285"/>
      <c r="N49" s="284"/>
      <c r="O49" s="285"/>
      <c r="P49" s="284"/>
      <c r="Q49" s="285"/>
    </row>
    <row r="50" spans="1:17" x14ac:dyDescent="0.25">
      <c r="A50" s="286"/>
      <c r="B50" s="286"/>
      <c r="C50" s="286"/>
      <c r="D50" s="47" t="s">
        <v>82</v>
      </c>
      <c r="E50" s="47" t="s">
        <v>64</v>
      </c>
      <c r="F50" s="47" t="s">
        <v>82</v>
      </c>
      <c r="G50" s="47" t="s">
        <v>64</v>
      </c>
      <c r="H50" s="47" t="s">
        <v>82</v>
      </c>
      <c r="I50" s="47" t="s">
        <v>64</v>
      </c>
      <c r="J50" s="47" t="s">
        <v>82</v>
      </c>
      <c r="K50" s="47" t="s">
        <v>64</v>
      </c>
      <c r="L50" s="47" t="s">
        <v>82</v>
      </c>
      <c r="M50" s="47" t="s">
        <v>64</v>
      </c>
      <c r="N50" s="47" t="s">
        <v>82</v>
      </c>
      <c r="O50" s="47" t="s">
        <v>64</v>
      </c>
      <c r="P50" s="47" t="s">
        <v>82</v>
      </c>
      <c r="Q50" s="47" t="s">
        <v>64</v>
      </c>
    </row>
    <row r="51" spans="1:17" x14ac:dyDescent="0.25">
      <c r="A51" s="314" t="s">
        <v>65</v>
      </c>
      <c r="B51" s="314"/>
      <c r="C51" s="314"/>
      <c r="D51" s="22">
        <f>GETPIVOTDATA("Sum of Phase Proposed Units",'3'!$A$1,"Status","01 Completion","Tenure","Open Market")</f>
        <v>1602</v>
      </c>
      <c r="E51" s="22">
        <f>GETPIVOTDATA("Sum of Phase Net Units",'3'!$A$1,"Status","01 Completion","Tenure","Open Market")</f>
        <v>1410</v>
      </c>
      <c r="F51" s="22">
        <f>GETPIVOTDATA("Sum of Phase Proposed Units",'3'!$A$1,"Status","01 Completion","Tenure","Intermediate")</f>
        <v>367</v>
      </c>
      <c r="G51" s="22">
        <f>GETPIVOTDATA("Sum of Phase Net Units",'3'!$A$1,"Status","01 Completion","Tenure","Intermediate")</f>
        <v>359</v>
      </c>
      <c r="H51" s="22">
        <f>GETPIVOTDATA("Sum of Phase Proposed Units",'3'!$A$1,"Status","01 Completion","Tenure","Social/Affordable Rent")</f>
        <v>327</v>
      </c>
      <c r="I51" s="22">
        <f>GETPIVOTDATA("Sum of Phase Net Units",'3'!$A$1,"Status","01 Completion","Tenure","Social/Affordable Rent")</f>
        <v>230</v>
      </c>
      <c r="J51" s="22">
        <f>GETPIVOTDATA("Sum of Phase Proposed Units",'3'!$A$1,"Status","01 Completion","Tenure","Unknown")</f>
        <v>0</v>
      </c>
      <c r="K51" s="22">
        <f>GETPIVOTDATA("Sum of Phase Net Units",'3'!$A$1,"Status","01 Completion","Tenure","Unknown")</f>
        <v>0</v>
      </c>
      <c r="L51" s="22">
        <f t="shared" ref="L51:L57" si="2">H51+F51</f>
        <v>694</v>
      </c>
      <c r="M51" s="22">
        <f t="shared" ref="M51:M57" si="3">I51+G51</f>
        <v>589</v>
      </c>
      <c r="N51" s="136">
        <f t="shared" ref="N51:N58" si="4">L51/P51</f>
        <v>0.30226480836236935</v>
      </c>
      <c r="O51" s="136">
        <f t="shared" ref="O51:O56" si="5">M51/Q51</f>
        <v>0.29464732366183094</v>
      </c>
      <c r="P51" s="22">
        <f>D51+L51+J51</f>
        <v>2296</v>
      </c>
      <c r="Q51" s="22">
        <f>E51+M51+K51</f>
        <v>1999</v>
      </c>
    </row>
    <row r="52" spans="1:17" x14ac:dyDescent="0.25">
      <c r="A52" s="315" t="s">
        <v>66</v>
      </c>
      <c r="B52" s="315"/>
      <c r="C52" s="315"/>
      <c r="D52" s="16">
        <f>GETPIVOTDATA("Sum of Phase Proposed Units",'3'!$A$1,"Status","02 Under Construction","Tenure","Open Market")</f>
        <v>5042</v>
      </c>
      <c r="E52" s="16">
        <f>GETPIVOTDATA("Sum of Phase Net Units",'3'!$A$1,"Status","02 Under Construction","Tenure","Open Market")</f>
        <v>4926</v>
      </c>
      <c r="F52" s="16">
        <f>GETPIVOTDATA("Sum of Phase Proposed Units",'3'!$A$1,"Status","02 Under Construction","Tenure","Intermediate")</f>
        <v>786</v>
      </c>
      <c r="G52" s="16">
        <f>GETPIVOTDATA("Sum of Phase Net Units",'3'!$A$1,"Status","02 Under Construction","Tenure","Intermediate")</f>
        <v>775</v>
      </c>
      <c r="H52" s="16">
        <f>GETPIVOTDATA("Sum of Phase Proposed Units",'3'!$A$1,"Status","02 Under Construction","Tenure","Social/Affordable Rent")</f>
        <v>805</v>
      </c>
      <c r="I52" s="16">
        <f>GETPIVOTDATA("Sum of Phase Net Units",'3'!$A$1,"Status","02 Under Construction","Tenure","Social/Affordable Rent")</f>
        <v>726</v>
      </c>
      <c r="J52" s="16">
        <f>GETPIVOTDATA("Sum of Phase Proposed Units",'3'!$A$1,"Status","02 Under Construction","Tenure","Unknown")</f>
        <v>1</v>
      </c>
      <c r="K52" s="16">
        <f>GETPIVOTDATA("Sum of Phase Net Units",'3'!$A$1,"Status","02 Under Construction","Tenure","Unknown")</f>
        <v>-1</v>
      </c>
      <c r="L52" s="16">
        <f t="shared" si="2"/>
        <v>1591</v>
      </c>
      <c r="M52" s="16">
        <f t="shared" si="3"/>
        <v>1501</v>
      </c>
      <c r="N52" s="137">
        <f t="shared" si="4"/>
        <v>0.23982514320168827</v>
      </c>
      <c r="O52" s="137">
        <f t="shared" si="5"/>
        <v>0.23358232181761593</v>
      </c>
      <c r="P52" s="98">
        <f t="shared" ref="P52:P57" si="6">D52+L52+J52</f>
        <v>6634</v>
      </c>
      <c r="Q52" s="98">
        <f t="shared" ref="Q52:Q57" si="7">E52+M52+K52</f>
        <v>6426</v>
      </c>
    </row>
    <row r="53" spans="1:17" x14ac:dyDescent="0.25">
      <c r="A53" s="315" t="s">
        <v>67</v>
      </c>
      <c r="B53" s="315"/>
      <c r="C53" s="315"/>
      <c r="D53" s="98">
        <f>GETPIVOTDATA("Sum of Phase Proposed Units",'3'!$A$1,"Status","03 Planning","Tenure","Open Market")</f>
        <v>7676</v>
      </c>
      <c r="E53" s="98">
        <f>GETPIVOTDATA("Sum of Phase Net Units",'3'!$A$1,"Status","03 Planning","Tenure","Open Market")</f>
        <v>7033</v>
      </c>
      <c r="F53" s="98">
        <f>GETPIVOTDATA("Sum of Phase Proposed Units",'3'!$A$1,"Status","03 Planning","Tenure","Intermediate")</f>
        <v>1213</v>
      </c>
      <c r="G53" s="98">
        <f>GETPIVOTDATA("Sum of Phase Net Units",'3'!$A$1,"Status","03 Planning","Tenure","Intermediate")</f>
        <v>1199</v>
      </c>
      <c r="H53" s="98">
        <f>GETPIVOTDATA("Sum of Phase Proposed Units",'3'!$A$1,"Status","03 Planning","Tenure","Social/Affordable Rent")</f>
        <v>1354</v>
      </c>
      <c r="I53" s="98">
        <f>GETPIVOTDATA("Sum of Phase Net Units",'3'!$A$1,"Status","03 Planning","Tenure","Social/Affordable Rent")</f>
        <v>613</v>
      </c>
      <c r="J53" s="98">
        <f>GETPIVOTDATA("Sum of Phase Proposed Units",'3'!$A$1,"Status","03 Planning","Tenure","Unknown")</f>
        <v>0</v>
      </c>
      <c r="K53" s="98">
        <f>GETPIVOTDATA("Sum of Phase Net Units",'3'!$A$1,"Status","03 Planning","Tenure","Unknown")</f>
        <v>0</v>
      </c>
      <c r="L53" s="98">
        <f>H53+F53</f>
        <v>2567</v>
      </c>
      <c r="M53" s="98">
        <f>I53+G53</f>
        <v>1812</v>
      </c>
      <c r="N53" s="137">
        <f t="shared" si="4"/>
        <v>0.25061017280093723</v>
      </c>
      <c r="O53" s="137">
        <f t="shared" si="5"/>
        <v>0.20486150367439232</v>
      </c>
      <c r="P53" s="98">
        <f>D53+L53+J53</f>
        <v>10243</v>
      </c>
      <c r="Q53" s="98">
        <f>E53+M53+K53</f>
        <v>8845</v>
      </c>
    </row>
    <row r="54" spans="1:17" x14ac:dyDescent="0.25">
      <c r="A54" s="274" t="s">
        <v>68</v>
      </c>
      <c r="B54" s="274"/>
      <c r="C54" s="274"/>
      <c r="D54" s="16">
        <f>GETPIVOTDATA("Sum of Phase Proposed Units",'3'!$A$1,"Status","04 Subject to Legal Agreement","Tenure","Open Market")</f>
        <v>57</v>
      </c>
      <c r="E54" s="16">
        <f>GETPIVOTDATA("Sum of Phase Net Units",'3'!$A$1,"Status","04 Subject to Legal Agreement","Tenure","Open Market")</f>
        <v>57</v>
      </c>
      <c r="F54" s="16">
        <f>GETPIVOTDATA("Sum of Phase Proposed Units",'3'!$A$1,"Status","04 Subject to Legal Agreement","Tenure","Intermediate")</f>
        <v>0</v>
      </c>
      <c r="G54" s="16">
        <f>GETPIVOTDATA("Sum of Phase Net Units",'3'!$A$1,"Status","04 Subject to Legal Agreement","Tenure","Intermediate")</f>
        <v>0</v>
      </c>
      <c r="H54" s="16">
        <f>GETPIVOTDATA("Sum of Phase Proposed Units",'3'!$A$1,"Status","04 Subject to Legal Agreement","Tenure","Social/Affordable Rent")</f>
        <v>9</v>
      </c>
      <c r="I54" s="16">
        <f>GETPIVOTDATA("Sum of Phase Net Units",'3'!$A$1,"Status","04 Subject to Legal Agreement","Tenure","Social/Affordable Rent")</f>
        <v>9</v>
      </c>
      <c r="J54" s="16">
        <f>GETPIVOTDATA("Sum of Phase Proposed Units",'3'!$A$1,"Status","04 Subject to Legal Agreement","Tenure","Unknown")</f>
        <v>0</v>
      </c>
      <c r="K54" s="16">
        <f>GETPIVOTDATA("Sum of Phase Net Units",'3'!$A$1,"Status","04 Subject to Legal Agreement","Tenure","Unknown")</f>
        <v>0</v>
      </c>
      <c r="L54" s="98">
        <f t="shared" si="2"/>
        <v>9</v>
      </c>
      <c r="M54" s="98">
        <f t="shared" si="3"/>
        <v>9</v>
      </c>
      <c r="N54" s="137">
        <f t="shared" si="4"/>
        <v>0.13636363636363635</v>
      </c>
      <c r="O54" s="137">
        <f t="shared" si="5"/>
        <v>0.13636363636363635</v>
      </c>
      <c r="P54" s="98">
        <f t="shared" si="6"/>
        <v>66</v>
      </c>
      <c r="Q54" s="98">
        <f t="shared" si="7"/>
        <v>66</v>
      </c>
    </row>
    <row r="55" spans="1:17" x14ac:dyDescent="0.25">
      <c r="A55" s="287" t="s">
        <v>69</v>
      </c>
      <c r="B55" s="287"/>
      <c r="C55" s="287"/>
      <c r="D55" s="98">
        <f>GETPIVOTDATA("Sum of Phase Proposed Units",'3'!$A$1,"Status","06 Identified Site","Tenure","Open Market")</f>
        <v>3784</v>
      </c>
      <c r="E55" s="98">
        <f>GETPIVOTDATA("Sum of Phase Net Units",'3'!$A$1,"Status","06 Identified Site","Tenure","Open Market")</f>
        <v>3784</v>
      </c>
      <c r="F55" s="98">
        <f>GETPIVOTDATA("Sum of Phase Proposed Units",'3'!$A$1,"Status","06 Identified Site","Tenure","Intermediate")</f>
        <v>608</v>
      </c>
      <c r="G55" s="98">
        <f>GETPIVOTDATA("Sum of Phase Net Units",'3'!$A$1,"Status","06 Identified Site","Tenure","Intermediate")</f>
        <v>608</v>
      </c>
      <c r="H55" s="98">
        <f>GETPIVOTDATA("Sum of Phase Proposed Units",'3'!$A$1,"Status","06 Identified Site","Tenure","Social/Affordable Rent")</f>
        <v>942</v>
      </c>
      <c r="I55" s="98">
        <f>GETPIVOTDATA("Sum of Phase Net Units",'3'!$A$1,"Status","06 Identified Site","Tenure","Social/Affordable Rent")</f>
        <v>942</v>
      </c>
      <c r="J55" s="98">
        <f>GETPIVOTDATA("Sum of Phase Proposed Units",'3'!$A$1,"Status","06 Identified Site","Tenure","Unknown")</f>
        <v>0</v>
      </c>
      <c r="K55" s="98">
        <f>GETPIVOTDATA("Sum of Phase Net Units",'3'!$A$1,"Status","06 Identified Site","Tenure","Unknown")</f>
        <v>0</v>
      </c>
      <c r="L55" s="98">
        <f t="shared" si="2"/>
        <v>1550</v>
      </c>
      <c r="M55" s="98">
        <f t="shared" si="3"/>
        <v>1550</v>
      </c>
      <c r="N55" s="137">
        <f t="shared" si="4"/>
        <v>0.29058867641544806</v>
      </c>
      <c r="O55" s="137">
        <f t="shared" si="5"/>
        <v>0.29058867641544806</v>
      </c>
      <c r="P55" s="98">
        <f t="shared" si="6"/>
        <v>5334</v>
      </c>
      <c r="Q55" s="98">
        <f t="shared" si="7"/>
        <v>5334</v>
      </c>
    </row>
    <row r="56" spans="1:17" x14ac:dyDescent="0.25">
      <c r="A56" s="287" t="s">
        <v>70</v>
      </c>
      <c r="B56" s="287"/>
      <c r="C56" s="287"/>
      <c r="D56" s="98">
        <f>GETPIVOTDATA("Sum of Phase Proposed Units",'3'!$A$1,"Status","07 SHLAA Potential Site","Tenure","Open Market")</f>
        <v>208</v>
      </c>
      <c r="E56" s="98">
        <f>GETPIVOTDATA("Sum of Phase Net Units",'3'!$A$1,"Status","07 SHLAA Potential Site","Tenure","Open Market")</f>
        <v>208</v>
      </c>
      <c r="F56" s="98">
        <f>GETPIVOTDATA("Sum of Phase Proposed Units",'3'!$A$1,"Status","07 SHLAA Potential Site","Tenure","Intermediate")</f>
        <v>41</v>
      </c>
      <c r="G56" s="98">
        <f>GETPIVOTDATA("Sum of Phase Net Units",'3'!$A$1,"Status","07 SHLAA Potential Site","Tenure","Intermediate")</f>
        <v>41</v>
      </c>
      <c r="H56" s="98">
        <f>GETPIVOTDATA("Sum of Phase Proposed Units",'3'!$A$1,"Status","07 SHLAA Potential Site","Tenure","Social/Affordable Rent")</f>
        <v>62</v>
      </c>
      <c r="I56" s="98">
        <f>GETPIVOTDATA("Sum of Phase Net Units",'3'!$A$1,"Status","07 SHLAA Potential Site","Tenure","Social/Affordable Rent")</f>
        <v>62</v>
      </c>
      <c r="J56" s="98">
        <f>GETPIVOTDATA("Sum of Phase Proposed Units",'3'!$A$1,"Status","07 SHLAA Potential Site","Tenure","Unknown")</f>
        <v>0</v>
      </c>
      <c r="K56" s="98">
        <f>GETPIVOTDATA("Sum of Phase Net Units",'3'!$A$1,"Status","07 SHLAA Potential Site","Tenure","Unknown")</f>
        <v>0</v>
      </c>
      <c r="L56" s="98">
        <f t="shared" si="2"/>
        <v>103</v>
      </c>
      <c r="M56" s="98">
        <f t="shared" si="3"/>
        <v>103</v>
      </c>
      <c r="N56" s="137">
        <f t="shared" si="4"/>
        <v>0.3311897106109325</v>
      </c>
      <c r="O56" s="137">
        <f t="shared" si="5"/>
        <v>0.3311897106109325</v>
      </c>
      <c r="P56" s="98">
        <f t="shared" si="6"/>
        <v>311</v>
      </c>
      <c r="Q56" s="98">
        <f t="shared" si="7"/>
        <v>311</v>
      </c>
    </row>
    <row r="57" spans="1:17" x14ac:dyDescent="0.25">
      <c r="A57" s="287" t="s">
        <v>71</v>
      </c>
      <c r="B57" s="287"/>
      <c r="C57" s="287"/>
      <c r="D57" s="98">
        <f>GETPIVOTDATA("Sum of Phase Proposed Units",'3'!$A$1,"Status","08 SHLAA Small Sites","Tenure","Open Market")</f>
        <v>0</v>
      </c>
      <c r="E57" s="98">
        <f>GETPIVOTDATA("Sum of Phase Net Units",'3'!$A$1,"Status","08 SHLAA Small Sites","Tenure","Open Market")</f>
        <v>0</v>
      </c>
      <c r="F57" s="98">
        <f>GETPIVOTDATA("Sum of Phase Proposed Units",'3'!$A$1,"Status","08 SHLAA Small Sites","Tenure","Intermediate")</f>
        <v>0</v>
      </c>
      <c r="G57" s="98">
        <f>GETPIVOTDATA("Sum of Phase Net Units",'3'!$A$1,"Status","08 SHLAA Small Sites","Tenure","Intermediate")</f>
        <v>0</v>
      </c>
      <c r="H57" s="98">
        <f>GETPIVOTDATA("Sum of Phase Proposed Units",'3'!$A$1,"Status","08 SHLAA Small Sites","Tenure","Social/Affordable Rent")</f>
        <v>0</v>
      </c>
      <c r="I57" s="98">
        <f>GETPIVOTDATA("Sum of Phase Net Units",'3'!$A$1,"Status","08 SHLAA Small Sites","Tenure","Social/Affordable Rent")</f>
        <v>0</v>
      </c>
      <c r="J57" s="98">
        <f>GETPIVOTDATA("Sum of Phase Proposed Units",'3'!$A$1,"Status","08 SHLAA Small Sites","Tenure","Unknown")</f>
        <v>4788</v>
      </c>
      <c r="K57" s="98">
        <f>GETPIVOTDATA("Sum of Phase Net Units",'3'!$A$1,"Status","08 SHLAA Small Sites","Tenure","Unknown")</f>
        <v>4788</v>
      </c>
      <c r="L57" s="98">
        <f t="shared" si="2"/>
        <v>0</v>
      </c>
      <c r="M57" s="98">
        <f t="shared" si="3"/>
        <v>0</v>
      </c>
      <c r="N57" s="137">
        <v>0</v>
      </c>
      <c r="O57" s="137">
        <v>0</v>
      </c>
      <c r="P57" s="98">
        <f t="shared" si="6"/>
        <v>4788</v>
      </c>
      <c r="Q57" s="98">
        <f t="shared" si="7"/>
        <v>4788</v>
      </c>
    </row>
    <row r="58" spans="1:17" x14ac:dyDescent="0.25">
      <c r="A58" s="289" t="s">
        <v>72</v>
      </c>
      <c r="B58" s="289"/>
      <c r="C58" s="289"/>
      <c r="D58" s="32">
        <f>SUM(D52:D57)</f>
        <v>16767</v>
      </c>
      <c r="E58" s="32">
        <f>SUM(E52:E57)</f>
        <v>16008</v>
      </c>
      <c r="F58" s="32">
        <f t="shared" ref="F58:M58" si="8">SUM(F52:F57)</f>
        <v>2648</v>
      </c>
      <c r="G58" s="32">
        <f t="shared" si="8"/>
        <v>2623</v>
      </c>
      <c r="H58" s="32">
        <f t="shared" si="8"/>
        <v>3172</v>
      </c>
      <c r="I58" s="32">
        <f>SUM(I52:I57)</f>
        <v>2352</v>
      </c>
      <c r="J58" s="32">
        <f>SUM(J52:J57)</f>
        <v>4789</v>
      </c>
      <c r="K58" s="32">
        <f>SUM(K52:K57)</f>
        <v>4787</v>
      </c>
      <c r="L58" s="32">
        <f t="shared" si="8"/>
        <v>5820</v>
      </c>
      <c r="M58" s="32">
        <f t="shared" si="8"/>
        <v>4975</v>
      </c>
      <c r="N58" s="14">
        <f t="shared" si="4"/>
        <v>0.21259497369959088</v>
      </c>
      <c r="O58" s="14">
        <f>M58/Q58</f>
        <v>0.19305393868839738</v>
      </c>
      <c r="P58" s="32">
        <f>D58+L58+J58</f>
        <v>27376</v>
      </c>
      <c r="Q58" s="32">
        <f>E58+M58+K58</f>
        <v>25770</v>
      </c>
    </row>
    <row r="59" spans="1:17" x14ac:dyDescent="0.25">
      <c r="A59" s="54" t="s">
        <v>73</v>
      </c>
      <c r="B59" s="35"/>
      <c r="C59" s="35"/>
      <c r="D59" s="36"/>
      <c r="E59" s="36"/>
      <c r="F59" s="36"/>
      <c r="G59" s="36"/>
      <c r="H59" s="36"/>
      <c r="I59" s="36"/>
      <c r="J59" s="36"/>
      <c r="K59" s="36"/>
      <c r="L59" s="36"/>
      <c r="M59" s="36"/>
      <c r="N59" s="37"/>
      <c r="O59" s="37"/>
      <c r="P59" s="36"/>
      <c r="Q59" s="55"/>
    </row>
    <row r="60" spans="1:17" x14ac:dyDescent="0.25">
      <c r="A60" s="2"/>
      <c r="B60" s="2"/>
      <c r="C60" s="2"/>
      <c r="D60" s="2"/>
      <c r="E60" s="2"/>
      <c r="F60" s="2"/>
      <c r="G60" s="2"/>
      <c r="H60" s="2"/>
      <c r="I60" s="2"/>
      <c r="J60" s="2"/>
      <c r="K60" s="2"/>
      <c r="L60" s="2"/>
      <c r="M60" s="2"/>
      <c r="N60" s="2"/>
      <c r="O60" s="2"/>
      <c r="P60" s="2"/>
      <c r="Q60" s="2"/>
    </row>
    <row r="61" spans="1:17" x14ac:dyDescent="0.25">
      <c r="A61" s="7" t="s">
        <v>83</v>
      </c>
      <c r="B61" s="7" t="s">
        <v>84</v>
      </c>
      <c r="C61" s="3"/>
      <c r="D61" s="3"/>
      <c r="E61" s="3"/>
      <c r="F61" s="3"/>
      <c r="G61" s="3"/>
      <c r="H61" s="3"/>
      <c r="I61" s="3"/>
      <c r="J61" s="3"/>
      <c r="K61" s="3"/>
      <c r="L61" s="3"/>
      <c r="M61" s="3"/>
      <c r="N61" s="3"/>
      <c r="O61" s="3"/>
      <c r="P61" s="3"/>
      <c r="Q61" s="3"/>
    </row>
    <row r="62" spans="1:17" ht="12.75" customHeight="1" x14ac:dyDescent="0.25">
      <c r="A62" s="286" t="s">
        <v>76</v>
      </c>
      <c r="B62" s="286"/>
      <c r="C62" s="286"/>
      <c r="D62" s="282" t="s">
        <v>77</v>
      </c>
      <c r="E62" s="283"/>
      <c r="F62" s="275" t="s">
        <v>78</v>
      </c>
      <c r="G62" s="275"/>
      <c r="H62" s="275"/>
      <c r="I62" s="275"/>
      <c r="J62" s="295" t="s">
        <v>79</v>
      </c>
      <c r="K62" s="297"/>
      <c r="L62" s="282" t="s">
        <v>80</v>
      </c>
      <c r="M62" s="283"/>
      <c r="N62" s="282" t="s">
        <v>81</v>
      </c>
      <c r="O62" s="283"/>
      <c r="P62" s="282" t="s">
        <v>49</v>
      </c>
      <c r="Q62" s="283"/>
    </row>
    <row r="63" spans="1:17" x14ac:dyDescent="0.25">
      <c r="A63" s="286"/>
      <c r="B63" s="286"/>
      <c r="C63" s="286"/>
      <c r="D63" s="284"/>
      <c r="E63" s="285"/>
      <c r="F63" s="282" t="s">
        <v>56</v>
      </c>
      <c r="G63" s="283"/>
      <c r="H63" s="295" t="s">
        <v>57</v>
      </c>
      <c r="I63" s="297"/>
      <c r="J63" s="316"/>
      <c r="K63" s="317"/>
      <c r="L63" s="284"/>
      <c r="M63" s="285"/>
      <c r="N63" s="284"/>
      <c r="O63" s="285"/>
      <c r="P63" s="284"/>
      <c r="Q63" s="285"/>
    </row>
    <row r="64" spans="1:17" x14ac:dyDescent="0.25">
      <c r="A64" s="286"/>
      <c r="B64" s="286"/>
      <c r="C64" s="286"/>
      <c r="D64" s="47" t="s">
        <v>82</v>
      </c>
      <c r="E64" s="47" t="s">
        <v>64</v>
      </c>
      <c r="F64" s="47" t="s">
        <v>82</v>
      </c>
      <c r="G64" s="47" t="s">
        <v>64</v>
      </c>
      <c r="H64" s="47" t="s">
        <v>82</v>
      </c>
      <c r="I64" s="47" t="s">
        <v>64</v>
      </c>
      <c r="J64" s="47" t="s">
        <v>82</v>
      </c>
      <c r="K64" s="47" t="s">
        <v>64</v>
      </c>
      <c r="L64" s="47" t="s">
        <v>82</v>
      </c>
      <c r="M64" s="47" t="s">
        <v>64</v>
      </c>
      <c r="N64" s="47" t="s">
        <v>82</v>
      </c>
      <c r="O64" s="47" t="s">
        <v>64</v>
      </c>
      <c r="P64" s="47" t="s">
        <v>82</v>
      </c>
      <c r="Q64" s="47" t="s">
        <v>64</v>
      </c>
    </row>
    <row r="65" spans="1:17" x14ac:dyDescent="0.25">
      <c r="A65" s="314" t="s">
        <v>65</v>
      </c>
      <c r="B65" s="314"/>
      <c r="C65" s="314"/>
      <c r="D65" s="22">
        <f>GETPIVOTDATA("Sum of Phase Proposed Units",'4'!$A$4,"Status","01 Completion","Tenure","Open Market")</f>
        <v>1256</v>
      </c>
      <c r="E65" s="22">
        <f>GETPIVOTDATA("Sum of Phase Net Units",'4'!$A$4,"Status","01 Completion","Tenure","Open Market")</f>
        <v>1181</v>
      </c>
      <c r="F65" s="22">
        <f>GETPIVOTDATA("Sum of Phase Proposed Units",'4'!$A$4,"Status","01 Completion","Tenure","Intermediate")</f>
        <v>350</v>
      </c>
      <c r="G65" s="22">
        <f>GETPIVOTDATA("Sum of Phase Net Units",'4'!$A$4,"Status","01 Completion","Tenure","Intermediate")</f>
        <v>350</v>
      </c>
      <c r="H65" s="22">
        <f>GETPIVOTDATA("Sum of Phase Proposed Units",'4'!$A$4,"Status","01 Completion","Tenure","Social/Affordable Rent")</f>
        <v>327</v>
      </c>
      <c r="I65" s="22">
        <f>GETPIVOTDATA("Sum of Phase Net Units",'4'!$A$4,"Status","01 Completion","Tenure","Social/Affordable Rent")</f>
        <v>230</v>
      </c>
      <c r="J65" s="22">
        <v>0</v>
      </c>
      <c r="K65" s="22">
        <v>0</v>
      </c>
      <c r="L65" s="22">
        <f t="shared" ref="L65:L71" si="9">H65+F65</f>
        <v>677</v>
      </c>
      <c r="M65" s="22">
        <f t="shared" ref="M65:M71" si="10">I65+G65</f>
        <v>580</v>
      </c>
      <c r="N65" s="136">
        <f t="shared" ref="N65:N72" si="11">L65/P65</f>
        <v>0.35023279875840663</v>
      </c>
      <c r="O65" s="136">
        <f t="shared" ref="O65:O72" si="12">M65/Q65</f>
        <v>0.32935831913685404</v>
      </c>
      <c r="P65" s="22">
        <f t="shared" ref="P65:Q72" si="13">L65+D65</f>
        <v>1933</v>
      </c>
      <c r="Q65" s="22">
        <f t="shared" si="13"/>
        <v>1761</v>
      </c>
    </row>
    <row r="66" spans="1:17" x14ac:dyDescent="0.25">
      <c r="A66" s="315" t="s">
        <v>66</v>
      </c>
      <c r="B66" s="315"/>
      <c r="C66" s="315"/>
      <c r="D66" s="16">
        <f>GETPIVOTDATA("Sum of Phase Proposed Units",'4'!$A$4,"Status","02 Under Construction","Tenure","Open Market")</f>
        <v>4650</v>
      </c>
      <c r="E66" s="16">
        <f>GETPIVOTDATA("Sum of Phase Net Units",'4'!$A$4,"Status","02 Under Construction","Tenure","Open Market")</f>
        <v>4625</v>
      </c>
      <c r="F66" s="16">
        <f>GETPIVOTDATA("Sum of Phase Proposed Units",'4'!$A$4,"Status","02 Under Construction","Tenure","Intermediate")</f>
        <v>780</v>
      </c>
      <c r="G66" s="16">
        <f>GETPIVOTDATA("Sum of Phase Net Units",'4'!$A$4,"Status","02 Under Construction","Tenure","Intermediate")</f>
        <v>769</v>
      </c>
      <c r="H66" s="16">
        <f>GETPIVOTDATA("Sum of Phase Proposed Units",'4'!$A$4,"Status","02 Under Construction","Tenure","Social/Affordable Rent")</f>
        <v>797</v>
      </c>
      <c r="I66" s="16">
        <f>GETPIVOTDATA("Sum of Phase Net Units",'4'!$A$4,"Status","02 Under Construction","Tenure","Social/Affordable Rent")</f>
        <v>733</v>
      </c>
      <c r="J66" s="16">
        <v>0</v>
      </c>
      <c r="K66" s="16">
        <v>0</v>
      </c>
      <c r="L66" s="16">
        <f t="shared" si="9"/>
        <v>1577</v>
      </c>
      <c r="M66" s="16">
        <f t="shared" si="10"/>
        <v>1502</v>
      </c>
      <c r="N66" s="17">
        <f t="shared" si="11"/>
        <v>0.25325196723944116</v>
      </c>
      <c r="O66" s="17">
        <f t="shared" si="12"/>
        <v>0.24514444263097765</v>
      </c>
      <c r="P66" s="98">
        <f t="shared" si="13"/>
        <v>6227</v>
      </c>
      <c r="Q66" s="98">
        <f t="shared" si="13"/>
        <v>6127</v>
      </c>
    </row>
    <row r="67" spans="1:17" x14ac:dyDescent="0.25">
      <c r="A67" s="315" t="s">
        <v>67</v>
      </c>
      <c r="B67" s="315"/>
      <c r="C67" s="315"/>
      <c r="D67" s="16">
        <f>GETPIVOTDATA("Sum of Phase Proposed Units",'4'!$A$4,"Status","03 Planning","Tenure","Open Market")</f>
        <v>6861</v>
      </c>
      <c r="E67" s="16">
        <f>GETPIVOTDATA("Sum of Phase Net Units",'4'!$A$4,"Status","03 Planning","Tenure","Open Market")</f>
        <v>6439</v>
      </c>
      <c r="F67" s="16">
        <f>GETPIVOTDATA("Sum of Phase Proposed Units",'4'!$A$4,"Status","03 Planning","Tenure","Intermediate")</f>
        <v>1212</v>
      </c>
      <c r="G67" s="16">
        <f>GETPIVOTDATA("Sum of Phase Net Units",'4'!$A$4,"Status","03 Planning","Tenure","Intermediate")</f>
        <v>1198</v>
      </c>
      <c r="H67" s="16">
        <f>GETPIVOTDATA("Sum of Phase Proposed Units",'4'!$A$4,"Status","03 Planning","Tenure","Social/Affordable Rent")</f>
        <v>1352</v>
      </c>
      <c r="I67" s="16">
        <f>GETPIVOTDATA("Sum of Phase Net Units",'4'!$A$4,"Status","03 Planning","Tenure","Social/Affordable Rent")</f>
        <v>611</v>
      </c>
      <c r="J67" s="16">
        <v>0</v>
      </c>
      <c r="K67" s="16">
        <v>0</v>
      </c>
      <c r="L67" s="16">
        <f t="shared" si="9"/>
        <v>2564</v>
      </c>
      <c r="M67" s="16">
        <f t="shared" si="10"/>
        <v>1809</v>
      </c>
      <c r="N67" s="17">
        <f t="shared" si="11"/>
        <v>0.27204244031830238</v>
      </c>
      <c r="O67" s="17">
        <f t="shared" si="12"/>
        <v>0.21932589718719689</v>
      </c>
      <c r="P67" s="98">
        <f t="shared" si="13"/>
        <v>9425</v>
      </c>
      <c r="Q67" s="98">
        <f t="shared" si="13"/>
        <v>8248</v>
      </c>
    </row>
    <row r="68" spans="1:17" x14ac:dyDescent="0.25">
      <c r="A68" s="274" t="s">
        <v>68</v>
      </c>
      <c r="B68" s="274"/>
      <c r="C68" s="274"/>
      <c r="D68" s="16">
        <f>GETPIVOTDATA("Sum of Phase Proposed Units",'4'!$A$4,"Status","04 Subject to Legal Agreement","Tenure","Open Market")</f>
        <v>55</v>
      </c>
      <c r="E68" s="16">
        <f>GETPIVOTDATA("Sum of Phase Net Units",'4'!$A$4,"Status","04 Subject to Legal Agreement","Tenure","Open Market")</f>
        <v>55</v>
      </c>
      <c r="F68" s="16">
        <f>GETPIVOTDATA("Sum of Phase Proposed Units",'4'!$A$4,"Status","04 Subject to Legal Agreement","Tenure","Intermediate")</f>
        <v>0</v>
      </c>
      <c r="G68" s="16">
        <f>GETPIVOTDATA("Sum of Phase Net Units",'4'!$A$4,"Status","04 Subject to Legal Agreement","Tenure","Intermediate")</f>
        <v>0</v>
      </c>
      <c r="H68" s="16">
        <f>GETPIVOTDATA("Sum of Phase Proposed Units",'4'!$A$4,"Status","04 Subject to Legal Agreement","Tenure","Social/Affordable Rent")</f>
        <v>9</v>
      </c>
      <c r="I68" s="16">
        <f>GETPIVOTDATA("Sum of Phase Net Units",'4'!$A$4,"Status","04 Subject to Legal Agreement","Tenure","Social/Affordable Rent")</f>
        <v>9</v>
      </c>
      <c r="J68" s="16">
        <v>0</v>
      </c>
      <c r="K68" s="16">
        <v>0</v>
      </c>
      <c r="L68" s="16">
        <f t="shared" si="9"/>
        <v>9</v>
      </c>
      <c r="M68" s="16">
        <f t="shared" si="10"/>
        <v>9</v>
      </c>
      <c r="N68" s="17">
        <f t="shared" si="11"/>
        <v>0.140625</v>
      </c>
      <c r="O68" s="17">
        <f t="shared" si="12"/>
        <v>0.140625</v>
      </c>
      <c r="P68" s="98">
        <f t="shared" si="13"/>
        <v>64</v>
      </c>
      <c r="Q68" s="98">
        <f t="shared" si="13"/>
        <v>64</v>
      </c>
    </row>
    <row r="69" spans="1:17" x14ac:dyDescent="0.25">
      <c r="A69" s="291" t="s">
        <v>69</v>
      </c>
      <c r="B69" s="292"/>
      <c r="C69" s="293"/>
      <c r="D69" s="98">
        <f>GETPIVOTDATA("Sum of Phase Proposed Units",'4'!$A$4,"Status","06 Identified Site","Tenure","Open Market")</f>
        <v>3784</v>
      </c>
      <c r="E69" s="98">
        <f>GETPIVOTDATA("Sum of Phase Net Units",'4'!$A$4,"Status","06 Identified Site","Tenure","Open Market")</f>
        <v>3784</v>
      </c>
      <c r="F69" s="98">
        <f>GETPIVOTDATA("Sum of Phase Proposed Units",'4'!$A$4,"Status","06 Identified Site","Tenure","Intermediate")</f>
        <v>608</v>
      </c>
      <c r="G69" s="98">
        <f>GETPIVOTDATA("Sum of Phase Net Units",'4'!$A$4,"Status","06 Identified Site","Tenure","Intermediate")</f>
        <v>608</v>
      </c>
      <c r="H69" s="98">
        <f>GETPIVOTDATA("Sum of Phase Proposed Units",'4'!$A$4,"Status","06 Identified Site","Tenure","Social/Affordable Rent")</f>
        <v>942</v>
      </c>
      <c r="I69" s="98">
        <f>GETPIVOTDATA("Sum of Phase Net Units",'4'!$A$4,"Status","06 Identified Site","Tenure","Social/Affordable Rent")</f>
        <v>942</v>
      </c>
      <c r="J69" s="98">
        <v>0</v>
      </c>
      <c r="K69" s="98">
        <v>0</v>
      </c>
      <c r="L69" s="98">
        <f t="shared" si="9"/>
        <v>1550</v>
      </c>
      <c r="M69" s="98">
        <f t="shared" si="10"/>
        <v>1550</v>
      </c>
      <c r="N69" s="137">
        <f t="shared" si="11"/>
        <v>0.29058867641544806</v>
      </c>
      <c r="O69" s="137">
        <f t="shared" si="12"/>
        <v>0.29058867641544806</v>
      </c>
      <c r="P69" s="98">
        <f t="shared" si="13"/>
        <v>5334</v>
      </c>
      <c r="Q69" s="98">
        <f t="shared" si="13"/>
        <v>5334</v>
      </c>
    </row>
    <row r="70" spans="1:17" x14ac:dyDescent="0.25">
      <c r="A70" s="291" t="s">
        <v>70</v>
      </c>
      <c r="B70" s="292"/>
      <c r="C70" s="293"/>
      <c r="D70" s="98">
        <f>GETPIVOTDATA("Sum of Phase Proposed Units",'4'!$A$4,"Status","07 SHLAA Potential Site","Tenure","Open Market")</f>
        <v>208</v>
      </c>
      <c r="E70" s="98">
        <f>GETPIVOTDATA("Sum of Phase Net Units",'4'!$A$4,"Status","07 SHLAA Potential Site","Tenure","Open Market")</f>
        <v>208</v>
      </c>
      <c r="F70" s="98">
        <f>GETPIVOTDATA("Sum of Phase Proposed Units",'4'!$A$4,"Status","07 SHLAA Potential Site","Tenure","Intermediate")</f>
        <v>41</v>
      </c>
      <c r="G70" s="98">
        <f>GETPIVOTDATA("Sum of Phase Net Units",'4'!$A$4,"Status","07 SHLAA Potential Site","Tenure","Intermediate")</f>
        <v>41</v>
      </c>
      <c r="H70" s="98">
        <f>GETPIVOTDATA("Sum of Phase Proposed Units",'4'!$A$4,"Status","07 SHLAA Potential Site","Tenure","Social/Affordable Rent")</f>
        <v>62</v>
      </c>
      <c r="I70" s="98">
        <f>GETPIVOTDATA("Sum of Phase Net Units",'4'!$A$4,"Status","07 SHLAA Potential Site","Tenure","Social/Affordable Rent")</f>
        <v>62</v>
      </c>
      <c r="J70" s="98">
        <v>0</v>
      </c>
      <c r="K70" s="98">
        <v>0</v>
      </c>
      <c r="L70" s="98">
        <f t="shared" si="9"/>
        <v>103</v>
      </c>
      <c r="M70" s="98">
        <f t="shared" si="10"/>
        <v>103</v>
      </c>
      <c r="N70" s="137">
        <f t="shared" si="11"/>
        <v>0.3311897106109325</v>
      </c>
      <c r="O70" s="137">
        <f t="shared" si="12"/>
        <v>0.3311897106109325</v>
      </c>
      <c r="P70" s="98">
        <f t="shared" si="13"/>
        <v>311</v>
      </c>
      <c r="Q70" s="98">
        <f t="shared" si="13"/>
        <v>311</v>
      </c>
    </row>
    <row r="71" spans="1:17" x14ac:dyDescent="0.25">
      <c r="A71" s="291" t="s">
        <v>71</v>
      </c>
      <c r="B71" s="292"/>
      <c r="C71" s="293"/>
      <c r="D71" s="98">
        <v>0</v>
      </c>
      <c r="E71" s="98">
        <v>0</v>
      </c>
      <c r="F71" s="98">
        <v>0</v>
      </c>
      <c r="G71" s="98">
        <v>0</v>
      </c>
      <c r="H71" s="98">
        <v>0</v>
      </c>
      <c r="I71" s="98">
        <v>0</v>
      </c>
      <c r="J71" s="98">
        <v>0</v>
      </c>
      <c r="K71" s="98">
        <v>0</v>
      </c>
      <c r="L71" s="98">
        <f t="shared" si="9"/>
        <v>0</v>
      </c>
      <c r="M71" s="98">
        <f t="shared" si="10"/>
        <v>0</v>
      </c>
      <c r="N71" s="137">
        <v>0</v>
      </c>
      <c r="O71" s="137">
        <v>0</v>
      </c>
      <c r="P71" s="98">
        <f t="shared" si="13"/>
        <v>0</v>
      </c>
      <c r="Q71" s="98">
        <f t="shared" si="13"/>
        <v>0</v>
      </c>
    </row>
    <row r="72" spans="1:17" x14ac:dyDescent="0.25">
      <c r="A72" s="289" t="s">
        <v>72</v>
      </c>
      <c r="B72" s="289"/>
      <c r="C72" s="289"/>
      <c r="D72" s="32">
        <f t="shared" ref="D72:M72" si="14">SUM(D66:D71)</f>
        <v>15558</v>
      </c>
      <c r="E72" s="32">
        <f t="shared" si="14"/>
        <v>15111</v>
      </c>
      <c r="F72" s="32">
        <f t="shared" si="14"/>
        <v>2641</v>
      </c>
      <c r="G72" s="32">
        <f t="shared" si="14"/>
        <v>2616</v>
      </c>
      <c r="H72" s="32">
        <f t="shared" si="14"/>
        <v>3162</v>
      </c>
      <c r="I72" s="32">
        <f>SUM(I66:I71)</f>
        <v>2357</v>
      </c>
      <c r="J72" s="32">
        <f>SUM(J66:J71)</f>
        <v>0</v>
      </c>
      <c r="K72" s="32">
        <f t="shared" si="14"/>
        <v>0</v>
      </c>
      <c r="L72" s="32">
        <f t="shared" si="14"/>
        <v>5803</v>
      </c>
      <c r="M72" s="32">
        <f t="shared" si="14"/>
        <v>4973</v>
      </c>
      <c r="N72" s="14">
        <f t="shared" si="11"/>
        <v>0.27166331164271335</v>
      </c>
      <c r="O72" s="14">
        <f t="shared" si="12"/>
        <v>0.24761003784106753</v>
      </c>
      <c r="P72" s="32">
        <f t="shared" si="13"/>
        <v>21361</v>
      </c>
      <c r="Q72" s="32">
        <f t="shared" si="13"/>
        <v>20084</v>
      </c>
    </row>
    <row r="73" spans="1:17" x14ac:dyDescent="0.25">
      <c r="A73" s="54" t="s">
        <v>73</v>
      </c>
      <c r="B73" s="138"/>
      <c r="C73" s="138"/>
      <c r="D73" s="139"/>
      <c r="E73" s="139"/>
      <c r="F73" s="139"/>
      <c r="G73" s="139"/>
      <c r="H73" s="139"/>
      <c r="I73" s="139"/>
      <c r="J73" s="139"/>
      <c r="K73" s="139"/>
      <c r="L73" s="1"/>
      <c r="M73" s="1"/>
      <c r="N73" s="1"/>
      <c r="O73" s="1"/>
      <c r="P73" s="1"/>
      <c r="Q73" s="1"/>
    </row>
    <row r="74" spans="1:17" x14ac:dyDescent="0.25">
      <c r="A74" s="2"/>
      <c r="B74" s="2"/>
      <c r="C74" s="2"/>
      <c r="D74" s="2"/>
      <c r="E74" s="2"/>
      <c r="F74" s="2"/>
      <c r="G74" s="2"/>
      <c r="H74" s="2"/>
      <c r="I74" s="2"/>
      <c r="J74" s="2"/>
      <c r="K74" s="2"/>
      <c r="L74" s="2"/>
      <c r="M74" s="2"/>
      <c r="N74" s="2"/>
      <c r="O74" s="2"/>
      <c r="P74" s="2"/>
      <c r="Q74" s="2"/>
    </row>
    <row r="75" spans="1:17" x14ac:dyDescent="0.25">
      <c r="A75" s="7" t="s">
        <v>85</v>
      </c>
      <c r="B75" s="7" t="s">
        <v>86</v>
      </c>
      <c r="C75" s="3"/>
      <c r="D75" s="3"/>
      <c r="E75" s="3"/>
      <c r="F75" s="3"/>
      <c r="G75" s="3"/>
      <c r="H75" s="3"/>
      <c r="I75" s="3"/>
      <c r="J75" s="3"/>
      <c r="K75" s="2"/>
      <c r="L75" s="2"/>
      <c r="M75" s="2"/>
      <c r="N75" s="2"/>
      <c r="O75" s="2"/>
      <c r="P75" s="2"/>
      <c r="Q75" s="2"/>
    </row>
    <row r="76" spans="1:17" x14ac:dyDescent="0.25">
      <c r="A76" s="68" t="s">
        <v>87</v>
      </c>
      <c r="B76" s="44" t="s">
        <v>88</v>
      </c>
      <c r="C76" s="44" t="s">
        <v>89</v>
      </c>
      <c r="D76" s="208" t="s">
        <v>90</v>
      </c>
      <c r="E76" s="207"/>
      <c r="F76" s="9"/>
      <c r="G76" s="9"/>
      <c r="H76" s="9"/>
      <c r="I76" s="9"/>
      <c r="J76" s="9"/>
      <c r="K76" s="10"/>
      <c r="L76" s="10"/>
      <c r="M76" s="10"/>
      <c r="N76" s="10"/>
      <c r="O76" s="10"/>
      <c r="P76" s="10"/>
      <c r="Q76" s="10"/>
    </row>
    <row r="77" spans="1:17" x14ac:dyDescent="0.25">
      <c r="A77" s="69" t="s">
        <v>91</v>
      </c>
      <c r="B77" s="140">
        <v>2652</v>
      </c>
      <c r="C77" s="140">
        <v>1924</v>
      </c>
      <c r="D77" s="140">
        <v>1278</v>
      </c>
      <c r="E77" s="3"/>
      <c r="F77" s="3"/>
      <c r="G77" s="3"/>
      <c r="H77" s="3"/>
      <c r="I77" s="3"/>
      <c r="J77" s="3"/>
      <c r="K77" s="2"/>
      <c r="L77" s="2"/>
      <c r="M77" s="2"/>
      <c r="N77" s="2"/>
      <c r="O77" s="2"/>
      <c r="P77" s="2"/>
      <c r="Q77" s="2"/>
    </row>
    <row r="78" spans="1:17" x14ac:dyDescent="0.25">
      <c r="A78" s="69" t="s">
        <v>92</v>
      </c>
      <c r="B78" s="140">
        <v>2037</v>
      </c>
      <c r="C78" s="140">
        <v>1636</v>
      </c>
      <c r="D78" s="140">
        <v>1031</v>
      </c>
      <c r="E78" s="3"/>
      <c r="F78" s="3"/>
      <c r="G78" s="3"/>
      <c r="H78" s="3"/>
      <c r="I78" s="3"/>
      <c r="J78" s="3"/>
      <c r="K78" s="2"/>
      <c r="L78" s="2"/>
      <c r="M78" s="2"/>
      <c r="N78" s="2"/>
      <c r="O78" s="2"/>
      <c r="P78" s="2"/>
      <c r="Q78" s="2"/>
    </row>
    <row r="79" spans="1:17" x14ac:dyDescent="0.25">
      <c r="A79" s="69" t="s">
        <v>93</v>
      </c>
      <c r="B79" s="140">
        <v>1705</v>
      </c>
      <c r="C79" s="140">
        <v>601</v>
      </c>
      <c r="D79" s="140">
        <v>1560</v>
      </c>
      <c r="E79" s="3"/>
      <c r="F79" s="3"/>
      <c r="G79" s="3"/>
      <c r="H79" s="3"/>
      <c r="I79" s="3"/>
      <c r="J79" s="3"/>
      <c r="K79" s="2"/>
      <c r="L79" s="2"/>
      <c r="M79" s="2"/>
      <c r="N79" s="2"/>
      <c r="O79" s="2"/>
      <c r="P79" s="2"/>
      <c r="Q79" s="2"/>
    </row>
    <row r="80" spans="1:17" x14ac:dyDescent="0.25">
      <c r="A80" s="69" t="s">
        <v>94</v>
      </c>
      <c r="B80" s="140">
        <v>1270</v>
      </c>
      <c r="C80" s="140">
        <v>462</v>
      </c>
      <c r="D80" s="140">
        <v>1539</v>
      </c>
      <c r="E80" s="3"/>
      <c r="F80" s="3"/>
      <c r="G80" s="3"/>
      <c r="H80" s="3"/>
      <c r="I80" s="3"/>
      <c r="J80" s="3"/>
      <c r="K80" s="2"/>
      <c r="L80" s="2"/>
      <c r="M80" s="2"/>
      <c r="N80" s="2"/>
      <c r="O80" s="2"/>
      <c r="P80" s="2"/>
      <c r="Q80" s="2"/>
    </row>
    <row r="81" spans="1:17" x14ac:dyDescent="0.25">
      <c r="A81" s="69" t="s">
        <v>95</v>
      </c>
      <c r="B81" s="140">
        <v>2934</v>
      </c>
      <c r="C81" s="140">
        <v>1529</v>
      </c>
      <c r="D81" s="140">
        <v>481</v>
      </c>
      <c r="E81" s="3"/>
      <c r="F81" s="3"/>
      <c r="G81" s="3"/>
      <c r="H81" s="3"/>
      <c r="I81" s="3"/>
      <c r="J81" s="3"/>
      <c r="K81" s="2"/>
      <c r="L81" s="2"/>
      <c r="M81" s="2"/>
      <c r="N81" s="2"/>
      <c r="O81" s="2"/>
      <c r="P81" s="2"/>
      <c r="Q81" s="2"/>
    </row>
    <row r="82" spans="1:17" x14ac:dyDescent="0.25">
      <c r="A82" s="69" t="s">
        <v>96</v>
      </c>
      <c r="B82" s="140">
        <v>10498</v>
      </c>
      <c r="C82" s="140">
        <v>2160</v>
      </c>
      <c r="D82" s="140">
        <v>979</v>
      </c>
      <c r="E82" s="3"/>
      <c r="F82" s="3"/>
      <c r="G82" s="3"/>
      <c r="H82" s="3"/>
      <c r="I82" s="3"/>
      <c r="J82" s="3"/>
      <c r="K82" s="2"/>
      <c r="L82" s="2"/>
      <c r="M82" s="2"/>
      <c r="N82" s="2"/>
      <c r="O82" s="2"/>
      <c r="P82" s="2"/>
      <c r="Q82" s="2"/>
    </row>
    <row r="83" spans="1:17" x14ac:dyDescent="0.25">
      <c r="A83" s="69" t="s">
        <v>97</v>
      </c>
      <c r="B83" s="140">
        <v>4775</v>
      </c>
      <c r="C83" s="140">
        <v>1197</v>
      </c>
      <c r="D83" s="140">
        <v>774</v>
      </c>
      <c r="E83" s="75"/>
      <c r="F83" s="3"/>
      <c r="G83" s="3"/>
      <c r="H83" s="3"/>
      <c r="I83" s="3"/>
      <c r="J83" s="3"/>
      <c r="K83" s="2"/>
      <c r="L83" s="2"/>
      <c r="M83" s="2"/>
      <c r="N83" s="2"/>
      <c r="O83" s="2"/>
      <c r="P83" s="2"/>
      <c r="Q83" s="2"/>
    </row>
    <row r="84" spans="1:17" x14ac:dyDescent="0.25">
      <c r="A84" s="69" t="s">
        <v>98</v>
      </c>
      <c r="B84" s="15">
        <v>2006</v>
      </c>
      <c r="C84" s="15">
        <v>2392</v>
      </c>
      <c r="D84" s="15">
        <v>1197</v>
      </c>
      <c r="E84" s="2"/>
      <c r="F84" s="2"/>
      <c r="G84" s="2"/>
      <c r="H84" s="2"/>
      <c r="I84" s="2"/>
      <c r="J84" s="2"/>
      <c r="K84" s="2"/>
      <c r="L84" s="2"/>
      <c r="M84" s="2"/>
      <c r="N84" s="2"/>
      <c r="O84" s="2"/>
      <c r="P84" s="2"/>
      <c r="Q84" s="2"/>
    </row>
    <row r="85" spans="1:17" x14ac:dyDescent="0.25">
      <c r="A85" s="69" t="s">
        <v>99</v>
      </c>
      <c r="B85" s="15">
        <v>4972</v>
      </c>
      <c r="C85" s="15">
        <v>1134</v>
      </c>
      <c r="D85" s="15">
        <v>936</v>
      </c>
      <c r="E85" s="2"/>
      <c r="F85" s="2"/>
      <c r="G85" s="2"/>
      <c r="H85" s="2"/>
      <c r="I85" s="2"/>
      <c r="J85" s="2"/>
      <c r="K85" s="2"/>
      <c r="L85" s="2"/>
      <c r="M85" s="2"/>
      <c r="N85" s="2"/>
      <c r="O85" s="2"/>
      <c r="P85" s="2"/>
      <c r="Q85" s="2"/>
    </row>
    <row r="86" spans="1:17" x14ac:dyDescent="0.25">
      <c r="A86" s="69" t="s">
        <v>100</v>
      </c>
      <c r="B86" s="15">
        <v>3339</v>
      </c>
      <c r="C86" s="15">
        <v>1923</v>
      </c>
      <c r="D86" s="15">
        <v>2776</v>
      </c>
      <c r="E86" s="2"/>
      <c r="F86" s="2"/>
      <c r="G86" s="2"/>
      <c r="H86" s="2"/>
      <c r="I86" s="2"/>
      <c r="J86" s="2"/>
      <c r="K86" s="2"/>
      <c r="L86" s="2"/>
      <c r="M86" s="2"/>
      <c r="N86" s="2"/>
      <c r="O86" s="2"/>
      <c r="P86" s="2"/>
      <c r="Q86" s="2"/>
    </row>
    <row r="87" spans="1:17" x14ac:dyDescent="0.25">
      <c r="A87" s="69" t="s">
        <v>101</v>
      </c>
      <c r="B87" s="15">
        <v>3128</v>
      </c>
      <c r="C87" s="15">
        <v>3241</v>
      </c>
      <c r="D87" s="15">
        <v>2345</v>
      </c>
      <c r="E87" s="2"/>
      <c r="F87" s="2"/>
      <c r="G87" s="2"/>
      <c r="H87" s="2"/>
      <c r="I87" s="2"/>
      <c r="J87" s="2"/>
      <c r="K87" s="2"/>
      <c r="L87" s="2"/>
      <c r="M87" s="2"/>
      <c r="N87" s="2"/>
      <c r="O87" s="2"/>
      <c r="P87" s="2"/>
      <c r="Q87" s="2"/>
    </row>
    <row r="88" spans="1:17" x14ac:dyDescent="0.25">
      <c r="A88" s="69" t="s">
        <v>102</v>
      </c>
      <c r="B88" s="15">
        <v>6083</v>
      </c>
      <c r="C88" s="15">
        <v>2100</v>
      </c>
      <c r="D88" s="15">
        <v>2036</v>
      </c>
      <c r="E88" s="2"/>
      <c r="F88" s="2"/>
      <c r="G88" s="2"/>
      <c r="H88" s="2"/>
      <c r="I88" s="2"/>
      <c r="J88" s="2"/>
      <c r="K88" s="2"/>
      <c r="L88" s="2"/>
      <c r="M88" s="2"/>
      <c r="N88" s="2"/>
      <c r="O88" s="2"/>
      <c r="P88" s="2"/>
      <c r="Q88" s="2"/>
    </row>
    <row r="89" spans="1:17" x14ac:dyDescent="0.25">
      <c r="A89" s="69" t="s">
        <v>53</v>
      </c>
      <c r="B89" s="15">
        <v>5991</v>
      </c>
      <c r="C89" s="15">
        <v>1858</v>
      </c>
      <c r="D89" s="15">
        <v>1851</v>
      </c>
      <c r="E89" s="2"/>
      <c r="F89" s="2"/>
      <c r="G89" s="2"/>
      <c r="H89" s="2"/>
      <c r="I89" s="2"/>
      <c r="J89" s="2"/>
      <c r="K89" s="2"/>
      <c r="L89" s="2"/>
      <c r="M89" s="2"/>
      <c r="N89" s="2"/>
      <c r="O89" s="2"/>
      <c r="P89" s="2"/>
      <c r="Q89" s="2"/>
    </row>
    <row r="90" spans="1:17" x14ac:dyDescent="0.25">
      <c r="A90" s="69" t="s">
        <v>54</v>
      </c>
      <c r="B90" s="15">
        <v>3130</v>
      </c>
      <c r="C90" s="15">
        <v>3888</v>
      </c>
      <c r="D90" s="15">
        <v>1330</v>
      </c>
      <c r="E90" s="2"/>
      <c r="F90" s="2"/>
      <c r="G90" s="2"/>
      <c r="H90" s="2"/>
      <c r="I90" s="2"/>
      <c r="J90" s="2"/>
      <c r="K90" s="2"/>
      <c r="L90" s="2"/>
      <c r="M90" s="2"/>
      <c r="N90" s="2"/>
      <c r="O90" s="2"/>
      <c r="P90" s="2"/>
      <c r="Q90" s="2"/>
    </row>
    <row r="91" spans="1:17" x14ac:dyDescent="0.25">
      <c r="A91" s="69" t="s">
        <v>55</v>
      </c>
      <c r="B91" s="15">
        <v>4909</v>
      </c>
      <c r="C91" s="15">
        <v>1241</v>
      </c>
      <c r="D91" s="15">
        <v>1399</v>
      </c>
      <c r="E91" s="2"/>
      <c r="F91" s="2"/>
      <c r="G91" s="2"/>
      <c r="H91" s="2"/>
      <c r="I91" s="2"/>
      <c r="J91" s="2"/>
      <c r="K91" s="2"/>
      <c r="L91" s="2"/>
      <c r="M91" s="2"/>
      <c r="N91" s="2"/>
      <c r="O91" s="2"/>
      <c r="P91" s="2"/>
      <c r="Q91" s="2"/>
    </row>
    <row r="92" spans="1:17" x14ac:dyDescent="0.25">
      <c r="A92" s="69" t="s">
        <v>10</v>
      </c>
      <c r="B92" s="15">
        <v>5122</v>
      </c>
      <c r="C92" s="15">
        <v>1332</v>
      </c>
      <c r="D92" s="15">
        <v>1959</v>
      </c>
      <c r="E92" s="2"/>
      <c r="F92" s="2"/>
      <c r="G92" s="2"/>
      <c r="H92" s="2"/>
      <c r="I92" s="2"/>
      <c r="J92" s="2"/>
      <c r="K92" s="2"/>
      <c r="L92" s="2"/>
      <c r="M92" s="2"/>
      <c r="N92" s="2"/>
      <c r="O92" s="2"/>
      <c r="P92" s="2"/>
      <c r="Q92" s="2"/>
    </row>
    <row r="93" spans="1:17" x14ac:dyDescent="0.25">
      <c r="A93" s="110" t="s">
        <v>11</v>
      </c>
      <c r="B93" s="111">
        <f>GETPIVOTDATA("Phase Net Units",'5 Perm'!$A$3)</f>
        <v>2570</v>
      </c>
      <c r="C93" s="111">
        <f>GETPIVOTDATA("Phase Net Units",'5 Star'!$A$3)</f>
        <v>1926</v>
      </c>
      <c r="D93" s="111">
        <f>GETPIVOTDATA("Phase Net Units",'1a Conv'!$A$1,"Status","01 Completion")</f>
        <v>1999</v>
      </c>
      <c r="E93" s="2"/>
      <c r="F93" s="2"/>
      <c r="G93" s="2"/>
      <c r="H93" s="2"/>
      <c r="I93" s="2"/>
      <c r="J93" s="2"/>
      <c r="K93" s="2"/>
      <c r="L93" s="2"/>
      <c r="M93" s="2"/>
      <c r="N93" s="2"/>
      <c r="O93" s="2"/>
      <c r="P93" s="2"/>
      <c r="Q93" s="2"/>
    </row>
    <row r="94" spans="1:17" x14ac:dyDescent="0.25">
      <c r="A94" s="56"/>
      <c r="B94" s="2"/>
      <c r="C94" s="2"/>
      <c r="D94" s="2"/>
      <c r="E94" s="2"/>
      <c r="F94" s="2"/>
      <c r="G94" s="2"/>
      <c r="H94" s="2"/>
      <c r="I94" s="2"/>
      <c r="J94" s="2"/>
      <c r="K94" s="2"/>
      <c r="L94" s="2"/>
      <c r="M94" s="2"/>
      <c r="N94" s="2"/>
      <c r="O94" s="2"/>
      <c r="P94" s="2"/>
      <c r="Q94" s="2"/>
    </row>
    <row r="95" spans="1:17" x14ac:dyDescent="0.25">
      <c r="A95" s="7" t="s">
        <v>103</v>
      </c>
      <c r="B95" s="7" t="s">
        <v>104</v>
      </c>
      <c r="C95" s="3"/>
      <c r="D95" s="3"/>
      <c r="E95" s="3"/>
      <c r="F95" s="3"/>
      <c r="G95" s="3"/>
      <c r="H95" s="3"/>
      <c r="I95" s="2"/>
      <c r="J95" s="2"/>
      <c r="K95" s="2"/>
      <c r="L95" s="2"/>
      <c r="M95" s="2"/>
      <c r="N95" s="2"/>
      <c r="O95" s="2"/>
      <c r="P95" s="2"/>
      <c r="Q95" s="2"/>
    </row>
    <row r="96" spans="1:17" x14ac:dyDescent="0.25">
      <c r="A96" s="288" t="s">
        <v>105</v>
      </c>
      <c r="B96" s="288"/>
      <c r="C96" s="44" t="s">
        <v>106</v>
      </c>
      <c r="D96" s="44" t="s">
        <v>107</v>
      </c>
      <c r="E96" s="44" t="s">
        <v>108</v>
      </c>
      <c r="F96" s="3"/>
      <c r="G96" s="3"/>
      <c r="H96" s="3"/>
      <c r="I96" s="2"/>
      <c r="J96" s="2"/>
      <c r="K96" s="2"/>
      <c r="L96" s="2"/>
      <c r="M96" s="2"/>
      <c r="N96" s="2"/>
      <c r="O96" s="2"/>
      <c r="P96" s="2"/>
      <c r="Q96" s="2"/>
    </row>
    <row r="97" spans="1:17" x14ac:dyDescent="0.25">
      <c r="A97" s="287" t="s">
        <v>61</v>
      </c>
      <c r="B97" s="287"/>
      <c r="C97" s="141">
        <f>GETPIVOTDATA("Phase Net Units",'6 PeNB'!$A$5)</f>
        <v>2343</v>
      </c>
      <c r="D97" s="98">
        <f>GETPIVOTDATA("Phase Net Units",'6 StNB'!$A$5)</f>
        <v>1653</v>
      </c>
      <c r="E97" s="16">
        <f>GETPIVOTDATA("Sum of Phase Net Units",'2 NB'!$A$4,"Status","01 Completion")</f>
        <v>1761</v>
      </c>
      <c r="F97" s="3"/>
      <c r="G97" s="3"/>
      <c r="H97" s="3"/>
      <c r="I97" s="3"/>
      <c r="J97" s="3"/>
      <c r="K97" s="3"/>
      <c r="L97" s="3"/>
      <c r="M97" s="3"/>
      <c r="N97" s="3"/>
      <c r="O97" s="3"/>
      <c r="P97" s="2"/>
      <c r="Q97" s="2"/>
    </row>
    <row r="98" spans="1:17" x14ac:dyDescent="0.25">
      <c r="A98" s="287" t="s">
        <v>62</v>
      </c>
      <c r="B98" s="287"/>
      <c r="C98" s="98">
        <f>GETPIVOTDATA("Phase Net Units",'6 PeCO'!$A$5)</f>
        <v>227</v>
      </c>
      <c r="D98" s="98">
        <f>GETPIVOTDATA("Phase Net Units",'6 StCO'!$A$5)</f>
        <v>273</v>
      </c>
      <c r="E98" s="16">
        <f>GETPIVOTDATA("Sum of Phase Net Units",'2 CON'!$A$4,"Status","01 Completion")</f>
        <v>238</v>
      </c>
      <c r="F98" s="3"/>
      <c r="G98" s="3"/>
      <c r="H98" s="3"/>
      <c r="I98" s="3"/>
      <c r="J98" s="3"/>
      <c r="K98" s="3"/>
      <c r="L98" s="3"/>
      <c r="M98" s="3"/>
      <c r="N98" s="3"/>
      <c r="O98" s="3"/>
      <c r="P98" s="2"/>
      <c r="Q98" s="2"/>
    </row>
    <row r="99" spans="1:17" x14ac:dyDescent="0.25">
      <c r="A99" s="290" t="s">
        <v>49</v>
      </c>
      <c r="B99" s="290"/>
      <c r="C99" s="21">
        <f>SUM(C97:C98)</f>
        <v>2570</v>
      </c>
      <c r="D99" s="21">
        <f>SUM(D97:D98)</f>
        <v>1926</v>
      </c>
      <c r="E99" s="21">
        <f>SUM(E97:E98)</f>
        <v>1999</v>
      </c>
      <c r="F99" s="3"/>
      <c r="G99" s="3"/>
      <c r="H99" s="3"/>
      <c r="I99" s="3"/>
      <c r="J99" s="3"/>
      <c r="K99" s="3"/>
      <c r="L99" s="3"/>
      <c r="M99" s="3"/>
      <c r="N99" s="3"/>
      <c r="O99" s="3"/>
      <c r="P99" s="2"/>
      <c r="Q99" s="2"/>
    </row>
    <row r="100" spans="1:17" x14ac:dyDescent="0.25">
      <c r="A100" s="3"/>
      <c r="B100" s="3"/>
      <c r="C100" s="3"/>
      <c r="D100" s="3"/>
      <c r="E100" s="3"/>
      <c r="F100" s="3"/>
      <c r="G100" s="3"/>
      <c r="H100" s="3"/>
      <c r="I100" s="3"/>
      <c r="J100" s="3"/>
      <c r="K100" s="3"/>
      <c r="L100" s="3"/>
      <c r="M100" s="3"/>
      <c r="N100" s="3"/>
      <c r="O100" s="3"/>
      <c r="P100" s="2"/>
      <c r="Q100" s="2"/>
    </row>
    <row r="101" spans="1:17" x14ac:dyDescent="0.25">
      <c r="A101" s="7" t="s">
        <v>109</v>
      </c>
      <c r="B101" s="7" t="s">
        <v>110</v>
      </c>
      <c r="C101" s="2"/>
      <c r="D101" s="2"/>
      <c r="E101" s="2"/>
      <c r="F101" s="2"/>
      <c r="G101" s="2"/>
      <c r="H101" s="2"/>
      <c r="I101" s="2"/>
      <c r="J101" s="3"/>
      <c r="K101" s="3"/>
      <c r="L101" s="3"/>
      <c r="M101" s="3"/>
      <c r="N101" s="3"/>
      <c r="O101" s="3"/>
      <c r="P101" s="2"/>
      <c r="Q101" s="2"/>
    </row>
    <row r="102" spans="1:17" x14ac:dyDescent="0.25">
      <c r="A102" s="266" t="s">
        <v>76</v>
      </c>
      <c r="B102" s="266"/>
      <c r="C102" s="266"/>
      <c r="D102" s="45" t="s">
        <v>106</v>
      </c>
      <c r="E102" s="45" t="s">
        <v>107</v>
      </c>
      <c r="F102" s="45" t="s">
        <v>108</v>
      </c>
      <c r="G102" s="2"/>
      <c r="H102" s="3"/>
      <c r="I102" s="3"/>
      <c r="J102" s="3"/>
      <c r="K102" s="3"/>
      <c r="L102" s="3"/>
      <c r="M102" s="3"/>
      <c r="N102" s="3"/>
      <c r="O102" s="3"/>
      <c r="P102" s="2"/>
      <c r="Q102" s="2"/>
    </row>
    <row r="103" spans="1:17" x14ac:dyDescent="0.25">
      <c r="A103" s="267" t="s">
        <v>77</v>
      </c>
      <c r="B103" s="267"/>
      <c r="C103" s="267"/>
      <c r="D103" s="98">
        <f>GETPIVOTDATA("Phase Net Units",'7 Perm'!$A$3,"Tenure","Open Market")</f>
        <v>2103</v>
      </c>
      <c r="E103" s="98">
        <f>GETPIVOTDATA("Phase Net Units",'7 Star'!$A$3,"Tenure","Open Market")</f>
        <v>1547</v>
      </c>
      <c r="F103" s="98">
        <f>GETPIVOTDATA("Sum of Phase Net Units",'3'!$A$1,"Status","01 Completion","Tenure","Open Market")</f>
        <v>1410</v>
      </c>
      <c r="G103" s="2"/>
      <c r="H103" s="3"/>
      <c r="I103" s="3"/>
      <c r="J103" s="3"/>
      <c r="K103" s="3"/>
      <c r="L103" s="3"/>
      <c r="M103" s="3"/>
      <c r="N103" s="3"/>
      <c r="O103" s="3"/>
      <c r="P103" s="2"/>
      <c r="Q103" s="2"/>
    </row>
    <row r="104" spans="1:17" x14ac:dyDescent="0.25">
      <c r="A104" s="267" t="s">
        <v>78</v>
      </c>
      <c r="B104" s="267" t="s">
        <v>56</v>
      </c>
      <c r="C104" s="267"/>
      <c r="D104" s="98">
        <f>GETPIVOTDATA("Phase Net Units",'7 Perm'!$A$3,"Tenure","Intermediate")</f>
        <v>262</v>
      </c>
      <c r="E104" s="98">
        <f>GETPIVOTDATA("Phase Net Units",'7 Star'!$A$3,"Tenure","Intermediate")</f>
        <v>154</v>
      </c>
      <c r="F104" s="98">
        <f>GETPIVOTDATA("Sum of Phase Net Units",'3'!$A$1,"Status","01 Completion","Tenure","Intermediate")</f>
        <v>359</v>
      </c>
      <c r="G104" s="2"/>
      <c r="H104" s="3"/>
      <c r="I104" s="3"/>
      <c r="J104" s="3"/>
      <c r="K104" s="3"/>
      <c r="L104" s="3"/>
      <c r="M104" s="3"/>
      <c r="N104" s="3"/>
      <c r="O104" s="3"/>
      <c r="P104" s="2"/>
      <c r="Q104" s="2"/>
    </row>
    <row r="105" spans="1:17" x14ac:dyDescent="0.25">
      <c r="A105" s="267"/>
      <c r="B105" s="267" t="s">
        <v>57</v>
      </c>
      <c r="C105" s="267"/>
      <c r="D105" s="98">
        <f>GETPIVOTDATA("Phase Net Units",'7 Perm'!$A$3,"Tenure","Social/Affordable Rent")</f>
        <v>205</v>
      </c>
      <c r="E105" s="98">
        <f>GETPIVOTDATA("Phase Net Units",'7 Star'!$A$3,"Tenure","Social/Affordable Rent")</f>
        <v>226</v>
      </c>
      <c r="F105" s="98">
        <f>GETPIVOTDATA("Sum of Phase Net Units",'3'!$A$1,"Status","01 Completion","Tenure","Social/Affordable Rent")</f>
        <v>230</v>
      </c>
      <c r="G105" s="2"/>
      <c r="H105" s="3"/>
      <c r="I105" s="3"/>
      <c r="J105" s="3"/>
      <c r="K105" s="3"/>
      <c r="L105" s="3"/>
      <c r="M105" s="3"/>
      <c r="N105" s="3"/>
      <c r="O105" s="3"/>
      <c r="P105" s="2"/>
      <c r="Q105" s="2"/>
    </row>
    <row r="106" spans="1:17" x14ac:dyDescent="0.25">
      <c r="A106" s="267"/>
      <c r="B106" s="267" t="s">
        <v>49</v>
      </c>
      <c r="C106" s="267"/>
      <c r="D106" s="98">
        <f>D104+D105</f>
        <v>467</v>
      </c>
      <c r="E106" s="98">
        <f t="shared" ref="E106:F106" si="15">E104+E105</f>
        <v>380</v>
      </c>
      <c r="F106" s="98">
        <f t="shared" si="15"/>
        <v>589</v>
      </c>
      <c r="G106" s="2"/>
      <c r="H106" s="3"/>
      <c r="I106" s="3"/>
      <c r="J106" s="3"/>
      <c r="K106" s="3"/>
      <c r="L106" s="3"/>
      <c r="M106" s="3"/>
      <c r="N106" s="3"/>
      <c r="O106" s="3"/>
      <c r="P106" s="2"/>
      <c r="Q106" s="2"/>
    </row>
    <row r="107" spans="1:17" x14ac:dyDescent="0.25">
      <c r="A107" s="268" t="s">
        <v>79</v>
      </c>
      <c r="B107" s="269"/>
      <c r="C107" s="270"/>
      <c r="D107" s="98">
        <v>0</v>
      </c>
      <c r="E107" s="98">
        <v>-1</v>
      </c>
      <c r="F107" s="98">
        <v>0</v>
      </c>
      <c r="G107" s="2"/>
      <c r="H107" s="3"/>
      <c r="I107" s="3"/>
      <c r="J107" s="3"/>
      <c r="K107" s="3"/>
      <c r="L107" s="3"/>
      <c r="M107" s="3"/>
      <c r="N107" s="3"/>
      <c r="O107" s="3"/>
      <c r="P107" s="2"/>
      <c r="Q107" s="2"/>
    </row>
    <row r="108" spans="1:17" x14ac:dyDescent="0.25">
      <c r="A108" s="273" t="s">
        <v>49</v>
      </c>
      <c r="B108" s="273"/>
      <c r="C108" s="273"/>
      <c r="D108" s="21">
        <f>SUM(D103,D106,D107)</f>
        <v>2570</v>
      </c>
      <c r="E108" s="21">
        <f>SUM(E103,E106,E107)</f>
        <v>1926</v>
      </c>
      <c r="F108" s="21">
        <f t="shared" ref="F108" si="16">SUM(F103,F106)</f>
        <v>1999</v>
      </c>
      <c r="G108" s="2"/>
      <c r="H108" s="3"/>
      <c r="I108" s="3"/>
      <c r="J108" s="3"/>
      <c r="K108" s="3"/>
      <c r="L108" s="3"/>
      <c r="M108" s="3"/>
      <c r="N108" s="3"/>
      <c r="O108" s="3"/>
      <c r="P108" s="2"/>
      <c r="Q108" s="2"/>
    </row>
    <row r="109" spans="1:17" x14ac:dyDescent="0.25">
      <c r="A109" s="3"/>
      <c r="B109" s="3"/>
      <c r="C109" s="3"/>
      <c r="D109" s="3"/>
      <c r="E109" s="3"/>
      <c r="F109" s="3"/>
      <c r="G109" s="3"/>
      <c r="H109" s="3"/>
      <c r="I109" s="3"/>
      <c r="J109" s="3"/>
      <c r="K109" s="3"/>
      <c r="L109" s="3"/>
      <c r="M109" s="3"/>
      <c r="N109" s="3"/>
      <c r="O109" s="3"/>
      <c r="P109" s="2"/>
      <c r="Q109" s="2"/>
    </row>
    <row r="110" spans="1:17" s="46" customFormat="1" ht="17.399999999999999" x14ac:dyDescent="0.3">
      <c r="A110" s="103" t="s">
        <v>108</v>
      </c>
      <c r="B110" s="104"/>
      <c r="C110" s="104"/>
      <c r="D110" s="104"/>
      <c r="E110" s="104"/>
      <c r="F110" s="104"/>
      <c r="G110" s="104"/>
      <c r="H110" s="104"/>
      <c r="I110" s="104"/>
      <c r="J110" s="104"/>
      <c r="K110" s="104"/>
      <c r="L110" s="104"/>
      <c r="M110" s="104"/>
      <c r="N110" s="104"/>
      <c r="O110" s="104"/>
      <c r="P110" s="104"/>
      <c r="Q110" s="104"/>
    </row>
    <row r="111" spans="1:17" x14ac:dyDescent="0.25">
      <c r="A111" s="2"/>
      <c r="B111" s="2"/>
      <c r="C111" s="2"/>
      <c r="D111" s="2"/>
      <c r="E111" s="2"/>
      <c r="F111" s="2"/>
      <c r="G111" s="2"/>
      <c r="H111" s="2"/>
      <c r="I111" s="2"/>
      <c r="J111" s="2"/>
      <c r="K111" s="2"/>
      <c r="L111" s="2"/>
      <c r="M111" s="2"/>
      <c r="N111" s="2"/>
      <c r="O111" s="2"/>
      <c r="P111" s="2"/>
      <c r="Q111" s="2"/>
    </row>
    <row r="112" spans="1:17" x14ac:dyDescent="0.25">
      <c r="A112" s="105" t="s">
        <v>111</v>
      </c>
      <c r="B112" s="2"/>
      <c r="C112" s="2"/>
      <c r="D112" s="2"/>
      <c r="E112" s="2"/>
      <c r="F112" s="2"/>
      <c r="G112" s="2"/>
      <c r="H112" s="2"/>
      <c r="I112" s="2"/>
      <c r="J112" s="2"/>
      <c r="K112" s="2"/>
      <c r="L112" s="2"/>
      <c r="M112" s="2"/>
      <c r="N112" s="2"/>
      <c r="O112" s="2"/>
      <c r="P112" s="2"/>
      <c r="Q112" s="2"/>
    </row>
    <row r="113" spans="1:17" x14ac:dyDescent="0.25">
      <c r="A113" s="7" t="s">
        <v>112</v>
      </c>
      <c r="B113" s="7" t="s">
        <v>113</v>
      </c>
      <c r="C113" s="3"/>
      <c r="D113" s="3"/>
      <c r="E113" s="3"/>
      <c r="F113" s="3"/>
      <c r="G113" s="3"/>
      <c r="H113" s="3"/>
      <c r="I113" s="3"/>
      <c r="J113" s="3"/>
      <c r="K113" s="3"/>
      <c r="L113" s="3"/>
      <c r="M113" s="3"/>
      <c r="N113" s="3"/>
      <c r="O113" s="3"/>
      <c r="P113" s="2"/>
      <c r="Q113" s="2"/>
    </row>
    <row r="114" spans="1:17" x14ac:dyDescent="0.25">
      <c r="A114" s="281" t="s">
        <v>87</v>
      </c>
      <c r="B114" s="275" t="s">
        <v>114</v>
      </c>
      <c r="C114" s="275"/>
      <c r="D114" s="365" t="s">
        <v>115</v>
      </c>
      <c r="E114" s="365"/>
      <c r="F114" s="365" t="s">
        <v>116</v>
      </c>
      <c r="G114" s="365"/>
      <c r="H114" s="275" t="s">
        <v>80</v>
      </c>
      <c r="I114" s="275"/>
      <c r="J114" s="47" t="s">
        <v>49</v>
      </c>
      <c r="K114" s="3"/>
      <c r="L114" s="3"/>
      <c r="M114" s="3"/>
      <c r="N114" s="3"/>
      <c r="O114" s="3"/>
      <c r="P114" s="2"/>
      <c r="Q114" s="2"/>
    </row>
    <row r="115" spans="1:17" x14ac:dyDescent="0.25">
      <c r="A115" s="281"/>
      <c r="B115" s="47" t="s">
        <v>117</v>
      </c>
      <c r="C115" s="47" t="s">
        <v>118</v>
      </c>
      <c r="D115" s="47" t="s">
        <v>117</v>
      </c>
      <c r="E115" s="47" t="s">
        <v>118</v>
      </c>
      <c r="F115" s="47" t="s">
        <v>117</v>
      </c>
      <c r="G115" s="47" t="s">
        <v>118</v>
      </c>
      <c r="H115" s="47" t="s">
        <v>117</v>
      </c>
      <c r="I115" s="47" t="s">
        <v>118</v>
      </c>
      <c r="J115" s="47" t="s">
        <v>117</v>
      </c>
      <c r="K115" s="3"/>
      <c r="L115" s="3"/>
      <c r="M115" s="3"/>
      <c r="N115" s="3"/>
      <c r="O115" s="3"/>
      <c r="P115" s="2"/>
      <c r="Q115" s="2"/>
    </row>
    <row r="116" spans="1:17" x14ac:dyDescent="0.25">
      <c r="A116" s="69" t="s">
        <v>91</v>
      </c>
      <c r="B116" s="98">
        <v>1039</v>
      </c>
      <c r="C116" s="137">
        <v>0.81298904538341155</v>
      </c>
      <c r="D116" s="98">
        <v>206</v>
      </c>
      <c r="E116" s="137">
        <v>0.16118935837245696</v>
      </c>
      <c r="F116" s="98">
        <v>33</v>
      </c>
      <c r="G116" s="137">
        <v>2.5821596244131457E-2</v>
      </c>
      <c r="H116" s="98">
        <v>239</v>
      </c>
      <c r="I116" s="137">
        <v>0.18701095461658843</v>
      </c>
      <c r="J116" s="98">
        <v>1278</v>
      </c>
      <c r="K116" s="3"/>
      <c r="L116" s="3"/>
      <c r="M116" s="3"/>
      <c r="N116" s="3"/>
      <c r="O116" s="3"/>
      <c r="P116" s="2"/>
      <c r="Q116" s="2"/>
    </row>
    <row r="117" spans="1:17" x14ac:dyDescent="0.25">
      <c r="A117" s="69" t="s">
        <v>92</v>
      </c>
      <c r="B117" s="98">
        <v>728</v>
      </c>
      <c r="C117" s="137">
        <v>0.70611057225994178</v>
      </c>
      <c r="D117" s="98">
        <v>281</v>
      </c>
      <c r="E117" s="137">
        <v>0.27255092143549953</v>
      </c>
      <c r="F117" s="98">
        <v>22</v>
      </c>
      <c r="G117" s="137">
        <v>2.133850630455868E-2</v>
      </c>
      <c r="H117" s="98">
        <v>303</v>
      </c>
      <c r="I117" s="137">
        <v>0.29388942774005822</v>
      </c>
      <c r="J117" s="98">
        <v>1031</v>
      </c>
      <c r="K117" s="3"/>
      <c r="L117" s="3"/>
      <c r="M117" s="3"/>
      <c r="N117" s="3"/>
      <c r="O117" s="3"/>
      <c r="P117" s="2"/>
      <c r="Q117" s="2"/>
    </row>
    <row r="118" spans="1:17" x14ac:dyDescent="0.25">
      <c r="A118" s="69" t="s">
        <v>93</v>
      </c>
      <c r="B118" s="98">
        <v>1079</v>
      </c>
      <c r="C118" s="137">
        <v>0.69166666666666665</v>
      </c>
      <c r="D118" s="98">
        <v>393</v>
      </c>
      <c r="E118" s="137">
        <v>0.25192307692307692</v>
      </c>
      <c r="F118" s="98">
        <v>88</v>
      </c>
      <c r="G118" s="137">
        <v>5.6410256410256411E-2</v>
      </c>
      <c r="H118" s="98">
        <v>481</v>
      </c>
      <c r="I118" s="137">
        <v>0.30833333333333335</v>
      </c>
      <c r="J118" s="98">
        <v>1560</v>
      </c>
      <c r="K118" s="3"/>
      <c r="L118" s="3"/>
      <c r="M118" s="3"/>
      <c r="N118" s="3"/>
      <c r="O118" s="3"/>
      <c r="P118" s="2"/>
      <c r="Q118" s="2"/>
    </row>
    <row r="119" spans="1:17" x14ac:dyDescent="0.25">
      <c r="A119" s="69" t="s">
        <v>94</v>
      </c>
      <c r="B119" s="98">
        <v>1061</v>
      </c>
      <c r="C119" s="137">
        <v>0.68940870695256662</v>
      </c>
      <c r="D119" s="98">
        <v>453</v>
      </c>
      <c r="E119" s="137">
        <v>0.29434697855750486</v>
      </c>
      <c r="F119" s="98">
        <v>25</v>
      </c>
      <c r="G119" s="137">
        <v>1.62443144899285E-2</v>
      </c>
      <c r="H119" s="98">
        <v>478</v>
      </c>
      <c r="I119" s="137">
        <v>0.31059129304743338</v>
      </c>
      <c r="J119" s="98">
        <v>1539</v>
      </c>
      <c r="K119" s="3"/>
      <c r="L119" s="3"/>
      <c r="M119" s="3"/>
      <c r="N119" s="3"/>
      <c r="O119" s="3"/>
      <c r="P119" s="2"/>
      <c r="Q119" s="2"/>
    </row>
    <row r="120" spans="1:17" x14ac:dyDescent="0.25">
      <c r="A120" s="69" t="s">
        <v>95</v>
      </c>
      <c r="B120" s="98">
        <v>371</v>
      </c>
      <c r="C120" s="137">
        <v>0.7713097713097713</v>
      </c>
      <c r="D120" s="98">
        <v>103</v>
      </c>
      <c r="E120" s="137">
        <v>0.21413721413721415</v>
      </c>
      <c r="F120" s="98">
        <v>7</v>
      </c>
      <c r="G120" s="137">
        <v>1.4553014553014554E-2</v>
      </c>
      <c r="H120" s="98">
        <v>110</v>
      </c>
      <c r="I120" s="137">
        <v>0.2286902286902287</v>
      </c>
      <c r="J120" s="98">
        <v>481</v>
      </c>
      <c r="K120" s="3"/>
      <c r="L120" s="3"/>
      <c r="M120" s="3"/>
      <c r="N120" s="3"/>
      <c r="O120" s="3"/>
      <c r="P120" s="2"/>
      <c r="Q120" s="2"/>
    </row>
    <row r="121" spans="1:17" x14ac:dyDescent="0.25">
      <c r="A121" s="69" t="s">
        <v>96</v>
      </c>
      <c r="B121" s="98">
        <v>713</v>
      </c>
      <c r="C121" s="137">
        <v>0.72829417773238003</v>
      </c>
      <c r="D121" s="98">
        <v>198</v>
      </c>
      <c r="E121" s="137">
        <v>0.20224719101123595</v>
      </c>
      <c r="F121" s="98">
        <v>68</v>
      </c>
      <c r="G121" s="137">
        <v>6.945863125638406E-2</v>
      </c>
      <c r="H121" s="98">
        <v>266</v>
      </c>
      <c r="I121" s="137">
        <v>0.27170582226762002</v>
      </c>
      <c r="J121" s="98">
        <v>979</v>
      </c>
      <c r="K121" s="3"/>
      <c r="L121" s="3"/>
      <c r="M121" s="3"/>
      <c r="N121" s="3"/>
      <c r="O121" s="3"/>
      <c r="P121" s="2"/>
      <c r="Q121" s="2"/>
    </row>
    <row r="122" spans="1:17" x14ac:dyDescent="0.25">
      <c r="A122" s="97" t="s">
        <v>97</v>
      </c>
      <c r="B122" s="16">
        <v>633</v>
      </c>
      <c r="C122" s="137">
        <v>0.75178147268408546</v>
      </c>
      <c r="D122" s="16">
        <v>118</v>
      </c>
      <c r="E122" s="137">
        <v>0.14014251781472684</v>
      </c>
      <c r="F122" s="16">
        <v>91</v>
      </c>
      <c r="G122" s="137">
        <v>0.10807600950118765</v>
      </c>
      <c r="H122" s="98">
        <v>209</v>
      </c>
      <c r="I122" s="137">
        <v>0.24821852731591448</v>
      </c>
      <c r="J122" s="16">
        <v>842</v>
      </c>
      <c r="K122" s="3"/>
      <c r="L122" s="3"/>
      <c r="M122" s="3"/>
      <c r="N122" s="3"/>
      <c r="O122" s="3"/>
      <c r="P122" s="2"/>
      <c r="Q122" s="2"/>
    </row>
    <row r="123" spans="1:17" x14ac:dyDescent="0.25">
      <c r="A123" s="69" t="s">
        <v>98</v>
      </c>
      <c r="B123" s="98">
        <v>969</v>
      </c>
      <c r="C123" s="137">
        <v>0.80952380952380953</v>
      </c>
      <c r="D123" s="98">
        <v>175</v>
      </c>
      <c r="E123" s="137">
        <v>0.14619883040935672</v>
      </c>
      <c r="F123" s="98">
        <v>53</v>
      </c>
      <c r="G123" s="137">
        <v>4.4277360066833749E-2</v>
      </c>
      <c r="H123" s="98">
        <v>228</v>
      </c>
      <c r="I123" s="137">
        <v>0.19047619047619047</v>
      </c>
      <c r="J123" s="98">
        <v>1197</v>
      </c>
      <c r="K123" s="2"/>
      <c r="L123" s="2"/>
      <c r="M123" s="2"/>
      <c r="N123" s="2"/>
      <c r="O123" s="2"/>
      <c r="P123" s="2"/>
      <c r="Q123" s="2"/>
    </row>
    <row r="124" spans="1:17" x14ac:dyDescent="0.25">
      <c r="A124" s="69" t="s">
        <v>99</v>
      </c>
      <c r="B124" s="16">
        <v>805</v>
      </c>
      <c r="C124" s="17">
        <v>0.8600427350427351</v>
      </c>
      <c r="D124" s="16">
        <v>109</v>
      </c>
      <c r="E124" s="17">
        <v>0.11645299145299146</v>
      </c>
      <c r="F124" s="16">
        <v>22</v>
      </c>
      <c r="G124" s="17">
        <v>2.3504273504273504E-2</v>
      </c>
      <c r="H124" s="16">
        <v>131</v>
      </c>
      <c r="I124" s="17">
        <v>0.13995726495726496</v>
      </c>
      <c r="J124" s="16">
        <v>936</v>
      </c>
      <c r="K124" s="2"/>
      <c r="L124" s="2"/>
      <c r="M124" s="2"/>
      <c r="N124" s="2"/>
      <c r="O124" s="2"/>
      <c r="P124" s="2"/>
      <c r="Q124" s="2"/>
    </row>
    <row r="125" spans="1:17" x14ac:dyDescent="0.25">
      <c r="A125" s="69" t="s">
        <v>100</v>
      </c>
      <c r="B125" s="16">
        <v>2212</v>
      </c>
      <c r="C125" s="17">
        <v>0.79682997118155618</v>
      </c>
      <c r="D125" s="16">
        <v>325</v>
      </c>
      <c r="E125" s="17">
        <v>0.11707492795389049</v>
      </c>
      <c r="F125" s="16">
        <v>239</v>
      </c>
      <c r="G125" s="17">
        <v>8.6095100864553312E-2</v>
      </c>
      <c r="H125" s="16">
        <v>564</v>
      </c>
      <c r="I125" s="17">
        <v>0.20317002881844382</v>
      </c>
      <c r="J125" s="16">
        <v>2776</v>
      </c>
      <c r="K125" s="2"/>
      <c r="L125" s="2"/>
      <c r="M125" s="2"/>
      <c r="N125" s="2"/>
      <c r="O125" s="2"/>
      <c r="P125" s="2"/>
      <c r="Q125" s="2"/>
    </row>
    <row r="126" spans="1:17" x14ac:dyDescent="0.25">
      <c r="A126" s="69" t="s">
        <v>101</v>
      </c>
      <c r="B126" s="16">
        <v>1968</v>
      </c>
      <c r="C126" s="17">
        <v>0.8392324093816631</v>
      </c>
      <c r="D126" s="69">
        <v>298</v>
      </c>
      <c r="E126" s="17">
        <v>0.12707889125799574</v>
      </c>
      <c r="F126" s="69">
        <v>79</v>
      </c>
      <c r="G126" s="17">
        <v>3.3688699360341148E-2</v>
      </c>
      <c r="H126" s="69">
        <v>377</v>
      </c>
      <c r="I126" s="17">
        <v>0.1607675906183369</v>
      </c>
      <c r="J126" s="16">
        <v>2345</v>
      </c>
      <c r="K126" s="2"/>
      <c r="L126" s="2"/>
      <c r="M126" s="2"/>
      <c r="N126" s="2"/>
      <c r="O126" s="2"/>
      <c r="P126" s="2"/>
      <c r="Q126" s="2"/>
    </row>
    <row r="127" spans="1:17" x14ac:dyDescent="0.25">
      <c r="A127" s="97" t="s">
        <v>102</v>
      </c>
      <c r="B127" s="16">
        <v>1834</v>
      </c>
      <c r="C127" s="17">
        <f t="shared" ref="C127:C133" si="17">B127/J127</f>
        <v>0.90078585461689586</v>
      </c>
      <c r="D127" s="16">
        <v>142</v>
      </c>
      <c r="E127" s="17">
        <f t="shared" ref="E127:E133" si="18">D127/J127</f>
        <v>6.9744597249508836E-2</v>
      </c>
      <c r="F127" s="16">
        <v>60</v>
      </c>
      <c r="G127" s="17">
        <f t="shared" ref="G127:G133" si="19">F127/J127</f>
        <v>2.9469548133595286E-2</v>
      </c>
      <c r="H127" s="16">
        <f>D127+F127</f>
        <v>202</v>
      </c>
      <c r="I127" s="17">
        <f t="shared" ref="I127:I133" si="20">H127/J127</f>
        <v>9.9214145383104121E-2</v>
      </c>
      <c r="J127" s="16">
        <f>B127+D127+F127</f>
        <v>2036</v>
      </c>
      <c r="K127" s="2"/>
      <c r="L127" s="2"/>
      <c r="M127" s="2"/>
      <c r="N127" s="2"/>
      <c r="O127" s="2"/>
      <c r="P127" s="2"/>
      <c r="Q127" s="2"/>
    </row>
    <row r="128" spans="1:17" x14ac:dyDescent="0.25">
      <c r="A128" s="97" t="s">
        <v>53</v>
      </c>
      <c r="B128" s="16">
        <v>1545</v>
      </c>
      <c r="C128" s="17">
        <f t="shared" si="17"/>
        <v>0.83468395461912481</v>
      </c>
      <c r="D128" s="16">
        <v>173</v>
      </c>
      <c r="E128" s="17">
        <f t="shared" si="18"/>
        <v>9.3462992976769313E-2</v>
      </c>
      <c r="F128" s="16">
        <v>133</v>
      </c>
      <c r="G128" s="17">
        <f t="shared" si="19"/>
        <v>7.1853052404105888E-2</v>
      </c>
      <c r="H128" s="16">
        <f>D128+F128</f>
        <v>306</v>
      </c>
      <c r="I128" s="17">
        <f t="shared" si="20"/>
        <v>0.16531604538087522</v>
      </c>
      <c r="J128" s="16">
        <f>B128+D128+F128</f>
        <v>1851</v>
      </c>
      <c r="K128" s="2"/>
      <c r="L128" s="2"/>
      <c r="M128" s="2"/>
      <c r="N128" s="2"/>
      <c r="O128" s="2"/>
      <c r="P128" s="2"/>
      <c r="Q128" s="2"/>
    </row>
    <row r="129" spans="1:17" x14ac:dyDescent="0.25">
      <c r="A129" s="97" t="s">
        <v>54</v>
      </c>
      <c r="B129" s="16">
        <v>947</v>
      </c>
      <c r="C129" s="17">
        <f t="shared" si="17"/>
        <v>0.7120300751879699</v>
      </c>
      <c r="D129" s="16">
        <v>196</v>
      </c>
      <c r="E129" s="17">
        <f t="shared" si="18"/>
        <v>0.14736842105263157</v>
      </c>
      <c r="F129" s="16">
        <v>187</v>
      </c>
      <c r="G129" s="17">
        <f t="shared" si="19"/>
        <v>0.14060150375939851</v>
      </c>
      <c r="H129" s="16">
        <v>383</v>
      </c>
      <c r="I129" s="17">
        <f t="shared" si="20"/>
        <v>0.2879699248120301</v>
      </c>
      <c r="J129" s="16">
        <f>B129+D129+F129</f>
        <v>1330</v>
      </c>
      <c r="K129" s="2"/>
      <c r="L129" s="2"/>
      <c r="M129" s="2"/>
      <c r="N129" s="2"/>
      <c r="O129" s="2"/>
      <c r="P129" s="2"/>
      <c r="Q129" s="2"/>
    </row>
    <row r="130" spans="1:17" x14ac:dyDescent="0.25">
      <c r="A130" s="97" t="s">
        <v>55</v>
      </c>
      <c r="B130" s="16">
        <v>1071</v>
      </c>
      <c r="C130" s="17">
        <f t="shared" si="17"/>
        <v>0.76554681915654044</v>
      </c>
      <c r="D130" s="16">
        <v>220</v>
      </c>
      <c r="E130" s="17">
        <f t="shared" si="18"/>
        <v>0.15725518227305219</v>
      </c>
      <c r="F130" s="16">
        <v>108</v>
      </c>
      <c r="G130" s="17">
        <f t="shared" si="19"/>
        <v>7.7197998570407433E-2</v>
      </c>
      <c r="H130" s="16">
        <v>328</v>
      </c>
      <c r="I130" s="17">
        <f t="shared" si="20"/>
        <v>0.23445318084345962</v>
      </c>
      <c r="J130" s="16">
        <v>1399</v>
      </c>
      <c r="K130" s="2"/>
      <c r="L130" s="2"/>
      <c r="M130" s="2"/>
      <c r="N130" s="2"/>
      <c r="O130" s="2"/>
      <c r="P130" s="2"/>
      <c r="Q130" s="2"/>
    </row>
    <row r="131" spans="1:17" x14ac:dyDescent="0.25">
      <c r="A131" s="97" t="s">
        <v>10</v>
      </c>
      <c r="B131" s="16">
        <v>1616</v>
      </c>
      <c r="C131" s="17">
        <v>0.82</v>
      </c>
      <c r="D131" s="16">
        <v>224</v>
      </c>
      <c r="E131" s="17">
        <v>0.11</v>
      </c>
      <c r="F131" s="16">
        <v>119</v>
      </c>
      <c r="G131" s="17">
        <v>0.06</v>
      </c>
      <c r="H131" s="16">
        <v>343</v>
      </c>
      <c r="I131" s="17">
        <v>0.18</v>
      </c>
      <c r="J131" s="16">
        <v>1959</v>
      </c>
      <c r="K131" s="2"/>
      <c r="L131" s="2"/>
      <c r="M131" s="2"/>
      <c r="N131" s="2"/>
      <c r="O131" s="2"/>
      <c r="P131" s="2"/>
      <c r="Q131" s="2"/>
    </row>
    <row r="132" spans="1:17" x14ac:dyDescent="0.25">
      <c r="A132" s="70" t="s">
        <v>11</v>
      </c>
      <c r="B132" s="18">
        <f>GETPIVOTDATA("Sum of Phase Net Units",'3'!$A$1,"Status","01 Completion","Tenure","Open Market")</f>
        <v>1410</v>
      </c>
      <c r="C132" s="17">
        <f t="shared" si="17"/>
        <v>0.70535267633816912</v>
      </c>
      <c r="D132" s="18">
        <f>GETPIVOTDATA("Sum of Phase Net Units",'3'!$A$1,"Status","01 Completion","Tenure","Intermediate")</f>
        <v>359</v>
      </c>
      <c r="E132" s="17">
        <f t="shared" si="18"/>
        <v>0.17958979489744872</v>
      </c>
      <c r="F132" s="18">
        <f>GETPIVOTDATA("Sum of Phase Net Units",'3'!$A$1,"Status","01 Completion","Tenure","Social/Affordable Rent")</f>
        <v>230</v>
      </c>
      <c r="G132" s="17">
        <f t="shared" si="19"/>
        <v>0.11505752876438219</v>
      </c>
      <c r="H132" s="16">
        <f>D132+F132</f>
        <v>589</v>
      </c>
      <c r="I132" s="17">
        <f t="shared" si="20"/>
        <v>0.29464732366183094</v>
      </c>
      <c r="J132" s="16">
        <f>B132+D132+F132</f>
        <v>1999</v>
      </c>
      <c r="K132" s="2"/>
      <c r="L132" s="2"/>
      <c r="M132" s="2"/>
      <c r="N132" s="2"/>
      <c r="O132" s="2"/>
      <c r="P132" s="2"/>
      <c r="Q132" s="2"/>
    </row>
    <row r="133" spans="1:17" x14ac:dyDescent="0.25">
      <c r="A133" s="48" t="s">
        <v>49</v>
      </c>
      <c r="B133" s="32">
        <f>SUM(B116:B132)</f>
        <v>20001</v>
      </c>
      <c r="C133" s="20">
        <f t="shared" si="17"/>
        <v>0.7831858407079646</v>
      </c>
      <c r="D133" s="32">
        <f>SUM(D116:D132)</f>
        <v>3973</v>
      </c>
      <c r="E133" s="20">
        <f t="shared" si="18"/>
        <v>0.15557208865220457</v>
      </c>
      <c r="F133" s="32">
        <f>SUM(F116:F132)</f>
        <v>1564</v>
      </c>
      <c r="G133" s="20">
        <f t="shared" si="19"/>
        <v>6.1242070639830844E-2</v>
      </c>
      <c r="H133" s="32">
        <f>SUM(H116:H132)</f>
        <v>5537</v>
      </c>
      <c r="I133" s="20">
        <f t="shared" si="20"/>
        <v>0.2168141592920354</v>
      </c>
      <c r="J133" s="32">
        <f>SUM(J116:J132)</f>
        <v>25538</v>
      </c>
      <c r="K133" s="2"/>
      <c r="L133" s="2"/>
      <c r="M133" s="2"/>
      <c r="N133" s="2"/>
      <c r="O133" s="2"/>
      <c r="P133" s="2"/>
      <c r="Q133" s="2"/>
    </row>
    <row r="134" spans="1:17" x14ac:dyDescent="0.25">
      <c r="A134" s="2"/>
      <c r="B134" s="2"/>
      <c r="C134" s="2"/>
      <c r="D134" s="2"/>
      <c r="E134" s="2"/>
      <c r="F134" s="2"/>
      <c r="G134" s="2"/>
      <c r="H134" s="2"/>
      <c r="I134" s="2"/>
      <c r="J134" s="2"/>
      <c r="K134" s="2"/>
      <c r="L134" s="2"/>
      <c r="M134" s="2"/>
      <c r="N134" s="2"/>
      <c r="O134" s="2"/>
      <c r="P134" s="2"/>
      <c r="Q134" s="2"/>
    </row>
    <row r="135" spans="1:17" x14ac:dyDescent="0.25">
      <c r="A135" s="2"/>
      <c r="B135" s="2"/>
      <c r="C135" s="2"/>
      <c r="D135" s="2"/>
      <c r="E135" s="2"/>
      <c r="F135" s="2"/>
      <c r="G135" s="2"/>
      <c r="H135" s="2"/>
      <c r="I135" s="2"/>
      <c r="J135" s="2"/>
      <c r="K135" s="2"/>
      <c r="L135" s="2"/>
      <c r="M135" s="2"/>
      <c r="N135" s="2"/>
      <c r="O135" s="2"/>
      <c r="P135" s="2"/>
      <c r="Q135" s="2"/>
    </row>
    <row r="136" spans="1:17" x14ac:dyDescent="0.25">
      <c r="A136" s="2"/>
      <c r="B136" s="2"/>
      <c r="C136" s="2"/>
      <c r="D136" s="2"/>
      <c r="E136" s="2"/>
      <c r="F136" s="2"/>
      <c r="G136" s="2"/>
      <c r="H136" s="2"/>
      <c r="I136" s="2"/>
      <c r="J136" s="2"/>
      <c r="K136" s="2"/>
      <c r="L136" s="2"/>
      <c r="M136" s="2"/>
      <c r="N136" s="2"/>
      <c r="O136" s="2"/>
      <c r="P136" s="2"/>
      <c r="Q136" s="2"/>
    </row>
    <row r="137" spans="1:17" x14ac:dyDescent="0.25">
      <c r="A137" s="2"/>
      <c r="B137" s="2"/>
      <c r="C137" s="2"/>
      <c r="D137" s="2"/>
      <c r="E137" s="2"/>
      <c r="F137" s="2"/>
      <c r="G137" s="2"/>
      <c r="H137" s="2"/>
      <c r="I137" s="2"/>
      <c r="J137" s="2"/>
      <c r="K137" s="2"/>
      <c r="L137" s="2"/>
      <c r="M137" s="2"/>
      <c r="N137" s="2"/>
      <c r="O137" s="2"/>
      <c r="P137" s="2"/>
      <c r="Q137" s="2"/>
    </row>
    <row r="138" spans="1:17" x14ac:dyDescent="0.25">
      <c r="A138" s="2"/>
      <c r="B138" s="2"/>
      <c r="C138" s="2"/>
      <c r="D138" s="2"/>
      <c r="E138" s="2"/>
      <c r="F138" s="2"/>
      <c r="G138" s="2"/>
      <c r="H138" s="2"/>
      <c r="I138" s="2"/>
      <c r="J138" s="2"/>
      <c r="K138" s="2"/>
      <c r="L138" s="2"/>
      <c r="M138" s="2"/>
      <c r="N138" s="2"/>
      <c r="O138" s="2"/>
      <c r="P138" s="2"/>
      <c r="Q138" s="2"/>
    </row>
    <row r="139" spans="1:17" x14ac:dyDescent="0.25">
      <c r="A139" s="2"/>
      <c r="B139" s="2"/>
      <c r="C139" s="2"/>
      <c r="D139" s="2"/>
      <c r="E139" s="2"/>
      <c r="F139" s="2"/>
      <c r="G139" s="2"/>
      <c r="H139" s="2"/>
      <c r="I139" s="2"/>
      <c r="J139" s="2"/>
      <c r="K139" s="2"/>
      <c r="L139" s="2"/>
      <c r="M139" s="2"/>
      <c r="N139" s="2"/>
      <c r="O139" s="2"/>
      <c r="P139" s="2"/>
      <c r="Q139" s="2"/>
    </row>
    <row r="140" spans="1:17" x14ac:dyDescent="0.25">
      <c r="A140" s="2"/>
      <c r="B140" s="2"/>
      <c r="C140" s="2"/>
      <c r="D140" s="2"/>
      <c r="E140" s="2"/>
      <c r="F140" s="2"/>
      <c r="G140" s="2"/>
      <c r="H140" s="2"/>
      <c r="I140" s="2"/>
      <c r="J140" s="2"/>
      <c r="K140" s="2"/>
      <c r="L140" s="2"/>
      <c r="M140" s="2"/>
      <c r="N140" s="2"/>
      <c r="O140" s="2"/>
      <c r="P140" s="2"/>
      <c r="Q140" s="2"/>
    </row>
    <row r="141" spans="1:17" x14ac:dyDescent="0.25">
      <c r="A141" s="2"/>
      <c r="B141" s="2"/>
      <c r="C141" s="2"/>
      <c r="D141" s="2"/>
      <c r="E141" s="2"/>
      <c r="F141" s="2"/>
      <c r="G141" s="2"/>
      <c r="H141" s="2"/>
      <c r="I141" s="2"/>
      <c r="J141" s="2"/>
      <c r="K141" s="2"/>
      <c r="L141" s="2"/>
      <c r="M141" s="2"/>
      <c r="N141" s="2"/>
      <c r="O141" s="2"/>
      <c r="P141" s="2"/>
      <c r="Q141" s="2"/>
    </row>
    <row r="142" spans="1:17" x14ac:dyDescent="0.25">
      <c r="A142" s="2"/>
      <c r="B142" s="2"/>
      <c r="C142" s="2"/>
      <c r="D142" s="2"/>
      <c r="E142" s="2"/>
      <c r="F142" s="2"/>
      <c r="G142" s="2"/>
      <c r="H142" s="2"/>
      <c r="I142" s="2"/>
      <c r="J142" s="2"/>
      <c r="K142" s="2"/>
      <c r="L142" s="2"/>
      <c r="M142" s="2"/>
      <c r="N142" s="2"/>
      <c r="O142" s="2"/>
      <c r="P142" s="2"/>
      <c r="Q142" s="2"/>
    </row>
    <row r="143" spans="1:17" x14ac:dyDescent="0.25">
      <c r="A143" s="2"/>
      <c r="B143" s="2"/>
      <c r="C143" s="2"/>
      <c r="D143" s="2"/>
      <c r="E143" s="2"/>
      <c r="F143" s="2"/>
      <c r="G143" s="2"/>
      <c r="H143" s="2"/>
      <c r="I143" s="2"/>
      <c r="J143" s="2"/>
      <c r="K143" s="2"/>
      <c r="L143" s="2"/>
      <c r="M143" s="2"/>
      <c r="N143" s="2"/>
      <c r="O143" s="2"/>
      <c r="P143" s="2"/>
      <c r="Q143" s="2"/>
    </row>
    <row r="144" spans="1:17" x14ac:dyDescent="0.25">
      <c r="A144" s="2"/>
      <c r="B144" s="2"/>
      <c r="C144" s="2"/>
      <c r="D144" s="2"/>
      <c r="E144" s="2"/>
      <c r="F144" s="2"/>
      <c r="G144" s="2"/>
      <c r="H144" s="2"/>
      <c r="I144" s="2"/>
      <c r="J144" s="2"/>
      <c r="K144" s="2"/>
      <c r="L144" s="2"/>
      <c r="M144" s="2"/>
      <c r="N144" s="2"/>
      <c r="O144" s="2"/>
      <c r="P144" s="2"/>
      <c r="Q144" s="2"/>
    </row>
    <row r="145" spans="1:17" x14ac:dyDescent="0.25">
      <c r="A145" s="2"/>
      <c r="B145" s="2"/>
      <c r="C145" s="2"/>
      <c r="D145" s="2"/>
      <c r="E145" s="2"/>
      <c r="F145" s="2"/>
      <c r="G145" s="2"/>
      <c r="H145" s="2"/>
      <c r="I145" s="2"/>
      <c r="J145" s="2"/>
      <c r="K145" s="2"/>
      <c r="L145" s="2"/>
      <c r="M145" s="2"/>
      <c r="N145" s="2"/>
      <c r="O145" s="2"/>
      <c r="P145" s="2"/>
      <c r="Q145" s="2"/>
    </row>
    <row r="146" spans="1:17" x14ac:dyDescent="0.25">
      <c r="A146" s="2"/>
      <c r="B146" s="2"/>
      <c r="C146" s="2"/>
      <c r="D146" s="2"/>
      <c r="E146" s="2"/>
      <c r="F146" s="2"/>
      <c r="G146" s="2"/>
      <c r="H146" s="2"/>
      <c r="I146" s="2"/>
      <c r="J146" s="2"/>
      <c r="K146" s="2"/>
      <c r="L146" s="2"/>
      <c r="M146" s="2"/>
      <c r="N146" s="2"/>
      <c r="O146" s="2"/>
      <c r="P146" s="2"/>
      <c r="Q146" s="2"/>
    </row>
    <row r="147" spans="1:17" x14ac:dyDescent="0.25">
      <c r="A147" s="2"/>
      <c r="B147" s="2"/>
      <c r="C147" s="2"/>
      <c r="D147" s="2"/>
      <c r="E147" s="2"/>
      <c r="F147" s="2"/>
      <c r="G147" s="2"/>
      <c r="H147" s="2"/>
      <c r="I147" s="2"/>
      <c r="J147" s="2"/>
      <c r="K147" s="2"/>
      <c r="L147" s="2"/>
      <c r="M147" s="2"/>
      <c r="N147" s="2"/>
      <c r="O147" s="2"/>
      <c r="P147" s="2"/>
      <c r="Q147" s="2"/>
    </row>
    <row r="148" spans="1:17" x14ac:dyDescent="0.25">
      <c r="A148" s="2"/>
      <c r="B148" s="2"/>
      <c r="C148" s="2"/>
      <c r="D148" s="2"/>
      <c r="E148" s="2"/>
      <c r="F148" s="2"/>
      <c r="G148" s="2"/>
      <c r="H148" s="2"/>
      <c r="I148" s="2"/>
      <c r="J148" s="2"/>
      <c r="K148" s="2"/>
      <c r="L148" s="2"/>
      <c r="M148" s="2"/>
      <c r="N148" s="2"/>
      <c r="O148" s="2"/>
      <c r="P148" s="2"/>
      <c r="Q148" s="2"/>
    </row>
    <row r="149" spans="1:17" x14ac:dyDescent="0.25">
      <c r="A149" s="2"/>
      <c r="B149" s="2"/>
      <c r="C149" s="2"/>
      <c r="D149" s="2"/>
      <c r="E149" s="2"/>
      <c r="F149" s="2"/>
      <c r="G149" s="2"/>
      <c r="H149" s="2"/>
      <c r="I149" s="2"/>
      <c r="J149" s="2"/>
      <c r="K149" s="2"/>
      <c r="L149" s="2"/>
      <c r="M149" s="2"/>
      <c r="N149" s="2"/>
      <c r="O149" s="2"/>
      <c r="P149" s="2"/>
      <c r="Q149" s="2"/>
    </row>
    <row r="150" spans="1:17" x14ac:dyDescent="0.25">
      <c r="A150" s="2"/>
      <c r="B150" s="2"/>
      <c r="C150" s="2"/>
      <c r="D150" s="2"/>
      <c r="E150" s="2"/>
      <c r="F150" s="2"/>
      <c r="G150" s="2"/>
      <c r="H150" s="2"/>
      <c r="I150" s="2"/>
      <c r="J150" s="2"/>
      <c r="K150" s="2"/>
      <c r="L150" s="2"/>
      <c r="M150" s="2"/>
      <c r="N150" s="2"/>
      <c r="O150" s="2"/>
      <c r="P150" s="2"/>
      <c r="Q150" s="2"/>
    </row>
    <row r="151" spans="1:17" x14ac:dyDescent="0.25">
      <c r="A151" s="105" t="s">
        <v>119</v>
      </c>
      <c r="B151" s="2"/>
      <c r="C151" s="2"/>
      <c r="D151" s="2"/>
      <c r="E151" s="2"/>
      <c r="F151" s="2"/>
      <c r="G151" s="2"/>
      <c r="H151" s="2"/>
      <c r="I151" s="2"/>
      <c r="J151" s="2"/>
      <c r="K151" s="2"/>
      <c r="L151" s="2"/>
      <c r="M151" s="2"/>
      <c r="N151" s="2"/>
      <c r="O151" s="2"/>
      <c r="P151" s="2"/>
      <c r="Q151" s="2"/>
    </row>
    <row r="152" spans="1:17" x14ac:dyDescent="0.25">
      <c r="A152" s="7" t="s">
        <v>120</v>
      </c>
      <c r="B152" s="7" t="s">
        <v>121</v>
      </c>
      <c r="C152" s="2"/>
      <c r="D152" s="2"/>
      <c r="E152" s="2"/>
      <c r="F152" s="2"/>
      <c r="G152" s="2"/>
      <c r="H152" s="2"/>
      <c r="I152" s="2"/>
      <c r="J152" s="2"/>
      <c r="K152" s="2"/>
      <c r="L152" s="2"/>
      <c r="M152" s="2"/>
      <c r="N152" s="2"/>
      <c r="O152" s="2"/>
      <c r="P152" s="2"/>
      <c r="Q152" s="2"/>
    </row>
    <row r="153" spans="1:17" x14ac:dyDescent="0.25">
      <c r="A153" s="343" t="s">
        <v>87</v>
      </c>
      <c r="B153" s="343"/>
      <c r="C153" s="275" t="s">
        <v>114</v>
      </c>
      <c r="D153" s="275"/>
      <c r="E153" s="365" t="s">
        <v>115</v>
      </c>
      <c r="F153" s="365"/>
      <c r="G153" s="365" t="s">
        <v>116</v>
      </c>
      <c r="H153" s="365"/>
      <c r="I153" s="275" t="s">
        <v>80</v>
      </c>
      <c r="J153" s="275"/>
      <c r="K153" s="47" t="s">
        <v>49</v>
      </c>
      <c r="L153" s="2"/>
      <c r="M153" s="2"/>
      <c r="N153" s="2"/>
      <c r="O153" s="2"/>
      <c r="P153" s="2"/>
      <c r="Q153" s="2"/>
    </row>
    <row r="154" spans="1:17" x14ac:dyDescent="0.25">
      <c r="A154" s="343"/>
      <c r="B154" s="343"/>
      <c r="C154" s="47" t="s">
        <v>117</v>
      </c>
      <c r="D154" s="47" t="s">
        <v>118</v>
      </c>
      <c r="E154" s="47" t="s">
        <v>117</v>
      </c>
      <c r="F154" s="47" t="s">
        <v>118</v>
      </c>
      <c r="G154" s="47" t="s">
        <v>117</v>
      </c>
      <c r="H154" s="47" t="s">
        <v>118</v>
      </c>
      <c r="I154" s="47" t="s">
        <v>117</v>
      </c>
      <c r="J154" s="47" t="s">
        <v>118</v>
      </c>
      <c r="K154" s="47" t="s">
        <v>117</v>
      </c>
      <c r="L154" s="2"/>
      <c r="M154" s="2"/>
      <c r="N154" s="2"/>
      <c r="O154" s="2"/>
      <c r="P154" s="2"/>
      <c r="Q154" s="2"/>
    </row>
    <row r="155" spans="1:17" x14ac:dyDescent="0.25">
      <c r="A155" s="290" t="s">
        <v>122</v>
      </c>
      <c r="B155" s="290"/>
      <c r="C155" s="22"/>
      <c r="D155" s="20"/>
      <c r="E155" s="22"/>
      <c r="F155" s="20">
        <v>0.4</v>
      </c>
      <c r="G155" s="22"/>
      <c r="H155" s="20">
        <v>0.6</v>
      </c>
      <c r="I155" s="22"/>
      <c r="J155" s="20">
        <v>0.15</v>
      </c>
      <c r="K155" s="22"/>
      <c r="L155" s="2"/>
      <c r="M155" s="2"/>
      <c r="N155" s="2"/>
      <c r="O155" s="2"/>
      <c r="P155" s="2"/>
      <c r="Q155" s="2"/>
    </row>
    <row r="156" spans="1:17" x14ac:dyDescent="0.25">
      <c r="A156" s="274" t="s">
        <v>101</v>
      </c>
      <c r="B156" s="274"/>
      <c r="C156" s="16">
        <v>604</v>
      </c>
      <c r="D156" s="17">
        <f t="shared" ref="D156:D163" si="21">C156/K156</f>
        <v>0.80212483399734391</v>
      </c>
      <c r="E156" s="16">
        <v>126</v>
      </c>
      <c r="F156" s="19">
        <f t="shared" ref="F156:F163" si="22">E156/I156</f>
        <v>0.84563758389261745</v>
      </c>
      <c r="G156" s="16">
        <v>23</v>
      </c>
      <c r="H156" s="19">
        <f t="shared" ref="H156:H163" si="23">G156/I156</f>
        <v>0.15436241610738255</v>
      </c>
      <c r="I156" s="16">
        <f>E156+G156</f>
        <v>149</v>
      </c>
      <c r="J156" s="19">
        <f t="shared" ref="J156:J163" si="24">I156/K156</f>
        <v>0.19787516600265603</v>
      </c>
      <c r="K156" s="16">
        <f t="shared" ref="K156:K162" si="25">C156+E156+G156</f>
        <v>753</v>
      </c>
      <c r="L156" s="2"/>
      <c r="M156" s="2"/>
      <c r="N156" s="2"/>
      <c r="O156" s="2"/>
      <c r="P156" s="2"/>
      <c r="Q156" s="2"/>
    </row>
    <row r="157" spans="1:17" x14ac:dyDescent="0.25">
      <c r="A157" s="341" t="s">
        <v>102</v>
      </c>
      <c r="B157" s="342"/>
      <c r="C157" s="16">
        <v>1181</v>
      </c>
      <c r="D157" s="17">
        <f t="shared" si="21"/>
        <v>0.92193598750975803</v>
      </c>
      <c r="E157" s="16">
        <v>100</v>
      </c>
      <c r="F157" s="19">
        <f t="shared" si="22"/>
        <v>1</v>
      </c>
      <c r="G157" s="16">
        <v>0</v>
      </c>
      <c r="H157" s="19">
        <f t="shared" si="23"/>
        <v>0</v>
      </c>
      <c r="I157" s="16">
        <f>E157+G157</f>
        <v>100</v>
      </c>
      <c r="J157" s="19">
        <f t="shared" si="24"/>
        <v>7.8064012490242002E-2</v>
      </c>
      <c r="K157" s="16">
        <f t="shared" si="25"/>
        <v>1281</v>
      </c>
      <c r="L157" s="2"/>
      <c r="M157" s="2"/>
      <c r="N157" s="2"/>
      <c r="O157" s="2"/>
      <c r="P157" s="2"/>
      <c r="Q157" s="2"/>
    </row>
    <row r="158" spans="1:17" x14ac:dyDescent="0.25">
      <c r="A158" s="341" t="s">
        <v>53</v>
      </c>
      <c r="B158" s="342"/>
      <c r="C158" s="16">
        <v>641</v>
      </c>
      <c r="D158" s="17">
        <f t="shared" si="21"/>
        <v>0.85924932975871315</v>
      </c>
      <c r="E158" s="16">
        <v>58</v>
      </c>
      <c r="F158" s="19">
        <f t="shared" si="22"/>
        <v>0.55238095238095242</v>
      </c>
      <c r="G158" s="16">
        <v>47</v>
      </c>
      <c r="H158" s="19">
        <f t="shared" si="23"/>
        <v>0.44761904761904764</v>
      </c>
      <c r="I158" s="16">
        <f>E158+G158</f>
        <v>105</v>
      </c>
      <c r="J158" s="19">
        <f t="shared" si="24"/>
        <v>0.14075067024128687</v>
      </c>
      <c r="K158" s="16">
        <f t="shared" si="25"/>
        <v>746</v>
      </c>
      <c r="L158" s="2"/>
      <c r="M158" s="2"/>
      <c r="N158" s="2"/>
      <c r="O158" s="2"/>
      <c r="P158" s="2"/>
      <c r="Q158" s="2"/>
    </row>
    <row r="159" spans="1:17" x14ac:dyDescent="0.25">
      <c r="A159" s="341" t="s">
        <v>54</v>
      </c>
      <c r="B159" s="342"/>
      <c r="C159" s="16">
        <v>337</v>
      </c>
      <c r="D159" s="17">
        <f t="shared" si="21"/>
        <v>0.68775510204081636</v>
      </c>
      <c r="E159" s="16">
        <v>57</v>
      </c>
      <c r="F159" s="19">
        <f t="shared" si="22"/>
        <v>0.37254901960784315</v>
      </c>
      <c r="G159" s="16">
        <v>96</v>
      </c>
      <c r="H159" s="19">
        <f t="shared" si="23"/>
        <v>0.62745098039215685</v>
      </c>
      <c r="I159" s="16">
        <f>E159+G159</f>
        <v>153</v>
      </c>
      <c r="J159" s="19">
        <f t="shared" si="24"/>
        <v>0.3122448979591837</v>
      </c>
      <c r="K159" s="16">
        <f t="shared" si="25"/>
        <v>490</v>
      </c>
      <c r="L159" s="2"/>
      <c r="M159" s="2"/>
      <c r="N159" s="2"/>
      <c r="O159" s="2"/>
      <c r="P159" s="2"/>
      <c r="Q159" s="2"/>
    </row>
    <row r="160" spans="1:17" x14ac:dyDescent="0.25">
      <c r="A160" s="341" t="s">
        <v>55</v>
      </c>
      <c r="B160" s="342"/>
      <c r="C160" s="16">
        <v>413</v>
      </c>
      <c r="D160" s="17">
        <f t="shared" si="21"/>
        <v>0.75641025641025639</v>
      </c>
      <c r="E160" s="16">
        <v>59</v>
      </c>
      <c r="F160" s="19">
        <f t="shared" si="22"/>
        <v>0.44360902255639095</v>
      </c>
      <c r="G160" s="16">
        <v>74</v>
      </c>
      <c r="H160" s="19">
        <f t="shared" si="23"/>
        <v>0.55639097744360899</v>
      </c>
      <c r="I160" s="16">
        <f t="shared" ref="I160:I162" si="26">E160+G160</f>
        <v>133</v>
      </c>
      <c r="J160" s="19">
        <f t="shared" si="24"/>
        <v>0.24358974358974358</v>
      </c>
      <c r="K160" s="16">
        <f t="shared" si="25"/>
        <v>546</v>
      </c>
      <c r="L160" s="2"/>
      <c r="M160" s="2"/>
      <c r="N160" s="2"/>
      <c r="O160" s="2"/>
      <c r="P160" s="2"/>
      <c r="Q160" s="2"/>
    </row>
    <row r="161" spans="1:17" x14ac:dyDescent="0.25">
      <c r="A161" s="341" t="s">
        <v>10</v>
      </c>
      <c r="B161" s="342"/>
      <c r="C161" s="16">
        <v>1036</v>
      </c>
      <c r="D161" s="17">
        <v>0.84</v>
      </c>
      <c r="E161" s="16">
        <v>192</v>
      </c>
      <c r="F161" s="19">
        <v>1</v>
      </c>
      <c r="G161" s="16">
        <v>0</v>
      </c>
      <c r="H161" s="19">
        <f t="shared" si="23"/>
        <v>0</v>
      </c>
      <c r="I161" s="16">
        <f t="shared" si="26"/>
        <v>192</v>
      </c>
      <c r="J161" s="19">
        <f t="shared" si="24"/>
        <v>0.15635179153094461</v>
      </c>
      <c r="K161" s="16">
        <f t="shared" si="25"/>
        <v>1228</v>
      </c>
      <c r="L161" s="2"/>
      <c r="M161" s="2"/>
      <c r="N161" s="2"/>
      <c r="O161" s="2"/>
      <c r="P161" s="2"/>
      <c r="Q161" s="2"/>
    </row>
    <row r="162" spans="1:17" x14ac:dyDescent="0.25">
      <c r="A162" s="341" t="s">
        <v>11</v>
      </c>
      <c r="B162" s="342"/>
      <c r="C162" s="16">
        <f>GETPIVOTDATA("Phase Net Units",'8b and 8c'!$A$3,"Status","01 Completion","Tenure","Open Market","VNEB","Y")</f>
        <v>1007</v>
      </c>
      <c r="D162" s="17">
        <f t="shared" si="21"/>
        <v>0.81275221953188059</v>
      </c>
      <c r="E162" s="16">
        <f>GETPIVOTDATA("Phase Net Units",'8b and 8c'!$A$3,"Status","01 Completion","Tenure","Intermediate","VNEB","Y")</f>
        <v>192</v>
      </c>
      <c r="F162" s="19">
        <f t="shared" si="22"/>
        <v>0.82758620689655171</v>
      </c>
      <c r="G162" s="16">
        <f>GETPIVOTDATA("Phase Net Units",'8b and 8c'!$A$3,"Status","01 Completion","Tenure","Social/Affordable Rent","VNEB","Y")</f>
        <v>40</v>
      </c>
      <c r="H162" s="19">
        <f t="shared" si="23"/>
        <v>0.17241379310344829</v>
      </c>
      <c r="I162" s="16">
        <f t="shared" si="26"/>
        <v>232</v>
      </c>
      <c r="J162" s="19">
        <f t="shared" si="24"/>
        <v>0.18724778046811946</v>
      </c>
      <c r="K162" s="16">
        <f t="shared" si="25"/>
        <v>1239</v>
      </c>
      <c r="L162" s="2"/>
      <c r="M162" s="2"/>
      <c r="N162" s="2"/>
      <c r="O162" s="2"/>
      <c r="P162" s="2"/>
      <c r="Q162" s="2"/>
    </row>
    <row r="163" spans="1:17" x14ac:dyDescent="0.25">
      <c r="A163" s="280" t="s">
        <v>49</v>
      </c>
      <c r="B163" s="280"/>
      <c r="C163" s="32">
        <f>SUM(C156:C162)</f>
        <v>5219</v>
      </c>
      <c r="D163" s="20">
        <f t="shared" si="21"/>
        <v>0.83065414610854682</v>
      </c>
      <c r="E163" s="32">
        <f>SUM(E156:E162)</f>
        <v>784</v>
      </c>
      <c r="F163" s="20">
        <f t="shared" si="22"/>
        <v>0.73684210526315785</v>
      </c>
      <c r="G163" s="32">
        <f>SUM(G156:G162)</f>
        <v>280</v>
      </c>
      <c r="H163" s="20">
        <f t="shared" si="23"/>
        <v>0.26315789473684209</v>
      </c>
      <c r="I163" s="32">
        <f>SUM(I156:I162)</f>
        <v>1064</v>
      </c>
      <c r="J163" s="20">
        <f t="shared" si="24"/>
        <v>0.16934585389145312</v>
      </c>
      <c r="K163" s="32">
        <f>SUM(K156:K162)</f>
        <v>6283</v>
      </c>
      <c r="L163" s="2"/>
      <c r="M163" s="2"/>
      <c r="N163" s="2"/>
      <c r="O163" s="2"/>
      <c r="P163" s="2"/>
      <c r="Q163" s="2"/>
    </row>
    <row r="164" spans="1:17" x14ac:dyDescent="0.25">
      <c r="A164" s="57"/>
      <c r="B164" s="2"/>
      <c r="C164" s="2"/>
      <c r="D164" s="2"/>
      <c r="E164" s="2"/>
      <c r="F164" s="2"/>
      <c r="G164" s="2"/>
      <c r="H164" s="2"/>
      <c r="I164" s="2"/>
      <c r="J164" s="2"/>
      <c r="K164" s="2"/>
      <c r="L164" s="2"/>
      <c r="M164" s="2"/>
      <c r="N164" s="2"/>
      <c r="O164" s="2"/>
      <c r="P164" s="2"/>
      <c r="Q164" s="2"/>
    </row>
    <row r="165" spans="1:17" x14ac:dyDescent="0.25">
      <c r="A165" s="7" t="s">
        <v>123</v>
      </c>
      <c r="B165" s="7" t="s">
        <v>124</v>
      </c>
      <c r="C165" s="2"/>
      <c r="D165" s="2"/>
      <c r="E165" s="2"/>
      <c r="F165" s="2"/>
      <c r="G165" s="2"/>
      <c r="H165" s="2"/>
      <c r="I165" s="2"/>
      <c r="J165" s="2"/>
      <c r="K165" s="2"/>
      <c r="L165" s="2"/>
      <c r="M165" s="2"/>
      <c r="N165" s="2"/>
      <c r="O165" s="2"/>
      <c r="P165" s="2"/>
      <c r="Q165" s="2"/>
    </row>
    <row r="166" spans="1:17" x14ac:dyDescent="0.25">
      <c r="A166" s="288" t="s">
        <v>87</v>
      </c>
      <c r="B166" s="288"/>
      <c r="C166" s="275" t="s">
        <v>114</v>
      </c>
      <c r="D166" s="275"/>
      <c r="E166" s="365" t="s">
        <v>115</v>
      </c>
      <c r="F166" s="365"/>
      <c r="G166" s="365" t="s">
        <v>116</v>
      </c>
      <c r="H166" s="365"/>
      <c r="I166" s="275" t="s">
        <v>80</v>
      </c>
      <c r="J166" s="275"/>
      <c r="K166" s="47" t="s">
        <v>49</v>
      </c>
      <c r="L166" s="2"/>
      <c r="M166" s="2"/>
      <c r="N166" s="2"/>
      <c r="O166" s="2"/>
      <c r="P166" s="2"/>
      <c r="Q166" s="2"/>
    </row>
    <row r="167" spans="1:17" x14ac:dyDescent="0.25">
      <c r="A167" s="288"/>
      <c r="B167" s="288"/>
      <c r="C167" s="47" t="s">
        <v>117</v>
      </c>
      <c r="D167" s="47" t="s">
        <v>118</v>
      </c>
      <c r="E167" s="47" t="s">
        <v>117</v>
      </c>
      <c r="F167" s="47" t="s">
        <v>118</v>
      </c>
      <c r="G167" s="47" t="s">
        <v>117</v>
      </c>
      <c r="H167" s="47" t="s">
        <v>118</v>
      </c>
      <c r="I167" s="47" t="s">
        <v>117</v>
      </c>
      <c r="J167" s="47" t="s">
        <v>118</v>
      </c>
      <c r="K167" s="47" t="s">
        <v>117</v>
      </c>
      <c r="L167" s="2"/>
      <c r="M167" s="2"/>
      <c r="N167" s="2"/>
      <c r="O167" s="2"/>
      <c r="P167" s="2"/>
      <c r="Q167" s="2"/>
    </row>
    <row r="168" spans="1:17" x14ac:dyDescent="0.25">
      <c r="A168" s="280" t="s">
        <v>125</v>
      </c>
      <c r="B168" s="280"/>
      <c r="C168" s="22"/>
      <c r="D168" s="20"/>
      <c r="E168" s="22"/>
      <c r="F168" s="20">
        <v>0.4</v>
      </c>
      <c r="G168" s="22"/>
      <c r="H168" s="20">
        <v>0.6</v>
      </c>
      <c r="I168" s="22"/>
      <c r="J168" s="20">
        <v>0.33</v>
      </c>
      <c r="K168" s="22"/>
      <c r="L168" s="2"/>
      <c r="M168" s="2"/>
      <c r="N168" s="2"/>
      <c r="O168" s="2"/>
      <c r="P168" s="2"/>
      <c r="Q168" s="2"/>
    </row>
    <row r="169" spans="1:17" x14ac:dyDescent="0.25">
      <c r="A169" s="274" t="s">
        <v>101</v>
      </c>
      <c r="B169" s="274"/>
      <c r="C169" s="16">
        <v>765</v>
      </c>
      <c r="D169" s="17">
        <f t="shared" ref="D169:D176" si="27">C169/K169</f>
        <v>0.7766497461928934</v>
      </c>
      <c r="E169" s="16">
        <v>171</v>
      </c>
      <c r="F169" s="19">
        <f t="shared" ref="F169:F176" si="28">E169/I169</f>
        <v>0.77727272727272723</v>
      </c>
      <c r="G169" s="16">
        <v>49</v>
      </c>
      <c r="H169" s="19">
        <f t="shared" ref="H169:H176" si="29">G169/I169</f>
        <v>0.22272727272727272</v>
      </c>
      <c r="I169" s="16">
        <f t="shared" ref="I169:I175" si="30">E169+G169</f>
        <v>220</v>
      </c>
      <c r="J169" s="19">
        <f t="shared" ref="J169:J176" si="31">I169/K169</f>
        <v>0.2233502538071066</v>
      </c>
      <c r="K169" s="16">
        <f t="shared" ref="K169:K175" si="32">C169+E169+G169</f>
        <v>985</v>
      </c>
      <c r="L169" s="2"/>
      <c r="M169" s="2"/>
      <c r="N169" s="2"/>
      <c r="O169" s="2"/>
      <c r="P169" s="2"/>
      <c r="Q169" s="2"/>
    </row>
    <row r="170" spans="1:17" x14ac:dyDescent="0.25">
      <c r="A170" s="341" t="s">
        <v>102</v>
      </c>
      <c r="B170" s="342"/>
      <c r="C170" s="16">
        <v>653</v>
      </c>
      <c r="D170" s="17">
        <f t="shared" si="27"/>
        <v>0.91842475386779188</v>
      </c>
      <c r="E170" s="16">
        <v>42</v>
      </c>
      <c r="F170" s="19">
        <f t="shared" si="28"/>
        <v>0.72413793103448276</v>
      </c>
      <c r="G170" s="16">
        <v>16</v>
      </c>
      <c r="H170" s="19">
        <f t="shared" si="29"/>
        <v>0.27586206896551724</v>
      </c>
      <c r="I170" s="16">
        <f t="shared" si="30"/>
        <v>58</v>
      </c>
      <c r="J170" s="19">
        <f t="shared" si="31"/>
        <v>8.1575246132208151E-2</v>
      </c>
      <c r="K170" s="16">
        <f t="shared" si="32"/>
        <v>711</v>
      </c>
      <c r="L170" s="2"/>
      <c r="M170" s="2"/>
      <c r="N170" s="2"/>
      <c r="O170" s="2"/>
      <c r="P170" s="2"/>
      <c r="Q170" s="2"/>
    </row>
    <row r="171" spans="1:17" x14ac:dyDescent="0.25">
      <c r="A171" s="341" t="s">
        <v>53</v>
      </c>
      <c r="B171" s="342"/>
      <c r="C171" s="16">
        <v>675</v>
      </c>
      <c r="D171" s="17">
        <f t="shared" si="27"/>
        <v>0.78671328671328666</v>
      </c>
      <c r="E171" s="16">
        <v>119</v>
      </c>
      <c r="F171" s="19">
        <f t="shared" si="28"/>
        <v>0.65027322404371579</v>
      </c>
      <c r="G171" s="16">
        <v>64</v>
      </c>
      <c r="H171" s="19">
        <f t="shared" si="29"/>
        <v>0.34972677595628415</v>
      </c>
      <c r="I171" s="16">
        <f t="shared" si="30"/>
        <v>183</v>
      </c>
      <c r="J171" s="19">
        <f t="shared" si="31"/>
        <v>0.21328671328671328</v>
      </c>
      <c r="K171" s="16">
        <f t="shared" si="32"/>
        <v>858</v>
      </c>
      <c r="L171" s="2"/>
      <c r="M171" s="2"/>
      <c r="N171" s="2"/>
      <c r="O171" s="2"/>
      <c r="P171" s="2"/>
      <c r="Q171" s="2"/>
    </row>
    <row r="172" spans="1:17" x14ac:dyDescent="0.25">
      <c r="A172" s="341" t="s">
        <v>54</v>
      </c>
      <c r="B172" s="342"/>
      <c r="C172" s="16">
        <v>375</v>
      </c>
      <c r="D172" s="17">
        <f t="shared" si="27"/>
        <v>0.62814070351758799</v>
      </c>
      <c r="E172" s="16">
        <v>139</v>
      </c>
      <c r="F172" s="19">
        <f t="shared" si="28"/>
        <v>0.62612612612612617</v>
      </c>
      <c r="G172" s="16">
        <v>83</v>
      </c>
      <c r="H172" s="19">
        <f t="shared" si="29"/>
        <v>0.37387387387387389</v>
      </c>
      <c r="I172" s="16">
        <f t="shared" si="30"/>
        <v>222</v>
      </c>
      <c r="J172" s="19">
        <f t="shared" si="31"/>
        <v>0.37185929648241206</v>
      </c>
      <c r="K172" s="16">
        <f t="shared" si="32"/>
        <v>597</v>
      </c>
      <c r="L172" s="2"/>
      <c r="M172" s="2"/>
      <c r="N172" s="2"/>
      <c r="O172" s="2"/>
      <c r="P172" s="2"/>
      <c r="Q172" s="2"/>
    </row>
    <row r="173" spans="1:17" x14ac:dyDescent="0.25">
      <c r="A173" s="341" t="s">
        <v>55</v>
      </c>
      <c r="B173" s="342"/>
      <c r="C173" s="16">
        <v>490</v>
      </c>
      <c r="D173" s="17">
        <f t="shared" si="27"/>
        <v>0.72916666666666663</v>
      </c>
      <c r="E173" s="16">
        <v>161</v>
      </c>
      <c r="F173" s="19">
        <f t="shared" si="28"/>
        <v>0.88461538461538458</v>
      </c>
      <c r="G173" s="16">
        <v>21</v>
      </c>
      <c r="H173" s="19">
        <f t="shared" si="29"/>
        <v>0.11538461538461539</v>
      </c>
      <c r="I173" s="16">
        <f t="shared" si="30"/>
        <v>182</v>
      </c>
      <c r="J173" s="19">
        <f t="shared" si="31"/>
        <v>0.27083333333333331</v>
      </c>
      <c r="K173" s="16">
        <f t="shared" si="32"/>
        <v>672</v>
      </c>
      <c r="L173" s="2"/>
      <c r="M173" s="2"/>
      <c r="N173" s="2"/>
      <c r="O173" s="2"/>
      <c r="P173" s="2"/>
      <c r="Q173" s="2"/>
    </row>
    <row r="174" spans="1:17" x14ac:dyDescent="0.25">
      <c r="A174" s="341" t="s">
        <v>10</v>
      </c>
      <c r="B174" s="342"/>
      <c r="C174" s="16">
        <v>367</v>
      </c>
      <c r="D174" s="17">
        <v>0.71</v>
      </c>
      <c r="E174" s="16">
        <v>32</v>
      </c>
      <c r="F174" s="19">
        <f t="shared" si="28"/>
        <v>0.21768707482993196</v>
      </c>
      <c r="G174" s="16">
        <v>115</v>
      </c>
      <c r="H174" s="19">
        <f t="shared" si="29"/>
        <v>0.78231292517006801</v>
      </c>
      <c r="I174" s="16">
        <f t="shared" si="30"/>
        <v>147</v>
      </c>
      <c r="J174" s="19">
        <f t="shared" si="31"/>
        <v>0.28599221789883267</v>
      </c>
      <c r="K174" s="16">
        <f t="shared" si="32"/>
        <v>514</v>
      </c>
      <c r="L174" s="2"/>
      <c r="M174" s="2"/>
      <c r="N174" s="2"/>
      <c r="O174" s="2"/>
      <c r="P174" s="2"/>
      <c r="Q174" s="2"/>
    </row>
    <row r="175" spans="1:17" x14ac:dyDescent="0.25">
      <c r="A175" s="341" t="s">
        <v>11</v>
      </c>
      <c r="B175" s="342"/>
      <c r="C175" s="16">
        <f>GETPIVOTDATA("Phase Net Units",'8b and 8c'!$A$3,"Status","01 Completion","Tenure","Open Market","VNEB",)</f>
        <v>197</v>
      </c>
      <c r="D175" s="17">
        <f t="shared" si="27"/>
        <v>0.3614678899082569</v>
      </c>
      <c r="E175" s="16">
        <f>GETPIVOTDATA("Phase Net Units",'8b and 8c'!$A$3,"Status","01 Completion","Tenure","Intermediate","VNEB",)</f>
        <v>158</v>
      </c>
      <c r="F175" s="19">
        <f t="shared" si="28"/>
        <v>0.45402298850574713</v>
      </c>
      <c r="G175" s="16">
        <f>GETPIVOTDATA("Phase Net Units",'8b and 8c'!$A$3,"Status","01 Completion","Tenure","Social/Affordable Rent","VNEB",)</f>
        <v>190</v>
      </c>
      <c r="H175" s="19">
        <f t="shared" si="29"/>
        <v>0.54597701149425293</v>
      </c>
      <c r="I175" s="16">
        <f t="shared" si="30"/>
        <v>348</v>
      </c>
      <c r="J175" s="19">
        <f t="shared" si="31"/>
        <v>0.63853211009174315</v>
      </c>
      <c r="K175" s="16">
        <f t="shared" si="32"/>
        <v>545</v>
      </c>
      <c r="L175" s="2"/>
      <c r="M175" s="2"/>
      <c r="N175" s="2"/>
      <c r="O175" s="2"/>
      <c r="P175" s="2"/>
      <c r="Q175" s="2"/>
    </row>
    <row r="176" spans="1:17" x14ac:dyDescent="0.25">
      <c r="A176" s="280" t="s">
        <v>49</v>
      </c>
      <c r="B176" s="280"/>
      <c r="C176" s="32">
        <f>SUM(C169:C175)</f>
        <v>3522</v>
      </c>
      <c r="D176" s="20">
        <f t="shared" si="27"/>
        <v>0.72142564522736585</v>
      </c>
      <c r="E176" s="32">
        <f>SUM(E169:E175)</f>
        <v>822</v>
      </c>
      <c r="F176" s="20">
        <f t="shared" si="28"/>
        <v>0.60441176470588232</v>
      </c>
      <c r="G176" s="32">
        <f>SUM(G169:G175)</f>
        <v>538</v>
      </c>
      <c r="H176" s="20">
        <f t="shared" si="29"/>
        <v>0.39558823529411763</v>
      </c>
      <c r="I176" s="32">
        <f>SUM(I169:I175)</f>
        <v>1360</v>
      </c>
      <c r="J176" s="20">
        <f t="shared" si="31"/>
        <v>0.27857435477263415</v>
      </c>
      <c r="K176" s="32">
        <f>SUM(K169:K175)</f>
        <v>4882</v>
      </c>
      <c r="L176" s="2"/>
      <c r="M176" s="2"/>
      <c r="N176" s="2"/>
      <c r="O176" s="2"/>
      <c r="P176" s="2"/>
      <c r="Q176" s="2"/>
    </row>
    <row r="177" spans="1:17" x14ac:dyDescent="0.25">
      <c r="A177" s="57"/>
      <c r="B177" s="2"/>
      <c r="C177" s="2"/>
      <c r="D177" s="2"/>
      <c r="E177" s="2"/>
      <c r="F177" s="2"/>
      <c r="G177" s="2"/>
      <c r="H177" s="2"/>
      <c r="I177" s="2"/>
      <c r="J177" s="2"/>
      <c r="K177" s="2"/>
      <c r="L177" s="2"/>
      <c r="M177" s="2"/>
      <c r="N177" s="2"/>
      <c r="O177" s="2"/>
      <c r="P177" s="2"/>
      <c r="Q177" s="2"/>
    </row>
    <row r="178" spans="1:17" x14ac:dyDescent="0.25">
      <c r="A178" s="105" t="s">
        <v>126</v>
      </c>
      <c r="B178" s="2"/>
      <c r="C178" s="2"/>
      <c r="D178" s="2"/>
      <c r="E178" s="2"/>
      <c r="F178" s="2"/>
      <c r="G178" s="2"/>
      <c r="H178" s="2"/>
      <c r="I178" s="2"/>
      <c r="J178" s="2"/>
      <c r="K178" s="2"/>
      <c r="L178" s="2"/>
      <c r="M178" s="2"/>
      <c r="N178" s="2"/>
      <c r="O178" s="2"/>
      <c r="P178" s="2"/>
      <c r="Q178" s="2"/>
    </row>
    <row r="179" spans="1:17" x14ac:dyDescent="0.25">
      <c r="A179" s="7" t="s">
        <v>127</v>
      </c>
      <c r="B179" s="7" t="s">
        <v>128</v>
      </c>
      <c r="C179" s="3"/>
      <c r="D179" s="3"/>
      <c r="E179" s="3"/>
      <c r="F179" s="3"/>
      <c r="G179" s="3"/>
      <c r="H179" s="2"/>
      <c r="I179" s="2"/>
      <c r="J179" s="2"/>
      <c r="K179" s="2"/>
      <c r="L179" s="2"/>
      <c r="M179" s="2"/>
      <c r="N179" s="2"/>
      <c r="O179" s="2"/>
      <c r="P179" s="2"/>
      <c r="Q179" s="2"/>
    </row>
    <row r="180" spans="1:17" x14ac:dyDescent="0.25">
      <c r="A180" s="278" t="s">
        <v>87</v>
      </c>
      <c r="B180" s="276" t="s">
        <v>61</v>
      </c>
      <c r="C180" s="277"/>
      <c r="D180" s="276" t="s">
        <v>62</v>
      </c>
      <c r="E180" s="277"/>
      <c r="F180" s="276" t="s">
        <v>49</v>
      </c>
      <c r="G180" s="277"/>
      <c r="H180" s="2"/>
      <c r="I180" s="2"/>
      <c r="J180" s="2"/>
      <c r="K180" s="2"/>
      <c r="L180" s="2"/>
      <c r="M180" s="2"/>
      <c r="N180" s="2"/>
      <c r="O180" s="2"/>
      <c r="P180" s="2"/>
      <c r="Q180" s="2"/>
    </row>
    <row r="181" spans="1:17" x14ac:dyDescent="0.25">
      <c r="A181" s="279"/>
      <c r="B181" s="47" t="s">
        <v>82</v>
      </c>
      <c r="C181" s="47" t="s">
        <v>64</v>
      </c>
      <c r="D181" s="47" t="s">
        <v>82</v>
      </c>
      <c r="E181" s="47" t="s">
        <v>64</v>
      </c>
      <c r="F181" s="47" t="s">
        <v>82</v>
      </c>
      <c r="G181" s="47" t="s">
        <v>64</v>
      </c>
      <c r="H181" s="2"/>
      <c r="I181" s="2"/>
      <c r="J181" s="2"/>
      <c r="K181" s="2"/>
      <c r="L181" s="2"/>
      <c r="M181" s="2"/>
      <c r="N181" s="2"/>
      <c r="O181" s="2"/>
      <c r="P181" s="2"/>
      <c r="Q181" s="2"/>
    </row>
    <row r="182" spans="1:17" x14ac:dyDescent="0.25">
      <c r="A182" s="69" t="s">
        <v>91</v>
      </c>
      <c r="B182" s="16">
        <v>1121</v>
      </c>
      <c r="C182" s="16">
        <v>1080</v>
      </c>
      <c r="D182" s="16">
        <v>401</v>
      </c>
      <c r="E182" s="16">
        <v>198</v>
      </c>
      <c r="F182" s="16">
        <v>1522</v>
      </c>
      <c r="G182" s="16">
        <v>1278</v>
      </c>
      <c r="H182" s="2"/>
      <c r="I182" s="2"/>
      <c r="J182" s="2"/>
      <c r="K182" s="2"/>
      <c r="L182" s="2"/>
      <c r="M182" s="2"/>
      <c r="N182" s="2"/>
      <c r="O182" s="2"/>
      <c r="P182" s="2"/>
      <c r="Q182" s="2"/>
    </row>
    <row r="183" spans="1:17" x14ac:dyDescent="0.25">
      <c r="A183" s="69" t="s">
        <v>92</v>
      </c>
      <c r="B183" s="16">
        <v>885</v>
      </c>
      <c r="C183" s="16">
        <v>840</v>
      </c>
      <c r="D183" s="16">
        <v>385</v>
      </c>
      <c r="E183" s="16">
        <v>191</v>
      </c>
      <c r="F183" s="16">
        <v>1270</v>
      </c>
      <c r="G183" s="16">
        <v>1031</v>
      </c>
      <c r="H183" s="2"/>
      <c r="I183" s="2"/>
      <c r="J183" s="2"/>
      <c r="K183" s="2"/>
      <c r="L183" s="2"/>
      <c r="M183" s="2"/>
      <c r="N183" s="2"/>
      <c r="O183" s="2"/>
      <c r="P183" s="2"/>
      <c r="Q183" s="2"/>
    </row>
    <row r="184" spans="1:17" x14ac:dyDescent="0.25">
      <c r="A184" s="69" t="s">
        <v>93</v>
      </c>
      <c r="B184" s="16">
        <v>1425</v>
      </c>
      <c r="C184" s="16">
        <v>1385</v>
      </c>
      <c r="D184" s="16">
        <v>430</v>
      </c>
      <c r="E184" s="16">
        <v>175</v>
      </c>
      <c r="F184" s="16">
        <v>1855</v>
      </c>
      <c r="G184" s="16">
        <v>1560</v>
      </c>
      <c r="H184" s="2"/>
      <c r="I184" s="2"/>
      <c r="J184" s="2"/>
      <c r="K184" s="2"/>
      <c r="L184" s="2"/>
      <c r="M184" s="2"/>
      <c r="N184" s="2"/>
      <c r="O184" s="2"/>
      <c r="P184" s="2"/>
      <c r="Q184" s="2"/>
    </row>
    <row r="185" spans="1:17" x14ac:dyDescent="0.25">
      <c r="A185" s="69" t="s">
        <v>94</v>
      </c>
      <c r="B185" s="16">
        <v>1466</v>
      </c>
      <c r="C185" s="16">
        <v>1413</v>
      </c>
      <c r="D185" s="16">
        <v>279</v>
      </c>
      <c r="E185" s="16">
        <v>126</v>
      </c>
      <c r="F185" s="16">
        <v>1745</v>
      </c>
      <c r="G185" s="16">
        <v>1539</v>
      </c>
      <c r="H185" s="2"/>
      <c r="I185" s="2"/>
      <c r="J185" s="2"/>
      <c r="K185" s="2"/>
      <c r="L185" s="2"/>
      <c r="M185" s="2"/>
      <c r="N185" s="2"/>
      <c r="O185" s="2"/>
      <c r="P185" s="2"/>
      <c r="Q185" s="2"/>
    </row>
    <row r="186" spans="1:17" x14ac:dyDescent="0.25">
      <c r="A186" s="69" t="s">
        <v>95</v>
      </c>
      <c r="B186" s="16">
        <v>375</v>
      </c>
      <c r="C186" s="16">
        <v>340</v>
      </c>
      <c r="D186" s="16">
        <v>295</v>
      </c>
      <c r="E186" s="16">
        <v>141</v>
      </c>
      <c r="F186" s="16">
        <v>670</v>
      </c>
      <c r="G186" s="16">
        <v>481</v>
      </c>
      <c r="H186" s="2"/>
      <c r="I186" s="2"/>
      <c r="J186" s="2"/>
      <c r="K186" s="2"/>
      <c r="L186" s="2"/>
      <c r="M186" s="2"/>
      <c r="N186" s="2"/>
      <c r="O186" s="2"/>
      <c r="P186" s="2"/>
      <c r="Q186" s="2"/>
    </row>
    <row r="187" spans="1:17" x14ac:dyDescent="0.25">
      <c r="A187" s="69" t="s">
        <v>96</v>
      </c>
      <c r="B187" s="16">
        <v>889</v>
      </c>
      <c r="C187" s="16">
        <v>851</v>
      </c>
      <c r="D187" s="16">
        <v>250</v>
      </c>
      <c r="E187" s="16">
        <v>128</v>
      </c>
      <c r="F187" s="16">
        <v>1139</v>
      </c>
      <c r="G187" s="16">
        <v>979</v>
      </c>
      <c r="H187" s="2"/>
      <c r="I187" s="2"/>
      <c r="J187" s="2"/>
      <c r="K187" s="2"/>
      <c r="L187" s="2"/>
      <c r="M187" s="2"/>
      <c r="N187" s="2"/>
      <c r="O187" s="2"/>
      <c r="P187" s="2"/>
      <c r="Q187" s="2"/>
    </row>
    <row r="188" spans="1:17" x14ac:dyDescent="0.25">
      <c r="A188" s="69" t="s">
        <v>97</v>
      </c>
      <c r="B188" s="16">
        <v>854</v>
      </c>
      <c r="C188" s="16">
        <v>721</v>
      </c>
      <c r="D188" s="16">
        <v>242</v>
      </c>
      <c r="E188" s="16">
        <v>121</v>
      </c>
      <c r="F188" s="16">
        <v>1096</v>
      </c>
      <c r="G188" s="16">
        <v>842</v>
      </c>
      <c r="H188" s="2"/>
      <c r="I188" s="2"/>
      <c r="J188" s="2"/>
      <c r="K188" s="2"/>
      <c r="L188" s="2"/>
      <c r="M188" s="2"/>
      <c r="N188" s="2"/>
      <c r="O188" s="2"/>
      <c r="P188" s="2"/>
      <c r="Q188" s="2"/>
    </row>
    <row r="189" spans="1:17" x14ac:dyDescent="0.25">
      <c r="A189" s="69" t="s">
        <v>98</v>
      </c>
      <c r="B189" s="16">
        <v>1098</v>
      </c>
      <c r="C189" s="16">
        <v>1079</v>
      </c>
      <c r="D189" s="16">
        <v>226</v>
      </c>
      <c r="E189" s="16">
        <v>118</v>
      </c>
      <c r="F189" s="16">
        <v>1324</v>
      </c>
      <c r="G189" s="16">
        <v>1197</v>
      </c>
      <c r="H189" s="2"/>
      <c r="I189" s="2"/>
      <c r="J189" s="2"/>
      <c r="K189" s="2"/>
      <c r="L189" s="2"/>
      <c r="M189" s="2"/>
      <c r="N189" s="2"/>
      <c r="O189" s="2"/>
      <c r="P189" s="2"/>
      <c r="Q189" s="2"/>
    </row>
    <row r="190" spans="1:17" x14ac:dyDescent="0.25">
      <c r="A190" s="69" t="s">
        <v>99</v>
      </c>
      <c r="B190" s="16">
        <v>868</v>
      </c>
      <c r="C190" s="16">
        <v>812</v>
      </c>
      <c r="D190" s="16">
        <v>217</v>
      </c>
      <c r="E190" s="16">
        <v>124</v>
      </c>
      <c r="F190" s="16">
        <v>1085</v>
      </c>
      <c r="G190" s="16">
        <v>936</v>
      </c>
      <c r="H190" s="2"/>
      <c r="I190" s="2"/>
      <c r="J190" s="2"/>
      <c r="K190" s="2"/>
      <c r="L190" s="2"/>
      <c r="M190" s="2"/>
      <c r="N190" s="2"/>
      <c r="O190" s="2"/>
      <c r="P190" s="2"/>
      <c r="Q190" s="2"/>
    </row>
    <row r="191" spans="1:17" x14ac:dyDescent="0.25">
      <c r="A191" s="69" t="s">
        <v>100</v>
      </c>
      <c r="B191" s="16">
        <v>2753</v>
      </c>
      <c r="C191" s="16">
        <v>2639</v>
      </c>
      <c r="D191" s="16">
        <v>224</v>
      </c>
      <c r="E191" s="16">
        <v>137</v>
      </c>
      <c r="F191" s="16">
        <v>2977</v>
      </c>
      <c r="G191" s="16">
        <v>2776</v>
      </c>
      <c r="H191" s="2"/>
      <c r="I191" s="2"/>
      <c r="J191" s="2"/>
      <c r="K191" s="2"/>
      <c r="L191" s="2"/>
      <c r="M191" s="2"/>
      <c r="N191" s="2"/>
      <c r="O191" s="2"/>
      <c r="P191" s="2"/>
      <c r="Q191" s="2"/>
    </row>
    <row r="192" spans="1:17" x14ac:dyDescent="0.25">
      <c r="A192" s="69" t="s">
        <v>101</v>
      </c>
      <c r="B192" s="16">
        <v>2047</v>
      </c>
      <c r="C192" s="16">
        <v>1968</v>
      </c>
      <c r="D192" s="16">
        <v>478</v>
      </c>
      <c r="E192" s="16">
        <v>377</v>
      </c>
      <c r="F192" s="16">
        <v>2525</v>
      </c>
      <c r="G192" s="16">
        <v>2345</v>
      </c>
      <c r="H192" s="2"/>
      <c r="I192" s="2"/>
      <c r="J192" s="2"/>
      <c r="K192" s="2"/>
      <c r="L192" s="2"/>
      <c r="M192" s="2"/>
      <c r="N192" s="2"/>
      <c r="O192" s="2"/>
      <c r="P192" s="2"/>
      <c r="Q192" s="2"/>
    </row>
    <row r="193" spans="1:17" x14ac:dyDescent="0.25">
      <c r="A193" s="69" t="s">
        <v>102</v>
      </c>
      <c r="B193" s="16">
        <v>1943</v>
      </c>
      <c r="C193" s="16">
        <v>1912</v>
      </c>
      <c r="D193" s="16">
        <v>356</v>
      </c>
      <c r="E193" s="16">
        <v>124</v>
      </c>
      <c r="F193" s="16">
        <v>2299</v>
      </c>
      <c r="G193" s="16">
        <v>2036</v>
      </c>
      <c r="H193" s="2"/>
      <c r="I193" s="2"/>
      <c r="J193" s="2"/>
      <c r="K193" s="2"/>
      <c r="L193" s="2"/>
      <c r="M193" s="2"/>
      <c r="N193" s="2"/>
      <c r="O193" s="2"/>
      <c r="P193" s="2"/>
      <c r="Q193" s="2"/>
    </row>
    <row r="194" spans="1:17" x14ac:dyDescent="0.25">
      <c r="A194" s="69" t="s">
        <v>53</v>
      </c>
      <c r="B194" s="16">
        <v>1672</v>
      </c>
      <c r="C194" s="16">
        <v>1623</v>
      </c>
      <c r="D194" s="16">
        <v>342</v>
      </c>
      <c r="E194" s="16">
        <v>228</v>
      </c>
      <c r="F194" s="16">
        <v>2014</v>
      </c>
      <c r="G194" s="16">
        <v>1851</v>
      </c>
      <c r="H194" s="2"/>
      <c r="I194" s="2"/>
      <c r="J194" s="2"/>
      <c r="K194" s="2"/>
      <c r="L194" s="2"/>
      <c r="M194" s="2"/>
      <c r="N194" s="2"/>
      <c r="O194" s="2"/>
      <c r="P194" s="2"/>
      <c r="Q194" s="2"/>
    </row>
    <row r="195" spans="1:17" x14ac:dyDescent="0.25">
      <c r="A195" s="69" t="s">
        <v>54</v>
      </c>
      <c r="B195" s="16">
        <v>1096</v>
      </c>
      <c r="C195" s="16">
        <v>1071</v>
      </c>
      <c r="D195" s="16">
        <v>325</v>
      </c>
      <c r="E195" s="16">
        <v>259</v>
      </c>
      <c r="F195" s="16">
        <v>1421</v>
      </c>
      <c r="G195" s="16">
        <v>1330</v>
      </c>
      <c r="H195" s="2"/>
      <c r="I195" s="2"/>
      <c r="J195" s="2"/>
      <c r="K195" s="2"/>
      <c r="L195" s="2"/>
      <c r="M195" s="2"/>
      <c r="N195" s="2"/>
      <c r="O195" s="2"/>
      <c r="P195" s="2"/>
      <c r="Q195" s="2"/>
    </row>
    <row r="196" spans="1:17" x14ac:dyDescent="0.25">
      <c r="A196" s="69" t="s">
        <v>55</v>
      </c>
      <c r="B196" s="16">
        <v>1230</v>
      </c>
      <c r="C196" s="16">
        <v>1214</v>
      </c>
      <c r="D196" s="16">
        <v>245</v>
      </c>
      <c r="E196" s="16">
        <v>185</v>
      </c>
      <c r="F196" s="16">
        <v>1475</v>
      </c>
      <c r="G196" s="16">
        <v>1399</v>
      </c>
      <c r="H196" s="2"/>
      <c r="I196" s="2"/>
      <c r="J196" s="2"/>
      <c r="K196" s="2"/>
      <c r="L196" s="2"/>
      <c r="M196" s="2"/>
      <c r="N196" s="2"/>
      <c r="O196" s="2"/>
      <c r="P196" s="2"/>
      <c r="Q196" s="2"/>
    </row>
    <row r="197" spans="1:17" x14ac:dyDescent="0.25">
      <c r="A197" s="69" t="s">
        <v>10</v>
      </c>
      <c r="B197" s="16">
        <v>1527</v>
      </c>
      <c r="C197" s="16">
        <v>1509</v>
      </c>
      <c r="D197" s="16">
        <v>531</v>
      </c>
      <c r="E197" s="16">
        <v>450</v>
      </c>
      <c r="F197" s="16">
        <v>2058</v>
      </c>
      <c r="G197" s="16">
        <v>1959</v>
      </c>
      <c r="H197" s="2"/>
      <c r="I197" s="2"/>
      <c r="J197" s="2"/>
      <c r="K197" s="2"/>
      <c r="L197" s="2"/>
      <c r="M197" s="2"/>
      <c r="N197" s="2"/>
      <c r="O197" s="2"/>
      <c r="P197" s="2"/>
      <c r="Q197" s="2"/>
    </row>
    <row r="198" spans="1:17" x14ac:dyDescent="0.25">
      <c r="A198" s="71" t="s">
        <v>11</v>
      </c>
      <c r="B198" s="18">
        <f>GETPIVOTDATA("Sum of Phase Proposed Units",'2 NB'!$A$4,"Status","01 Completion")</f>
        <v>1933</v>
      </c>
      <c r="C198" s="18">
        <f>GETPIVOTDATA("Sum of Phase Net Units",'2 NB'!$A$4,"Status","01 Completion")</f>
        <v>1761</v>
      </c>
      <c r="D198" s="18">
        <f>GETPIVOTDATA("Sum of Phase Proposed Units",'2 CON'!$A$4,"Status","01 Completion")</f>
        <v>363</v>
      </c>
      <c r="E198" s="18">
        <f>GETPIVOTDATA("Sum of Phase Net Units",'2 CON'!$A$4,"Status","01 Completion")</f>
        <v>238</v>
      </c>
      <c r="F198" s="18">
        <f>B198+D198</f>
        <v>2296</v>
      </c>
      <c r="G198" s="18">
        <f>C198+E198</f>
        <v>1999</v>
      </c>
      <c r="H198" s="2"/>
      <c r="I198" s="2"/>
      <c r="J198" s="2"/>
      <c r="K198" s="2"/>
      <c r="L198" s="2"/>
      <c r="M198" s="2"/>
      <c r="N198" s="2"/>
      <c r="O198" s="2"/>
      <c r="P198" s="2"/>
      <c r="Q198" s="2"/>
    </row>
    <row r="199" spans="1:17" x14ac:dyDescent="0.25">
      <c r="A199" s="48" t="s">
        <v>49</v>
      </c>
      <c r="B199" s="32">
        <f t="shared" ref="B199:G199" si="33">SUM(B182:B198)</f>
        <v>23182</v>
      </c>
      <c r="C199" s="32">
        <f t="shared" si="33"/>
        <v>22218</v>
      </c>
      <c r="D199" s="32">
        <f t="shared" si="33"/>
        <v>5589</v>
      </c>
      <c r="E199" s="32">
        <f t="shared" si="33"/>
        <v>3320</v>
      </c>
      <c r="F199" s="32">
        <f t="shared" si="33"/>
        <v>28771</v>
      </c>
      <c r="G199" s="32">
        <f t="shared" si="33"/>
        <v>25538</v>
      </c>
      <c r="H199" s="2"/>
      <c r="I199" s="2"/>
      <c r="J199" s="2"/>
      <c r="K199" s="2"/>
      <c r="L199" s="2"/>
      <c r="M199" s="2"/>
      <c r="N199" s="2"/>
      <c r="O199" s="2"/>
      <c r="P199" s="2"/>
      <c r="Q199" s="2"/>
    </row>
    <row r="200" spans="1:17" x14ac:dyDescent="0.25">
      <c r="A200" s="58"/>
      <c r="B200" s="12"/>
      <c r="C200" s="12"/>
      <c r="D200" s="12"/>
      <c r="E200" s="12"/>
      <c r="F200" s="12"/>
      <c r="G200" s="12"/>
      <c r="H200" s="2"/>
      <c r="I200" s="2"/>
      <c r="J200" s="2"/>
      <c r="K200" s="2"/>
      <c r="L200" s="2"/>
      <c r="M200" s="2"/>
      <c r="N200" s="2"/>
      <c r="O200" s="2"/>
      <c r="P200" s="2"/>
      <c r="Q200" s="2"/>
    </row>
    <row r="201" spans="1:17" ht="15.6" x14ac:dyDescent="0.3">
      <c r="A201" s="107" t="s">
        <v>107</v>
      </c>
      <c r="B201" s="3"/>
      <c r="C201" s="3"/>
      <c r="D201" s="3"/>
      <c r="E201" s="3"/>
      <c r="F201" s="3"/>
      <c r="G201" s="3"/>
      <c r="H201" s="2"/>
      <c r="I201" s="2"/>
      <c r="J201" s="2"/>
      <c r="K201" s="2"/>
      <c r="L201" s="3"/>
      <c r="M201" s="3"/>
      <c r="N201" s="3"/>
      <c r="O201" s="3"/>
      <c r="P201" s="2"/>
      <c r="Q201" s="2"/>
    </row>
    <row r="202" spans="1:17" x14ac:dyDescent="0.25">
      <c r="B202" s="2"/>
      <c r="C202" s="2"/>
      <c r="D202" s="2"/>
      <c r="E202" s="2"/>
      <c r="F202" s="2"/>
      <c r="G202" s="2"/>
      <c r="H202" s="2"/>
      <c r="I202" s="2"/>
      <c r="J202" s="2"/>
      <c r="K202" s="2"/>
      <c r="L202" s="3"/>
      <c r="M202" s="3"/>
      <c r="N202" s="3"/>
      <c r="O202" s="3"/>
      <c r="P202" s="2"/>
      <c r="Q202" s="2"/>
    </row>
    <row r="203" spans="1:17" x14ac:dyDescent="0.25">
      <c r="A203" s="7" t="s">
        <v>129</v>
      </c>
      <c r="B203" s="7" t="s">
        <v>130</v>
      </c>
      <c r="C203" s="3"/>
      <c r="D203" s="3"/>
      <c r="E203" s="3"/>
      <c r="F203" s="3"/>
      <c r="G203" s="3"/>
      <c r="H203" s="3"/>
      <c r="I203" s="3"/>
      <c r="J203" s="3"/>
      <c r="K203" s="3"/>
      <c r="L203" s="3"/>
      <c r="M203" s="3"/>
      <c r="N203" s="3"/>
      <c r="O203" s="3"/>
      <c r="P203" s="2"/>
      <c r="Q203" s="2"/>
    </row>
    <row r="204" spans="1:17" x14ac:dyDescent="0.25">
      <c r="A204" s="278" t="s">
        <v>87</v>
      </c>
      <c r="B204" s="275" t="s">
        <v>77</v>
      </c>
      <c r="C204" s="275"/>
      <c r="D204" s="275" t="s">
        <v>56</v>
      </c>
      <c r="E204" s="275"/>
      <c r="F204" s="275" t="s">
        <v>57</v>
      </c>
      <c r="G204" s="275"/>
      <c r="H204" s="275" t="s">
        <v>80</v>
      </c>
      <c r="I204" s="275"/>
      <c r="J204" s="47" t="s">
        <v>49</v>
      </c>
      <c r="K204" s="3"/>
      <c r="L204" s="3"/>
      <c r="M204" s="3"/>
      <c r="N204" s="3"/>
      <c r="O204" s="3"/>
      <c r="P204" s="2"/>
      <c r="Q204" s="2"/>
    </row>
    <row r="205" spans="1:17" x14ac:dyDescent="0.25">
      <c r="A205" s="279"/>
      <c r="B205" s="47" t="s">
        <v>117</v>
      </c>
      <c r="C205" s="47" t="s">
        <v>118</v>
      </c>
      <c r="D205" s="47" t="s">
        <v>117</v>
      </c>
      <c r="E205" s="47" t="s">
        <v>118</v>
      </c>
      <c r="F205" s="47" t="s">
        <v>117</v>
      </c>
      <c r="G205" s="47" t="s">
        <v>118</v>
      </c>
      <c r="H205" s="47" t="s">
        <v>117</v>
      </c>
      <c r="I205" s="47" t="s">
        <v>118</v>
      </c>
      <c r="J205" s="47" t="s">
        <v>117</v>
      </c>
      <c r="K205" s="3"/>
      <c r="L205" s="3"/>
      <c r="M205" s="3"/>
      <c r="N205" s="3"/>
      <c r="O205" s="3"/>
      <c r="P205" s="2"/>
      <c r="Q205" s="2"/>
    </row>
    <row r="206" spans="1:17" x14ac:dyDescent="0.25">
      <c r="A206" s="69" t="s">
        <v>91</v>
      </c>
      <c r="B206" s="16">
        <v>1300</v>
      </c>
      <c r="C206" s="17">
        <v>0.67567567567567566</v>
      </c>
      <c r="D206" s="16">
        <v>548</v>
      </c>
      <c r="E206" s="17">
        <v>0.28482328482328484</v>
      </c>
      <c r="F206" s="16">
        <v>76</v>
      </c>
      <c r="G206" s="17">
        <v>3.9501039501039503E-2</v>
      </c>
      <c r="H206" s="16">
        <v>624</v>
      </c>
      <c r="I206" s="17">
        <v>0.32432432432432434</v>
      </c>
      <c r="J206" s="16">
        <v>1924</v>
      </c>
      <c r="K206" s="3"/>
      <c r="L206" s="3"/>
      <c r="M206" s="3"/>
      <c r="N206" s="3"/>
      <c r="O206" s="3"/>
      <c r="P206" s="2"/>
      <c r="Q206" s="2"/>
    </row>
    <row r="207" spans="1:17" x14ac:dyDescent="0.25">
      <c r="A207" s="69" t="s">
        <v>92</v>
      </c>
      <c r="B207" s="16">
        <v>974</v>
      </c>
      <c r="C207" s="17">
        <v>0.59535452322738391</v>
      </c>
      <c r="D207" s="16">
        <v>609</v>
      </c>
      <c r="E207" s="17">
        <v>0.37224938875305624</v>
      </c>
      <c r="F207" s="16">
        <v>53</v>
      </c>
      <c r="G207" s="17">
        <v>3.2396088019559899E-2</v>
      </c>
      <c r="H207" s="16">
        <v>662</v>
      </c>
      <c r="I207" s="17">
        <v>0.40464547677261614</v>
      </c>
      <c r="J207" s="16">
        <v>1636</v>
      </c>
      <c r="K207" s="3"/>
      <c r="L207" s="3"/>
      <c r="M207" s="3"/>
      <c r="N207" s="3"/>
      <c r="O207" s="3"/>
      <c r="P207" s="2"/>
      <c r="Q207" s="2"/>
    </row>
    <row r="208" spans="1:17" x14ac:dyDescent="0.25">
      <c r="A208" s="69" t="s">
        <v>93</v>
      </c>
      <c r="B208" s="16">
        <v>482</v>
      </c>
      <c r="C208" s="17">
        <v>0.80199667221297832</v>
      </c>
      <c r="D208" s="16">
        <v>116</v>
      </c>
      <c r="E208" s="17">
        <v>0.1930116472545757</v>
      </c>
      <c r="F208" s="16">
        <v>3</v>
      </c>
      <c r="G208" s="17">
        <v>4.9916805324459234E-3</v>
      </c>
      <c r="H208" s="16">
        <v>119</v>
      </c>
      <c r="I208" s="17">
        <v>0.19800332778702162</v>
      </c>
      <c r="J208" s="16">
        <v>601</v>
      </c>
      <c r="K208" s="3"/>
      <c r="L208" s="3"/>
      <c r="M208" s="3"/>
      <c r="N208" s="3"/>
      <c r="O208" s="3"/>
      <c r="P208" s="2"/>
      <c r="Q208" s="2"/>
    </row>
    <row r="209" spans="1:17" x14ac:dyDescent="0.25">
      <c r="A209" s="69" t="s">
        <v>94</v>
      </c>
      <c r="B209" s="16">
        <v>358</v>
      </c>
      <c r="C209" s="17">
        <v>0.77489177489177485</v>
      </c>
      <c r="D209" s="16">
        <v>63</v>
      </c>
      <c r="E209" s="17">
        <v>0.13636363636363635</v>
      </c>
      <c r="F209" s="16">
        <v>41</v>
      </c>
      <c r="G209" s="17">
        <v>8.8744588744588751E-2</v>
      </c>
      <c r="H209" s="16">
        <v>104</v>
      </c>
      <c r="I209" s="17">
        <v>0.22510822510822501</v>
      </c>
      <c r="J209" s="16">
        <v>462</v>
      </c>
      <c r="K209" s="3"/>
      <c r="L209" s="3"/>
      <c r="M209" s="3"/>
      <c r="N209" s="3"/>
      <c r="O209" s="3"/>
      <c r="P209" s="2"/>
      <c r="Q209" s="2"/>
    </row>
    <row r="210" spans="1:17" x14ac:dyDescent="0.25">
      <c r="A210" s="69" t="s">
        <v>95</v>
      </c>
      <c r="B210" s="16">
        <v>1127</v>
      </c>
      <c r="C210" s="17">
        <v>0.73708306082406805</v>
      </c>
      <c r="D210" s="16">
        <v>215</v>
      </c>
      <c r="E210" s="17">
        <v>0.1406147809025507</v>
      </c>
      <c r="F210" s="16">
        <v>187</v>
      </c>
      <c r="G210" s="17">
        <v>0.1223021582733813</v>
      </c>
      <c r="H210" s="16">
        <v>402</v>
      </c>
      <c r="I210" s="17">
        <v>0.26291693917593201</v>
      </c>
      <c r="J210" s="16">
        <v>1529</v>
      </c>
      <c r="K210" s="2"/>
      <c r="L210" s="2"/>
      <c r="M210" s="2"/>
      <c r="N210" s="2"/>
      <c r="O210" s="2"/>
      <c r="P210" s="2"/>
      <c r="Q210" s="2"/>
    </row>
    <row r="211" spans="1:17" x14ac:dyDescent="0.25">
      <c r="A211" s="69" t="s">
        <v>96</v>
      </c>
      <c r="B211" s="16">
        <v>1728</v>
      </c>
      <c r="C211" s="17">
        <v>0.8</v>
      </c>
      <c r="D211" s="16">
        <v>302</v>
      </c>
      <c r="E211" s="17">
        <v>0.13981481481481481</v>
      </c>
      <c r="F211" s="16">
        <v>130</v>
      </c>
      <c r="G211" s="17">
        <v>6.0185185185185182E-2</v>
      </c>
      <c r="H211" s="16">
        <v>432</v>
      </c>
      <c r="I211" s="17">
        <v>0.2</v>
      </c>
      <c r="J211" s="16">
        <v>2160</v>
      </c>
      <c r="K211" s="2"/>
      <c r="L211" s="2"/>
      <c r="M211" s="2"/>
      <c r="N211" s="2"/>
      <c r="O211" s="2"/>
      <c r="P211" s="2"/>
      <c r="Q211" s="2"/>
    </row>
    <row r="212" spans="1:17" x14ac:dyDescent="0.25">
      <c r="A212" s="69" t="s">
        <v>97</v>
      </c>
      <c r="B212" s="16">
        <v>1075</v>
      </c>
      <c r="C212" s="17">
        <v>0.89807852965747703</v>
      </c>
      <c r="D212" s="16">
        <v>149</v>
      </c>
      <c r="E212" s="17">
        <v>0.12447786131996658</v>
      </c>
      <c r="F212" s="16">
        <v>-27</v>
      </c>
      <c r="G212" s="17">
        <v>-2.2556390977443608E-2</v>
      </c>
      <c r="H212" s="16">
        <v>122</v>
      </c>
      <c r="I212" s="17">
        <v>0.10192147034252297</v>
      </c>
      <c r="J212" s="16">
        <v>1197</v>
      </c>
      <c r="K212" s="3"/>
      <c r="L212" s="3"/>
      <c r="M212" s="3"/>
      <c r="N212" s="3"/>
      <c r="O212" s="3"/>
      <c r="P212" s="2"/>
      <c r="Q212" s="2"/>
    </row>
    <row r="213" spans="1:17" x14ac:dyDescent="0.25">
      <c r="A213" s="69" t="s">
        <v>98</v>
      </c>
      <c r="B213" s="98">
        <v>2053</v>
      </c>
      <c r="C213" s="137">
        <v>0.85827759197324416</v>
      </c>
      <c r="D213" s="98">
        <v>223</v>
      </c>
      <c r="E213" s="137">
        <v>9.3227424749163873E-2</v>
      </c>
      <c r="F213" s="98">
        <v>116</v>
      </c>
      <c r="G213" s="137">
        <v>4.8494983277591976E-2</v>
      </c>
      <c r="H213" s="98">
        <v>339</v>
      </c>
      <c r="I213" s="137">
        <v>0.14172240802675584</v>
      </c>
      <c r="J213" s="98">
        <v>2392</v>
      </c>
      <c r="K213" s="2"/>
      <c r="L213" s="2"/>
      <c r="M213" s="2"/>
      <c r="N213" s="2"/>
      <c r="O213" s="2"/>
      <c r="P213" s="2"/>
      <c r="Q213" s="2"/>
    </row>
    <row r="214" spans="1:17" x14ac:dyDescent="0.25">
      <c r="A214" s="69" t="s">
        <v>99</v>
      </c>
      <c r="B214" s="16">
        <v>914</v>
      </c>
      <c r="C214" s="17">
        <v>0.80599647266313934</v>
      </c>
      <c r="D214" s="16">
        <v>196</v>
      </c>
      <c r="E214" s="17">
        <v>0.1728395061728395</v>
      </c>
      <c r="F214" s="16">
        <v>24</v>
      </c>
      <c r="G214" s="17">
        <v>2.1164021164021163E-2</v>
      </c>
      <c r="H214" s="16">
        <v>220</v>
      </c>
      <c r="I214" s="17">
        <v>0.19400352733686066</v>
      </c>
      <c r="J214" s="16">
        <v>1134</v>
      </c>
      <c r="K214" s="2"/>
      <c r="L214" s="2"/>
      <c r="M214" s="2"/>
      <c r="N214" s="2"/>
      <c r="O214" s="2"/>
      <c r="P214" s="2"/>
      <c r="Q214" s="2"/>
    </row>
    <row r="215" spans="1:17" x14ac:dyDescent="0.25">
      <c r="A215" s="69" t="s">
        <v>100</v>
      </c>
      <c r="B215" s="16">
        <v>1686</v>
      </c>
      <c r="C215" s="17">
        <v>0.87675507020280807</v>
      </c>
      <c r="D215" s="16">
        <v>146</v>
      </c>
      <c r="E215" s="17">
        <v>7.5923036921476852E-2</v>
      </c>
      <c r="F215" s="16">
        <v>91</v>
      </c>
      <c r="G215" s="17">
        <v>4.7321892875715026E-2</v>
      </c>
      <c r="H215" s="16">
        <v>237</v>
      </c>
      <c r="I215" s="17">
        <v>0.12324492979719189</v>
      </c>
      <c r="J215" s="16">
        <v>1923</v>
      </c>
      <c r="K215" s="3"/>
      <c r="L215" s="3"/>
      <c r="M215" s="3"/>
      <c r="N215" s="3"/>
      <c r="O215" s="3"/>
      <c r="P215" s="2"/>
      <c r="Q215" s="2"/>
    </row>
    <row r="216" spans="1:17" x14ac:dyDescent="0.25">
      <c r="A216" s="69" t="s">
        <v>101</v>
      </c>
      <c r="B216" s="16">
        <v>2776</v>
      </c>
      <c r="C216" s="17">
        <v>0.85652576365319344</v>
      </c>
      <c r="D216" s="16">
        <v>233</v>
      </c>
      <c r="E216" s="17">
        <v>7.1891391545819194E-2</v>
      </c>
      <c r="F216" s="16">
        <v>232</v>
      </c>
      <c r="G216" s="17">
        <v>7.1582844800987352E-2</v>
      </c>
      <c r="H216" s="16">
        <v>465</v>
      </c>
      <c r="I216" s="17">
        <v>0.14347423634680653</v>
      </c>
      <c r="J216" s="16">
        <v>3241</v>
      </c>
      <c r="K216" s="3"/>
      <c r="L216" s="3"/>
      <c r="M216" s="3"/>
      <c r="N216" s="3"/>
      <c r="O216" s="3"/>
      <c r="P216" s="2"/>
      <c r="Q216" s="2"/>
    </row>
    <row r="217" spans="1:17" x14ac:dyDescent="0.25">
      <c r="A217" s="69" t="s">
        <v>102</v>
      </c>
      <c r="B217" s="16">
        <v>1669</v>
      </c>
      <c r="C217" s="17">
        <f t="shared" ref="C217:C223" si="34">B217/J217</f>
        <v>0.79476190476190478</v>
      </c>
      <c r="D217" s="16">
        <v>269</v>
      </c>
      <c r="E217" s="17">
        <f t="shared" ref="E217:E223" si="35">D217/J217</f>
        <v>0.1280952380952381</v>
      </c>
      <c r="F217" s="16">
        <v>162</v>
      </c>
      <c r="G217" s="17">
        <f t="shared" ref="G217:G223" si="36">F217/J217</f>
        <v>7.7142857142857138E-2</v>
      </c>
      <c r="H217" s="16">
        <f>F217+D217</f>
        <v>431</v>
      </c>
      <c r="I217" s="17">
        <f t="shared" ref="I217:I223" si="37">H217/J217</f>
        <v>0.20523809523809525</v>
      </c>
      <c r="J217" s="16">
        <f>H217+B217</f>
        <v>2100</v>
      </c>
      <c r="K217" s="3"/>
      <c r="L217" s="3"/>
      <c r="M217" s="3"/>
      <c r="N217" s="3"/>
      <c r="O217" s="3"/>
      <c r="P217" s="2"/>
      <c r="Q217" s="2"/>
    </row>
    <row r="218" spans="1:17" x14ac:dyDescent="0.25">
      <c r="A218" s="69" t="s">
        <v>53</v>
      </c>
      <c r="B218" s="16">
        <v>1276</v>
      </c>
      <c r="C218" s="17">
        <f t="shared" si="34"/>
        <v>0.68675995694294945</v>
      </c>
      <c r="D218" s="16">
        <v>509</v>
      </c>
      <c r="E218" s="17">
        <f t="shared" si="35"/>
        <v>0.27395048439181918</v>
      </c>
      <c r="F218" s="16">
        <v>73</v>
      </c>
      <c r="G218" s="17">
        <f t="shared" si="36"/>
        <v>3.9289558665231435E-2</v>
      </c>
      <c r="H218" s="16">
        <f>F218+D218</f>
        <v>582</v>
      </c>
      <c r="I218" s="17">
        <f t="shared" si="37"/>
        <v>0.31324004305705061</v>
      </c>
      <c r="J218" s="16">
        <f>H218+B218</f>
        <v>1858</v>
      </c>
      <c r="K218" s="3"/>
      <c r="L218" s="3"/>
      <c r="M218" s="3"/>
      <c r="N218" s="3"/>
      <c r="O218" s="3"/>
      <c r="P218" s="2"/>
      <c r="Q218" s="2"/>
    </row>
    <row r="219" spans="1:17" x14ac:dyDescent="0.25">
      <c r="A219" s="69" t="s">
        <v>54</v>
      </c>
      <c r="B219" s="16">
        <v>2884</v>
      </c>
      <c r="C219" s="17">
        <f t="shared" si="34"/>
        <v>0.74176954732510292</v>
      </c>
      <c r="D219" s="16">
        <v>528</v>
      </c>
      <c r="E219" s="17">
        <f t="shared" si="35"/>
        <v>0.13580246913580246</v>
      </c>
      <c r="F219" s="16">
        <v>476</v>
      </c>
      <c r="G219" s="17">
        <f t="shared" si="36"/>
        <v>0.12242798353909465</v>
      </c>
      <c r="H219" s="16">
        <v>1004</v>
      </c>
      <c r="I219" s="17">
        <f t="shared" si="37"/>
        <v>0.25823045267489714</v>
      </c>
      <c r="J219" s="16">
        <f>H219+B219</f>
        <v>3888</v>
      </c>
      <c r="K219" s="3"/>
      <c r="L219" s="3"/>
      <c r="M219" s="3"/>
      <c r="N219" s="3"/>
      <c r="O219" s="3"/>
      <c r="P219" s="2"/>
      <c r="Q219" s="2"/>
    </row>
    <row r="220" spans="1:17" x14ac:dyDescent="0.25">
      <c r="A220" s="69" t="s">
        <v>55</v>
      </c>
      <c r="B220" s="16">
        <v>1152</v>
      </c>
      <c r="C220" s="17">
        <f t="shared" si="34"/>
        <v>0.92828364222401294</v>
      </c>
      <c r="D220" s="16">
        <v>43</v>
      </c>
      <c r="E220" s="17">
        <f t="shared" si="35"/>
        <v>3.4649476228847703E-2</v>
      </c>
      <c r="F220" s="16">
        <v>46</v>
      </c>
      <c r="G220" s="17">
        <f t="shared" si="36"/>
        <v>3.7066881547139406E-2</v>
      </c>
      <c r="H220" s="16">
        <v>89</v>
      </c>
      <c r="I220" s="17">
        <f t="shared" si="37"/>
        <v>7.1716357775987102E-2</v>
      </c>
      <c r="J220" s="16">
        <v>1241</v>
      </c>
      <c r="K220" s="3"/>
      <c r="L220" s="3"/>
      <c r="M220" s="3"/>
      <c r="N220" s="3"/>
      <c r="O220" s="3"/>
      <c r="P220" s="2"/>
      <c r="Q220" s="2"/>
    </row>
    <row r="221" spans="1:17" x14ac:dyDescent="0.25">
      <c r="A221" s="69" t="s">
        <v>10</v>
      </c>
      <c r="B221" s="16">
        <v>842</v>
      </c>
      <c r="C221" s="17">
        <v>0.63</v>
      </c>
      <c r="D221" s="16">
        <v>291</v>
      </c>
      <c r="E221" s="17">
        <v>0.22</v>
      </c>
      <c r="F221" s="16">
        <v>199</v>
      </c>
      <c r="G221" s="17">
        <v>0.15</v>
      </c>
      <c r="H221" s="16">
        <v>490</v>
      </c>
      <c r="I221" s="17">
        <v>0.37</v>
      </c>
      <c r="J221" s="16">
        <v>1332</v>
      </c>
      <c r="K221" s="3"/>
      <c r="L221" s="3"/>
      <c r="M221" s="3"/>
      <c r="N221" s="3"/>
      <c r="O221" s="3"/>
      <c r="P221" s="2"/>
      <c r="Q221" s="2"/>
    </row>
    <row r="222" spans="1:17" x14ac:dyDescent="0.25">
      <c r="A222" s="71" t="s">
        <v>11</v>
      </c>
      <c r="B222" s="18">
        <f>GETPIVOTDATA("Phase Net Units",'7 Star'!$A$3,"Tenure","Open Market")</f>
        <v>1547</v>
      </c>
      <c r="C222" s="19">
        <f t="shared" si="34"/>
        <v>0.80280228334198234</v>
      </c>
      <c r="D222" s="18">
        <f>GETPIVOTDATA("Phase Net Units",'7 Star'!$A$3,"Tenure","Intermediate")</f>
        <v>154</v>
      </c>
      <c r="E222" s="19">
        <f t="shared" si="35"/>
        <v>7.9916969382459777E-2</v>
      </c>
      <c r="F222" s="18">
        <f>GETPIVOTDATA("Phase Net Units",'7 Star'!$A$3,"Tenure","Social/Affordable Rent")</f>
        <v>226</v>
      </c>
      <c r="G222" s="19">
        <f t="shared" si="36"/>
        <v>0.11728074727555786</v>
      </c>
      <c r="H222" s="18">
        <f>F222+D222</f>
        <v>380</v>
      </c>
      <c r="I222" s="19">
        <f t="shared" si="37"/>
        <v>0.19719771665801764</v>
      </c>
      <c r="J222" s="18">
        <f>H222+B222</f>
        <v>1927</v>
      </c>
      <c r="K222" s="3"/>
      <c r="L222" s="3"/>
      <c r="M222" s="3"/>
      <c r="N222" s="3"/>
      <c r="O222" s="3"/>
      <c r="P222" s="2"/>
      <c r="Q222" s="2"/>
    </row>
    <row r="223" spans="1:17" x14ac:dyDescent="0.25">
      <c r="A223" s="48" t="s">
        <v>49</v>
      </c>
      <c r="B223" s="32">
        <f>SUM(B206:B222)</f>
        <v>23843</v>
      </c>
      <c r="C223" s="20">
        <f t="shared" si="34"/>
        <v>0.78058602062530691</v>
      </c>
      <c r="D223" s="32">
        <f>SUM(D206:D222)</f>
        <v>4594</v>
      </c>
      <c r="E223" s="20">
        <f t="shared" si="35"/>
        <v>0.15040104763463741</v>
      </c>
      <c r="F223" s="32">
        <f>SUM(F206:F222)</f>
        <v>2108</v>
      </c>
      <c r="G223" s="20">
        <f t="shared" si="36"/>
        <v>6.9012931740055655E-2</v>
      </c>
      <c r="H223" s="32">
        <f>SUM(H206:H222)</f>
        <v>6702</v>
      </c>
      <c r="I223" s="20">
        <f t="shared" si="37"/>
        <v>0.21941397937469306</v>
      </c>
      <c r="J223" s="32">
        <f>SUM(J206:J222)</f>
        <v>30545</v>
      </c>
      <c r="K223" s="3"/>
      <c r="L223" s="3"/>
      <c r="M223" s="3"/>
      <c r="N223" s="3"/>
      <c r="O223" s="3"/>
      <c r="P223" s="2"/>
      <c r="Q223" s="2"/>
    </row>
    <row r="224" spans="1:17" x14ac:dyDescent="0.25">
      <c r="A224" s="2"/>
      <c r="B224" s="2"/>
      <c r="C224" s="2"/>
      <c r="D224" s="2"/>
      <c r="E224" s="2"/>
      <c r="F224" s="2"/>
      <c r="G224" s="2"/>
      <c r="H224" s="2"/>
      <c r="I224" s="2"/>
      <c r="J224" s="2"/>
      <c r="K224" s="2"/>
      <c r="L224" s="3"/>
      <c r="M224" s="3"/>
      <c r="N224" s="3"/>
      <c r="O224" s="3"/>
      <c r="P224" s="2"/>
      <c r="Q224" s="2"/>
    </row>
    <row r="225" spans="1:17" ht="15.6" x14ac:dyDescent="0.3">
      <c r="A225" s="107" t="s">
        <v>131</v>
      </c>
      <c r="B225" s="3"/>
      <c r="C225" s="3"/>
      <c r="D225" s="3"/>
      <c r="E225" s="3"/>
      <c r="F225" s="3"/>
      <c r="G225" s="3"/>
      <c r="H225" s="3"/>
      <c r="I225" s="3"/>
      <c r="J225" s="3"/>
      <c r="K225" s="3"/>
      <c r="L225" s="3"/>
      <c r="M225" s="3"/>
      <c r="N225" s="3"/>
      <c r="O225" s="3"/>
      <c r="P225" s="2"/>
      <c r="Q225" s="2"/>
    </row>
    <row r="226" spans="1:17" x14ac:dyDescent="0.25">
      <c r="A226" s="2"/>
      <c r="B226" s="2"/>
      <c r="C226" s="2"/>
      <c r="D226" s="2"/>
      <c r="E226" s="2"/>
      <c r="F226" s="2"/>
      <c r="G226" s="2"/>
      <c r="H226" s="2"/>
      <c r="I226" s="2"/>
      <c r="J226" s="2"/>
      <c r="K226" s="2"/>
      <c r="L226" s="3"/>
      <c r="M226" s="3"/>
      <c r="N226" s="3"/>
      <c r="O226" s="3"/>
      <c r="P226" s="2"/>
      <c r="Q226" s="2"/>
    </row>
    <row r="227" spans="1:17" x14ac:dyDescent="0.25">
      <c r="A227" s="7" t="s">
        <v>132</v>
      </c>
      <c r="B227" s="7" t="s">
        <v>133</v>
      </c>
      <c r="C227" s="3"/>
      <c r="D227" s="3"/>
      <c r="E227" s="3"/>
      <c r="F227" s="3"/>
      <c r="G227" s="3"/>
      <c r="H227" s="3"/>
      <c r="I227" s="3"/>
      <c r="J227" s="3"/>
      <c r="K227" s="3"/>
      <c r="L227" s="3"/>
      <c r="M227" s="3"/>
      <c r="N227" s="3"/>
      <c r="O227" s="3"/>
      <c r="P227" s="2"/>
      <c r="Q227" s="2"/>
    </row>
    <row r="228" spans="1:17" x14ac:dyDescent="0.25">
      <c r="A228" s="278" t="s">
        <v>87</v>
      </c>
      <c r="B228" s="275" t="s">
        <v>134</v>
      </c>
      <c r="C228" s="275"/>
      <c r="D228" s="275" t="s">
        <v>135</v>
      </c>
      <c r="E228" s="275"/>
      <c r="F228" s="275" t="s">
        <v>49</v>
      </c>
      <c r="G228" s="275"/>
      <c r="H228" s="3"/>
      <c r="I228" s="3"/>
      <c r="J228" s="3"/>
      <c r="K228" s="3"/>
      <c r="L228" s="3"/>
      <c r="M228" s="3"/>
      <c r="N228" s="3"/>
      <c r="O228" s="3"/>
      <c r="P228" s="2"/>
      <c r="Q228" s="2"/>
    </row>
    <row r="229" spans="1:17" x14ac:dyDescent="0.25">
      <c r="A229" s="279"/>
      <c r="B229" s="47" t="s">
        <v>82</v>
      </c>
      <c r="C229" s="47" t="s">
        <v>64</v>
      </c>
      <c r="D229" s="47" t="s">
        <v>82</v>
      </c>
      <c r="E229" s="47" t="s">
        <v>64</v>
      </c>
      <c r="F229" s="47" t="s">
        <v>82</v>
      </c>
      <c r="G229" s="47" t="s">
        <v>64</v>
      </c>
      <c r="H229" s="3"/>
      <c r="I229" s="3"/>
      <c r="J229" s="3"/>
      <c r="K229" s="3"/>
      <c r="L229" s="3"/>
      <c r="M229" s="3"/>
      <c r="N229" s="3"/>
      <c r="O229" s="3"/>
      <c r="P229" s="2"/>
      <c r="Q229" s="2"/>
    </row>
    <row r="230" spans="1:17" x14ac:dyDescent="0.25">
      <c r="A230" s="69" t="s">
        <v>91</v>
      </c>
      <c r="B230" s="16">
        <v>2464</v>
      </c>
      <c r="C230" s="16">
        <v>2423</v>
      </c>
      <c r="D230" s="16">
        <v>497</v>
      </c>
      <c r="E230" s="16">
        <v>229</v>
      </c>
      <c r="F230" s="16">
        <v>2961</v>
      </c>
      <c r="G230" s="16">
        <v>2652</v>
      </c>
      <c r="H230" s="3"/>
      <c r="I230" s="3"/>
      <c r="J230" s="3"/>
      <c r="K230" s="3"/>
      <c r="L230" s="3"/>
      <c r="M230" s="3"/>
      <c r="N230" s="3"/>
      <c r="O230" s="3"/>
      <c r="P230" s="2"/>
      <c r="Q230" s="2"/>
    </row>
    <row r="231" spans="1:17" x14ac:dyDescent="0.25">
      <c r="A231" s="69" t="s">
        <v>92</v>
      </c>
      <c r="B231" s="16">
        <v>1920</v>
      </c>
      <c r="C231" s="16">
        <v>1798</v>
      </c>
      <c r="D231" s="16">
        <v>520</v>
      </c>
      <c r="E231" s="16">
        <v>239</v>
      </c>
      <c r="F231" s="16">
        <v>2440</v>
      </c>
      <c r="G231" s="16">
        <v>2037</v>
      </c>
      <c r="H231" s="3"/>
      <c r="I231" s="3"/>
      <c r="J231" s="3"/>
      <c r="K231" s="3"/>
      <c r="L231" s="3"/>
      <c r="M231" s="3"/>
      <c r="N231" s="3"/>
      <c r="O231" s="3"/>
      <c r="P231" s="2"/>
      <c r="Q231" s="2"/>
    </row>
    <row r="232" spans="1:17" x14ac:dyDescent="0.25">
      <c r="A232" s="69" t="s">
        <v>93</v>
      </c>
      <c r="B232" s="16">
        <v>1547</v>
      </c>
      <c r="C232" s="16">
        <v>1486</v>
      </c>
      <c r="D232" s="16">
        <v>423</v>
      </c>
      <c r="E232" s="16">
        <v>219</v>
      </c>
      <c r="F232" s="16">
        <v>1970</v>
      </c>
      <c r="G232" s="16">
        <v>1705</v>
      </c>
      <c r="H232" s="3"/>
      <c r="I232" s="3"/>
      <c r="J232" s="3"/>
      <c r="K232" s="3"/>
      <c r="L232" s="3"/>
      <c r="M232" s="3"/>
      <c r="N232" s="3"/>
      <c r="O232" s="3"/>
      <c r="P232" s="2"/>
      <c r="Q232" s="2"/>
    </row>
    <row r="233" spans="1:17" x14ac:dyDescent="0.25">
      <c r="A233" s="69" t="s">
        <v>94</v>
      </c>
      <c r="B233" s="16">
        <v>1162</v>
      </c>
      <c r="C233" s="16">
        <v>1131</v>
      </c>
      <c r="D233" s="16">
        <v>298</v>
      </c>
      <c r="E233" s="16">
        <v>139</v>
      </c>
      <c r="F233" s="16">
        <v>1460</v>
      </c>
      <c r="G233" s="16">
        <v>1270</v>
      </c>
      <c r="H233" s="3"/>
      <c r="I233" s="3"/>
      <c r="J233" s="3"/>
      <c r="K233" s="3"/>
      <c r="L233" s="3"/>
      <c r="M233" s="3"/>
      <c r="N233" s="3"/>
      <c r="O233" s="3"/>
      <c r="P233" s="2"/>
      <c r="Q233" s="2"/>
    </row>
    <row r="234" spans="1:17" x14ac:dyDescent="0.25">
      <c r="A234" s="69" t="s">
        <v>95</v>
      </c>
      <c r="B234" s="16">
        <v>2807</v>
      </c>
      <c r="C234" s="16">
        <v>2756</v>
      </c>
      <c r="D234" s="16">
        <v>346</v>
      </c>
      <c r="E234" s="16">
        <v>178</v>
      </c>
      <c r="F234" s="16">
        <v>3153</v>
      </c>
      <c r="G234" s="16">
        <v>2934</v>
      </c>
      <c r="H234" s="3"/>
      <c r="I234" s="3"/>
      <c r="J234" s="3"/>
      <c r="K234" s="3"/>
      <c r="L234" s="3"/>
      <c r="M234" s="3"/>
      <c r="N234" s="3"/>
      <c r="O234" s="3"/>
      <c r="P234" s="2"/>
      <c r="Q234" s="2"/>
    </row>
    <row r="235" spans="1:17" x14ac:dyDescent="0.25">
      <c r="A235" s="69" t="s">
        <v>96</v>
      </c>
      <c r="B235" s="16">
        <v>10369</v>
      </c>
      <c r="C235" s="16">
        <v>10302</v>
      </c>
      <c r="D235" s="16">
        <v>352</v>
      </c>
      <c r="E235" s="16">
        <v>196</v>
      </c>
      <c r="F235" s="16">
        <v>10721</v>
      </c>
      <c r="G235" s="16">
        <v>10498</v>
      </c>
      <c r="H235" s="3"/>
      <c r="I235" s="3"/>
      <c r="J235" s="3"/>
      <c r="K235" s="3"/>
      <c r="L235" s="3"/>
      <c r="M235" s="3"/>
      <c r="N235" s="3"/>
      <c r="O235" s="3"/>
      <c r="P235" s="2"/>
      <c r="Q235" s="2"/>
    </row>
    <row r="236" spans="1:17" x14ac:dyDescent="0.25">
      <c r="A236" s="97" t="s">
        <v>97</v>
      </c>
      <c r="B236" s="16">
        <v>5033</v>
      </c>
      <c r="C236" s="16">
        <v>4632</v>
      </c>
      <c r="D236" s="16">
        <v>275</v>
      </c>
      <c r="E236" s="16">
        <v>143</v>
      </c>
      <c r="F236" s="16">
        <v>5308</v>
      </c>
      <c r="G236" s="16">
        <v>4775</v>
      </c>
      <c r="H236" s="3"/>
      <c r="I236" s="3"/>
      <c r="J236" s="3"/>
      <c r="K236" s="3"/>
      <c r="L236" s="3"/>
      <c r="M236" s="3"/>
      <c r="N236" s="3"/>
      <c r="O236" s="3"/>
      <c r="P236" s="2"/>
      <c r="Q236" s="2"/>
    </row>
    <row r="237" spans="1:17" x14ac:dyDescent="0.25">
      <c r="A237" s="97" t="s">
        <v>98</v>
      </c>
      <c r="B237" s="16">
        <v>1690</v>
      </c>
      <c r="C237" s="16">
        <v>1590</v>
      </c>
      <c r="D237" s="16">
        <v>576</v>
      </c>
      <c r="E237" s="16">
        <v>416</v>
      </c>
      <c r="F237" s="16">
        <v>2266</v>
      </c>
      <c r="G237" s="16">
        <v>2006</v>
      </c>
      <c r="H237" s="3"/>
      <c r="I237" s="3"/>
      <c r="J237" s="3"/>
      <c r="K237" s="3"/>
      <c r="L237" s="3"/>
      <c r="M237" s="3"/>
      <c r="N237" s="3"/>
      <c r="O237" s="3"/>
      <c r="P237" s="2"/>
      <c r="Q237" s="2"/>
    </row>
    <row r="238" spans="1:17" x14ac:dyDescent="0.25">
      <c r="A238" s="69" t="s">
        <v>99</v>
      </c>
      <c r="B238" s="16">
        <v>4598</v>
      </c>
      <c r="C238" s="16">
        <v>4512</v>
      </c>
      <c r="D238" s="16">
        <v>493</v>
      </c>
      <c r="E238" s="16">
        <v>460</v>
      </c>
      <c r="F238" s="16">
        <v>5091</v>
      </c>
      <c r="G238" s="16">
        <v>4972</v>
      </c>
      <c r="H238" s="3"/>
      <c r="I238" s="3"/>
      <c r="J238" s="3"/>
      <c r="K238" s="3"/>
      <c r="L238" s="3"/>
      <c r="M238" s="3"/>
      <c r="N238" s="3"/>
      <c r="O238" s="3"/>
      <c r="P238" s="2"/>
      <c r="Q238" s="2"/>
    </row>
    <row r="239" spans="1:17" x14ac:dyDescent="0.25">
      <c r="A239" s="69" t="s">
        <v>100</v>
      </c>
      <c r="B239" s="16">
        <v>3250</v>
      </c>
      <c r="C239" s="16">
        <v>3107</v>
      </c>
      <c r="D239" s="16">
        <v>308</v>
      </c>
      <c r="E239" s="16">
        <v>232</v>
      </c>
      <c r="F239" s="16">
        <v>3558</v>
      </c>
      <c r="G239" s="16">
        <v>3339</v>
      </c>
      <c r="H239" s="3"/>
      <c r="I239" s="3"/>
      <c r="J239" s="3"/>
      <c r="K239" s="3"/>
      <c r="L239" s="3"/>
      <c r="M239" s="3"/>
      <c r="N239" s="3"/>
      <c r="O239" s="3"/>
      <c r="P239" s="2"/>
      <c r="Q239" s="2"/>
    </row>
    <row r="240" spans="1:17" x14ac:dyDescent="0.25">
      <c r="A240" s="69" t="s">
        <v>101</v>
      </c>
      <c r="B240" s="16">
        <v>3068</v>
      </c>
      <c r="C240" s="16">
        <v>2785</v>
      </c>
      <c r="D240" s="16">
        <v>414</v>
      </c>
      <c r="E240" s="16">
        <v>343</v>
      </c>
      <c r="F240" s="16">
        <v>3482</v>
      </c>
      <c r="G240" s="16">
        <v>3128</v>
      </c>
      <c r="H240" s="3"/>
      <c r="I240" s="3"/>
      <c r="J240" s="3"/>
      <c r="K240" s="3"/>
      <c r="L240" s="3"/>
      <c r="M240" s="3"/>
      <c r="N240" s="3"/>
      <c r="O240" s="3"/>
      <c r="P240" s="2"/>
      <c r="Q240" s="2"/>
    </row>
    <row r="241" spans="1:17" x14ac:dyDescent="0.25">
      <c r="A241" s="69" t="s">
        <v>102</v>
      </c>
      <c r="B241" s="16">
        <v>5485</v>
      </c>
      <c r="C241" s="16">
        <v>5457</v>
      </c>
      <c r="D241" s="16">
        <v>804</v>
      </c>
      <c r="E241" s="16">
        <v>626</v>
      </c>
      <c r="F241" s="16">
        <v>6289</v>
      </c>
      <c r="G241" s="16">
        <v>6083</v>
      </c>
      <c r="H241" s="3"/>
      <c r="I241" s="3"/>
      <c r="J241" s="3"/>
      <c r="K241" s="3"/>
      <c r="L241" s="3"/>
      <c r="M241" s="3"/>
      <c r="N241" s="3"/>
      <c r="O241" s="3"/>
      <c r="P241" s="2"/>
      <c r="Q241" s="2"/>
    </row>
    <row r="242" spans="1:17" x14ac:dyDescent="0.25">
      <c r="A242" s="69" t="s">
        <v>53</v>
      </c>
      <c r="B242" s="16">
        <v>5966</v>
      </c>
      <c r="C242" s="16">
        <v>5625</v>
      </c>
      <c r="D242" s="16">
        <v>506</v>
      </c>
      <c r="E242" s="16">
        <v>366</v>
      </c>
      <c r="F242" s="16">
        <v>6472</v>
      </c>
      <c r="G242" s="16">
        <v>5991</v>
      </c>
      <c r="H242" s="3"/>
      <c r="I242" s="3"/>
      <c r="J242" s="3"/>
      <c r="K242" s="3"/>
      <c r="L242" s="3"/>
      <c r="M242" s="3"/>
      <c r="N242" s="3"/>
      <c r="O242" s="3"/>
      <c r="P242" s="2"/>
      <c r="Q242" s="2"/>
    </row>
    <row r="243" spans="1:17" x14ac:dyDescent="0.25">
      <c r="A243" s="69" t="s">
        <v>54</v>
      </c>
      <c r="B243" s="16">
        <v>2909</v>
      </c>
      <c r="C243" s="16">
        <v>2888</v>
      </c>
      <c r="D243" s="16">
        <v>388</v>
      </c>
      <c r="E243" s="16">
        <v>242</v>
      </c>
      <c r="F243" s="16">
        <v>3297</v>
      </c>
      <c r="G243" s="16">
        <v>3130</v>
      </c>
      <c r="H243" s="3"/>
      <c r="I243" s="3"/>
      <c r="J243" s="3"/>
      <c r="K243" s="3"/>
      <c r="L243" s="3"/>
      <c r="M243" s="3"/>
      <c r="N243" s="3"/>
      <c r="O243" s="3"/>
      <c r="P243" s="2"/>
      <c r="Q243" s="2"/>
    </row>
    <row r="244" spans="1:17" x14ac:dyDescent="0.25">
      <c r="A244" s="69" t="s">
        <v>55</v>
      </c>
      <c r="B244" s="16">
        <v>5131</v>
      </c>
      <c r="C244" s="16">
        <v>4334</v>
      </c>
      <c r="D244" s="16">
        <v>696</v>
      </c>
      <c r="E244" s="16">
        <v>575</v>
      </c>
      <c r="F244" s="16">
        <v>5827</v>
      </c>
      <c r="G244" s="16">
        <v>4909</v>
      </c>
      <c r="H244" s="3"/>
      <c r="I244" s="3"/>
      <c r="J244" s="3"/>
      <c r="K244" s="3"/>
      <c r="L244" s="3"/>
      <c r="M244" s="3"/>
      <c r="N244" s="3"/>
      <c r="O244" s="3"/>
      <c r="P244" s="2"/>
      <c r="Q244" s="2"/>
    </row>
    <row r="245" spans="1:17" x14ac:dyDescent="0.25">
      <c r="A245" s="69" t="s">
        <v>10</v>
      </c>
      <c r="B245" s="16">
        <v>4834</v>
      </c>
      <c r="C245" s="16">
        <v>4515</v>
      </c>
      <c r="D245" s="16">
        <v>786</v>
      </c>
      <c r="E245" s="16">
        <v>607</v>
      </c>
      <c r="F245" s="16">
        <v>5620</v>
      </c>
      <c r="G245" s="16">
        <v>5122</v>
      </c>
      <c r="H245" s="3"/>
      <c r="I245" s="3"/>
      <c r="J245" s="3"/>
      <c r="K245" s="3"/>
      <c r="L245" s="3"/>
      <c r="M245" s="3"/>
      <c r="N245" s="3"/>
      <c r="O245" s="3"/>
      <c r="P245" s="2"/>
      <c r="Q245" s="2"/>
    </row>
    <row r="246" spans="1:17" x14ac:dyDescent="0.25">
      <c r="A246" s="71" t="s">
        <v>11</v>
      </c>
      <c r="B246" s="18">
        <f>GETPIVOTDATA("Sum of Phase Proposed Units",'6 PeNB'!$A$5)</f>
        <v>2359</v>
      </c>
      <c r="C246" s="18">
        <f>GETPIVOTDATA("Sum of Phase Net Units",'6 PeNB'!$A$5)</f>
        <v>2343</v>
      </c>
      <c r="D246" s="18">
        <f>GETPIVOTDATA("Sum of Phase Proposed Units",'6 PeCO'!$A$5)</f>
        <v>362</v>
      </c>
      <c r="E246" s="18">
        <f>GETPIVOTDATA("Sum of Phase Net Units",'6 PeCO'!$A$5)</f>
        <v>227</v>
      </c>
      <c r="F246" s="18">
        <f>B246+D246</f>
        <v>2721</v>
      </c>
      <c r="G246" s="18">
        <f>C246+E246</f>
        <v>2570</v>
      </c>
      <c r="H246" s="3"/>
      <c r="I246" s="3"/>
      <c r="J246" s="3"/>
      <c r="K246" s="3"/>
      <c r="L246" s="3"/>
      <c r="M246" s="3"/>
      <c r="N246" s="3"/>
      <c r="O246" s="3"/>
      <c r="P246" s="2"/>
      <c r="Q246" s="2"/>
    </row>
    <row r="247" spans="1:17" x14ac:dyDescent="0.25">
      <c r="A247" s="48" t="s">
        <v>49</v>
      </c>
      <c r="B247" s="32">
        <f t="shared" ref="B247:G247" si="38">SUM(B230:B246)</f>
        <v>64592</v>
      </c>
      <c r="C247" s="32">
        <f t="shared" si="38"/>
        <v>61684</v>
      </c>
      <c r="D247" s="32">
        <f t="shared" si="38"/>
        <v>8044</v>
      </c>
      <c r="E247" s="32">
        <f t="shared" si="38"/>
        <v>5437</v>
      </c>
      <c r="F247" s="32">
        <f t="shared" si="38"/>
        <v>72636</v>
      </c>
      <c r="G247" s="32">
        <f t="shared" si="38"/>
        <v>67121</v>
      </c>
      <c r="H247" s="3"/>
      <c r="I247" s="3"/>
      <c r="J247" s="3"/>
      <c r="K247" s="3"/>
      <c r="L247" s="3"/>
      <c r="M247" s="3"/>
      <c r="N247" s="3"/>
      <c r="O247" s="3"/>
      <c r="P247" s="2"/>
      <c r="Q247" s="2"/>
    </row>
    <row r="248" spans="1:17" x14ac:dyDescent="0.25">
      <c r="A248" s="3"/>
      <c r="B248" s="3"/>
      <c r="C248" s="3"/>
      <c r="D248" s="3"/>
      <c r="E248" s="3"/>
      <c r="F248" s="3"/>
      <c r="G248" s="3"/>
      <c r="H248" s="3"/>
      <c r="I248" s="3"/>
      <c r="J248" s="3"/>
      <c r="K248" s="3"/>
      <c r="L248" s="3"/>
      <c r="M248" s="3"/>
      <c r="N248" s="3"/>
      <c r="O248" s="3"/>
      <c r="P248" s="2"/>
      <c r="Q248" s="2"/>
    </row>
    <row r="249" spans="1:17" ht="15.6" x14ac:dyDescent="0.3">
      <c r="A249" s="103" t="s">
        <v>136</v>
      </c>
      <c r="B249" s="3"/>
      <c r="C249" s="3"/>
      <c r="D249" s="3"/>
      <c r="E249" s="3"/>
      <c r="F249" s="3"/>
      <c r="G249" s="3"/>
      <c r="H249" s="3"/>
      <c r="I249" s="3"/>
      <c r="J249" s="3"/>
      <c r="K249" s="3"/>
      <c r="L249" s="3"/>
      <c r="M249" s="3"/>
      <c r="N249" s="3"/>
      <c r="O249" s="3"/>
      <c r="P249" s="2"/>
      <c r="Q249" s="2"/>
    </row>
    <row r="250" spans="1:17" x14ac:dyDescent="0.25">
      <c r="A250" s="59"/>
      <c r="B250" s="3"/>
      <c r="C250" s="3"/>
      <c r="D250" s="3"/>
      <c r="E250" s="3"/>
      <c r="F250" s="3"/>
      <c r="G250" s="3"/>
      <c r="H250" s="3"/>
      <c r="I250" s="3"/>
      <c r="J250" s="3"/>
      <c r="K250" s="3"/>
      <c r="L250" s="3"/>
      <c r="M250" s="3"/>
      <c r="N250" s="3"/>
      <c r="O250" s="3"/>
      <c r="P250" s="2"/>
      <c r="Q250" s="2"/>
    </row>
    <row r="251" spans="1:17" x14ac:dyDescent="0.25">
      <c r="A251" s="112" t="s">
        <v>137</v>
      </c>
      <c r="B251" s="3"/>
      <c r="C251" s="3"/>
      <c r="D251" s="3"/>
      <c r="E251" s="3"/>
      <c r="F251" s="3"/>
      <c r="G251" s="3"/>
      <c r="H251" s="3"/>
      <c r="I251" s="3"/>
      <c r="J251" s="3"/>
      <c r="K251" s="3"/>
      <c r="L251" s="3"/>
      <c r="M251" s="3"/>
      <c r="N251" s="3"/>
      <c r="O251" s="3"/>
      <c r="P251" s="2"/>
      <c r="Q251" s="2"/>
    </row>
    <row r="252" spans="1:17" x14ac:dyDescent="0.25">
      <c r="A252" s="7" t="s">
        <v>138</v>
      </c>
      <c r="B252" s="7" t="s">
        <v>139</v>
      </c>
      <c r="C252" s="3"/>
      <c r="D252" s="3"/>
      <c r="E252" s="3"/>
      <c r="F252" s="3"/>
      <c r="G252" s="3"/>
      <c r="H252" s="3"/>
      <c r="I252" s="3"/>
      <c r="J252" s="3"/>
      <c r="K252" s="3"/>
      <c r="L252" s="3"/>
      <c r="M252" s="3"/>
      <c r="N252" s="3"/>
      <c r="O252" s="3"/>
      <c r="P252" s="2"/>
      <c r="Q252" s="2"/>
    </row>
    <row r="253" spans="1:17" x14ac:dyDescent="0.25">
      <c r="A253" s="347" t="s">
        <v>140</v>
      </c>
      <c r="B253" s="347"/>
      <c r="C253" s="347"/>
      <c r="D253" s="205" t="s">
        <v>96</v>
      </c>
      <c r="E253" s="47" t="s">
        <v>97</v>
      </c>
      <c r="F253" s="47" t="s">
        <v>98</v>
      </c>
      <c r="G253" s="47" t="s">
        <v>99</v>
      </c>
      <c r="H253" s="47" t="s">
        <v>100</v>
      </c>
      <c r="I253" s="47" t="s">
        <v>101</v>
      </c>
      <c r="J253" s="47" t="s">
        <v>102</v>
      </c>
      <c r="K253" s="47" t="s">
        <v>53</v>
      </c>
      <c r="L253" s="47" t="s">
        <v>54</v>
      </c>
      <c r="M253" s="47" t="s">
        <v>55</v>
      </c>
      <c r="N253" s="47" t="s">
        <v>10</v>
      </c>
      <c r="O253" s="47" t="s">
        <v>11</v>
      </c>
      <c r="P253" s="47" t="s">
        <v>49</v>
      </c>
      <c r="Q253" s="2"/>
    </row>
    <row r="254" spans="1:17" x14ac:dyDescent="0.25">
      <c r="A254" s="348" t="s">
        <v>141</v>
      </c>
      <c r="B254" s="348"/>
      <c r="C254" s="348"/>
      <c r="D254" s="209">
        <v>2</v>
      </c>
      <c r="E254" s="16">
        <v>5</v>
      </c>
      <c r="F254" s="16">
        <v>10</v>
      </c>
      <c r="G254" s="16">
        <v>11</v>
      </c>
      <c r="H254" s="16">
        <v>8</v>
      </c>
      <c r="I254" s="16">
        <v>4</v>
      </c>
      <c r="J254" s="16">
        <v>5</v>
      </c>
      <c r="K254" s="16">
        <v>15</v>
      </c>
      <c r="L254" s="16">
        <v>1</v>
      </c>
      <c r="M254" s="16">
        <v>12</v>
      </c>
      <c r="N254" s="16">
        <v>18</v>
      </c>
      <c r="O254" s="16">
        <f>GETPIVOTDATA("Phase Net Units",'12'!$A$3,"Town Centre","Balham")</f>
        <v>21</v>
      </c>
      <c r="P254" s="18">
        <f t="shared" ref="P254:P259" si="39">SUM(D254:O254)</f>
        <v>112</v>
      </c>
      <c r="Q254" s="2"/>
    </row>
    <row r="255" spans="1:17" x14ac:dyDescent="0.25">
      <c r="A255" s="348" t="s">
        <v>142</v>
      </c>
      <c r="B255" s="348"/>
      <c r="C255" s="348"/>
      <c r="D255" s="209">
        <v>4</v>
      </c>
      <c r="E255" s="16">
        <v>1</v>
      </c>
      <c r="F255" s="16">
        <v>11</v>
      </c>
      <c r="G255" s="16">
        <v>12</v>
      </c>
      <c r="H255" s="16">
        <v>16</v>
      </c>
      <c r="I255" s="16">
        <v>90</v>
      </c>
      <c r="J255" s="16">
        <v>9</v>
      </c>
      <c r="K255" s="16">
        <v>10</v>
      </c>
      <c r="L255" s="16">
        <v>8</v>
      </c>
      <c r="M255" s="16">
        <v>37</v>
      </c>
      <c r="N255" s="16">
        <v>8</v>
      </c>
      <c r="O255" s="16">
        <v>0</v>
      </c>
      <c r="P255" s="18">
        <f t="shared" si="39"/>
        <v>206</v>
      </c>
      <c r="Q255" s="2"/>
    </row>
    <row r="256" spans="1:17" x14ac:dyDescent="0.25">
      <c r="A256" s="348" t="s">
        <v>143</v>
      </c>
      <c r="B256" s="348"/>
      <c r="C256" s="348"/>
      <c r="D256" s="209">
        <v>9</v>
      </c>
      <c r="E256" s="16">
        <v>20</v>
      </c>
      <c r="F256" s="16">
        <v>56</v>
      </c>
      <c r="G256" s="16">
        <v>21</v>
      </c>
      <c r="H256" s="16">
        <v>13</v>
      </c>
      <c r="I256" s="16">
        <v>340</v>
      </c>
      <c r="J256" s="16">
        <v>11</v>
      </c>
      <c r="K256" s="16">
        <v>101</v>
      </c>
      <c r="L256" s="16">
        <v>13</v>
      </c>
      <c r="M256" s="16">
        <v>10</v>
      </c>
      <c r="N256" s="16">
        <v>4</v>
      </c>
      <c r="O256" s="16">
        <f>GETPIVOTDATA("Phase Net Units",'12'!$A$3,"Town Centre","Putney")</f>
        <v>5</v>
      </c>
      <c r="P256" s="18">
        <f t="shared" si="39"/>
        <v>603</v>
      </c>
      <c r="Q256" s="2"/>
    </row>
    <row r="257" spans="1:17" x14ac:dyDescent="0.25">
      <c r="A257" s="348" t="s">
        <v>144</v>
      </c>
      <c r="B257" s="348"/>
      <c r="C257" s="348"/>
      <c r="D257" s="209">
        <v>2</v>
      </c>
      <c r="E257" s="16">
        <v>8</v>
      </c>
      <c r="F257" s="16">
        <v>4</v>
      </c>
      <c r="G257" s="16">
        <v>27</v>
      </c>
      <c r="H257" s="16">
        <v>19</v>
      </c>
      <c r="I257" s="16">
        <v>30</v>
      </c>
      <c r="J257" s="16">
        <v>34</v>
      </c>
      <c r="K257" s="16">
        <v>6</v>
      </c>
      <c r="L257" s="16">
        <v>2</v>
      </c>
      <c r="M257" s="16">
        <v>13</v>
      </c>
      <c r="N257" s="16">
        <v>58</v>
      </c>
      <c r="O257" s="16">
        <f>GETPIVOTDATA("Phase Net Units",'12'!$A$3,"Town Centre","Tooting")</f>
        <v>56</v>
      </c>
      <c r="P257" s="18">
        <f t="shared" si="39"/>
        <v>259</v>
      </c>
      <c r="Q257" s="2"/>
    </row>
    <row r="258" spans="1:17" x14ac:dyDescent="0.25">
      <c r="A258" s="348" t="s">
        <v>145</v>
      </c>
      <c r="B258" s="348"/>
      <c r="C258" s="348"/>
      <c r="D258" s="209">
        <v>3</v>
      </c>
      <c r="E258" s="16">
        <v>4</v>
      </c>
      <c r="F258" s="16">
        <v>240</v>
      </c>
      <c r="G258" s="16">
        <v>2</v>
      </c>
      <c r="H258" s="16">
        <v>42</v>
      </c>
      <c r="I258" s="16">
        <v>18</v>
      </c>
      <c r="J258" s="16">
        <v>314</v>
      </c>
      <c r="K258" s="16">
        <v>136</v>
      </c>
      <c r="L258" s="16">
        <v>167</v>
      </c>
      <c r="M258" s="16">
        <v>106</v>
      </c>
      <c r="N258" s="16">
        <v>80</v>
      </c>
      <c r="O258" s="16">
        <f>GETPIVOTDATA("Phase Net Units",'12'!$A$3,"Town Centre","Wandsworth")</f>
        <v>6</v>
      </c>
      <c r="P258" s="18">
        <f t="shared" si="39"/>
        <v>1118</v>
      </c>
      <c r="Q258" s="2"/>
    </row>
    <row r="259" spans="1:17" x14ac:dyDescent="0.25">
      <c r="A259" s="349" t="s">
        <v>49</v>
      </c>
      <c r="B259" s="349"/>
      <c r="C259" s="349"/>
      <c r="D259" s="210">
        <f t="shared" ref="D259:L259" si="40">SUM(D254:D258)</f>
        <v>20</v>
      </c>
      <c r="E259" s="32">
        <f t="shared" si="40"/>
        <v>38</v>
      </c>
      <c r="F259" s="32">
        <f t="shared" si="40"/>
        <v>321</v>
      </c>
      <c r="G259" s="32">
        <f t="shared" si="40"/>
        <v>73</v>
      </c>
      <c r="H259" s="32">
        <f t="shared" si="40"/>
        <v>98</v>
      </c>
      <c r="I259" s="32">
        <f t="shared" si="40"/>
        <v>482</v>
      </c>
      <c r="J259" s="32">
        <f t="shared" si="40"/>
        <v>373</v>
      </c>
      <c r="K259" s="32">
        <f t="shared" si="40"/>
        <v>268</v>
      </c>
      <c r="L259" s="32">
        <f t="shared" si="40"/>
        <v>191</v>
      </c>
      <c r="M259" s="32">
        <f>SUM(M254:M258)</f>
        <v>178</v>
      </c>
      <c r="N259" s="32">
        <f>SUM(N254:N258)</f>
        <v>168</v>
      </c>
      <c r="O259" s="32">
        <f>SUM(O254:O258)</f>
        <v>88</v>
      </c>
      <c r="P259" s="32">
        <f t="shared" si="39"/>
        <v>2298</v>
      </c>
      <c r="Q259" s="2"/>
    </row>
    <row r="260" spans="1:17" x14ac:dyDescent="0.25">
      <c r="A260" s="3"/>
      <c r="B260" s="3"/>
      <c r="C260" s="3"/>
      <c r="D260" s="3"/>
      <c r="E260" s="3"/>
      <c r="F260" s="3"/>
      <c r="G260" s="3"/>
      <c r="H260" s="3"/>
      <c r="I260" s="142"/>
      <c r="J260" s="3"/>
      <c r="K260" s="3"/>
      <c r="L260" s="3"/>
      <c r="M260" s="3"/>
      <c r="N260" s="3"/>
      <c r="O260" s="3"/>
      <c r="P260" s="2"/>
      <c r="Q260" s="2"/>
    </row>
    <row r="261" spans="1:17" x14ac:dyDescent="0.25">
      <c r="A261" s="112" t="s">
        <v>146</v>
      </c>
      <c r="B261" s="2"/>
      <c r="C261" s="2"/>
      <c r="D261" s="2"/>
      <c r="E261" s="2"/>
      <c r="F261" s="2"/>
      <c r="G261" s="2"/>
      <c r="H261" s="2"/>
      <c r="I261" s="2"/>
      <c r="J261" s="2"/>
      <c r="K261" s="3"/>
      <c r="L261" s="3"/>
      <c r="M261" s="3"/>
      <c r="N261" s="3"/>
      <c r="O261" s="3"/>
      <c r="P261" s="2"/>
      <c r="Q261" s="2"/>
    </row>
    <row r="262" spans="1:17" x14ac:dyDescent="0.25">
      <c r="A262" s="7" t="s">
        <v>147</v>
      </c>
      <c r="B262" s="7" t="s">
        <v>148</v>
      </c>
      <c r="C262" s="3"/>
      <c r="D262" s="3"/>
      <c r="E262" s="147"/>
      <c r="F262" s="3"/>
      <c r="G262" s="3"/>
      <c r="H262" s="3"/>
      <c r="I262" s="3"/>
      <c r="J262" s="3"/>
      <c r="K262" s="3"/>
      <c r="L262" s="3"/>
      <c r="M262" s="3"/>
      <c r="N262" s="3"/>
      <c r="O262" s="3"/>
      <c r="P262" s="2"/>
      <c r="Q262" s="2"/>
    </row>
    <row r="263" spans="1:17" x14ac:dyDescent="0.25">
      <c r="A263" s="336" t="s">
        <v>149</v>
      </c>
      <c r="B263" s="350"/>
      <c r="C263" s="350"/>
      <c r="D263" s="351"/>
      <c r="E263" s="150" t="s">
        <v>11</v>
      </c>
      <c r="F263" s="148"/>
      <c r="G263" s="144"/>
      <c r="H263" s="144"/>
      <c r="I263" s="144"/>
      <c r="J263" s="144"/>
      <c r="K263" s="144"/>
      <c r="L263" s="144"/>
      <c r="Q263" s="2"/>
    </row>
    <row r="264" spans="1:17" x14ac:dyDescent="0.25">
      <c r="A264" s="344" t="s">
        <v>141</v>
      </c>
      <c r="B264" s="345"/>
      <c r="C264" s="345"/>
      <c r="D264" s="346"/>
      <c r="E264" s="152">
        <f>GETPIVOTDATA("Phase Net Units",'13 Spatial areas'!A2:B15,"Spatial area",A264)</f>
        <v>21</v>
      </c>
      <c r="F264" s="149"/>
      <c r="G264" s="135"/>
      <c r="H264" s="135"/>
      <c r="I264" s="135"/>
      <c r="J264" s="135"/>
      <c r="K264" s="135"/>
      <c r="L264" s="36"/>
      <c r="Q264" s="2"/>
    </row>
    <row r="265" spans="1:17" x14ac:dyDescent="0.25">
      <c r="A265" s="344" t="s">
        <v>150</v>
      </c>
      <c r="B265" s="345"/>
      <c r="C265" s="345"/>
      <c r="D265" s="345"/>
      <c r="E265" s="153">
        <f>GETPIVOTDATA("Phase Net Units",'13 Spatial areas'!A3:B16,"Spatial area",A265)</f>
        <v>47</v>
      </c>
      <c r="F265" s="149"/>
      <c r="G265" s="135"/>
      <c r="H265" s="135"/>
      <c r="I265" s="135"/>
      <c r="J265" s="135"/>
      <c r="K265" s="135"/>
      <c r="L265" s="36"/>
      <c r="Q265" s="2"/>
    </row>
    <row r="266" spans="1:17" x14ac:dyDescent="0.25">
      <c r="A266" s="344" t="s">
        <v>151</v>
      </c>
      <c r="B266" s="345"/>
      <c r="C266" s="345"/>
      <c r="D266" s="345"/>
      <c r="E266" s="152">
        <f>GETPIVOTDATA("Phase Net Units",'13 Spatial areas'!A4:B17,"Spatial area",A266)</f>
        <v>1236</v>
      </c>
      <c r="F266" s="135"/>
      <c r="G266" s="135"/>
      <c r="H266" s="135"/>
      <c r="I266" s="135"/>
      <c r="J266" s="135"/>
      <c r="K266" s="135"/>
      <c r="L266" s="36"/>
      <c r="Q266" s="2"/>
    </row>
    <row r="267" spans="1:17" x14ac:dyDescent="0.25">
      <c r="A267" s="344" t="s">
        <v>152</v>
      </c>
      <c r="B267" s="345"/>
      <c r="C267" s="345"/>
      <c r="D267" s="345"/>
      <c r="E267" s="152">
        <f>GETPIVOTDATA("Phase Net Units",'13 Spatial areas'!A5:B18,"Spatial area",A267)</f>
        <v>10</v>
      </c>
      <c r="F267" s="135"/>
      <c r="G267" s="135"/>
      <c r="H267" s="135"/>
      <c r="I267" s="135"/>
      <c r="J267" s="135"/>
      <c r="K267" s="135"/>
      <c r="L267" s="36"/>
      <c r="Q267" s="2"/>
    </row>
    <row r="268" spans="1:17" x14ac:dyDescent="0.25">
      <c r="A268" s="344" t="s">
        <v>153</v>
      </c>
      <c r="B268" s="345"/>
      <c r="C268" s="345"/>
      <c r="D268" s="345"/>
      <c r="E268" s="151">
        <f>IFERROR(GETPIVOTDATA("Phase Net Units",'13 Spatial areas'!A6:B19,"Spatial area",A268),0)</f>
        <v>0</v>
      </c>
      <c r="F268" s="149"/>
      <c r="G268" s="135"/>
      <c r="H268" s="135"/>
      <c r="I268" s="135"/>
      <c r="J268" s="135"/>
      <c r="K268" s="135"/>
      <c r="L268" s="36"/>
      <c r="Q268" s="2"/>
    </row>
    <row r="269" spans="1:17" x14ac:dyDescent="0.25">
      <c r="A269" s="344" t="s">
        <v>154</v>
      </c>
      <c r="B269" s="345"/>
      <c r="C269" s="345"/>
      <c r="D269" s="345"/>
      <c r="E269" s="152">
        <f>GETPIVOTDATA("Phase Net Units",'13 Spatial areas'!A7:B20,"Spatial area",A269)</f>
        <v>17</v>
      </c>
      <c r="F269" s="135"/>
      <c r="G269" s="135"/>
      <c r="H269" s="135"/>
      <c r="I269" s="135"/>
      <c r="J269" s="135"/>
      <c r="K269" s="135"/>
      <c r="L269" s="36"/>
      <c r="Q269" s="2"/>
    </row>
    <row r="270" spans="1:17" x14ac:dyDescent="0.25">
      <c r="A270" s="50" t="s">
        <v>144</v>
      </c>
      <c r="B270" s="49"/>
      <c r="C270" s="49"/>
      <c r="D270" s="49"/>
      <c r="E270" s="152">
        <f>GETPIVOTDATA("Phase Net Units",'13 Spatial areas'!A8:B21,"Spatial area",A270)</f>
        <v>73</v>
      </c>
      <c r="F270" s="149"/>
      <c r="G270" s="135"/>
      <c r="H270" s="135"/>
      <c r="I270" s="135"/>
      <c r="J270" s="135"/>
      <c r="K270" s="135"/>
      <c r="L270" s="36"/>
      <c r="Q270" s="2"/>
    </row>
    <row r="271" spans="1:17" x14ac:dyDescent="0.25">
      <c r="A271" s="50" t="s">
        <v>155</v>
      </c>
      <c r="B271" s="49"/>
      <c r="C271" s="49"/>
      <c r="D271" s="49"/>
      <c r="E271" s="152">
        <f>GETPIVOTDATA("Phase Net Units",'13 Spatial areas'!A9:B22,"Spatial area","Wandsworth riverside")</f>
        <v>85</v>
      </c>
      <c r="F271" s="149"/>
      <c r="G271" s="135"/>
      <c r="H271" s="135"/>
      <c r="I271" s="135"/>
      <c r="J271" s="135"/>
      <c r="K271" s="135"/>
      <c r="L271" s="36"/>
      <c r="Q271" s="2"/>
    </row>
    <row r="272" spans="1:17" x14ac:dyDescent="0.25">
      <c r="A272" s="201" t="s">
        <v>156</v>
      </c>
      <c r="B272" s="202"/>
      <c r="C272" s="202"/>
      <c r="D272" s="202"/>
      <c r="E272" s="203">
        <f>GETPIVOTDATA("Phase Net Units",'13 Spatial areas'!A10:B23,"Spatial area","Wandsworth Town, excluding the Wandle Delta Masterplan Area")</f>
        <v>1</v>
      </c>
      <c r="F272" s="204"/>
      <c r="G272" s="135"/>
      <c r="H272" s="135"/>
      <c r="I272" s="135"/>
      <c r="J272" s="135"/>
      <c r="K272" s="135"/>
      <c r="L272" s="36"/>
    </row>
    <row r="273" spans="1:17" x14ac:dyDescent="0.25">
      <c r="A273" s="50" t="s">
        <v>157</v>
      </c>
      <c r="B273" s="49"/>
      <c r="C273" s="49"/>
      <c r="D273" s="49"/>
      <c r="E273" s="152">
        <f>GETPIVOTDATA("Phase Net Units",'13 Spatial areas'!A11:B24,"Spatial area","Wandsworth Town, including the Wandle Delta Masterplan Area")</f>
        <v>185</v>
      </c>
      <c r="F273" s="135"/>
      <c r="G273" s="135"/>
      <c r="H273" s="135"/>
      <c r="I273" s="135"/>
      <c r="J273" s="135"/>
      <c r="K273" s="135"/>
      <c r="L273" s="36"/>
      <c r="Q273" s="2"/>
    </row>
    <row r="274" spans="1:17" x14ac:dyDescent="0.25">
      <c r="A274" s="354" t="s">
        <v>49</v>
      </c>
      <c r="B274" s="355"/>
      <c r="C274" s="355"/>
      <c r="D274" s="356"/>
      <c r="E274" s="155">
        <f>SUM(E264:E273)</f>
        <v>1675</v>
      </c>
      <c r="F274" s="156"/>
      <c r="G274" s="36"/>
      <c r="H274" s="36"/>
      <c r="I274" s="36"/>
      <c r="J274" s="36"/>
      <c r="K274" s="36"/>
      <c r="L274" s="36"/>
      <c r="Q274" s="2"/>
    </row>
    <row r="275" spans="1:17" x14ac:dyDescent="0.25">
      <c r="A275" s="3"/>
      <c r="B275" s="3"/>
      <c r="C275" s="2"/>
      <c r="D275" s="6"/>
      <c r="E275" s="154"/>
      <c r="F275" s="6"/>
      <c r="G275" s="6"/>
      <c r="H275" s="6"/>
      <c r="I275" s="6"/>
      <c r="J275" s="3"/>
      <c r="K275" s="3"/>
      <c r="L275" s="3"/>
      <c r="M275" s="3"/>
      <c r="N275" s="3"/>
      <c r="O275" s="3"/>
      <c r="P275" s="2"/>
      <c r="Q275" s="2"/>
    </row>
    <row r="276" spans="1:17" x14ac:dyDescent="0.25">
      <c r="A276" s="108" t="s">
        <v>158</v>
      </c>
      <c r="B276" s="3"/>
      <c r="C276" s="2"/>
      <c r="D276" s="6"/>
      <c r="E276" s="6"/>
      <c r="F276" s="6"/>
      <c r="G276" s="6"/>
      <c r="H276" s="6"/>
      <c r="I276" s="6"/>
      <c r="J276" s="3"/>
      <c r="K276" s="3"/>
      <c r="L276" s="3"/>
      <c r="M276" s="3"/>
      <c r="N276" s="3"/>
      <c r="O276" s="3"/>
      <c r="P276" s="2"/>
      <c r="Q276" s="2"/>
    </row>
    <row r="277" spans="1:17" x14ac:dyDescent="0.25">
      <c r="A277" s="7" t="s">
        <v>159</v>
      </c>
      <c r="B277" s="7" t="s">
        <v>160</v>
      </c>
      <c r="C277" s="2"/>
      <c r="D277" s="6"/>
      <c r="E277" s="6"/>
      <c r="F277" s="6"/>
      <c r="G277" s="6"/>
      <c r="H277" s="6"/>
      <c r="I277" s="6"/>
      <c r="J277" s="3"/>
      <c r="K277" s="3"/>
      <c r="L277" s="3"/>
      <c r="M277" s="3"/>
      <c r="N277" s="3"/>
      <c r="O277" s="3"/>
      <c r="P277" s="2"/>
      <c r="Q277" s="2"/>
    </row>
    <row r="278" spans="1:17" ht="12.75" customHeight="1" x14ac:dyDescent="0.25">
      <c r="A278" s="288" t="s">
        <v>161</v>
      </c>
      <c r="B278" s="288"/>
      <c r="C278" s="288"/>
      <c r="D278" s="281" t="s">
        <v>162</v>
      </c>
      <c r="E278" s="281" t="s">
        <v>66</v>
      </c>
      <c r="F278" s="281"/>
      <c r="G278" s="281" t="s">
        <v>108</v>
      </c>
      <c r="H278" s="281"/>
      <c r="I278" s="6"/>
      <c r="J278" s="3"/>
      <c r="K278" s="3"/>
      <c r="L278" s="3"/>
      <c r="M278" s="3"/>
      <c r="N278" s="3"/>
      <c r="O278" s="3"/>
      <c r="P278" s="2"/>
      <c r="Q278" s="2"/>
    </row>
    <row r="279" spans="1:17" ht="12.75" customHeight="1" x14ac:dyDescent="0.25">
      <c r="A279" s="288"/>
      <c r="B279" s="288"/>
      <c r="C279" s="288"/>
      <c r="D279" s="281"/>
      <c r="E279" s="281"/>
      <c r="F279" s="281"/>
      <c r="G279" s="281"/>
      <c r="H279" s="281"/>
      <c r="I279" s="6"/>
      <c r="J279" s="3"/>
      <c r="K279" s="3"/>
      <c r="L279" s="3"/>
      <c r="M279" s="3"/>
      <c r="N279" s="3"/>
      <c r="O279" s="3"/>
      <c r="P279" s="2"/>
      <c r="Q279" s="2"/>
    </row>
    <row r="280" spans="1:17" x14ac:dyDescent="0.25">
      <c r="A280" s="272" t="s">
        <v>141</v>
      </c>
      <c r="B280" s="272"/>
      <c r="C280" s="272"/>
      <c r="D280" s="16">
        <f>GETPIVOTDATA("Phase Net Units",'14'!$A$1,"Status","03 Planning","Ward (2022)",A280)</f>
        <v>40</v>
      </c>
      <c r="E280" s="271">
        <f>GETPIVOTDATA("Phase Net Units",'14'!$A$1,"Status","02 Under Construction","Ward (2022)",A280)</f>
        <v>9</v>
      </c>
      <c r="F280" s="271"/>
      <c r="G280" s="271">
        <f>GETPIVOTDATA("Phase Net Units",'14'!$A$1,"Status","01 Completion","Ward (2022)",A280)</f>
        <v>27</v>
      </c>
      <c r="H280" s="271"/>
      <c r="I280" s="6"/>
      <c r="J280" s="3"/>
      <c r="K280" s="3"/>
      <c r="L280" s="3"/>
      <c r="M280" s="3"/>
      <c r="N280" s="3"/>
      <c r="O280" s="3"/>
      <c r="P280" s="2"/>
      <c r="Q280" s="2"/>
    </row>
    <row r="281" spans="1:17" x14ac:dyDescent="0.25">
      <c r="A281" s="272" t="s">
        <v>163</v>
      </c>
      <c r="B281" s="272"/>
      <c r="C281" s="272"/>
      <c r="D281" s="16">
        <f>GETPIVOTDATA("Phase Net Units",'14'!$A$1,"Status","03 Planning","Ward (2022)",A281)</f>
        <v>172</v>
      </c>
      <c r="E281" s="271">
        <f>GETPIVOTDATA("Phase Net Units",'14'!$A$1,"Status","02 Under Construction","Ward (2022)",A281)</f>
        <v>136</v>
      </c>
      <c r="F281" s="271"/>
      <c r="G281" s="271">
        <f>GETPIVOTDATA("Phase Net Units",'14'!$A$1,"Status","01 Completion","Ward (2022)",A281)</f>
        <v>1</v>
      </c>
      <c r="H281" s="271"/>
      <c r="I281" s="6"/>
      <c r="J281" s="3"/>
      <c r="K281" s="3"/>
      <c r="L281" s="3"/>
      <c r="M281" s="3"/>
      <c r="N281" s="3"/>
      <c r="O281" s="3"/>
      <c r="P281" s="2"/>
      <c r="Q281" s="2"/>
    </row>
    <row r="282" spans="1:17" x14ac:dyDescent="0.25">
      <c r="A282" s="272" t="s">
        <v>164</v>
      </c>
      <c r="B282" s="272"/>
      <c r="C282" s="272"/>
      <c r="D282" s="16">
        <f>GETPIVOTDATA("Phase Net Units",'14'!$A$1,"Status","03 Planning","Ward (2022)",A282)</f>
        <v>55</v>
      </c>
      <c r="E282" s="271">
        <f>GETPIVOTDATA("Phase Net Units",'14'!$A$1,"Status","02 Under Construction","Ward (2022)",A282)</f>
        <v>45</v>
      </c>
      <c r="F282" s="271"/>
      <c r="G282" s="271">
        <f>GETPIVOTDATA("Phase Net Units",'14'!$A$1,"Status","01 Completion","Ward (2022)",A282)</f>
        <v>16</v>
      </c>
      <c r="H282" s="271"/>
      <c r="I282" s="6"/>
      <c r="J282" s="3"/>
      <c r="K282" s="3"/>
      <c r="L282" s="3"/>
      <c r="M282" s="3"/>
      <c r="N282" s="3"/>
      <c r="O282" s="3"/>
      <c r="P282" s="2"/>
      <c r="Q282" s="2"/>
    </row>
    <row r="283" spans="1:17" x14ac:dyDescent="0.25">
      <c r="A283" s="272" t="s">
        <v>165</v>
      </c>
      <c r="B283" s="272"/>
      <c r="C283" s="272"/>
      <c r="D283" s="16">
        <f>GETPIVOTDATA("Phase Net Units",'14'!$A$1,"Status","03 Planning","Ward (2022)",A283)</f>
        <v>1682</v>
      </c>
      <c r="E283" s="271">
        <f>GETPIVOTDATA("Phase Net Units",'14'!$A$1,"Status","02 Under Construction","Ward (2022)",A283)</f>
        <v>127</v>
      </c>
      <c r="F283" s="271"/>
      <c r="G283" s="271">
        <f>GETPIVOTDATA("Phase Net Units",'14'!$A$1,"Status","01 Completion","Ward (2022)",A283)</f>
        <v>0</v>
      </c>
      <c r="H283" s="271"/>
      <c r="I283" s="6"/>
      <c r="J283" s="3"/>
      <c r="K283" s="3"/>
      <c r="L283" s="3"/>
      <c r="M283" s="3"/>
      <c r="N283" s="3"/>
      <c r="O283" s="3"/>
      <c r="P283" s="2"/>
      <c r="Q283" s="2"/>
    </row>
    <row r="284" spans="1:17" x14ac:dyDescent="0.25">
      <c r="A284" s="272" t="s">
        <v>166</v>
      </c>
      <c r="B284" s="272"/>
      <c r="C284" s="272"/>
      <c r="D284" s="16">
        <f>GETPIVOTDATA("Phase Net Units",'14'!$A$1,"Status","03 Planning","Ward (2022)",A284)</f>
        <v>66</v>
      </c>
      <c r="E284" s="271">
        <f>GETPIVOTDATA("Phase Net Units",'14'!$A$1,"Status","02 Under Construction","Ward (2022)",A284)</f>
        <v>67</v>
      </c>
      <c r="F284" s="271"/>
      <c r="G284" s="271">
        <f>GETPIVOTDATA("Phase Net Units",'14'!$A$1,"Status","01 Completion","Ward (2022)",A284)</f>
        <v>28</v>
      </c>
      <c r="H284" s="271"/>
      <c r="I284" s="6"/>
      <c r="J284" s="3"/>
      <c r="K284" s="3"/>
      <c r="L284" s="3"/>
      <c r="M284" s="3"/>
      <c r="N284" s="3"/>
      <c r="O284" s="3"/>
      <c r="P284" s="2"/>
      <c r="Q284" s="2"/>
    </row>
    <row r="285" spans="1:17" x14ac:dyDescent="0.25">
      <c r="A285" s="272" t="s">
        <v>167</v>
      </c>
      <c r="B285" s="272"/>
      <c r="C285" s="272"/>
      <c r="D285" s="16">
        <f>GETPIVOTDATA("Phase Net Units",'14'!$A$1,"Status","03 Planning","Ward (2022)",A285)</f>
        <v>251</v>
      </c>
      <c r="E285" s="271">
        <f>GETPIVOTDATA("Phase Net Units",'14'!$A$1,"Status","02 Under Construction","Ward (2022)",A285)</f>
        <v>15</v>
      </c>
      <c r="F285" s="271"/>
      <c r="G285" s="271">
        <f>GETPIVOTDATA("Phase Net Units",'14'!$A$1,"Status","01 Completion","Ward (2022)",A285)</f>
        <v>51</v>
      </c>
      <c r="H285" s="271"/>
      <c r="I285" s="6"/>
      <c r="J285" s="3"/>
      <c r="K285" s="3"/>
      <c r="L285" s="3"/>
      <c r="M285" s="3"/>
      <c r="N285" s="3"/>
      <c r="O285" s="3"/>
      <c r="P285" s="2"/>
      <c r="Q285" s="2"/>
    </row>
    <row r="286" spans="1:17" x14ac:dyDescent="0.25">
      <c r="A286" s="272" t="s">
        <v>168</v>
      </c>
      <c r="B286" s="272"/>
      <c r="C286" s="272"/>
      <c r="D286" s="16">
        <f>GETPIVOTDATA("Phase Net Units",'14'!$A$1,"Status","03 Planning","Ward (2022)",A286)</f>
        <v>3169</v>
      </c>
      <c r="E286" s="271">
        <f>GETPIVOTDATA("Phase Net Units",'14'!$A$1,"Status","02 Under Construction","Ward (2022)",A286)</f>
        <v>4094</v>
      </c>
      <c r="F286" s="271"/>
      <c r="G286" s="271">
        <f>GETPIVOTDATA("Phase Net Units",'14'!$A$1,"Status","01 Completion","Ward (2022)",A286)</f>
        <v>1228</v>
      </c>
      <c r="H286" s="271"/>
      <c r="I286" s="6"/>
      <c r="J286" s="3"/>
      <c r="K286" s="3"/>
      <c r="L286" s="3"/>
      <c r="M286" s="3"/>
      <c r="N286" s="3"/>
      <c r="O286" s="3"/>
      <c r="P286" s="2"/>
      <c r="Q286" s="2"/>
    </row>
    <row r="287" spans="1:17" x14ac:dyDescent="0.25">
      <c r="A287" s="272" t="s">
        <v>169</v>
      </c>
      <c r="B287" s="272"/>
      <c r="C287" s="272"/>
      <c r="D287" s="16">
        <f>GETPIVOTDATA("Phase Net Units",'14'!$A$1,"Status","03 Planning","Ward (2022)",A287)</f>
        <v>24</v>
      </c>
      <c r="E287" s="271">
        <f>GETPIVOTDATA("Phase Net Units",'14'!$A$1,"Status","02 Under Construction","Ward (2022)",A287)</f>
        <v>12</v>
      </c>
      <c r="F287" s="271"/>
      <c r="G287" s="271">
        <f>GETPIVOTDATA("Phase Net Units",'14'!$A$1,"Status","01 Completion","Ward (2022)",A287)</f>
        <v>2</v>
      </c>
      <c r="H287" s="271"/>
      <c r="I287" s="6"/>
      <c r="J287" s="3"/>
      <c r="K287" s="3"/>
      <c r="L287" s="3"/>
      <c r="M287" s="3"/>
      <c r="N287" s="3"/>
      <c r="O287" s="3"/>
      <c r="P287" s="2"/>
      <c r="Q287" s="2"/>
    </row>
    <row r="288" spans="1:17" x14ac:dyDescent="0.25">
      <c r="A288" s="272" t="s">
        <v>170</v>
      </c>
      <c r="B288" s="272"/>
      <c r="C288" s="272"/>
      <c r="D288" s="16">
        <f>GETPIVOTDATA("Phase Net Units",'14'!$A$1,"Status","03 Planning","Ward (2022)",A288)</f>
        <v>800</v>
      </c>
      <c r="E288" s="271">
        <f>GETPIVOTDATA("Phase Net Units",'14'!$A$1,"Status","02 Under Construction","Ward (2022)",A288)</f>
        <v>66</v>
      </c>
      <c r="F288" s="271"/>
      <c r="G288" s="271">
        <f>GETPIVOTDATA("Phase Net Units",'14'!$A$1,"Status","01 Completion","Ward (2022)",A288)</f>
        <v>-1</v>
      </c>
      <c r="H288" s="271"/>
      <c r="I288" s="6"/>
      <c r="J288" s="3"/>
      <c r="K288" s="3"/>
      <c r="L288" s="3"/>
      <c r="M288" s="3"/>
      <c r="N288" s="3"/>
      <c r="O288" s="3"/>
      <c r="P288" s="2"/>
      <c r="Q288" s="2"/>
    </row>
    <row r="289" spans="1:17" x14ac:dyDescent="0.25">
      <c r="A289" s="272" t="s">
        <v>171</v>
      </c>
      <c r="B289" s="272"/>
      <c r="C289" s="272"/>
      <c r="D289" s="16">
        <f>GETPIVOTDATA("Phase Net Units",'14'!$A$1,"Status","03 Planning","Ward (2022)",A289)</f>
        <v>28</v>
      </c>
      <c r="E289" s="271">
        <f>GETPIVOTDATA("Phase Net Units",'14'!$A$1,"Status","02 Under Construction","Ward (2022)",A289)</f>
        <v>61</v>
      </c>
      <c r="F289" s="271"/>
      <c r="G289" s="271">
        <f>GETPIVOTDATA("Phase Net Units",'14'!$A$1,"Status","01 Completion","Ward (2022)",A289)</f>
        <v>35</v>
      </c>
      <c r="H289" s="271"/>
      <c r="I289" s="6"/>
      <c r="J289" s="3"/>
      <c r="K289" s="3"/>
      <c r="L289" s="3"/>
      <c r="M289" s="3"/>
      <c r="N289" s="3"/>
      <c r="O289" s="3"/>
      <c r="P289" s="2"/>
      <c r="Q289" s="2"/>
    </row>
    <row r="290" spans="1:17" x14ac:dyDescent="0.25">
      <c r="A290" s="272" t="s">
        <v>172</v>
      </c>
      <c r="B290" s="272"/>
      <c r="C290" s="272"/>
      <c r="D290" s="16">
        <f>GETPIVOTDATA("Phase Net Units",'14'!$A$1,"Status","03 Planning","Ward (2022)",A290)</f>
        <v>64</v>
      </c>
      <c r="E290" s="271">
        <f>GETPIVOTDATA("Phase Net Units",'14'!$A$1,"Status","02 Under Construction","Ward (2022)",A290)</f>
        <v>7</v>
      </c>
      <c r="F290" s="271"/>
      <c r="G290" s="271">
        <f>GETPIVOTDATA("Phase Net Units",'14'!$A$1,"Status","01 Completion","Ward (2022)",A290)</f>
        <v>25</v>
      </c>
      <c r="H290" s="271"/>
      <c r="I290" s="6"/>
      <c r="J290" s="3"/>
      <c r="K290" s="3"/>
      <c r="L290" s="3"/>
      <c r="M290" s="3"/>
      <c r="N290" s="3"/>
      <c r="O290" s="3"/>
      <c r="P290" s="2"/>
      <c r="Q290" s="2"/>
    </row>
    <row r="291" spans="1:17" x14ac:dyDescent="0.25">
      <c r="A291" s="272" t="s">
        <v>173</v>
      </c>
      <c r="B291" s="272"/>
      <c r="C291" s="272"/>
      <c r="D291" s="16">
        <f>GETPIVOTDATA("Phase Net Units",'14'!$A$1,"Status","03 Planning","Ward (2022)",A291)</f>
        <v>49</v>
      </c>
      <c r="E291" s="271">
        <f>GETPIVOTDATA("Phase Net Units",'14'!$A$1,"Status","02 Under Construction","Ward (2022)",A291)</f>
        <v>8</v>
      </c>
      <c r="F291" s="271"/>
      <c r="G291" s="271">
        <f>GETPIVOTDATA("Phase Net Units",'14'!$A$1,"Status","01 Completion","Ward (2022)",A291)</f>
        <v>1</v>
      </c>
      <c r="H291" s="271"/>
      <c r="I291" s="6"/>
      <c r="J291" s="3"/>
      <c r="K291" s="3"/>
      <c r="L291" s="3"/>
      <c r="M291" s="3"/>
      <c r="N291" s="3"/>
      <c r="O291" s="3"/>
      <c r="P291" s="2"/>
      <c r="Q291" s="2"/>
    </row>
    <row r="292" spans="1:17" x14ac:dyDescent="0.25">
      <c r="A292" s="272" t="s">
        <v>174</v>
      </c>
      <c r="B292" s="272"/>
      <c r="C292" s="272"/>
      <c r="D292" s="16">
        <f>GETPIVOTDATA("Phase Net Units",'14'!$A$1,"Status","03 Planning","Ward (2022)",A292)</f>
        <v>539</v>
      </c>
      <c r="E292" s="271">
        <f>GETPIVOTDATA("Phase Net Units",'14'!$A$1,"Status","02 Under Construction","Ward (2022)",A292)</f>
        <v>1152</v>
      </c>
      <c r="F292" s="271"/>
      <c r="G292" s="271">
        <f>GETPIVOTDATA("Phase Net Units",'14'!$A$1,"Status","01 Completion","Ward (2022)",A292)</f>
        <v>92</v>
      </c>
      <c r="H292" s="271"/>
      <c r="I292" s="6"/>
      <c r="J292" s="3"/>
      <c r="K292" s="3"/>
      <c r="L292" s="3"/>
      <c r="M292" s="3"/>
      <c r="N292" s="3"/>
      <c r="O292" s="3"/>
      <c r="P292" s="2"/>
      <c r="Q292" s="2"/>
    </row>
    <row r="293" spans="1:17" x14ac:dyDescent="0.25">
      <c r="A293" s="272" t="s">
        <v>175</v>
      </c>
      <c r="B293" s="272"/>
      <c r="C293" s="272"/>
      <c r="D293" s="16">
        <f>GETPIVOTDATA("Phase Net Units",'14'!$A$1,"Status","03 Planning","Ward (2022)",A293)</f>
        <v>164</v>
      </c>
      <c r="E293" s="271">
        <f>GETPIVOTDATA("Phase Net Units",'14'!$A$1,"Status","02 Under Construction","Ward (2022)",A293)</f>
        <v>23</v>
      </c>
      <c r="F293" s="271"/>
      <c r="G293" s="271">
        <f>GETPIVOTDATA("Phase Net Units",'14'!$A$1,"Status","01 Completion","Ward (2022)",A293)</f>
        <v>185</v>
      </c>
      <c r="H293" s="271"/>
      <c r="I293" s="6"/>
      <c r="J293" s="3"/>
      <c r="K293" s="3"/>
      <c r="L293" s="3"/>
      <c r="M293" s="3"/>
      <c r="N293" s="3"/>
      <c r="O293" s="3"/>
      <c r="P293" s="2"/>
      <c r="Q293" s="2"/>
    </row>
    <row r="294" spans="1:17" x14ac:dyDescent="0.25">
      <c r="A294" s="272" t="s">
        <v>176</v>
      </c>
      <c r="B294" s="272"/>
      <c r="C294" s="272"/>
      <c r="D294" s="16">
        <f>GETPIVOTDATA("Phase Net Units",'14'!$A$1,"Status","03 Planning","Ward (2022)",A294)</f>
        <v>30</v>
      </c>
      <c r="E294" s="271">
        <f>GETPIVOTDATA("Phase Net Units",'14'!$A$1,"Status","02 Under Construction","Ward (2022)",A294)</f>
        <v>8</v>
      </c>
      <c r="F294" s="271"/>
      <c r="G294" s="271">
        <f>GETPIVOTDATA("Phase Net Units",'14'!$A$1,"Status","01 Completion","Ward (2022)",A294)</f>
        <v>59</v>
      </c>
      <c r="H294" s="271"/>
      <c r="I294" s="6"/>
      <c r="J294" s="3"/>
      <c r="K294" s="3"/>
      <c r="L294" s="3"/>
      <c r="M294" s="3"/>
      <c r="N294" s="3"/>
      <c r="O294" s="3"/>
      <c r="P294" s="2"/>
      <c r="Q294" s="2"/>
    </row>
    <row r="295" spans="1:17" x14ac:dyDescent="0.25">
      <c r="A295" s="272" t="s">
        <v>177</v>
      </c>
      <c r="B295" s="272"/>
      <c r="C295" s="272"/>
      <c r="D295" s="16">
        <f>GETPIVOTDATA("Phase Net Units",'14'!$A$1,"Status","03 Planning","Ward (2022)",A295)</f>
        <v>136</v>
      </c>
      <c r="E295" s="271">
        <f>GETPIVOTDATA("Phase Net Units",'14'!$A$1,"Status","02 Under Construction","Ward (2022)",A295)</f>
        <v>64</v>
      </c>
      <c r="F295" s="271"/>
      <c r="G295" s="271">
        <f>GETPIVOTDATA("Phase Net Units",'14'!$A$1,"Status","01 Completion","Ward (2022)",A295)</f>
        <v>40</v>
      </c>
      <c r="H295" s="271"/>
      <c r="I295" s="6"/>
      <c r="J295" s="3"/>
      <c r="K295" s="3"/>
      <c r="L295" s="3"/>
      <c r="M295" s="3"/>
      <c r="N295" s="3"/>
      <c r="O295" s="3"/>
      <c r="P295" s="2"/>
      <c r="Q295" s="2"/>
    </row>
    <row r="296" spans="1:17" x14ac:dyDescent="0.25">
      <c r="A296" s="272" t="s">
        <v>178</v>
      </c>
      <c r="B296" s="272"/>
      <c r="C296" s="272"/>
      <c r="D296" s="16">
        <f>GETPIVOTDATA("Phase Net Units",'14'!$A$1,"Status","03 Planning","Ward (2022)",A296)</f>
        <v>21</v>
      </c>
      <c r="E296" s="271">
        <f>GETPIVOTDATA("Phase Net Units",'14'!$A$1,"Status","02 Under Construction","Ward (2022)",A296)</f>
        <v>3</v>
      </c>
      <c r="F296" s="271"/>
      <c r="G296" s="271">
        <f>GETPIVOTDATA("Phase Net Units",'14'!$A$1,"Status","01 Completion","Ward (2022)",A296)</f>
        <v>15</v>
      </c>
      <c r="H296" s="271"/>
      <c r="I296" s="6"/>
      <c r="J296" s="3"/>
      <c r="K296" s="3"/>
      <c r="L296" s="3"/>
      <c r="M296" s="3"/>
      <c r="N296" s="3"/>
      <c r="O296" s="3"/>
      <c r="P296" s="2"/>
      <c r="Q296" s="2"/>
    </row>
    <row r="297" spans="1:17" x14ac:dyDescent="0.25">
      <c r="A297" s="272" t="s">
        <v>179</v>
      </c>
      <c r="B297" s="272"/>
      <c r="C297" s="272"/>
      <c r="D297" s="16">
        <f>GETPIVOTDATA("Phase Net Units",'14'!$A$1,"Status","03 Planning","Ward (2022)",A297)</f>
        <v>549</v>
      </c>
      <c r="E297" s="271">
        <f>GETPIVOTDATA("Phase Net Units",'14'!$A$1,"Status","02 Under Construction","Ward (2022)",A297)</f>
        <v>115</v>
      </c>
      <c r="F297" s="271"/>
      <c r="G297" s="271">
        <f>GETPIVOTDATA("Phase Net Units",'14'!$A$1,"Status","01 Completion","Ward (2022)",A297)</f>
        <v>20</v>
      </c>
      <c r="H297" s="271"/>
      <c r="I297" s="6"/>
      <c r="J297" s="3"/>
      <c r="K297" s="3"/>
      <c r="L297" s="3"/>
      <c r="M297" s="3"/>
      <c r="N297" s="3"/>
      <c r="O297" s="3"/>
      <c r="P297" s="2"/>
      <c r="Q297" s="2"/>
    </row>
    <row r="298" spans="1:17" x14ac:dyDescent="0.25">
      <c r="A298" s="272" t="s">
        <v>180</v>
      </c>
      <c r="B298" s="272"/>
      <c r="C298" s="272"/>
      <c r="D298" s="16">
        <f>GETPIVOTDATA("Phase Net Units",'14'!$A$1,"Status","03 Planning","Ward (2022)",A298)</f>
        <v>448</v>
      </c>
      <c r="E298" s="271">
        <f>GETPIVOTDATA("Phase Net Units",'14'!$A$1,"Status","02 Under Construction","Ward (2022)",A298)</f>
        <v>328</v>
      </c>
      <c r="F298" s="271"/>
      <c r="G298" s="271">
        <f>GETPIVOTDATA("Phase Net Units",'14'!$A$1,"Status","01 Completion","Ward (2022)",A298)</f>
        <v>157</v>
      </c>
      <c r="H298" s="271"/>
      <c r="I298" s="6"/>
      <c r="J298" s="3"/>
      <c r="K298" s="3"/>
      <c r="L298" s="3"/>
      <c r="M298" s="3"/>
      <c r="N298" s="3"/>
      <c r="O298" s="3"/>
      <c r="P298" s="2"/>
      <c r="Q298" s="2"/>
    </row>
    <row r="299" spans="1:17" x14ac:dyDescent="0.25">
      <c r="A299" s="272" t="s">
        <v>181</v>
      </c>
      <c r="B299" s="272"/>
      <c r="C299" s="272"/>
      <c r="D299" s="16">
        <f>GETPIVOTDATA("Phase Net Units",'14'!$A$1,"Status","03 Planning","Ward (2022)",A299)</f>
        <v>500</v>
      </c>
      <c r="E299" s="271">
        <f>GETPIVOTDATA("Phase Net Units",'14'!$A$1,"Status","02 Under Construction","Ward (2022)",A299)</f>
        <v>62</v>
      </c>
      <c r="F299" s="271"/>
      <c r="G299" s="271">
        <f>GETPIVOTDATA("Phase Net Units",'14'!$A$1,"Status","01 Completion","Ward (2022)",A299)</f>
        <v>18</v>
      </c>
      <c r="H299" s="271"/>
      <c r="I299" s="6"/>
      <c r="J299" s="3"/>
      <c r="K299" s="3"/>
      <c r="L299" s="3"/>
      <c r="M299" s="3"/>
      <c r="N299" s="3"/>
      <c r="O299" s="3"/>
      <c r="P299" s="2"/>
      <c r="Q299" s="2"/>
    </row>
    <row r="300" spans="1:17" x14ac:dyDescent="0.25">
      <c r="A300" s="272" t="s">
        <v>182</v>
      </c>
      <c r="B300" s="272"/>
      <c r="C300" s="272"/>
      <c r="D300" s="16">
        <f>GETPIVOTDATA("Phase Net Units",'14'!$A$1,"Status","03 Planning","Ward (2022)",A300)</f>
        <v>19</v>
      </c>
      <c r="E300" s="271">
        <f>GETPIVOTDATA("Phase Net Units",'14'!$A$1,"Status","02 Under Construction","Ward (2022)",A300)</f>
        <v>14</v>
      </c>
      <c r="F300" s="271"/>
      <c r="G300" s="271">
        <f>GETPIVOTDATA("Phase Net Units",'14'!$A$1,"Status","01 Completion","Ward (2022)",A300)</f>
        <v>1</v>
      </c>
      <c r="H300" s="271"/>
      <c r="I300" s="6"/>
      <c r="J300" s="3"/>
      <c r="K300" s="3"/>
      <c r="L300" s="3"/>
      <c r="M300" s="3"/>
      <c r="N300" s="3"/>
      <c r="O300" s="3"/>
      <c r="P300" s="2"/>
      <c r="Q300" s="2"/>
    </row>
    <row r="301" spans="1:17" x14ac:dyDescent="0.25">
      <c r="A301" s="272" t="s">
        <v>183</v>
      </c>
      <c r="B301" s="272"/>
      <c r="C301" s="272"/>
      <c r="D301" s="16">
        <f>GETPIVOTDATA("Phase Net Units",'14'!$A$1,"Status","03 Planning","Ward (2022)",A301)</f>
        <v>39</v>
      </c>
      <c r="E301" s="271">
        <f>GETPIVOTDATA("Phase Net Units",'14'!$A$1,"Status","02 Under Construction","Ward (2022)",A301)</f>
        <v>10</v>
      </c>
      <c r="F301" s="271"/>
      <c r="G301" s="271">
        <f>GETPIVOTDATA("Phase Net Units",'14'!$A$1,"Status","01 Completion","Ward (2022)",A301)</f>
        <v>-1</v>
      </c>
      <c r="H301" s="271"/>
      <c r="I301" s="6"/>
      <c r="J301" s="3"/>
      <c r="K301" s="3"/>
      <c r="L301" s="3"/>
      <c r="M301" s="3"/>
      <c r="N301" s="3"/>
      <c r="O301" s="3"/>
      <c r="P301" s="2"/>
      <c r="Q301" s="2"/>
    </row>
    <row r="302" spans="1:17" x14ac:dyDescent="0.25">
      <c r="A302" s="353" t="s">
        <v>49</v>
      </c>
      <c r="B302" s="353"/>
      <c r="C302" s="353"/>
      <c r="D302" s="32">
        <f>SUM(D280:D301)</f>
        <v>8845</v>
      </c>
      <c r="E302" s="360">
        <f t="shared" ref="E302" si="41">SUM(E280:E301)</f>
        <v>6426</v>
      </c>
      <c r="F302" s="360"/>
      <c r="G302" s="360">
        <f>SUM(G280:G301)</f>
        <v>1999</v>
      </c>
      <c r="H302" s="360"/>
      <c r="I302" s="6"/>
      <c r="J302" s="3"/>
      <c r="K302" s="3"/>
      <c r="L302" s="3"/>
      <c r="M302" s="3"/>
      <c r="N302" s="3"/>
      <c r="O302" s="3"/>
      <c r="P302" s="2"/>
      <c r="Q302" s="2"/>
    </row>
    <row r="303" spans="1:17" x14ac:dyDescent="0.25">
      <c r="A303" s="3"/>
      <c r="B303" s="3"/>
      <c r="C303" s="2"/>
      <c r="D303" s="6"/>
      <c r="E303" s="6"/>
      <c r="F303" s="6"/>
      <c r="G303" s="6"/>
      <c r="H303" s="6"/>
      <c r="I303" s="6"/>
      <c r="J303" s="3"/>
      <c r="K303" s="3"/>
      <c r="L303" s="3"/>
      <c r="M303" s="3"/>
      <c r="N303" s="3"/>
      <c r="O303" s="3"/>
      <c r="P303" s="2"/>
      <c r="Q303" s="2"/>
    </row>
    <row r="304" spans="1:17" x14ac:dyDescent="0.25">
      <c r="A304" s="106" t="s">
        <v>184</v>
      </c>
      <c r="B304" s="3"/>
      <c r="C304" s="2"/>
      <c r="D304" s="6"/>
      <c r="E304" s="6"/>
      <c r="F304" s="6"/>
      <c r="G304" s="6"/>
      <c r="H304" s="6"/>
      <c r="I304" s="6"/>
      <c r="J304" s="3"/>
      <c r="K304" s="3"/>
      <c r="L304" s="3"/>
      <c r="M304" s="3"/>
      <c r="N304" s="3"/>
      <c r="O304" s="3"/>
      <c r="P304" s="2"/>
      <c r="Q304" s="2"/>
    </row>
    <row r="305" spans="1:17" x14ac:dyDescent="0.25">
      <c r="A305" s="7" t="s">
        <v>185</v>
      </c>
      <c r="B305" s="7" t="s">
        <v>186</v>
      </c>
      <c r="C305" s="2"/>
      <c r="D305" s="6"/>
      <c r="E305" s="6"/>
      <c r="F305" s="6"/>
      <c r="G305" s="6"/>
      <c r="H305" s="6"/>
      <c r="I305" s="6"/>
      <c r="J305" s="3"/>
      <c r="K305" s="3"/>
      <c r="L305" s="3"/>
      <c r="M305" s="3"/>
      <c r="N305" s="3"/>
      <c r="O305" s="3"/>
      <c r="P305" s="2"/>
      <c r="Q305" s="2"/>
    </row>
    <row r="306" spans="1:17" x14ac:dyDescent="0.25">
      <c r="A306" s="266"/>
      <c r="B306" s="266"/>
      <c r="C306" s="275" t="s">
        <v>162</v>
      </c>
      <c r="D306" s="359"/>
      <c r="E306" s="359"/>
      <c r="F306" s="340" t="s">
        <v>66</v>
      </c>
      <c r="G306" s="340"/>
      <c r="H306" s="340"/>
      <c r="I306" s="340" t="s">
        <v>108</v>
      </c>
      <c r="J306" s="340"/>
      <c r="K306" s="340"/>
      <c r="L306" s="3"/>
      <c r="M306" s="3"/>
      <c r="N306" s="3"/>
      <c r="O306" s="3"/>
      <c r="P306" s="2"/>
      <c r="Q306" s="2"/>
    </row>
    <row r="307" spans="1:17" x14ac:dyDescent="0.25">
      <c r="A307" s="358"/>
      <c r="B307" s="358"/>
      <c r="C307" s="47" t="s">
        <v>187</v>
      </c>
      <c r="D307" s="47" t="s">
        <v>78</v>
      </c>
      <c r="E307" s="47" t="s">
        <v>49</v>
      </c>
      <c r="F307" s="47" t="s">
        <v>187</v>
      </c>
      <c r="G307" s="47" t="s">
        <v>78</v>
      </c>
      <c r="H307" s="47" t="s">
        <v>49</v>
      </c>
      <c r="I307" s="47" t="s">
        <v>187</v>
      </c>
      <c r="J307" s="47" t="s">
        <v>78</v>
      </c>
      <c r="K307" s="47" t="s">
        <v>49</v>
      </c>
      <c r="L307" s="3"/>
      <c r="M307" s="3"/>
      <c r="N307" s="3"/>
      <c r="O307" s="3"/>
      <c r="P307" s="2"/>
      <c r="Q307" s="2"/>
    </row>
    <row r="308" spans="1:17" x14ac:dyDescent="0.25">
      <c r="A308" s="357" t="s">
        <v>188</v>
      </c>
      <c r="B308" s="357"/>
      <c r="C308" s="16">
        <f>GETPIVOTDATA("Phase Net Units",'15'!$A$1,"Status","03 Planning","Tenure","Open Market","VNEB","Y")</f>
        <v>2346</v>
      </c>
      <c r="D308" s="16">
        <f>GETPIVOTDATA("Phase Net Units",'15'!$A$1,"Status","03 Planning","Tenure","Intermediate","VNEB","Y")+GETPIVOTDATA("Phase Net Units",'15'!$A$1,"Status","03 Planning","Tenure","Social/Affordable Rent","VNEB","Y")</f>
        <v>847</v>
      </c>
      <c r="E308" s="16">
        <f>C308+D308</f>
        <v>3193</v>
      </c>
      <c r="F308" s="16">
        <f>GETPIVOTDATA("Phase Net Units",'15'!$A$1,"Status","02 Under Construction","Tenure","Open Market","VNEB","Y")</f>
        <v>3448</v>
      </c>
      <c r="G308" s="16">
        <f>GETPIVOTDATA("Phase Net Units",'15'!$A$1,"Status","02 Under Construction","Tenure","Intermediate","VNEB","Y")+GETPIVOTDATA("Phase Net Units",'15'!$A$1,"Status","02 Under Construction","Tenure","Social/Affordable Rent","VNEB","Y")</f>
        <v>709</v>
      </c>
      <c r="H308" s="16">
        <f>F308+G308</f>
        <v>4157</v>
      </c>
      <c r="I308" s="16">
        <f>GETPIVOTDATA("Phase Net Units",'15'!$A$1,"Status","01 Completion","Tenure","Open Market","VNEB","Y")</f>
        <v>1004</v>
      </c>
      <c r="J308" s="16">
        <f>GETPIVOTDATA("Phase Net Units",'15'!$A$1,"Status","01 Completion","Tenure","Intermediate","VNEB","Y")+GETPIVOTDATA("Phase Net Units",'15'!$A$1,"Status","01 Completion","Tenure","Social/Affordable Rent","VNEB","Y")</f>
        <v>232</v>
      </c>
      <c r="K308" s="16">
        <f>I308+J308</f>
        <v>1236</v>
      </c>
      <c r="L308" s="3"/>
      <c r="M308" s="3"/>
      <c r="N308" s="3"/>
      <c r="O308" s="3"/>
      <c r="P308" s="2"/>
      <c r="Q308" s="2"/>
    </row>
    <row r="309" spans="1:17" x14ac:dyDescent="0.25">
      <c r="A309" s="357" t="s">
        <v>189</v>
      </c>
      <c r="B309" s="357"/>
      <c r="C309" s="16">
        <f>GETPIVOTDATA("Phase Net Units",'15'!$A$1,"Status","03 Planning","Tenure","Open Market","VNEB",)</f>
        <v>4687</v>
      </c>
      <c r="D309" s="16">
        <f>GETPIVOTDATA("Phase Net Units",'15'!$A$1,"Status","03 Planning","Tenure","Intermediate","VNEB",)+GETPIVOTDATA("Phase Net Units",'15'!$A$1,"Status","03 Planning","Tenure","Social/Affordable Rent","VNEB",)</f>
        <v>965</v>
      </c>
      <c r="E309" s="16">
        <f>C309+D309</f>
        <v>5652</v>
      </c>
      <c r="F309" s="16">
        <f>GETPIVOTDATA("Phase Net Units",'15'!$A$1,"Status","02 Under Construction","Tenure","Open Market","VNEB",)</f>
        <v>1478</v>
      </c>
      <c r="G309" s="16">
        <f>GETPIVOTDATA("Phase Net Units",'15'!$A$1,"Status","02 Under Construction","Tenure","Intermediate","VNEB",)+GETPIVOTDATA("Phase Net Units",'15'!$A$1,"Status","02 Under Construction","Tenure","Social/Affordable Rent","VNEB",)</f>
        <v>792</v>
      </c>
      <c r="H309" s="16">
        <f>F309+G309</f>
        <v>2270</v>
      </c>
      <c r="I309" s="16">
        <f>GETPIVOTDATA("Phase Net Units",'15'!$A$1,"Status","01 Completion","Tenure","Open Market","VNEB",)</f>
        <v>406</v>
      </c>
      <c r="J309" s="16">
        <f>GETPIVOTDATA("Phase Net Units",'15'!$A$1,"Status","01 Completion","Tenure","Intermediate","VNEB",)+GETPIVOTDATA("Phase Net Units",'15'!$A$1,"Status","01 Completion","Tenure","Social/Affordable Rent","VNEB",)</f>
        <v>357</v>
      </c>
      <c r="K309" s="16">
        <f>I309+J309</f>
        <v>763</v>
      </c>
      <c r="L309" s="3"/>
      <c r="M309" s="3"/>
      <c r="N309" s="3"/>
      <c r="O309" s="3"/>
      <c r="P309" s="2"/>
      <c r="Q309" s="2"/>
    </row>
    <row r="310" spans="1:17" x14ac:dyDescent="0.25">
      <c r="A310" s="280" t="s">
        <v>49</v>
      </c>
      <c r="B310" s="280"/>
      <c r="C310" s="32">
        <f t="shared" ref="C310:J310" si="42">SUM(C308:C309)</f>
        <v>7033</v>
      </c>
      <c r="D310" s="32">
        <f t="shared" si="42"/>
        <v>1812</v>
      </c>
      <c r="E310" s="32">
        <f t="shared" si="42"/>
        <v>8845</v>
      </c>
      <c r="F310" s="32">
        <f t="shared" si="42"/>
        <v>4926</v>
      </c>
      <c r="G310" s="32">
        <f t="shared" si="42"/>
        <v>1501</v>
      </c>
      <c r="H310" s="32">
        <f t="shared" si="42"/>
        <v>6427</v>
      </c>
      <c r="I310" s="32">
        <f t="shared" si="42"/>
        <v>1410</v>
      </c>
      <c r="J310" s="32">
        <f t="shared" si="42"/>
        <v>589</v>
      </c>
      <c r="K310" s="32">
        <f>SUM(K308:K309)</f>
        <v>1999</v>
      </c>
      <c r="L310" s="3"/>
      <c r="M310" s="3"/>
      <c r="N310" s="3"/>
      <c r="O310" s="3"/>
      <c r="P310" s="2"/>
      <c r="Q310" s="2"/>
    </row>
    <row r="311" spans="1:17" x14ac:dyDescent="0.25">
      <c r="A311" s="58"/>
      <c r="B311" s="58"/>
      <c r="C311" s="12"/>
      <c r="D311" s="12"/>
      <c r="E311" s="12"/>
      <c r="F311" s="12"/>
      <c r="G311" s="12"/>
      <c r="H311" s="12"/>
      <c r="I311" s="12"/>
      <c r="J311" s="12"/>
      <c r="K311" s="12"/>
      <c r="L311" s="3"/>
      <c r="M311" s="3"/>
      <c r="N311" s="3"/>
      <c r="O311" s="3"/>
      <c r="P311" s="2"/>
      <c r="Q311" s="2"/>
    </row>
    <row r="312" spans="1:17" ht="15.6" x14ac:dyDescent="0.3">
      <c r="A312" s="103" t="s">
        <v>190</v>
      </c>
      <c r="B312" s="3"/>
      <c r="C312" s="3"/>
      <c r="D312" s="3"/>
      <c r="E312" s="3"/>
      <c r="F312" s="3"/>
      <c r="G312" s="3"/>
      <c r="H312" s="3"/>
      <c r="I312" s="3"/>
      <c r="J312" s="3"/>
      <c r="K312" s="3"/>
      <c r="L312" s="13"/>
      <c r="M312" s="3"/>
      <c r="N312" s="3"/>
      <c r="O312" s="3"/>
      <c r="P312" s="2"/>
      <c r="Q312" s="2"/>
    </row>
    <row r="313" spans="1:17" x14ac:dyDescent="0.25">
      <c r="A313" s="3"/>
      <c r="B313" s="3"/>
      <c r="C313" s="3"/>
      <c r="D313" s="3"/>
      <c r="E313" s="3"/>
      <c r="F313" s="3"/>
      <c r="G313" s="3"/>
      <c r="H313" s="3"/>
      <c r="I313" s="3"/>
      <c r="J313" s="3"/>
      <c r="K313" s="3"/>
      <c r="L313" s="3"/>
      <c r="M313" s="3"/>
      <c r="N313" s="3"/>
      <c r="O313" s="3"/>
      <c r="P313" s="2"/>
      <c r="Q313" s="2"/>
    </row>
    <row r="314" spans="1:17" x14ac:dyDescent="0.25">
      <c r="A314" s="7" t="s">
        <v>191</v>
      </c>
      <c r="B314" s="7" t="s">
        <v>192</v>
      </c>
      <c r="C314" s="3"/>
      <c r="D314" s="3"/>
      <c r="E314" s="3"/>
      <c r="F314" s="3"/>
      <c r="G314" s="3"/>
      <c r="H314" s="3"/>
      <c r="I314" s="3"/>
      <c r="K314" s="3"/>
      <c r="M314" s="3"/>
      <c r="N314" s="3"/>
      <c r="O314" s="3"/>
      <c r="P314" s="2"/>
      <c r="Q314" s="2"/>
    </row>
    <row r="315" spans="1:17" x14ac:dyDescent="0.25">
      <c r="A315" s="336" t="s">
        <v>45</v>
      </c>
      <c r="B315" s="337"/>
      <c r="C315" s="47" t="s">
        <v>193</v>
      </c>
      <c r="D315" s="47" t="s">
        <v>194</v>
      </c>
      <c r="E315" s="47" t="s">
        <v>195</v>
      </c>
      <c r="F315" s="47" t="s">
        <v>196</v>
      </c>
      <c r="G315" s="47" t="s">
        <v>197</v>
      </c>
      <c r="H315" s="47" t="s">
        <v>198</v>
      </c>
      <c r="I315" s="47" t="s">
        <v>199</v>
      </c>
      <c r="J315" s="47" t="s">
        <v>49</v>
      </c>
      <c r="K315" s="3"/>
      <c r="L315" s="3"/>
      <c r="M315" s="3"/>
      <c r="N315" s="3"/>
      <c r="O315" s="3"/>
      <c r="P315" s="2"/>
      <c r="Q315" s="2"/>
    </row>
    <row r="316" spans="1:17" x14ac:dyDescent="0.25">
      <c r="A316" s="338" t="s">
        <v>187</v>
      </c>
      <c r="B316" s="338"/>
      <c r="C316" s="16">
        <f>GETPIVOTDATA("Sum of Net Studio Units",'16'!$A$1,"Tenure","Open Market")</f>
        <v>30</v>
      </c>
      <c r="D316" s="16">
        <f>GETPIVOTDATA("Sum of Net 1 Bed Units",'16'!$A$1,"Tenure","Open Market")</f>
        <v>307</v>
      </c>
      <c r="E316" s="16">
        <f>GETPIVOTDATA("Sum of Net 2 Bed Units",'16'!$A$1,"Tenure","Open Market")</f>
        <v>550</v>
      </c>
      <c r="F316" s="16">
        <f>GETPIVOTDATA("Sum of Net 3 Bed Units",'16'!$A$1,"Tenure","Open Market")</f>
        <v>247</v>
      </c>
      <c r="G316" s="16">
        <f>GETPIVOTDATA("Sum of Net 4 Bed Units",'16'!$A$1,"Tenure","Open Market")</f>
        <v>32</v>
      </c>
      <c r="H316" s="16">
        <f>GETPIVOTDATA("Sum of Net 5+ Bed Units",'16'!$A$1,"Tenure","Open Market")</f>
        <v>15</v>
      </c>
      <c r="I316" s="16">
        <f>GETPIVOTDATA("Sum of Net Not Known Bed Units",'16'!$A$1,"Tenure","Open Market")</f>
        <v>0</v>
      </c>
      <c r="J316" s="16">
        <f t="shared" ref="J316:J323" si="43">SUM(C316:I316)</f>
        <v>1181</v>
      </c>
      <c r="K316" s="3"/>
      <c r="L316" s="3"/>
      <c r="M316" s="3"/>
      <c r="N316" s="3"/>
      <c r="O316" s="3"/>
      <c r="P316" s="2"/>
      <c r="Q316" s="2"/>
    </row>
    <row r="317" spans="1:17" x14ac:dyDescent="0.25">
      <c r="A317" s="338"/>
      <c r="B317" s="338"/>
      <c r="C317" s="17">
        <f t="shared" ref="C317:I317" si="44">C316/$J$316</f>
        <v>2.5402201524132091E-2</v>
      </c>
      <c r="D317" s="17">
        <f t="shared" si="44"/>
        <v>0.25994919559695173</v>
      </c>
      <c r="E317" s="17">
        <f t="shared" si="44"/>
        <v>0.46570702794242169</v>
      </c>
      <c r="F317" s="17">
        <f t="shared" si="44"/>
        <v>0.20914479254868756</v>
      </c>
      <c r="G317" s="17">
        <f t="shared" si="44"/>
        <v>2.7095681625740897E-2</v>
      </c>
      <c r="H317" s="17">
        <f t="shared" si="44"/>
        <v>1.2701100762066046E-2</v>
      </c>
      <c r="I317" s="17">
        <f t="shared" si="44"/>
        <v>0</v>
      </c>
      <c r="J317" s="17">
        <f t="shared" si="43"/>
        <v>1</v>
      </c>
      <c r="K317" s="3"/>
      <c r="L317" s="3"/>
      <c r="M317" s="3"/>
      <c r="N317" s="3"/>
      <c r="O317" s="3"/>
      <c r="P317" s="2"/>
      <c r="Q317" s="2"/>
    </row>
    <row r="318" spans="1:17" x14ac:dyDescent="0.25">
      <c r="A318" s="338" t="s">
        <v>56</v>
      </c>
      <c r="B318" s="338"/>
      <c r="C318" s="16">
        <f>GETPIVOTDATA("Sum of Net Studio Units",'16'!$A$1,"Tenure","Intermediate")</f>
        <v>11</v>
      </c>
      <c r="D318" s="16">
        <f>GETPIVOTDATA("Sum of Net 1 Bed Units",'16'!$A$1,"Tenure","Intermediate")</f>
        <v>156</v>
      </c>
      <c r="E318" s="16">
        <f>GETPIVOTDATA("Sum of Net 2 Bed Units",'16'!$A$1,"Tenure","Intermediate")</f>
        <v>167</v>
      </c>
      <c r="F318" s="16">
        <f>GETPIVOTDATA("Sum of Net 3 Bed Units",'16'!$A$1,"Tenure","Intermediate")</f>
        <v>16</v>
      </c>
      <c r="G318" s="16">
        <f>GETPIVOTDATA("Sum of Net 4 Bed Units",'16'!$A$1,"Tenure","Intermediate")</f>
        <v>0</v>
      </c>
      <c r="H318" s="16">
        <f>GETPIVOTDATA("Sum of Net 5+ Bed Units",'16'!$A$1,"Tenure","Intermediate")</f>
        <v>0</v>
      </c>
      <c r="I318" s="16">
        <f>GETPIVOTDATA("Sum of Net Not Known Bed Units",'16'!$A$1,"Tenure","Intermediate")</f>
        <v>0</v>
      </c>
      <c r="J318" s="16">
        <f t="shared" si="43"/>
        <v>350</v>
      </c>
      <c r="K318" s="3"/>
      <c r="L318" s="2"/>
      <c r="M318" s="2"/>
      <c r="N318" s="2"/>
      <c r="O318" s="2"/>
      <c r="P318" s="2"/>
      <c r="Q318" s="2"/>
    </row>
    <row r="319" spans="1:17" x14ac:dyDescent="0.25">
      <c r="A319" s="338"/>
      <c r="B319" s="338"/>
      <c r="C319" s="17">
        <f t="shared" ref="C319:I319" si="45">C318/$J$318</f>
        <v>3.1428571428571431E-2</v>
      </c>
      <c r="D319" s="17">
        <f t="shared" si="45"/>
        <v>0.44571428571428573</v>
      </c>
      <c r="E319" s="17">
        <f t="shared" si="45"/>
        <v>0.47714285714285715</v>
      </c>
      <c r="F319" s="17">
        <f t="shared" si="45"/>
        <v>4.5714285714285714E-2</v>
      </c>
      <c r="G319" s="17">
        <f t="shared" si="45"/>
        <v>0</v>
      </c>
      <c r="H319" s="17">
        <f t="shared" si="45"/>
        <v>0</v>
      </c>
      <c r="I319" s="17">
        <f t="shared" si="45"/>
        <v>0</v>
      </c>
      <c r="J319" s="17">
        <f>SUM(C319:I319)</f>
        <v>1</v>
      </c>
      <c r="K319" s="3"/>
      <c r="L319" s="3"/>
      <c r="M319" s="3"/>
      <c r="N319" s="3"/>
      <c r="O319" s="3"/>
      <c r="P319" s="2"/>
      <c r="Q319" s="2"/>
    </row>
    <row r="320" spans="1:17" x14ac:dyDescent="0.25">
      <c r="A320" s="338" t="s">
        <v>57</v>
      </c>
      <c r="B320" s="338"/>
      <c r="C320" s="16">
        <f>GETPIVOTDATA("Sum of Net Studio Units",'16'!$A$1,"Tenure","Social/Affordable Rent")</f>
        <v>-2</v>
      </c>
      <c r="D320" s="16">
        <f>GETPIVOTDATA("Sum of Net 1 Bed Units",'16'!$A$1,"Tenure","Social/Affordable Rent")</f>
        <v>90</v>
      </c>
      <c r="E320" s="16">
        <f>GETPIVOTDATA("Sum of Net 2 Bed Units",'16'!$A$1,"Tenure","Social/Affordable Rent")</f>
        <v>107</v>
      </c>
      <c r="F320" s="16">
        <f>GETPIVOTDATA("Sum of Net 3 Bed Units",'16'!$A$1,"Tenure","Social/Affordable Rent")</f>
        <v>30</v>
      </c>
      <c r="G320" s="16">
        <f>GETPIVOTDATA("Sum of Net 4 Bed Units",'16'!$A$1,"Tenure","Social/Affordable Rent")</f>
        <v>3</v>
      </c>
      <c r="H320" s="16">
        <f>GETPIVOTDATA("Sum of Net 5+ Bed Units",'16'!$A$1,"Tenure","Social/Affordable Rent")</f>
        <v>2</v>
      </c>
      <c r="I320" s="16">
        <f>GETPIVOTDATA("Sum of Net Not Known Bed Units",'16'!$A$1,"Tenure","Social/Affordable Rent")</f>
        <v>0</v>
      </c>
      <c r="J320" s="16">
        <f t="shared" si="43"/>
        <v>230</v>
      </c>
      <c r="K320" s="3"/>
      <c r="L320" s="3"/>
      <c r="M320" s="3"/>
      <c r="N320" s="3"/>
      <c r="O320" s="3"/>
      <c r="P320" s="2"/>
      <c r="Q320" s="2"/>
    </row>
    <row r="321" spans="1:17" x14ac:dyDescent="0.25">
      <c r="A321" s="338"/>
      <c r="B321" s="338"/>
      <c r="C321" s="17">
        <f t="shared" ref="C321:I321" si="46">C320/$J$320</f>
        <v>-8.6956521739130436E-3</v>
      </c>
      <c r="D321" s="17">
        <f t="shared" si="46"/>
        <v>0.39130434782608697</v>
      </c>
      <c r="E321" s="17">
        <f t="shared" si="46"/>
        <v>0.4652173913043478</v>
      </c>
      <c r="F321" s="17">
        <f t="shared" si="46"/>
        <v>0.13043478260869565</v>
      </c>
      <c r="G321" s="17">
        <f t="shared" si="46"/>
        <v>1.3043478260869565E-2</v>
      </c>
      <c r="H321" s="17">
        <f t="shared" si="46"/>
        <v>8.6956521739130436E-3</v>
      </c>
      <c r="I321" s="17">
        <f t="shared" si="46"/>
        <v>0</v>
      </c>
      <c r="J321" s="17">
        <f t="shared" si="43"/>
        <v>1</v>
      </c>
      <c r="K321" s="3"/>
      <c r="L321" s="3"/>
      <c r="M321" s="3"/>
      <c r="N321" s="3"/>
      <c r="O321" s="3"/>
      <c r="P321" s="2"/>
      <c r="Q321" s="2"/>
    </row>
    <row r="322" spans="1:17" x14ac:dyDescent="0.25">
      <c r="A322" s="339" t="s">
        <v>49</v>
      </c>
      <c r="B322" s="339"/>
      <c r="C322" s="32">
        <f>SUM(C316,C318,C320)</f>
        <v>39</v>
      </c>
      <c r="D322" s="32">
        <f t="shared" ref="D322:I322" si="47">SUM(D316,D318,D320)</f>
        <v>553</v>
      </c>
      <c r="E322" s="32">
        <f t="shared" si="47"/>
        <v>824</v>
      </c>
      <c r="F322" s="32">
        <f t="shared" si="47"/>
        <v>293</v>
      </c>
      <c r="G322" s="32">
        <f t="shared" si="47"/>
        <v>35</v>
      </c>
      <c r="H322" s="32">
        <f t="shared" si="47"/>
        <v>17</v>
      </c>
      <c r="I322" s="32">
        <f t="shared" si="47"/>
        <v>0</v>
      </c>
      <c r="J322" s="32">
        <f>SUM(C322:I322)</f>
        <v>1761</v>
      </c>
      <c r="K322" s="3"/>
      <c r="L322" s="3"/>
      <c r="M322" s="3"/>
      <c r="N322" s="3"/>
      <c r="O322" s="3"/>
      <c r="P322" s="2"/>
      <c r="Q322" s="2"/>
    </row>
    <row r="323" spans="1:17" x14ac:dyDescent="0.25">
      <c r="A323" s="339"/>
      <c r="B323" s="339"/>
      <c r="C323" s="14">
        <f t="shared" ref="C323:I323" si="48">C322/$J$322</f>
        <v>2.2146507666098807E-2</v>
      </c>
      <c r="D323" s="20">
        <f t="shared" si="48"/>
        <v>0.3140261215218626</v>
      </c>
      <c r="E323" s="20">
        <f t="shared" si="48"/>
        <v>0.46791595684270298</v>
      </c>
      <c r="F323" s="20">
        <f t="shared" si="48"/>
        <v>0.16638273708120385</v>
      </c>
      <c r="G323" s="20">
        <f t="shared" si="48"/>
        <v>1.9875070982396367E-2</v>
      </c>
      <c r="H323" s="20">
        <f t="shared" si="48"/>
        <v>9.6536059057353782E-3</v>
      </c>
      <c r="I323" s="20">
        <f t="shared" si="48"/>
        <v>0</v>
      </c>
      <c r="J323" s="20">
        <f t="shared" si="43"/>
        <v>1</v>
      </c>
      <c r="K323" s="3"/>
      <c r="L323" s="3"/>
      <c r="M323" s="3"/>
      <c r="N323" s="3"/>
      <c r="O323" s="3"/>
      <c r="P323" s="2"/>
      <c r="Q323" s="2"/>
    </row>
    <row r="324" spans="1:17" x14ac:dyDescent="0.25">
      <c r="A324" s="3"/>
      <c r="B324" s="8"/>
      <c r="C324" s="8"/>
      <c r="D324" s="8"/>
      <c r="E324" s="8"/>
      <c r="F324" s="8"/>
      <c r="G324" s="8"/>
      <c r="H324" s="8"/>
      <c r="I324" s="3"/>
      <c r="J324" s="3"/>
      <c r="K324" s="3"/>
      <c r="L324" s="3"/>
      <c r="M324" s="3"/>
      <c r="N324" s="3"/>
      <c r="O324" s="3"/>
      <c r="P324" s="2"/>
      <c r="Q324" s="2"/>
    </row>
    <row r="325" spans="1:17" x14ac:dyDescent="0.25">
      <c r="A325" s="2"/>
      <c r="B325" s="2"/>
      <c r="C325" s="2"/>
      <c r="D325" s="2"/>
      <c r="E325" s="2"/>
      <c r="F325" s="2"/>
      <c r="G325" s="2"/>
      <c r="H325" s="2"/>
      <c r="I325" s="2"/>
      <c r="J325" s="2"/>
      <c r="K325" s="2"/>
      <c r="L325" s="3"/>
      <c r="M325" s="3"/>
      <c r="N325" s="3"/>
      <c r="O325" s="3"/>
      <c r="P325" s="2"/>
      <c r="Q325" s="2"/>
    </row>
    <row r="326" spans="1:17" x14ac:dyDescent="0.25">
      <c r="A326" s="7" t="s">
        <v>200</v>
      </c>
      <c r="B326" s="7" t="s">
        <v>201</v>
      </c>
      <c r="C326" s="3"/>
      <c r="D326" s="3"/>
      <c r="E326" s="3"/>
      <c r="F326" s="3"/>
      <c r="G326" s="3"/>
      <c r="H326" s="3"/>
      <c r="I326" s="3"/>
      <c r="K326" s="3"/>
      <c r="L326" s="13"/>
      <c r="M326" s="3"/>
      <c r="N326" s="3"/>
      <c r="O326" s="3"/>
      <c r="P326" s="2"/>
      <c r="Q326" s="2"/>
    </row>
    <row r="327" spans="1:17" x14ac:dyDescent="0.25">
      <c r="A327" s="336" t="s">
        <v>45</v>
      </c>
      <c r="B327" s="337"/>
      <c r="C327" s="47" t="s">
        <v>193</v>
      </c>
      <c r="D327" s="47" t="s">
        <v>194</v>
      </c>
      <c r="E327" s="47" t="s">
        <v>195</v>
      </c>
      <c r="F327" s="47" t="s">
        <v>196</v>
      </c>
      <c r="G327" s="47" t="s">
        <v>197</v>
      </c>
      <c r="H327" s="47" t="s">
        <v>198</v>
      </c>
      <c r="I327" s="47" t="s">
        <v>199</v>
      </c>
      <c r="J327" s="47" t="s">
        <v>49</v>
      </c>
      <c r="K327" s="3"/>
      <c r="L327" s="3"/>
      <c r="M327" s="3"/>
      <c r="N327" s="3"/>
      <c r="O327" s="3"/>
      <c r="P327" s="2"/>
      <c r="Q327" s="2"/>
    </row>
    <row r="328" spans="1:17" x14ac:dyDescent="0.25">
      <c r="A328" s="338" t="s">
        <v>187</v>
      </c>
      <c r="B328" s="338"/>
      <c r="C328" s="16">
        <f>GETPIVOTDATA("Sum of Net Studio Units",'17'!$A$1,"Tenure","Open Market")</f>
        <v>631</v>
      </c>
      <c r="D328" s="16">
        <f>GETPIVOTDATA("Sum of Net 1 Bed Units",'17'!$A$1,"Tenure","Open Market")</f>
        <v>2669</v>
      </c>
      <c r="E328" s="16">
        <f>GETPIVOTDATA("Sum of Net 2 Bed Units",'17'!$A$1,"Tenure","Open Market")</f>
        <v>4297</v>
      </c>
      <c r="F328" s="16">
        <f>GETPIVOTDATA("Sum of Net 3 Bed Units",'17'!$A$1,"Tenure","Open Market")</f>
        <v>1316</v>
      </c>
      <c r="G328" s="16">
        <f>GETPIVOTDATA("Sum of Net 4 Bed Units",'17'!$A$1,"Tenure","Open Market")</f>
        <v>136</v>
      </c>
      <c r="H328" s="16">
        <f>GETPIVOTDATA("Sum of Net 5+ Bed Units",'17'!$A$1,"Tenure","Open Market")</f>
        <v>170</v>
      </c>
      <c r="I328" s="16">
        <f>GETPIVOTDATA("Sum of Net Not Known Bed Units",'17'!$A$1,"Tenure","Open Market")</f>
        <v>1845</v>
      </c>
      <c r="J328" s="16">
        <f>SUM(C328:I328)</f>
        <v>11064</v>
      </c>
      <c r="K328" s="3"/>
      <c r="L328" s="3"/>
      <c r="M328" s="3"/>
      <c r="N328" s="3"/>
      <c r="O328" s="3"/>
      <c r="P328" s="2"/>
      <c r="Q328" s="2"/>
    </row>
    <row r="329" spans="1:17" x14ac:dyDescent="0.25">
      <c r="A329" s="338"/>
      <c r="B329" s="338"/>
      <c r="C329" s="17">
        <f t="shared" ref="C329:I329" si="49">C328/$J$328</f>
        <v>5.7031814895155457E-2</v>
      </c>
      <c r="D329" s="17">
        <f t="shared" si="49"/>
        <v>0.24123282718727404</v>
      </c>
      <c r="E329" s="17">
        <f t="shared" si="49"/>
        <v>0.3883767172812726</v>
      </c>
      <c r="F329" s="17">
        <f t="shared" si="49"/>
        <v>0.11894432393347795</v>
      </c>
      <c r="G329" s="17">
        <f t="shared" si="49"/>
        <v>1.2292118582791034E-2</v>
      </c>
      <c r="H329" s="17">
        <f t="shared" si="49"/>
        <v>1.5365148228488792E-2</v>
      </c>
      <c r="I329" s="17">
        <f t="shared" si="49"/>
        <v>0.16675704989154014</v>
      </c>
      <c r="J329" s="17">
        <f>SUM(C329:I329)</f>
        <v>1</v>
      </c>
      <c r="K329" s="3"/>
      <c r="L329" s="3"/>
      <c r="M329" s="3"/>
      <c r="N329" s="3"/>
      <c r="O329" s="3"/>
      <c r="P329" s="2"/>
      <c r="Q329" s="2"/>
    </row>
    <row r="330" spans="1:17" x14ac:dyDescent="0.25">
      <c r="A330" s="338" t="s">
        <v>56</v>
      </c>
      <c r="B330" s="338"/>
      <c r="C330" s="16">
        <f>GETPIVOTDATA("Sum of Net Studio Units",'17'!$A$1,"Tenure","Intermediate")</f>
        <v>38</v>
      </c>
      <c r="D330" s="16">
        <f>GETPIVOTDATA("Sum of Net 1 Bed Units",'17'!$A$1,"Tenure","Intermediate")</f>
        <v>638</v>
      </c>
      <c r="E330" s="16">
        <f>GETPIVOTDATA("Sum of Net 2 Bed Units",'17'!$A$1,"Tenure","Intermediate")</f>
        <v>877</v>
      </c>
      <c r="F330" s="16">
        <f>GETPIVOTDATA("Sum of Net 3 Bed Units",'17'!$A$1,"Tenure","Intermediate")</f>
        <v>169</v>
      </c>
      <c r="G330" s="16">
        <f>GETPIVOTDATA("Sum of Net 4 Bed Units",'17'!$A$1,"Tenure","Intermediate")</f>
        <v>16</v>
      </c>
      <c r="H330" s="16">
        <f>GETPIVOTDATA("Sum of Net 5+ Bed Units",'17'!$A$1,"Tenure","Intermediate")</f>
        <v>0</v>
      </c>
      <c r="I330" s="16">
        <f>GETPIVOTDATA("Sum of Net Not Known Bed Units",'17'!$A$1,"Tenure","Intermediate")</f>
        <v>229</v>
      </c>
      <c r="J330" s="16">
        <f>SUM(C330:I330)</f>
        <v>1967</v>
      </c>
      <c r="K330" s="3"/>
      <c r="L330" s="3"/>
      <c r="M330" s="3"/>
      <c r="N330" s="3"/>
      <c r="O330" s="3"/>
      <c r="P330" s="2"/>
      <c r="Q330" s="2"/>
    </row>
    <row r="331" spans="1:17" x14ac:dyDescent="0.25">
      <c r="A331" s="338"/>
      <c r="B331" s="338"/>
      <c r="C331" s="17">
        <f t="shared" ref="C331:I331" si="50">C330/$J$330</f>
        <v>1.9318759532282664E-2</v>
      </c>
      <c r="D331" s="17">
        <f t="shared" si="50"/>
        <v>0.32435180477885106</v>
      </c>
      <c r="E331" s="17">
        <f t="shared" si="50"/>
        <v>0.44585663446873414</v>
      </c>
      <c r="F331" s="17">
        <f t="shared" si="50"/>
        <v>8.5917641077783422E-2</v>
      </c>
      <c r="G331" s="17">
        <f t="shared" si="50"/>
        <v>8.1342145399084902E-3</v>
      </c>
      <c r="H331" s="17">
        <f t="shared" si="50"/>
        <v>0</v>
      </c>
      <c r="I331" s="17">
        <f t="shared" si="50"/>
        <v>0.11642094560244026</v>
      </c>
      <c r="J331" s="17">
        <f>SUM(C331:I331)</f>
        <v>1</v>
      </c>
      <c r="K331" s="3"/>
      <c r="L331" s="3"/>
      <c r="M331" s="3"/>
      <c r="N331" s="3"/>
      <c r="O331" s="3"/>
      <c r="P331" s="2"/>
      <c r="Q331" s="2"/>
    </row>
    <row r="332" spans="1:17" x14ac:dyDescent="0.25">
      <c r="A332" s="338" t="s">
        <v>57</v>
      </c>
      <c r="B332" s="338"/>
      <c r="C332" s="16">
        <f>GETPIVOTDATA("Sum of Net Studio Units",'17'!$A$1,"Tenure","Social/Affordable Rent")</f>
        <v>-123</v>
      </c>
      <c r="D332" s="16">
        <f>GETPIVOTDATA("Sum of Net 1 Bed Units",'17'!$A$1,"Tenure","Social/Affordable Rent")</f>
        <v>272</v>
      </c>
      <c r="E332" s="16">
        <f>GETPIVOTDATA("Sum of Net 2 Bed Units",'17'!$A$1,"Tenure","Social/Affordable Rent")</f>
        <v>269</v>
      </c>
      <c r="F332" s="16">
        <f>GETPIVOTDATA("Sum of Net 3 Bed Units",'17'!$A$1,"Tenure","Social/Affordable Rent")</f>
        <v>250</v>
      </c>
      <c r="G332" s="16">
        <f>GETPIVOTDATA("Sum of Net 4 Bed Units",'17'!$A$1,"Tenure","Social/Affordable Rent")</f>
        <v>93</v>
      </c>
      <c r="H332" s="16">
        <f>GETPIVOTDATA("Sum of Net 5+ Bed Units",'17'!$A$1,"Tenure","Social/Affordable Rent")</f>
        <v>2</v>
      </c>
      <c r="I332" s="16">
        <f>GETPIVOTDATA("Sum of Net Not Known Bed Units",'17'!$A$1,"Tenure","Social/Affordable Rent")</f>
        <v>581</v>
      </c>
      <c r="J332" s="16">
        <f>SUM(C332:I332)</f>
        <v>1344</v>
      </c>
      <c r="K332" s="3"/>
      <c r="L332" s="3"/>
      <c r="M332" s="3"/>
      <c r="N332" s="3"/>
      <c r="O332" s="3"/>
      <c r="P332" s="2"/>
      <c r="Q332" s="2"/>
    </row>
    <row r="333" spans="1:17" x14ac:dyDescent="0.25">
      <c r="A333" s="338"/>
      <c r="B333" s="338"/>
      <c r="C333" s="17">
        <f t="shared" ref="C333:I333" si="51">C332/$J$332</f>
        <v>-9.1517857142857137E-2</v>
      </c>
      <c r="D333" s="17">
        <f t="shared" si="51"/>
        <v>0.20238095238095238</v>
      </c>
      <c r="E333" s="17">
        <f t="shared" si="51"/>
        <v>0.20014880952380953</v>
      </c>
      <c r="F333" s="17">
        <f t="shared" si="51"/>
        <v>0.18601190476190477</v>
      </c>
      <c r="G333" s="17">
        <f t="shared" si="51"/>
        <v>6.9196428571428575E-2</v>
      </c>
      <c r="H333" s="17">
        <f t="shared" si="51"/>
        <v>1.488095238095238E-3</v>
      </c>
      <c r="I333" s="17">
        <f t="shared" si="51"/>
        <v>0.43229166666666669</v>
      </c>
      <c r="J333" s="17">
        <v>1</v>
      </c>
      <c r="K333" s="3"/>
      <c r="L333" s="3"/>
      <c r="M333" s="3"/>
      <c r="N333" s="3"/>
      <c r="O333" s="3"/>
      <c r="P333" s="2"/>
      <c r="Q333" s="2"/>
    </row>
    <row r="334" spans="1:17" x14ac:dyDescent="0.25">
      <c r="A334" s="339" t="s">
        <v>49</v>
      </c>
      <c r="B334" s="339"/>
      <c r="C334" s="32">
        <f>SUM(C328,C330,C332)</f>
        <v>546</v>
      </c>
      <c r="D334" s="32">
        <f t="shared" ref="D334:I334" si="52">SUM(D328,D330,D332)</f>
        <v>3579</v>
      </c>
      <c r="E334" s="32">
        <f t="shared" si="52"/>
        <v>5443</v>
      </c>
      <c r="F334" s="32">
        <f t="shared" si="52"/>
        <v>1735</v>
      </c>
      <c r="G334" s="32">
        <f t="shared" si="52"/>
        <v>245</v>
      </c>
      <c r="H334" s="32">
        <f t="shared" si="52"/>
        <v>172</v>
      </c>
      <c r="I334" s="32">
        <f t="shared" si="52"/>
        <v>2655</v>
      </c>
      <c r="J334" s="32">
        <f>SUM(C334:I334)</f>
        <v>14375</v>
      </c>
      <c r="K334" s="3"/>
      <c r="L334" s="3"/>
      <c r="M334" s="3"/>
      <c r="N334" s="3"/>
      <c r="O334" s="3"/>
      <c r="P334" s="2"/>
      <c r="Q334" s="2"/>
    </row>
    <row r="335" spans="1:17" x14ac:dyDescent="0.25">
      <c r="A335" s="339"/>
      <c r="B335" s="339"/>
      <c r="C335" s="20">
        <f t="shared" ref="C335:I335" si="53">C334/$J$334</f>
        <v>3.7982608695652176E-2</v>
      </c>
      <c r="D335" s="20">
        <f t="shared" si="53"/>
        <v>0.24897391304347827</v>
      </c>
      <c r="E335" s="20">
        <f t="shared" si="53"/>
        <v>0.37864347826086958</v>
      </c>
      <c r="F335" s="20">
        <f t="shared" si="53"/>
        <v>0.12069565217391304</v>
      </c>
      <c r="G335" s="20">
        <f t="shared" si="53"/>
        <v>1.7043478260869566E-2</v>
      </c>
      <c r="H335" s="20">
        <f t="shared" si="53"/>
        <v>1.1965217391304349E-2</v>
      </c>
      <c r="I335" s="20">
        <f t="shared" si="53"/>
        <v>0.18469565217391304</v>
      </c>
      <c r="J335" s="20">
        <f>SUM(C335:I335)</f>
        <v>1</v>
      </c>
      <c r="K335" s="3"/>
      <c r="L335" s="3"/>
      <c r="M335" s="3"/>
      <c r="N335" s="3"/>
      <c r="O335" s="3"/>
      <c r="P335" s="2"/>
      <c r="Q335" s="2"/>
    </row>
    <row r="336" spans="1:17" x14ac:dyDescent="0.25">
      <c r="A336" s="3"/>
      <c r="B336" s="8"/>
      <c r="C336" s="8"/>
      <c r="D336" s="8"/>
      <c r="E336" s="8"/>
      <c r="F336" s="8"/>
      <c r="G336" s="8"/>
      <c r="H336" s="8"/>
      <c r="I336" s="3"/>
      <c r="J336" s="3"/>
      <c r="K336" s="3"/>
      <c r="L336" s="3"/>
      <c r="M336" s="3"/>
      <c r="N336" s="3"/>
      <c r="O336" s="3"/>
      <c r="P336" s="2"/>
      <c r="Q336" s="2"/>
    </row>
    <row r="337" spans="1:17" ht="15.6" x14ac:dyDescent="0.3">
      <c r="A337" s="103" t="s">
        <v>62</v>
      </c>
      <c r="B337" s="3"/>
      <c r="C337" s="3"/>
      <c r="D337" s="3"/>
      <c r="E337" s="3"/>
      <c r="F337" s="3"/>
      <c r="G337" s="3"/>
      <c r="H337" s="3"/>
      <c r="I337" s="3"/>
      <c r="J337" s="3"/>
      <c r="K337" s="3"/>
      <c r="L337" s="3"/>
      <c r="M337" s="3"/>
      <c r="N337" s="3"/>
      <c r="O337" s="3"/>
      <c r="P337" s="2"/>
      <c r="Q337" s="2"/>
    </row>
    <row r="338" spans="1:17" x14ac:dyDescent="0.25">
      <c r="A338" s="60"/>
      <c r="B338" s="3"/>
      <c r="C338" s="3"/>
      <c r="D338" s="3"/>
      <c r="E338" s="3"/>
      <c r="F338" s="3"/>
      <c r="G338" s="3"/>
      <c r="H338" s="3"/>
      <c r="I338" s="3"/>
      <c r="J338" s="3"/>
      <c r="K338" s="3"/>
      <c r="L338" s="3"/>
      <c r="M338" s="3"/>
      <c r="N338" s="3"/>
      <c r="O338" s="3"/>
      <c r="P338" s="2"/>
      <c r="Q338" s="2"/>
    </row>
    <row r="339" spans="1:17" x14ac:dyDescent="0.25">
      <c r="A339" s="7" t="s">
        <v>202</v>
      </c>
      <c r="B339" s="7" t="s">
        <v>203</v>
      </c>
      <c r="C339" s="3"/>
      <c r="D339" s="3"/>
      <c r="E339" s="3"/>
      <c r="F339" s="3"/>
      <c r="G339" s="3"/>
      <c r="H339" s="3"/>
      <c r="I339" s="3"/>
      <c r="J339" s="3"/>
      <c r="K339" s="3"/>
      <c r="L339" s="3"/>
      <c r="M339" s="3"/>
      <c r="N339" s="3"/>
      <c r="O339" s="3"/>
      <c r="P339" s="2"/>
      <c r="Q339" s="2"/>
    </row>
    <row r="340" spans="1:17" x14ac:dyDescent="0.25">
      <c r="A340" s="266"/>
      <c r="B340" s="266"/>
      <c r="C340" s="47" t="s">
        <v>102</v>
      </c>
      <c r="D340" s="47" t="s">
        <v>53</v>
      </c>
      <c r="E340" s="47" t="s">
        <v>54</v>
      </c>
      <c r="F340" s="47" t="s">
        <v>55</v>
      </c>
      <c r="G340" s="47" t="s">
        <v>10</v>
      </c>
      <c r="H340" s="47" t="s">
        <v>11</v>
      </c>
      <c r="I340" s="47" t="s">
        <v>49</v>
      </c>
      <c r="J340" s="3"/>
      <c r="K340" s="3"/>
      <c r="L340" s="2"/>
      <c r="M340" s="2"/>
      <c r="N340" s="2"/>
      <c r="O340" s="2"/>
      <c r="P340" s="2"/>
      <c r="Q340" s="2"/>
    </row>
    <row r="341" spans="1:17" x14ac:dyDescent="0.25">
      <c r="A341" s="315" t="s">
        <v>204</v>
      </c>
      <c r="B341" s="315"/>
      <c r="C341" s="16">
        <v>69</v>
      </c>
      <c r="D341" s="16">
        <v>78</v>
      </c>
      <c r="E341" s="16">
        <v>42</v>
      </c>
      <c r="F341" s="16">
        <v>43</v>
      </c>
      <c r="G341" s="16">
        <v>12</v>
      </c>
      <c r="H341" s="16">
        <f>GETPIVOTDATA("Phase Proposed Units",'18'!$A$3,"Large Residential Development Type","n/a","Minor Residential Development Type","a")</f>
        <v>36</v>
      </c>
      <c r="I341" s="16">
        <f t="shared" ref="I341:I347" si="54">SUM(C341:H341)</f>
        <v>280</v>
      </c>
      <c r="J341" s="3"/>
      <c r="K341" s="3"/>
      <c r="L341" s="3"/>
      <c r="M341" s="3"/>
      <c r="N341" s="3"/>
      <c r="O341" s="3"/>
      <c r="P341" s="2"/>
      <c r="Q341" s="2"/>
    </row>
    <row r="342" spans="1:17" x14ac:dyDescent="0.25">
      <c r="A342" s="315" t="s">
        <v>205</v>
      </c>
      <c r="B342" s="315"/>
      <c r="C342" s="16">
        <v>29</v>
      </c>
      <c r="D342" s="16">
        <v>11</v>
      </c>
      <c r="E342" s="16">
        <v>8</v>
      </c>
      <c r="F342" s="16">
        <v>6</v>
      </c>
      <c r="G342" s="16">
        <v>14</v>
      </c>
      <c r="H342" s="16">
        <f>GETPIVOTDATA("Phase Proposed Units",'18'!$A$3,"Large Residential Development Type","n/a","Minor Residential Development Type","b")</f>
        <v>17</v>
      </c>
      <c r="I342" s="16">
        <f t="shared" si="54"/>
        <v>85</v>
      </c>
      <c r="J342" s="3"/>
      <c r="K342" s="3"/>
      <c r="L342" s="3"/>
      <c r="M342" s="3"/>
      <c r="N342" s="3"/>
      <c r="O342" s="3"/>
      <c r="P342" s="2"/>
      <c r="Q342" s="2"/>
    </row>
    <row r="343" spans="1:17" x14ac:dyDescent="0.25">
      <c r="A343" s="315" t="s">
        <v>206</v>
      </c>
      <c r="B343" s="315"/>
      <c r="C343" s="16">
        <v>95</v>
      </c>
      <c r="D343" s="16">
        <v>96</v>
      </c>
      <c r="E343" s="16">
        <v>52</v>
      </c>
      <c r="F343" s="16">
        <v>39</v>
      </c>
      <c r="G343" s="16">
        <v>55</v>
      </c>
      <c r="H343" s="16">
        <f>GETPIVOTDATA("Phase Proposed Units",'18'!$A$3,"Large Residential Development Type","n/a","Minor Residential Development Type","c-")+GETPIVOTDATA("Phase Proposed Units",'18'!$A$3,"Large Residential Development Type","n/a","Minor Residential Development Type","c+")</f>
        <v>49</v>
      </c>
      <c r="I343" s="16">
        <f t="shared" si="54"/>
        <v>386</v>
      </c>
      <c r="J343" s="3"/>
      <c r="K343" s="3"/>
      <c r="L343" s="3"/>
      <c r="M343" s="3"/>
      <c r="N343" s="3"/>
      <c r="O343" s="3"/>
      <c r="P343" s="2"/>
      <c r="Q343" s="2"/>
    </row>
    <row r="344" spans="1:17" x14ac:dyDescent="0.25">
      <c r="A344" s="344" t="s">
        <v>207</v>
      </c>
      <c r="B344" s="352"/>
      <c r="C344" s="16">
        <v>2</v>
      </c>
      <c r="D344" s="16">
        <v>0</v>
      </c>
      <c r="E344" s="16">
        <v>0</v>
      </c>
      <c r="F344" s="16">
        <v>3</v>
      </c>
      <c r="G344" s="16">
        <v>23</v>
      </c>
      <c r="H344" s="16">
        <f>GETPIVOTDATA("Phase Proposed Units",'18'!$A$3,"Large Residential Development Type","n/a","Minor Residential Development Type","g")</f>
        <v>19</v>
      </c>
      <c r="I344" s="16">
        <f t="shared" si="54"/>
        <v>47</v>
      </c>
      <c r="J344" s="3"/>
      <c r="K344" s="3"/>
      <c r="L344" s="3"/>
      <c r="M344" s="3"/>
      <c r="N344" s="3"/>
      <c r="O344" s="3"/>
      <c r="P344" s="2"/>
      <c r="Q344" s="2"/>
    </row>
    <row r="345" spans="1:17" ht="12.75" customHeight="1" x14ac:dyDescent="0.25">
      <c r="A345" s="315" t="s">
        <v>208</v>
      </c>
      <c r="B345" s="315"/>
      <c r="C345" s="16">
        <v>148</v>
      </c>
      <c r="D345" s="16">
        <v>134</v>
      </c>
      <c r="E345" s="16">
        <v>59</v>
      </c>
      <c r="F345" s="16">
        <v>91</v>
      </c>
      <c r="G345" s="16">
        <v>39</v>
      </c>
      <c r="H345" s="16">
        <f>GETPIVOTDATA("Phase Proposed Units",'18'!$A$3,"Large Residential Development Type","n/a","Minor Residential Development Type","d")+GETPIVOTDATA("Phase Proposed Units",'18'!$A$3,"Large Residential Development Type","n/a","Minor Residential Development Type","e")+GETPIVOTDATA("Phase Proposed Units",'18'!$A$3,"Large Residential Development Type","n/a","Minor Residential Development Type","f")</f>
        <v>41</v>
      </c>
      <c r="I345" s="16">
        <f t="shared" si="54"/>
        <v>512</v>
      </c>
      <c r="J345" s="3"/>
      <c r="K345" s="3"/>
      <c r="L345" s="3"/>
      <c r="M345" s="3"/>
      <c r="N345" s="3"/>
      <c r="O345" s="3"/>
      <c r="P345" s="2"/>
      <c r="Q345" s="2"/>
    </row>
    <row r="346" spans="1:17" ht="12.75" customHeight="1" x14ac:dyDescent="0.25">
      <c r="A346" s="344" t="s">
        <v>209</v>
      </c>
      <c r="B346" s="352"/>
      <c r="C346" s="16">
        <v>13</v>
      </c>
      <c r="D346" s="16">
        <v>23</v>
      </c>
      <c r="E346" s="16">
        <v>37</v>
      </c>
      <c r="F346" s="16">
        <v>63</v>
      </c>
      <c r="G346" s="16">
        <v>57</v>
      </c>
      <c r="H346" s="16">
        <f>GETPIVOTDATA("Phase Proposed Units",'18'!$A$3,"Large Residential Development Type","n/a","Minor Residential Development Type","k")</f>
        <v>84</v>
      </c>
      <c r="I346" s="16">
        <f t="shared" si="54"/>
        <v>277</v>
      </c>
      <c r="J346" s="3"/>
      <c r="K346" s="3"/>
      <c r="L346" s="3"/>
      <c r="M346" s="3"/>
      <c r="N346" s="3"/>
      <c r="O346" s="3"/>
      <c r="P346" s="2"/>
      <c r="Q346" s="2"/>
    </row>
    <row r="347" spans="1:17" ht="12.75" customHeight="1" x14ac:dyDescent="0.25">
      <c r="A347" s="280" t="s">
        <v>49</v>
      </c>
      <c r="B347" s="280"/>
      <c r="C347" s="32">
        <f>SUM(C341:C346)</f>
        <v>356</v>
      </c>
      <c r="D347" s="32">
        <f>SUM(D341:D346)</f>
        <v>342</v>
      </c>
      <c r="E347" s="32">
        <f>SUM(E341:E346)</f>
        <v>198</v>
      </c>
      <c r="F347" s="32">
        <f>SUM(F341:F346)</f>
        <v>245</v>
      </c>
      <c r="G347" s="32">
        <v>1341</v>
      </c>
      <c r="H347" s="32">
        <f>SUM(H341:H346)</f>
        <v>246</v>
      </c>
      <c r="I347" s="32">
        <f t="shared" si="54"/>
        <v>2728</v>
      </c>
      <c r="J347" s="3"/>
      <c r="K347" s="3"/>
      <c r="L347" s="3"/>
      <c r="M347" s="3"/>
      <c r="N347" s="3"/>
      <c r="O347" s="3"/>
      <c r="P347" s="2"/>
      <c r="Q347" s="2"/>
    </row>
    <row r="348" spans="1:17" ht="12.75" customHeight="1" x14ac:dyDescent="0.25">
      <c r="A348" s="3"/>
      <c r="B348" s="3"/>
      <c r="C348" s="3"/>
      <c r="D348" s="3"/>
      <c r="G348" s="3"/>
      <c r="H348" s="26"/>
      <c r="I348" s="3"/>
      <c r="J348" s="3"/>
      <c r="K348" s="3"/>
      <c r="L348" s="3"/>
      <c r="M348" s="3"/>
      <c r="N348" s="3"/>
      <c r="O348" s="3"/>
      <c r="P348" s="2"/>
      <c r="Q348" s="2"/>
    </row>
    <row r="349" spans="1:17" x14ac:dyDescent="0.25">
      <c r="A349" s="7" t="s">
        <v>210</v>
      </c>
      <c r="B349" s="7" t="s">
        <v>211</v>
      </c>
      <c r="I349" s="2"/>
      <c r="J349" s="2"/>
      <c r="K349" s="2"/>
      <c r="L349" s="3"/>
      <c r="M349" s="3"/>
      <c r="N349" s="3"/>
      <c r="O349" s="3"/>
      <c r="P349" s="3"/>
      <c r="Q349" s="3"/>
    </row>
    <row r="350" spans="1:17" ht="12.75" customHeight="1" x14ac:dyDescent="0.25">
      <c r="A350" s="266"/>
      <c r="B350" s="266"/>
      <c r="C350" s="47" t="s">
        <v>102</v>
      </c>
      <c r="D350" s="47" t="s">
        <v>53</v>
      </c>
      <c r="E350" s="47" t="s">
        <v>54</v>
      </c>
      <c r="F350" s="47" t="s">
        <v>55</v>
      </c>
      <c r="G350" s="47" t="s">
        <v>10</v>
      </c>
      <c r="H350" s="47" t="s">
        <v>11</v>
      </c>
      <c r="I350" s="47" t="s">
        <v>49</v>
      </c>
      <c r="J350" s="3"/>
      <c r="K350" s="3"/>
      <c r="L350" s="2"/>
      <c r="M350" s="2"/>
      <c r="N350" s="2"/>
      <c r="O350" s="2"/>
      <c r="P350" s="2"/>
      <c r="Q350" s="3"/>
    </row>
    <row r="351" spans="1:17" ht="12.75" customHeight="1" x14ac:dyDescent="0.25">
      <c r="A351" s="315" t="s">
        <v>204</v>
      </c>
      <c r="B351" s="315"/>
      <c r="C351" s="16">
        <v>129</v>
      </c>
      <c r="D351" s="16">
        <v>97</v>
      </c>
      <c r="E351" s="16">
        <v>115</v>
      </c>
      <c r="F351" s="16">
        <v>87</v>
      </c>
      <c r="G351" s="16">
        <v>116</v>
      </c>
      <c r="H351" s="16">
        <f>GETPIVOTDATA("Phase Proposed Units",'19'!$A$1,"Minor Residential Development Type","a")</f>
        <v>118</v>
      </c>
      <c r="I351" s="16">
        <f t="shared" ref="I351:I357" si="55">SUM(C351:H351)</f>
        <v>662</v>
      </c>
      <c r="J351" s="3"/>
      <c r="K351" s="3"/>
      <c r="L351" s="3"/>
      <c r="M351" s="3"/>
      <c r="N351" s="3"/>
      <c r="O351" s="3"/>
      <c r="P351" s="3"/>
      <c r="Q351" s="3"/>
    </row>
    <row r="352" spans="1:17" ht="12.75" customHeight="1" x14ac:dyDescent="0.25">
      <c r="A352" s="315" t="s">
        <v>205</v>
      </c>
      <c r="B352" s="315"/>
      <c r="C352" s="16">
        <v>26</v>
      </c>
      <c r="D352" s="16">
        <v>25</v>
      </c>
      <c r="E352" s="16">
        <v>24</v>
      </c>
      <c r="F352" s="16">
        <v>37</v>
      </c>
      <c r="G352" s="16">
        <v>35</v>
      </c>
      <c r="H352" s="16">
        <f>GETPIVOTDATA("Phase Proposed Units",'19'!$A$1,"Minor Residential Development Type","b")</f>
        <v>36</v>
      </c>
      <c r="I352" s="16">
        <f t="shared" si="55"/>
        <v>183</v>
      </c>
      <c r="J352" s="3"/>
      <c r="K352" s="3"/>
      <c r="L352" s="3"/>
      <c r="M352" s="3"/>
      <c r="N352" s="3"/>
      <c r="O352" s="3"/>
      <c r="P352" s="3"/>
      <c r="Q352" s="3"/>
    </row>
    <row r="353" spans="1:21" ht="12.75" customHeight="1" x14ac:dyDescent="0.25">
      <c r="A353" s="315" t="s">
        <v>206</v>
      </c>
      <c r="B353" s="315"/>
      <c r="C353" s="16">
        <v>247</v>
      </c>
      <c r="D353" s="16">
        <v>473</v>
      </c>
      <c r="E353" s="16">
        <v>469</v>
      </c>
      <c r="F353" s="16">
        <v>209</v>
      </c>
      <c r="G353" s="16">
        <v>183</v>
      </c>
      <c r="H353" s="16">
        <f>GETPIVOTDATA("Phase Proposed Units",'19'!$A$1,"Minor Residential Development Type","c-")+GETPIVOTDATA("Phase Proposed Units",'19'!$A$1,"Minor Residential Development Type","c+")</f>
        <v>133</v>
      </c>
      <c r="I353" s="16">
        <f t="shared" si="55"/>
        <v>1714</v>
      </c>
      <c r="J353" s="3"/>
      <c r="K353" s="3"/>
      <c r="L353" s="3"/>
      <c r="M353" s="3"/>
      <c r="N353" s="3"/>
      <c r="O353" s="3"/>
      <c r="P353" s="3"/>
      <c r="Q353" s="3"/>
    </row>
    <row r="354" spans="1:21" ht="12.75" customHeight="1" x14ac:dyDescent="0.25">
      <c r="A354" s="344" t="s">
        <v>207</v>
      </c>
      <c r="B354" s="352"/>
      <c r="C354" s="16">
        <v>0</v>
      </c>
      <c r="D354" s="16">
        <v>2</v>
      </c>
      <c r="E354" s="16">
        <v>4</v>
      </c>
      <c r="F354" s="16">
        <v>2</v>
      </c>
      <c r="G354" s="16">
        <v>3</v>
      </c>
      <c r="H354" s="16">
        <f>GETPIVOTDATA("Phase Proposed Units",'19'!$A$3,"Large Residential Development Type","n/a","Minor Residential Development Type","j-")+GETPIVOTDATA("Phase Proposed Units",'19'!$A$3,"Large Residential Development Type","n/a","Minor Residential Development Type","j+")</f>
        <v>2</v>
      </c>
      <c r="I354" s="16">
        <f t="shared" si="55"/>
        <v>13</v>
      </c>
      <c r="J354" s="3"/>
      <c r="K354" s="3"/>
      <c r="L354" s="3"/>
      <c r="M354" s="3"/>
      <c r="N354" s="3"/>
      <c r="O354" s="3"/>
      <c r="P354" s="3"/>
      <c r="Q354" s="3"/>
    </row>
    <row r="355" spans="1:21" ht="12.75" customHeight="1" x14ac:dyDescent="0.25">
      <c r="A355" s="315" t="s">
        <v>208</v>
      </c>
      <c r="B355" s="315"/>
      <c r="C355" s="16">
        <v>1208</v>
      </c>
      <c r="D355" s="16">
        <v>853</v>
      </c>
      <c r="E355" s="16">
        <v>688</v>
      </c>
      <c r="F355" s="16">
        <v>1006</v>
      </c>
      <c r="G355" s="16">
        <v>757</v>
      </c>
      <c r="H355" s="16">
        <f>GETPIVOTDATA("Phase Proposed Units",'19'!$A$3,"Large Residential Development Type","n/a","Minor Residential Development Type","d")+GETPIVOTDATA("Phase Proposed Units",'19'!$A$3,"Large Residential Development Type","n/a","Minor Residential Development Type","e")+GETPIVOTDATA("Phase Proposed Units",'19'!$A$3,"Large Residential Development Type","n/a","Minor Residential Development Type","f")+GETPIVOTDATA("Phase Proposed Units",'19'!$A$3,"Large Residential Development Type","n/a","Minor Residential Development Type","g")+GETPIVOTDATA("Phase Proposed Units",'19'!$A$3,"Large Residential Development Type","n/a","Minor Residential Development Type","h")+GETPIVOTDATA("Phase Proposed Units",'19'!$A$3,"Large Residential Development Type","OFC","Minor Residential Development Type","n/a")+GETPIVOTDATA("Phase Proposed Units",'19'!$A$3,"Large Residential Development Type","OTC","Minor Residential Development Type","n/a")</f>
        <v>620</v>
      </c>
      <c r="I355" s="16">
        <f t="shared" si="55"/>
        <v>5132</v>
      </c>
      <c r="J355" s="3"/>
      <c r="K355" s="3"/>
      <c r="L355" s="3"/>
      <c r="M355" s="3"/>
      <c r="N355" s="3"/>
      <c r="O355" s="3"/>
      <c r="P355" s="3"/>
      <c r="Q355" s="3"/>
    </row>
    <row r="356" spans="1:21" ht="12.75" customHeight="1" x14ac:dyDescent="0.25">
      <c r="A356" s="344" t="s">
        <v>209</v>
      </c>
      <c r="B356" s="352"/>
      <c r="C356" s="16">
        <v>90</v>
      </c>
      <c r="D356" s="16">
        <v>184</v>
      </c>
      <c r="E356" s="16">
        <v>244</v>
      </c>
      <c r="F356" s="16">
        <v>246</v>
      </c>
      <c r="G356" s="16">
        <v>320</v>
      </c>
      <c r="H356" s="16">
        <f>GETPIVOTDATA("Phase Proposed Units",'19'!$A$1,"Large Residential Development Type","n/a","Minor Residential Development Type","k")</f>
        <v>285</v>
      </c>
      <c r="I356" s="16">
        <f t="shared" si="55"/>
        <v>1369</v>
      </c>
      <c r="J356" s="3"/>
      <c r="K356" s="3"/>
      <c r="L356" s="3"/>
      <c r="M356" s="3"/>
      <c r="N356" s="3"/>
      <c r="O356" s="3"/>
      <c r="P356" s="3"/>
      <c r="Q356" s="3"/>
    </row>
    <row r="357" spans="1:21" ht="12.75" customHeight="1" x14ac:dyDescent="0.25">
      <c r="A357" s="280" t="s">
        <v>49</v>
      </c>
      <c r="B357" s="280"/>
      <c r="C357" s="32">
        <f t="shared" ref="C357:D357" si="56">SUM(C351:C356)</f>
        <v>1700</v>
      </c>
      <c r="D357" s="32">
        <f t="shared" si="56"/>
        <v>1634</v>
      </c>
      <c r="E357" s="32">
        <f>SUM(E351:E356)</f>
        <v>1544</v>
      </c>
      <c r="F357" s="32">
        <f>SUM(F351:F356)</f>
        <v>1587</v>
      </c>
      <c r="G357" s="32">
        <v>1414</v>
      </c>
      <c r="H357" s="32">
        <f>SUM(H351:H356)</f>
        <v>1194</v>
      </c>
      <c r="I357" s="32">
        <f t="shared" si="55"/>
        <v>9073</v>
      </c>
      <c r="J357" s="3"/>
      <c r="K357" s="3"/>
      <c r="L357" s="3"/>
      <c r="M357" s="3"/>
      <c r="N357" s="3"/>
      <c r="O357" s="3"/>
      <c r="P357" s="3"/>
      <c r="Q357" s="3"/>
    </row>
    <row r="358" spans="1:21" x14ac:dyDescent="0.25">
      <c r="A358" s="3"/>
      <c r="B358" s="3"/>
      <c r="C358" s="3"/>
      <c r="D358" s="3"/>
      <c r="E358" s="3"/>
      <c r="F358" s="3"/>
      <c r="G358" s="3"/>
      <c r="H358" s="3"/>
      <c r="I358" s="3"/>
      <c r="J358" s="3"/>
      <c r="K358" s="3"/>
      <c r="L358" s="2"/>
      <c r="M358" s="2"/>
      <c r="N358" s="2"/>
      <c r="O358" s="2"/>
      <c r="P358" s="2"/>
      <c r="Q358" s="2"/>
    </row>
    <row r="359" spans="1:21" x14ac:dyDescent="0.25">
      <c r="A359" s="61" t="s">
        <v>212</v>
      </c>
      <c r="B359" s="62"/>
      <c r="C359" s="62"/>
      <c r="D359" s="62"/>
      <c r="E359" s="62"/>
      <c r="F359" s="62"/>
      <c r="G359" s="62"/>
      <c r="H359" s="62"/>
      <c r="I359" s="62"/>
      <c r="J359" s="62"/>
      <c r="K359" s="62"/>
      <c r="L359" s="62"/>
      <c r="M359" s="62"/>
      <c r="N359" s="62"/>
      <c r="O359" s="62"/>
      <c r="P359" s="62"/>
      <c r="Q359" s="62"/>
      <c r="R359" s="62"/>
      <c r="S359" s="62"/>
      <c r="T359" s="62"/>
      <c r="U359" s="63" t="s">
        <v>3091</v>
      </c>
    </row>
  </sheetData>
  <mergeCells count="250">
    <mergeCell ref="E153:F153"/>
    <mergeCell ref="E166:F166"/>
    <mergeCell ref="A156:B156"/>
    <mergeCell ref="A159:B159"/>
    <mergeCell ref="A172:B172"/>
    <mergeCell ref="A155:B155"/>
    <mergeCell ref="A170:B170"/>
    <mergeCell ref="A162:B162"/>
    <mergeCell ref="A175:B175"/>
    <mergeCell ref="A163:B163"/>
    <mergeCell ref="A173:B173"/>
    <mergeCell ref="A160:B160"/>
    <mergeCell ref="G301:H301"/>
    <mergeCell ref="G302:H302"/>
    <mergeCell ref="E280:F280"/>
    <mergeCell ref="E281:F281"/>
    <mergeCell ref="E282:F282"/>
    <mergeCell ref="E283:F283"/>
    <mergeCell ref="E284:F284"/>
    <mergeCell ref="E285:F285"/>
    <mergeCell ref="E286:F286"/>
    <mergeCell ref="E287:F287"/>
    <mergeCell ref="E288:F288"/>
    <mergeCell ref="E289:F289"/>
    <mergeCell ref="E290:F290"/>
    <mergeCell ref="E293:F293"/>
    <mergeCell ref="E294:F294"/>
    <mergeCell ref="E295:F295"/>
    <mergeCell ref="G286:H286"/>
    <mergeCell ref="E298:F298"/>
    <mergeCell ref="E301:F301"/>
    <mergeCell ref="E297:F297"/>
    <mergeCell ref="E296:F296"/>
    <mergeCell ref="G285:H285"/>
    <mergeCell ref="G296:H296"/>
    <mergeCell ref="G294:H294"/>
    <mergeCell ref="L6:L8"/>
    <mergeCell ref="F180:G180"/>
    <mergeCell ref="H114:I114"/>
    <mergeCell ref="I153:J153"/>
    <mergeCell ref="G166:H166"/>
    <mergeCell ref="F6:F8"/>
    <mergeCell ref="I166:J166"/>
    <mergeCell ref="F35:G35"/>
    <mergeCell ref="F114:G114"/>
    <mergeCell ref="G153:H153"/>
    <mergeCell ref="H35:I35"/>
    <mergeCell ref="J62:K63"/>
    <mergeCell ref="L62:M63"/>
    <mergeCell ref="M6:M8"/>
    <mergeCell ref="L48:M49"/>
    <mergeCell ref="H63:I63"/>
    <mergeCell ref="I6:I8"/>
    <mergeCell ref="B21:G21"/>
    <mergeCell ref="A98:B98"/>
    <mergeCell ref="G6:H7"/>
    <mergeCell ref="J6:J8"/>
    <mergeCell ref="A161:B161"/>
    <mergeCell ref="A174:B174"/>
    <mergeCell ref="A71:C71"/>
    <mergeCell ref="A30:B30"/>
    <mergeCell ref="A32:B32"/>
    <mergeCell ref="A284:C284"/>
    <mergeCell ref="A286:C286"/>
    <mergeCell ref="A285:C285"/>
    <mergeCell ref="H204:I204"/>
    <mergeCell ref="A228:A229"/>
    <mergeCell ref="B228:C228"/>
    <mergeCell ref="F228:G228"/>
    <mergeCell ref="A204:A205"/>
    <mergeCell ref="B204:C204"/>
    <mergeCell ref="D204:E204"/>
    <mergeCell ref="F204:G204"/>
    <mergeCell ref="D278:D279"/>
    <mergeCell ref="A278:C279"/>
    <mergeCell ref="A171:B171"/>
    <mergeCell ref="A266:D266"/>
    <mergeCell ref="A267:D267"/>
    <mergeCell ref="A168:B168"/>
    <mergeCell ref="E278:F279"/>
    <mergeCell ref="G278:H279"/>
    <mergeCell ref="D35:E35"/>
    <mergeCell ref="A67:C67"/>
    <mergeCell ref="D114:E114"/>
    <mergeCell ref="A341:B341"/>
    <mergeCell ref="A315:B315"/>
    <mergeCell ref="A302:C302"/>
    <mergeCell ref="A296:C296"/>
    <mergeCell ref="A297:C297"/>
    <mergeCell ref="A298:C298"/>
    <mergeCell ref="A274:D274"/>
    <mergeCell ref="A308:B308"/>
    <mergeCell ref="A334:B335"/>
    <mergeCell ref="A306:B307"/>
    <mergeCell ref="A310:B310"/>
    <mergeCell ref="A301:C301"/>
    <mergeCell ref="C306:E306"/>
    <mergeCell ref="E302:F302"/>
    <mergeCell ref="E291:F291"/>
    <mergeCell ref="E292:F292"/>
    <mergeCell ref="A300:C300"/>
    <mergeCell ref="A299:C299"/>
    <mergeCell ref="A309:B309"/>
    <mergeCell ref="E300:F300"/>
    <mergeCell ref="E299:F299"/>
    <mergeCell ref="A292:C292"/>
    <mergeCell ref="A293:C293"/>
    <mergeCell ref="A294:C294"/>
    <mergeCell ref="A357:B357"/>
    <mergeCell ref="A350:B350"/>
    <mergeCell ref="A351:B351"/>
    <mergeCell ref="A352:B352"/>
    <mergeCell ref="A353:B353"/>
    <mergeCell ref="A345:B345"/>
    <mergeCell ref="A342:B342"/>
    <mergeCell ref="A343:B343"/>
    <mergeCell ref="A355:B355"/>
    <mergeCell ref="A347:B347"/>
    <mergeCell ref="A356:B356"/>
    <mergeCell ref="A354:B354"/>
    <mergeCell ref="A346:B346"/>
    <mergeCell ref="A344:B344"/>
    <mergeCell ref="I306:K306"/>
    <mergeCell ref="F306:H306"/>
    <mergeCell ref="A157:B157"/>
    <mergeCell ref="A166:B167"/>
    <mergeCell ref="A153:B154"/>
    <mergeCell ref="A158:B158"/>
    <mergeCell ref="A268:D268"/>
    <mergeCell ref="A269:D269"/>
    <mergeCell ref="A264:D264"/>
    <mergeCell ref="A265:D265"/>
    <mergeCell ref="A253:C253"/>
    <mergeCell ref="A254:C254"/>
    <mergeCell ref="A255:C255"/>
    <mergeCell ref="A256:C256"/>
    <mergeCell ref="A257:C257"/>
    <mergeCell ref="A258:C258"/>
    <mergeCell ref="A259:C259"/>
    <mergeCell ref="G287:H287"/>
    <mergeCell ref="G291:H291"/>
    <mergeCell ref="G295:H295"/>
    <mergeCell ref="G290:H290"/>
    <mergeCell ref="A263:D263"/>
    <mergeCell ref="A291:C291"/>
    <mergeCell ref="G292:H292"/>
    <mergeCell ref="A340:B340"/>
    <mergeCell ref="A327:B327"/>
    <mergeCell ref="A328:B329"/>
    <mergeCell ref="A330:B331"/>
    <mergeCell ref="A332:B333"/>
    <mergeCell ref="A316:B317"/>
    <mergeCell ref="A318:B319"/>
    <mergeCell ref="A320:B321"/>
    <mergeCell ref="A322:B323"/>
    <mergeCell ref="A37:C37"/>
    <mergeCell ref="A35:C36"/>
    <mergeCell ref="A51:C51"/>
    <mergeCell ref="A41:C41"/>
    <mergeCell ref="A56:C56"/>
    <mergeCell ref="A57:C57"/>
    <mergeCell ref="A48:C50"/>
    <mergeCell ref="A39:C39"/>
    <mergeCell ref="A40:C40"/>
    <mergeCell ref="A38:C38"/>
    <mergeCell ref="A42:C42"/>
    <mergeCell ref="A43:C43"/>
    <mergeCell ref="A44:C44"/>
    <mergeCell ref="A1:Q1"/>
    <mergeCell ref="A68:C68"/>
    <mergeCell ref="A65:C65"/>
    <mergeCell ref="A66:C66"/>
    <mergeCell ref="P48:Q49"/>
    <mergeCell ref="P62:Q63"/>
    <mergeCell ref="J48:K49"/>
    <mergeCell ref="F62:I62"/>
    <mergeCell ref="H49:I49"/>
    <mergeCell ref="F49:G49"/>
    <mergeCell ref="F48:I48"/>
    <mergeCell ref="N48:O49"/>
    <mergeCell ref="A52:C52"/>
    <mergeCell ref="A53:C53"/>
    <mergeCell ref="A55:C55"/>
    <mergeCell ref="A54:C54"/>
    <mergeCell ref="A58:C58"/>
    <mergeCell ref="N62:O63"/>
    <mergeCell ref="A27:B29"/>
    <mergeCell ref="E6:E8"/>
    <mergeCell ref="A24:I24"/>
    <mergeCell ref="A6:D8"/>
    <mergeCell ref="A9:D9"/>
    <mergeCell ref="F63:G63"/>
    <mergeCell ref="N27:N29"/>
    <mergeCell ref="G27:G29"/>
    <mergeCell ref="H27:L28"/>
    <mergeCell ref="M27:M29"/>
    <mergeCell ref="C28:C29"/>
    <mergeCell ref="D28:D29"/>
    <mergeCell ref="C27:D27"/>
    <mergeCell ref="E27:F27"/>
    <mergeCell ref="E28:E29"/>
    <mergeCell ref="F28:F29"/>
    <mergeCell ref="G300:H300"/>
    <mergeCell ref="G299:H299"/>
    <mergeCell ref="A114:A115"/>
    <mergeCell ref="B114:C114"/>
    <mergeCell ref="B104:C104"/>
    <mergeCell ref="B105:C105"/>
    <mergeCell ref="B106:C106"/>
    <mergeCell ref="D62:E63"/>
    <mergeCell ref="D48:E49"/>
    <mergeCell ref="A62:C64"/>
    <mergeCell ref="A97:B97"/>
    <mergeCell ref="A96:B96"/>
    <mergeCell ref="A72:C72"/>
    <mergeCell ref="A99:B99"/>
    <mergeCell ref="A69:C69"/>
    <mergeCell ref="A70:C70"/>
    <mergeCell ref="G293:H293"/>
    <mergeCell ref="G288:H288"/>
    <mergeCell ref="G289:H289"/>
    <mergeCell ref="G280:H280"/>
    <mergeCell ref="G281:H281"/>
    <mergeCell ref="G282:H282"/>
    <mergeCell ref="G298:H298"/>
    <mergeCell ref="G283:H283"/>
    <mergeCell ref="A102:C102"/>
    <mergeCell ref="A103:C103"/>
    <mergeCell ref="A107:C107"/>
    <mergeCell ref="G297:H297"/>
    <mergeCell ref="A295:C295"/>
    <mergeCell ref="A280:C280"/>
    <mergeCell ref="A281:C281"/>
    <mergeCell ref="A282:C282"/>
    <mergeCell ref="A283:C283"/>
    <mergeCell ref="A287:C287"/>
    <mergeCell ref="A288:C288"/>
    <mergeCell ref="A289:C289"/>
    <mergeCell ref="A290:C290"/>
    <mergeCell ref="A104:A106"/>
    <mergeCell ref="A108:C108"/>
    <mergeCell ref="G284:H284"/>
    <mergeCell ref="A169:B169"/>
    <mergeCell ref="C153:D153"/>
    <mergeCell ref="C166:D166"/>
    <mergeCell ref="D180:E180"/>
    <mergeCell ref="D228:E228"/>
    <mergeCell ref="A180:A181"/>
    <mergeCell ref="B180:C180"/>
    <mergeCell ref="A176:B176"/>
  </mergeCells>
  <phoneticPr fontId="3" type="noConversion"/>
  <printOptions horizontalCentered="1"/>
  <pageMargins left="0.39370078740157483" right="0.39370078740157483" top="0.39370078740157483" bottom="0.39370078740157483" header="0.19685039370078741" footer="0.19685039370078741"/>
  <pageSetup paperSize="9" fitToHeight="0" orientation="landscape" verticalDpi="144" r:id="rId1"/>
  <headerFooter alignWithMargins="0">
    <oddHeader>&amp;L&amp;"Calibri"&amp;10&amp;K000000Official&amp;1#</oddHeader>
    <oddFooter>&amp;C&amp;8&amp;P of &amp;N</oddFooter>
  </headerFooter>
  <rowBreaks count="7" manualBreakCount="7">
    <brk id="33" max="16" man="1"/>
    <brk id="74" max="16" man="1"/>
    <brk id="109" max="16" man="1"/>
    <brk id="150" max="16" man="1"/>
    <brk id="200" max="16" man="1"/>
    <brk id="248" max="16" man="1"/>
    <brk id="275" max="16" man="1"/>
  </rowBreaks>
  <ignoredErrors>
    <ignoredError sqref="D72:E72" formulaRange="1"/>
    <ignoredError sqref="C133 I133 E133 G133 C223 E223 I223" formula="1" formulaRange="1"/>
    <ignoredError sqref="I156:I162 I169:I175 H176 F176 D176 J176 J163 H163 F163 D16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1:Y70"/>
  <sheetViews>
    <sheetView zoomScale="90" zoomScaleNormal="90" workbookViewId="0"/>
  </sheetViews>
  <sheetFormatPr defaultColWidth="9.109375" defaultRowHeight="13.2" x14ac:dyDescent="0.25"/>
  <cols>
    <col min="1" max="1" width="12.44140625" customWidth="1"/>
    <col min="2" max="2" width="31.88671875" customWidth="1"/>
    <col min="3" max="24" width="8.6640625" customWidth="1"/>
  </cols>
  <sheetData>
    <row r="1" spans="1:25" ht="15.6" x14ac:dyDescent="0.3">
      <c r="A1" s="109" t="s">
        <v>213</v>
      </c>
    </row>
    <row r="3" spans="1:25" x14ac:dyDescent="0.25">
      <c r="A3" s="374" t="s">
        <v>214</v>
      </c>
      <c r="B3" s="375"/>
      <c r="C3" s="143" t="s">
        <v>215</v>
      </c>
      <c r="D3" s="143"/>
      <c r="E3" s="143"/>
      <c r="F3" s="143"/>
      <c r="G3" s="157"/>
      <c r="H3" s="143" t="s">
        <v>216</v>
      </c>
      <c r="I3" s="143"/>
      <c r="J3" s="143"/>
      <c r="K3" s="143"/>
      <c r="L3" s="143"/>
      <c r="M3" s="143"/>
      <c r="N3" s="143"/>
      <c r="O3" s="143"/>
      <c r="P3" s="171" t="s">
        <v>217</v>
      </c>
      <c r="Q3" s="143"/>
      <c r="R3" s="143"/>
      <c r="S3" s="143"/>
      <c r="T3" s="143"/>
      <c r="U3" s="143"/>
      <c r="V3" s="143"/>
      <c r="W3" s="143"/>
      <c r="X3" s="175"/>
    </row>
    <row r="4" spans="1:25" x14ac:dyDescent="0.25">
      <c r="A4" s="369" t="s">
        <v>87</v>
      </c>
      <c r="B4" s="370"/>
      <c r="C4" s="83" t="s">
        <v>101</v>
      </c>
      <c r="D4" s="84" t="s">
        <v>102</v>
      </c>
      <c r="E4" s="84" t="s">
        <v>53</v>
      </c>
      <c r="F4" s="84" t="s">
        <v>54</v>
      </c>
      <c r="G4" s="158" t="s">
        <v>55</v>
      </c>
      <c r="H4" s="84" t="s">
        <v>10</v>
      </c>
      <c r="I4" s="84" t="s">
        <v>11</v>
      </c>
      <c r="J4" s="84" t="s">
        <v>218</v>
      </c>
      <c r="K4" s="84" t="s">
        <v>219</v>
      </c>
      <c r="L4" s="84" t="s">
        <v>220</v>
      </c>
      <c r="M4" s="82" t="s">
        <v>221</v>
      </c>
      <c r="N4" s="82" t="s">
        <v>222</v>
      </c>
      <c r="O4" s="158" t="s">
        <v>223</v>
      </c>
      <c r="P4" s="192" t="s">
        <v>224</v>
      </c>
      <c r="Q4" s="193" t="s">
        <v>225</v>
      </c>
      <c r="R4" s="193" t="s">
        <v>226</v>
      </c>
      <c r="S4" s="193" t="s">
        <v>227</v>
      </c>
      <c r="T4" s="193" t="s">
        <v>228</v>
      </c>
      <c r="U4" s="193" t="s">
        <v>229</v>
      </c>
      <c r="V4" s="193" t="s">
        <v>230</v>
      </c>
      <c r="W4" s="193" t="s">
        <v>231</v>
      </c>
      <c r="X4" s="194" t="s">
        <v>232</v>
      </c>
    </row>
    <row r="5" spans="1:25" ht="22.95" hidden="1" customHeight="1" x14ac:dyDescent="0.25">
      <c r="A5" s="369" t="s">
        <v>233</v>
      </c>
      <c r="B5" s="370"/>
      <c r="C5" s="85">
        <v>10</v>
      </c>
      <c r="D5" s="86">
        <v>9</v>
      </c>
      <c r="E5" s="86">
        <v>8</v>
      </c>
      <c r="F5" s="86">
        <v>7</v>
      </c>
      <c r="G5" s="159">
        <f t="shared" ref="G5" si="0">F5-1</f>
        <v>6</v>
      </c>
      <c r="H5" s="86">
        <v>8</v>
      </c>
      <c r="I5" s="86">
        <v>7</v>
      </c>
      <c r="J5" s="86">
        <v>6</v>
      </c>
      <c r="K5" s="86">
        <v>5</v>
      </c>
      <c r="L5" s="86">
        <v>4</v>
      </c>
      <c r="M5" s="86">
        <v>3</v>
      </c>
      <c r="N5" s="86">
        <v>2</v>
      </c>
      <c r="O5" s="86">
        <v>1</v>
      </c>
      <c r="P5" s="188"/>
      <c r="Q5" s="190"/>
      <c r="R5" s="86"/>
      <c r="S5" s="86"/>
      <c r="T5" s="86"/>
      <c r="U5" s="86"/>
      <c r="V5" s="86"/>
      <c r="W5" s="86"/>
      <c r="X5" s="176"/>
    </row>
    <row r="6" spans="1:25" ht="24" customHeight="1" x14ac:dyDescent="0.25">
      <c r="A6" s="371" t="s">
        <v>108</v>
      </c>
      <c r="B6" s="87" t="s">
        <v>234</v>
      </c>
      <c r="C6" s="94">
        <v>2710</v>
      </c>
      <c r="D6" s="88">
        <v>2025</v>
      </c>
      <c r="E6" s="88">
        <v>1877</v>
      </c>
      <c r="F6" s="88">
        <v>1359</v>
      </c>
      <c r="G6" s="160">
        <v>1470</v>
      </c>
      <c r="H6" s="88">
        <v>1974</v>
      </c>
      <c r="I6" s="88">
        <f>SUM('Conventional Supply'!BT:BT,'Non-Self-Contained Supply'!AT:AT)</f>
        <v>2264</v>
      </c>
      <c r="J6" s="88"/>
      <c r="K6" s="88"/>
      <c r="L6" s="88"/>
      <c r="M6" s="88"/>
      <c r="N6" s="88"/>
      <c r="O6" s="88"/>
      <c r="P6" s="189"/>
      <c r="Q6" s="191"/>
      <c r="R6" s="88"/>
      <c r="S6" s="88"/>
      <c r="T6" s="99"/>
      <c r="X6" s="177"/>
    </row>
    <row r="7" spans="1:25" ht="24" customHeight="1" x14ac:dyDescent="0.25">
      <c r="A7" s="372"/>
      <c r="B7" s="89" t="s">
        <v>235</v>
      </c>
      <c r="C7" s="90"/>
      <c r="D7" s="91"/>
      <c r="E7" s="91"/>
      <c r="F7" s="91"/>
      <c r="G7" s="161"/>
      <c r="H7" s="91"/>
      <c r="I7" s="91"/>
      <c r="J7" s="91">
        <f>SUM('Conventional Supply'!BU:BU)+SUM('Non-Self-Contained Supply'!AU:AU)</f>
        <v>3315.3611111111113</v>
      </c>
      <c r="K7" s="91">
        <f>SUM('Conventional Supply'!BV:BV)+SUM('Non-Self-Contained Supply'!AV:AV)</f>
        <v>2466.1055555555554</v>
      </c>
      <c r="L7" s="91">
        <f>SUM('Conventional Supply'!BW:BW)+SUM('Non-Self-Contained Supply'!AW:AW)</f>
        <v>2087.0055555555555</v>
      </c>
      <c r="M7" s="91">
        <f>SUM('Conventional Supply'!BX:BX)+SUM('Non-Self-Contained Supply'!AX:AX)</f>
        <v>3064.6859477124167</v>
      </c>
      <c r="N7" s="91">
        <f>SUM('Conventional Supply'!BY:BY)+SUM('Non-Self-Contained Supply'!AY:AY)</f>
        <v>3272.6002334267037</v>
      </c>
      <c r="O7" s="91">
        <f>SUM('Conventional Supply'!BZ:BZ)+SUM('Non-Self-Contained Supply'!AZ:AZ)</f>
        <v>2504.1780112044821</v>
      </c>
      <c r="P7" s="173">
        <f>SUM('Conventional Supply'!CA:CA)+SUM('Non-Self-Contained Supply'!BA:BA)</f>
        <v>1568.0946778711486</v>
      </c>
      <c r="Q7" s="91">
        <f>SUM('Conventional Supply'!CB:CB)+SUM('Non-Self-Contained Supply'!BB:BB)</f>
        <v>1902.3446778711477</v>
      </c>
      <c r="R7" s="91">
        <f>SUM('Conventional Supply'!CC:CC)+SUM('Non-Self-Contained Supply'!BC:BC)</f>
        <v>1292.4613445378156</v>
      </c>
      <c r="S7" s="91">
        <f>SUM('Conventional Supply'!CD:CD)+SUM('Non-Self-Contained Supply'!BD:BD)</f>
        <v>843.96134453781497</v>
      </c>
      <c r="T7" s="91">
        <f>SUM('Conventional Supply'!CE:CE)+SUM('Non-Self-Contained Supply'!BE:BE)</f>
        <v>747.71134453781519</v>
      </c>
      <c r="U7" s="91">
        <f>SUM('Conventional Supply'!CF:CF)+SUM('Non-Self-Contained Supply'!BF:BF)</f>
        <v>747.71134453781519</v>
      </c>
      <c r="V7" s="91">
        <f>SUM('Conventional Supply'!CG:CG)+SUM('Non-Self-Contained Supply'!BG:BG)</f>
        <v>701.51134453781515</v>
      </c>
      <c r="W7" s="91">
        <f>SUM('Conventional Supply'!CH:CH,'Non-Self-Contained Supply'!BH:BH)</f>
        <v>624.75420168067228</v>
      </c>
      <c r="X7" s="178">
        <f>SUM('Conventional Supply'!CI:CI,'Non-Self-Contained Supply'!BI:BI)</f>
        <v>586.75420168067217</v>
      </c>
    </row>
    <row r="8" spans="1:25" ht="24" customHeight="1" x14ac:dyDescent="0.25">
      <c r="A8" s="373"/>
      <c r="B8" s="92" t="s">
        <v>236</v>
      </c>
      <c r="C8" s="93">
        <f>C6+C7</f>
        <v>2710</v>
      </c>
      <c r="D8" s="95">
        <f t="shared" ref="D8:K8" si="1">C8+D6+D7</f>
        <v>4735</v>
      </c>
      <c r="E8" s="95">
        <f t="shared" si="1"/>
        <v>6612</v>
      </c>
      <c r="F8" s="95">
        <f t="shared" si="1"/>
        <v>7971</v>
      </c>
      <c r="G8" s="162">
        <f t="shared" si="1"/>
        <v>9441</v>
      </c>
      <c r="H8" s="95">
        <f>H6</f>
        <v>1974</v>
      </c>
      <c r="I8" s="95">
        <f t="shared" si="1"/>
        <v>4238</v>
      </c>
      <c r="J8" s="95">
        <f t="shared" si="1"/>
        <v>7553.3611111111113</v>
      </c>
      <c r="K8" s="95">
        <f t="shared" si="1"/>
        <v>10019.466666666667</v>
      </c>
      <c r="L8" s="95">
        <f>K8+L6+L7</f>
        <v>12106.472222222223</v>
      </c>
      <c r="M8" s="95">
        <f>L8+M6+M7</f>
        <v>15171.158169934639</v>
      </c>
      <c r="N8" s="95">
        <f>M8+N6+N7</f>
        <v>18443.758403361342</v>
      </c>
      <c r="O8" s="162">
        <f>N8+O6+O7</f>
        <v>20947.936414565826</v>
      </c>
      <c r="P8" s="95">
        <f>O8+P6+P7</f>
        <v>22516.031092436973</v>
      </c>
      <c r="Q8" s="95">
        <f t="shared" ref="Q8:T8" si="2">P8+Q7</f>
        <v>24418.375770308121</v>
      </c>
      <c r="R8" s="95">
        <f t="shared" si="2"/>
        <v>25710.837114845937</v>
      </c>
      <c r="S8" s="95">
        <f t="shared" si="2"/>
        <v>26554.798459383754</v>
      </c>
      <c r="T8" s="95">
        <f t="shared" si="2"/>
        <v>27302.50980392157</v>
      </c>
      <c r="U8" s="95">
        <f>T8+U7</f>
        <v>28050.221148459386</v>
      </c>
      <c r="V8" s="95">
        <f t="shared" ref="V8:X8" si="3">U8+V7</f>
        <v>28751.732492997202</v>
      </c>
      <c r="W8" s="95">
        <f t="shared" si="3"/>
        <v>29376.486694677875</v>
      </c>
      <c r="X8" s="179">
        <f t="shared" si="3"/>
        <v>29963.240896358548</v>
      </c>
    </row>
    <row r="9" spans="1:25" ht="24" customHeight="1" x14ac:dyDescent="0.25">
      <c r="A9" s="371" t="s">
        <v>237</v>
      </c>
      <c r="B9" s="87" t="s">
        <v>6</v>
      </c>
      <c r="C9" s="94">
        <v>1812</v>
      </c>
      <c r="D9" s="88">
        <v>1812</v>
      </c>
      <c r="E9" s="88">
        <v>1812</v>
      </c>
      <c r="F9" s="88">
        <v>1812</v>
      </c>
      <c r="G9" s="160">
        <v>1812</v>
      </c>
      <c r="H9" s="88">
        <v>1950</v>
      </c>
      <c r="I9" s="88">
        <v>1950</v>
      </c>
      <c r="J9" s="88">
        <v>1950</v>
      </c>
      <c r="K9" s="88">
        <v>1950</v>
      </c>
      <c r="L9" s="88">
        <v>1950</v>
      </c>
      <c r="M9" s="88">
        <v>1950</v>
      </c>
      <c r="N9" s="88">
        <v>1950</v>
      </c>
      <c r="O9" s="88">
        <v>1950</v>
      </c>
      <c r="P9" s="172">
        <v>957</v>
      </c>
      <c r="Q9" s="88">
        <v>957</v>
      </c>
      <c r="R9" s="88">
        <v>957</v>
      </c>
      <c r="S9" s="88">
        <v>957</v>
      </c>
      <c r="T9" s="88">
        <v>957</v>
      </c>
      <c r="U9" s="88">
        <v>957</v>
      </c>
      <c r="V9" s="88">
        <v>957</v>
      </c>
      <c r="W9" s="88">
        <v>957</v>
      </c>
      <c r="X9" s="180">
        <v>957</v>
      </c>
      <c r="Y9" s="163"/>
    </row>
    <row r="10" spans="1:25" ht="24" customHeight="1" x14ac:dyDescent="0.25">
      <c r="A10" s="373"/>
      <c r="B10" s="92" t="s">
        <v>238</v>
      </c>
      <c r="C10" s="93">
        <f>C9</f>
        <v>1812</v>
      </c>
      <c r="D10" s="95">
        <f t="shared" ref="D10:T10" si="4">C10+D9</f>
        <v>3624</v>
      </c>
      <c r="E10" s="95">
        <f t="shared" si="4"/>
        <v>5436</v>
      </c>
      <c r="F10" s="95">
        <f t="shared" si="4"/>
        <v>7248</v>
      </c>
      <c r="G10" s="162">
        <f t="shared" si="4"/>
        <v>9060</v>
      </c>
      <c r="H10" s="95">
        <v>1950</v>
      </c>
      <c r="I10" s="95">
        <f t="shared" si="4"/>
        <v>3900</v>
      </c>
      <c r="J10" s="95">
        <f t="shared" si="4"/>
        <v>5850</v>
      </c>
      <c r="K10" s="95">
        <f t="shared" si="4"/>
        <v>7800</v>
      </c>
      <c r="L10" s="95">
        <f t="shared" si="4"/>
        <v>9750</v>
      </c>
      <c r="M10" s="95">
        <f t="shared" si="4"/>
        <v>11700</v>
      </c>
      <c r="N10" s="95">
        <f t="shared" si="4"/>
        <v>13650</v>
      </c>
      <c r="O10" s="95">
        <f t="shared" si="4"/>
        <v>15600</v>
      </c>
      <c r="P10" s="174">
        <f t="shared" si="4"/>
        <v>16557</v>
      </c>
      <c r="Q10" s="95">
        <f t="shared" si="4"/>
        <v>17514</v>
      </c>
      <c r="R10" s="95">
        <f t="shared" si="4"/>
        <v>18471</v>
      </c>
      <c r="S10" s="95">
        <f t="shared" si="4"/>
        <v>19428</v>
      </c>
      <c r="T10" s="95">
        <f t="shared" si="4"/>
        <v>20385</v>
      </c>
      <c r="U10" s="95">
        <f>T10+U9</f>
        <v>21342</v>
      </c>
      <c r="V10" s="95">
        <f t="shared" ref="V10:X10" si="5">U10+V9</f>
        <v>22299</v>
      </c>
      <c r="W10" s="95">
        <f t="shared" si="5"/>
        <v>23256</v>
      </c>
      <c r="X10" s="179">
        <f t="shared" si="5"/>
        <v>24213</v>
      </c>
    </row>
    <row r="11" spans="1:25" ht="24" customHeight="1" x14ac:dyDescent="0.25">
      <c r="A11" s="371" t="s">
        <v>239</v>
      </c>
      <c r="B11" s="87" t="s">
        <v>240</v>
      </c>
      <c r="C11" s="94">
        <f t="shared" ref="C11:X11" si="6">C8-C10</f>
        <v>898</v>
      </c>
      <c r="D11" s="88">
        <f t="shared" si="6"/>
        <v>1111</v>
      </c>
      <c r="E11" s="88">
        <f t="shared" si="6"/>
        <v>1176</v>
      </c>
      <c r="F11" s="88">
        <f t="shared" si="6"/>
        <v>723</v>
      </c>
      <c r="G11" s="160">
        <f t="shared" si="6"/>
        <v>381</v>
      </c>
      <c r="H11" s="88">
        <f t="shared" si="6"/>
        <v>24</v>
      </c>
      <c r="I11" s="88">
        <f t="shared" si="6"/>
        <v>338</v>
      </c>
      <c r="J11" s="88">
        <f t="shared" si="6"/>
        <v>1703.3611111111113</v>
      </c>
      <c r="K11" s="88">
        <f t="shared" si="6"/>
        <v>2219.4666666666672</v>
      </c>
      <c r="L11" s="91">
        <f t="shared" si="6"/>
        <v>2356.4722222222226</v>
      </c>
      <c r="M11" s="88">
        <f t="shared" si="6"/>
        <v>3471.1581699346389</v>
      </c>
      <c r="N11" s="88">
        <f t="shared" si="6"/>
        <v>4793.7584033613421</v>
      </c>
      <c r="O11" s="88">
        <f t="shared" si="6"/>
        <v>5347.9364145658255</v>
      </c>
      <c r="P11" s="172">
        <f t="shared" si="6"/>
        <v>5959.0310924369733</v>
      </c>
      <c r="Q11" s="88">
        <f t="shared" si="6"/>
        <v>6904.375770308121</v>
      </c>
      <c r="R11" s="88">
        <f t="shared" si="6"/>
        <v>7239.8371148459373</v>
      </c>
      <c r="S11" s="88">
        <f t="shared" si="6"/>
        <v>7126.7984593837537</v>
      </c>
      <c r="T11" s="88">
        <f t="shared" si="6"/>
        <v>6917.50980392157</v>
      </c>
      <c r="U11" s="88">
        <f t="shared" si="6"/>
        <v>6708.2211484593863</v>
      </c>
      <c r="V11" s="88">
        <f t="shared" si="6"/>
        <v>6452.7324929972019</v>
      </c>
      <c r="W11" s="88">
        <f t="shared" si="6"/>
        <v>6120.4866946778748</v>
      </c>
      <c r="X11" s="180">
        <f t="shared" si="6"/>
        <v>5750.2408963585476</v>
      </c>
    </row>
    <row r="12" spans="1:25" ht="34.200000000000003" customHeight="1" x14ac:dyDescent="0.25">
      <c r="A12" s="373"/>
      <c r="B12" s="164" t="s">
        <v>241</v>
      </c>
      <c r="C12" s="165">
        <f>C9</f>
        <v>1812</v>
      </c>
      <c r="D12" s="166">
        <f t="shared" ref="D12:G12" si="7">IF((D9*10-C8)/D5&gt;0,(D9*10-C8)/D5,0)</f>
        <v>1712.2222222222222</v>
      </c>
      <c r="E12" s="166">
        <f t="shared" si="7"/>
        <v>1673.125</v>
      </c>
      <c r="F12" s="166">
        <f t="shared" si="7"/>
        <v>1644</v>
      </c>
      <c r="G12" s="167">
        <f t="shared" si="7"/>
        <v>1691.5</v>
      </c>
      <c r="H12" s="166">
        <f>H9</f>
        <v>1950</v>
      </c>
      <c r="I12" s="166">
        <f t="shared" ref="I12:O12" si="8">IF((I9*8-H8)/I5&gt;0,(I9*8-H8)/I5,0)</f>
        <v>1946.5714285714287</v>
      </c>
      <c r="J12" s="166">
        <f t="shared" si="8"/>
        <v>1893.6666666666667</v>
      </c>
      <c r="K12" s="166">
        <f t="shared" si="8"/>
        <v>1609.3277777777778</v>
      </c>
      <c r="L12" s="166">
        <f t="shared" si="8"/>
        <v>1395.1333333333332</v>
      </c>
      <c r="M12" s="166">
        <f t="shared" si="8"/>
        <v>1164.5092592592591</v>
      </c>
      <c r="N12" s="166">
        <f t="shared" si="8"/>
        <v>214.42091503268057</v>
      </c>
      <c r="O12" s="166">
        <f t="shared" si="8"/>
        <v>0</v>
      </c>
      <c r="P12" s="165"/>
      <c r="Q12" s="166"/>
      <c r="R12" s="95"/>
      <c r="S12" s="95"/>
      <c r="T12" s="100"/>
      <c r="U12" s="100"/>
      <c r="V12" s="100"/>
      <c r="W12" s="100"/>
      <c r="X12" s="181"/>
    </row>
    <row r="13" spans="1:25" x14ac:dyDescent="0.25">
      <c r="A13" s="96"/>
      <c r="B13" s="26"/>
      <c r="C13" s="96"/>
      <c r="D13" s="96"/>
      <c r="E13" s="96"/>
      <c r="F13" s="96"/>
      <c r="G13" s="96"/>
      <c r="H13" s="96"/>
      <c r="I13" s="96"/>
      <c r="J13" s="96"/>
      <c r="K13" s="96"/>
      <c r="L13" s="96"/>
      <c r="M13" s="96"/>
      <c r="N13" s="96"/>
      <c r="O13" s="96"/>
      <c r="P13" s="96"/>
      <c r="Q13" s="96"/>
      <c r="R13" s="96"/>
      <c r="S13" s="96"/>
    </row>
    <row r="14" spans="1:25" x14ac:dyDescent="0.25">
      <c r="A14" s="96"/>
      <c r="B14" s="26"/>
      <c r="C14" s="96"/>
      <c r="D14" s="96"/>
      <c r="E14" s="96"/>
      <c r="F14" s="96"/>
      <c r="G14" s="96"/>
      <c r="H14" s="96"/>
      <c r="I14" s="96"/>
      <c r="J14" s="96"/>
      <c r="K14" s="96"/>
      <c r="L14" s="96"/>
      <c r="M14" s="96"/>
      <c r="N14" s="96"/>
      <c r="O14" s="96"/>
      <c r="P14" s="96"/>
      <c r="Q14" s="96"/>
      <c r="R14" s="96"/>
      <c r="S14" s="96"/>
    </row>
    <row r="15" spans="1:25" x14ac:dyDescent="0.25">
      <c r="A15" s="96"/>
      <c r="B15" s="26"/>
      <c r="C15" s="96"/>
      <c r="D15" s="96"/>
      <c r="E15" s="96"/>
      <c r="F15" s="96"/>
      <c r="G15" s="96"/>
      <c r="H15" s="96"/>
      <c r="I15" s="96"/>
      <c r="J15" s="96"/>
      <c r="K15" s="96"/>
      <c r="L15" s="96"/>
      <c r="M15" s="96"/>
      <c r="N15" s="96"/>
      <c r="O15" s="96"/>
      <c r="P15" s="96"/>
      <c r="Q15" s="96"/>
      <c r="R15" s="96"/>
      <c r="S15" s="96"/>
    </row>
    <row r="16" spans="1:25" x14ac:dyDescent="0.25">
      <c r="A16" s="96"/>
      <c r="B16" s="26"/>
      <c r="C16" s="96"/>
      <c r="D16" s="96"/>
      <c r="E16" s="96"/>
      <c r="F16" s="96"/>
      <c r="G16" s="96"/>
      <c r="H16" s="96"/>
      <c r="I16" s="96"/>
      <c r="J16" s="96"/>
      <c r="K16" s="96"/>
      <c r="L16" s="96"/>
      <c r="M16" s="96"/>
      <c r="N16" s="96"/>
      <c r="O16" s="96"/>
      <c r="P16" s="96"/>
      <c r="Q16" s="96"/>
      <c r="R16" s="96"/>
      <c r="S16" s="96"/>
    </row>
    <row r="17" spans="1:19" x14ac:dyDescent="0.25">
      <c r="A17" s="96"/>
      <c r="B17" s="26"/>
      <c r="C17" s="96"/>
      <c r="D17" s="96"/>
      <c r="E17" s="96"/>
      <c r="F17" s="96"/>
      <c r="G17" s="96"/>
      <c r="H17" s="96"/>
      <c r="I17" s="96"/>
      <c r="J17" s="96"/>
      <c r="K17" s="96"/>
      <c r="L17" s="96"/>
      <c r="M17" s="96"/>
      <c r="N17" s="96"/>
      <c r="O17" s="96"/>
      <c r="P17" s="96"/>
      <c r="Q17" s="96"/>
      <c r="R17" s="96"/>
      <c r="S17" s="96"/>
    </row>
    <row r="18" spans="1:19" x14ac:dyDescent="0.25">
      <c r="A18" s="96"/>
      <c r="B18" s="26"/>
      <c r="C18" s="96"/>
      <c r="D18" s="96"/>
      <c r="E18" s="96"/>
      <c r="F18" s="96"/>
      <c r="G18" s="96"/>
      <c r="H18" s="96"/>
      <c r="I18" s="96"/>
      <c r="J18" s="96"/>
      <c r="K18" s="96"/>
      <c r="L18" s="96"/>
      <c r="M18" s="96"/>
      <c r="N18" s="96"/>
      <c r="O18" s="96"/>
      <c r="P18" s="96"/>
      <c r="Q18" s="96"/>
      <c r="R18" s="96"/>
      <c r="S18" s="96"/>
    </row>
    <row r="19" spans="1:19" x14ac:dyDescent="0.25">
      <c r="A19" s="96"/>
      <c r="B19" s="26"/>
      <c r="C19" s="96"/>
      <c r="D19" s="96"/>
      <c r="E19" s="96"/>
      <c r="F19" s="96"/>
      <c r="G19" s="96"/>
      <c r="H19" s="96"/>
      <c r="I19" s="96"/>
      <c r="J19" s="96"/>
      <c r="K19" s="96"/>
      <c r="L19" s="96"/>
      <c r="M19" s="96"/>
      <c r="N19" s="96"/>
      <c r="O19" s="96"/>
      <c r="P19" s="96"/>
      <c r="Q19" s="96"/>
      <c r="R19" s="96"/>
      <c r="S19" s="96"/>
    </row>
    <row r="20" spans="1:19" x14ac:dyDescent="0.25">
      <c r="A20" s="96"/>
      <c r="B20" s="26"/>
      <c r="C20" s="96"/>
      <c r="D20" s="96"/>
      <c r="E20" s="96"/>
      <c r="F20" s="96"/>
      <c r="G20" s="96"/>
      <c r="H20" s="96"/>
      <c r="I20" s="96"/>
      <c r="J20" s="96"/>
      <c r="K20" s="96"/>
      <c r="L20" s="96"/>
      <c r="M20" s="96"/>
      <c r="N20" s="96"/>
      <c r="O20" s="96"/>
      <c r="P20" s="96"/>
      <c r="Q20" s="96"/>
      <c r="R20" s="96"/>
      <c r="S20" s="96"/>
    </row>
    <row r="21" spans="1:19" x14ac:dyDescent="0.25">
      <c r="A21" s="96"/>
      <c r="B21" s="26"/>
      <c r="C21" s="96"/>
      <c r="D21" s="96"/>
      <c r="E21" s="96"/>
      <c r="F21" s="96"/>
      <c r="G21" s="96"/>
      <c r="H21" s="96"/>
      <c r="I21" s="96"/>
      <c r="J21" s="96"/>
      <c r="K21" s="96"/>
      <c r="L21" s="96"/>
      <c r="M21" s="96"/>
      <c r="N21" s="96"/>
      <c r="O21" s="96"/>
      <c r="P21" s="96"/>
      <c r="Q21" s="96"/>
      <c r="R21" s="96"/>
      <c r="S21" s="96"/>
    </row>
    <row r="22" spans="1:19" x14ac:dyDescent="0.25">
      <c r="A22" s="96"/>
      <c r="B22" s="26"/>
      <c r="C22" s="96"/>
      <c r="D22" s="96"/>
      <c r="E22" s="96"/>
      <c r="F22" s="96"/>
      <c r="G22" s="96"/>
      <c r="H22" s="96"/>
      <c r="I22" s="96"/>
      <c r="J22" s="96"/>
      <c r="K22" s="96"/>
      <c r="L22" s="96"/>
      <c r="M22" s="96"/>
      <c r="N22" s="96"/>
      <c r="O22" s="96"/>
      <c r="P22" s="96"/>
      <c r="Q22" s="96"/>
      <c r="R22" s="96"/>
      <c r="S22" s="96"/>
    </row>
    <row r="23" spans="1:19" x14ac:dyDescent="0.25">
      <c r="A23" s="96"/>
      <c r="B23" s="26"/>
      <c r="C23" s="96"/>
      <c r="D23" s="96"/>
      <c r="E23" s="96"/>
      <c r="F23" s="96"/>
      <c r="G23" s="96"/>
      <c r="H23" s="96"/>
      <c r="I23" s="96"/>
      <c r="J23" s="96"/>
      <c r="K23" s="96"/>
      <c r="L23" s="96"/>
      <c r="M23" s="96"/>
      <c r="N23" s="96"/>
      <c r="O23" s="96"/>
      <c r="P23" s="96"/>
      <c r="Q23" s="96"/>
      <c r="R23" s="96"/>
      <c r="S23" s="96"/>
    </row>
    <row r="24" spans="1:19" x14ac:dyDescent="0.25">
      <c r="A24" s="96"/>
      <c r="B24" s="26"/>
      <c r="C24" s="96"/>
      <c r="D24" s="96"/>
      <c r="E24" s="96"/>
      <c r="F24" s="96"/>
      <c r="G24" s="96"/>
      <c r="H24" s="96"/>
      <c r="I24" s="96"/>
      <c r="J24" s="96"/>
      <c r="K24" s="96"/>
      <c r="L24" s="96"/>
      <c r="M24" s="96"/>
      <c r="N24" s="96"/>
      <c r="O24" s="96"/>
      <c r="P24" s="96"/>
      <c r="Q24" s="96"/>
      <c r="R24" s="96"/>
      <c r="S24" s="96"/>
    </row>
    <row r="25" spans="1:19" x14ac:dyDescent="0.25">
      <c r="A25" s="96"/>
      <c r="B25" s="26"/>
      <c r="C25" s="96"/>
      <c r="D25" s="96"/>
      <c r="E25" s="96"/>
      <c r="F25" s="96"/>
      <c r="G25" s="96"/>
      <c r="H25" s="96"/>
      <c r="I25" s="96"/>
      <c r="J25" s="96"/>
      <c r="K25" s="96"/>
      <c r="L25" s="96"/>
      <c r="M25" s="96"/>
      <c r="N25" s="96"/>
      <c r="O25" s="96"/>
      <c r="P25" s="96"/>
      <c r="Q25" s="96"/>
      <c r="R25" s="96"/>
      <c r="S25" s="96"/>
    </row>
    <row r="26" spans="1:19" x14ac:dyDescent="0.25">
      <c r="A26" s="96"/>
      <c r="B26" s="26"/>
      <c r="C26" s="96"/>
      <c r="D26" s="96"/>
      <c r="E26" s="96"/>
      <c r="F26" s="96"/>
      <c r="G26" s="96"/>
      <c r="H26" s="96"/>
      <c r="I26" s="96"/>
      <c r="J26" s="96"/>
      <c r="K26" s="96"/>
      <c r="L26" s="96"/>
      <c r="M26" s="96"/>
      <c r="N26" s="96"/>
      <c r="O26" s="96"/>
      <c r="P26" s="96"/>
      <c r="Q26" s="96"/>
      <c r="R26" s="96"/>
      <c r="S26" s="96"/>
    </row>
    <row r="27" spans="1:19" x14ac:dyDescent="0.25">
      <c r="A27" s="96"/>
      <c r="B27" s="26"/>
      <c r="C27" s="96"/>
      <c r="D27" s="96"/>
      <c r="E27" s="96"/>
      <c r="F27" s="96"/>
      <c r="G27" s="96"/>
      <c r="H27" s="96"/>
      <c r="I27" s="96"/>
      <c r="J27" s="96"/>
      <c r="K27" s="96"/>
      <c r="L27" s="96"/>
      <c r="M27" s="96"/>
      <c r="N27" s="96"/>
      <c r="O27" s="96"/>
      <c r="P27" s="96"/>
      <c r="Q27" s="96"/>
      <c r="R27" s="96"/>
      <c r="S27" s="96"/>
    </row>
    <row r="28" spans="1:19" x14ac:dyDescent="0.25">
      <c r="A28" s="96"/>
      <c r="B28" s="26"/>
      <c r="C28" s="96"/>
      <c r="D28" s="96"/>
      <c r="E28" s="96"/>
      <c r="F28" s="96"/>
      <c r="G28" s="96"/>
      <c r="H28" s="96"/>
      <c r="I28" s="96"/>
      <c r="J28" s="96"/>
      <c r="K28" s="96"/>
      <c r="L28" s="96"/>
      <c r="M28" s="96"/>
      <c r="N28" s="96"/>
      <c r="O28" s="96"/>
      <c r="P28" s="96"/>
      <c r="Q28" s="96"/>
      <c r="R28" s="96"/>
      <c r="S28" s="96"/>
    </row>
    <row r="29" spans="1:19" x14ac:dyDescent="0.25">
      <c r="A29" s="96"/>
      <c r="B29" s="26"/>
      <c r="C29" s="96"/>
      <c r="D29" s="96"/>
      <c r="E29" s="96"/>
      <c r="F29" s="96"/>
      <c r="G29" s="96"/>
      <c r="H29" s="96"/>
      <c r="I29" s="96"/>
      <c r="J29" s="96"/>
      <c r="K29" s="96"/>
      <c r="L29" s="96"/>
      <c r="M29" s="96"/>
      <c r="N29" s="96"/>
      <c r="O29" s="96"/>
      <c r="P29" s="96"/>
      <c r="Q29" s="96"/>
      <c r="R29" s="96"/>
      <c r="S29" s="96"/>
    </row>
    <row r="30" spans="1:19" x14ac:dyDescent="0.25">
      <c r="A30" s="96"/>
      <c r="B30" s="26"/>
      <c r="C30" s="96"/>
      <c r="D30" s="96"/>
      <c r="E30" s="96"/>
      <c r="F30" s="96"/>
      <c r="G30" s="96"/>
      <c r="H30" s="96"/>
      <c r="I30" s="96"/>
      <c r="J30" s="96"/>
      <c r="K30" s="96"/>
      <c r="L30" s="96"/>
      <c r="M30" s="96"/>
      <c r="N30" s="96"/>
      <c r="O30" s="96"/>
      <c r="P30" s="96"/>
      <c r="Q30" s="96"/>
      <c r="R30" s="96"/>
      <c r="S30" s="96"/>
    </row>
    <row r="31" spans="1:19" x14ac:dyDescent="0.25">
      <c r="A31" s="96"/>
      <c r="B31" s="26"/>
      <c r="C31" s="96"/>
      <c r="D31" s="96"/>
      <c r="E31" s="96"/>
      <c r="F31" s="96"/>
      <c r="G31" s="96"/>
      <c r="H31" s="96"/>
      <c r="I31" s="96"/>
      <c r="J31" s="96"/>
      <c r="K31" s="96"/>
      <c r="L31" s="96"/>
      <c r="M31" s="96"/>
      <c r="N31" s="96"/>
      <c r="O31" s="96"/>
      <c r="P31" s="96"/>
      <c r="Q31" s="96"/>
      <c r="R31" s="96"/>
      <c r="S31" s="96"/>
    </row>
    <row r="32" spans="1:19" x14ac:dyDescent="0.25">
      <c r="A32" s="96"/>
      <c r="B32" s="26"/>
      <c r="C32" s="96"/>
      <c r="D32" s="96"/>
      <c r="E32" s="96"/>
      <c r="F32" s="96"/>
      <c r="G32" s="96"/>
      <c r="H32" s="96"/>
      <c r="I32" s="96"/>
      <c r="J32" s="96"/>
      <c r="K32" s="96"/>
      <c r="L32" s="96"/>
      <c r="M32" s="96"/>
      <c r="N32" s="96"/>
      <c r="O32" s="96"/>
      <c r="P32" s="96"/>
      <c r="Q32" s="96"/>
      <c r="R32" s="96"/>
      <c r="S32" s="96"/>
    </row>
    <row r="33" spans="1:19" x14ac:dyDescent="0.25">
      <c r="A33" s="96"/>
      <c r="B33" s="26"/>
      <c r="C33" s="96"/>
      <c r="D33" s="96"/>
      <c r="E33" s="96"/>
      <c r="F33" s="96"/>
      <c r="G33" s="96"/>
      <c r="H33" s="96"/>
      <c r="I33" s="96"/>
      <c r="J33" s="96"/>
      <c r="K33" s="96"/>
      <c r="L33" s="96"/>
      <c r="M33" s="96"/>
      <c r="N33" s="96"/>
      <c r="O33" s="96"/>
      <c r="P33" s="96"/>
      <c r="Q33" s="96"/>
      <c r="R33" s="96"/>
      <c r="S33" s="96"/>
    </row>
    <row r="34" spans="1:19" x14ac:dyDescent="0.25">
      <c r="A34" s="96"/>
      <c r="B34" s="26"/>
      <c r="C34" s="96"/>
      <c r="D34" s="96"/>
      <c r="E34" s="96"/>
      <c r="F34" s="96"/>
      <c r="G34" s="96"/>
      <c r="H34" s="96"/>
      <c r="I34" s="96"/>
      <c r="J34" s="96"/>
      <c r="K34" s="96"/>
      <c r="L34" s="96"/>
      <c r="M34" s="96"/>
      <c r="N34" s="96"/>
      <c r="O34" s="96"/>
      <c r="P34" s="96"/>
      <c r="Q34" s="96"/>
      <c r="R34" s="96"/>
      <c r="S34" s="96"/>
    </row>
    <row r="35" spans="1:19" x14ac:dyDescent="0.25">
      <c r="A35" s="96"/>
      <c r="B35" s="26"/>
      <c r="C35" s="96"/>
      <c r="D35" s="96"/>
      <c r="E35" s="96"/>
      <c r="F35" s="96"/>
      <c r="G35" s="96"/>
      <c r="H35" s="96"/>
      <c r="I35" s="96"/>
      <c r="J35" s="96"/>
      <c r="K35" s="96"/>
      <c r="L35" s="96"/>
      <c r="M35" s="96"/>
      <c r="N35" s="96"/>
      <c r="O35" s="96"/>
      <c r="P35" s="96"/>
      <c r="Q35" s="96"/>
      <c r="R35" s="96"/>
      <c r="S35" s="96"/>
    </row>
    <row r="36" spans="1:19" x14ac:dyDescent="0.25">
      <c r="A36" s="96"/>
      <c r="B36" s="26"/>
      <c r="C36" s="96"/>
      <c r="D36" s="96"/>
      <c r="E36" s="96"/>
      <c r="F36" s="96"/>
      <c r="G36" s="96"/>
      <c r="H36" s="96"/>
      <c r="I36" s="96"/>
      <c r="J36" s="96"/>
      <c r="K36" s="96"/>
      <c r="L36" s="96"/>
      <c r="M36" s="96"/>
      <c r="N36" s="96"/>
      <c r="O36" s="96"/>
      <c r="P36" s="96"/>
      <c r="Q36" s="96"/>
      <c r="R36" s="96"/>
      <c r="S36" s="96"/>
    </row>
    <row r="37" spans="1:19" x14ac:dyDescent="0.25">
      <c r="A37" s="96"/>
      <c r="B37" s="26"/>
      <c r="C37" s="96"/>
      <c r="D37" s="96"/>
      <c r="E37" s="96"/>
      <c r="F37" s="96"/>
      <c r="G37" s="96"/>
      <c r="H37" s="96"/>
      <c r="I37" s="96"/>
      <c r="J37" s="96"/>
      <c r="K37" s="96"/>
      <c r="L37" s="96"/>
      <c r="M37" s="96"/>
      <c r="N37" s="96"/>
      <c r="O37" s="96"/>
      <c r="P37" s="96"/>
      <c r="Q37" s="96"/>
      <c r="R37" s="96"/>
      <c r="S37" s="96"/>
    </row>
    <row r="38" spans="1:19" x14ac:dyDescent="0.25">
      <c r="A38" s="96"/>
      <c r="B38" s="26"/>
      <c r="C38" s="96"/>
      <c r="D38" s="96"/>
      <c r="E38" s="96"/>
      <c r="F38" s="96"/>
      <c r="G38" s="96"/>
      <c r="H38" s="96"/>
      <c r="I38" s="96"/>
      <c r="J38" s="96"/>
      <c r="K38" s="96"/>
      <c r="L38" s="96"/>
      <c r="M38" s="96"/>
      <c r="N38" s="96"/>
      <c r="O38" s="96"/>
      <c r="P38" s="96"/>
      <c r="Q38" s="96"/>
      <c r="R38" s="96"/>
      <c r="S38" s="96"/>
    </row>
    <row r="39" spans="1:19" x14ac:dyDescent="0.25">
      <c r="A39" s="96"/>
      <c r="B39" s="26"/>
      <c r="C39" s="96"/>
      <c r="D39" s="96"/>
      <c r="E39" s="96"/>
      <c r="F39" s="96"/>
      <c r="G39" s="96"/>
      <c r="H39" s="96"/>
      <c r="I39" s="96"/>
      <c r="J39" s="96"/>
      <c r="K39" s="96"/>
      <c r="L39" s="96"/>
      <c r="M39" s="96"/>
      <c r="N39" s="96"/>
      <c r="O39" s="96"/>
      <c r="P39" s="96"/>
      <c r="Q39" s="96"/>
      <c r="R39" s="96"/>
      <c r="S39" s="96"/>
    </row>
    <row r="40" spans="1:19" x14ac:dyDescent="0.25">
      <c r="A40" s="96"/>
      <c r="B40" s="26"/>
      <c r="C40" s="96"/>
      <c r="D40" s="96"/>
      <c r="E40" s="96"/>
      <c r="F40" s="96"/>
      <c r="G40" s="96"/>
      <c r="H40" s="96"/>
      <c r="I40" s="96"/>
      <c r="J40" s="96"/>
      <c r="K40" s="96"/>
      <c r="L40" s="96"/>
      <c r="M40" s="96"/>
      <c r="N40" s="96"/>
      <c r="O40" s="96"/>
      <c r="P40" s="96"/>
      <c r="Q40" s="96"/>
      <c r="R40" s="96"/>
      <c r="S40" s="96"/>
    </row>
    <row r="41" spans="1:19" x14ac:dyDescent="0.25">
      <c r="A41" s="96"/>
      <c r="B41" s="26"/>
      <c r="C41" s="96"/>
      <c r="D41" s="96"/>
      <c r="E41" s="96"/>
      <c r="F41" s="96"/>
      <c r="G41" s="96"/>
      <c r="H41" s="96"/>
      <c r="I41" s="96"/>
      <c r="J41" s="96"/>
      <c r="K41" s="96"/>
      <c r="L41" s="96"/>
      <c r="M41" s="96"/>
      <c r="N41" s="96"/>
      <c r="O41" s="96"/>
      <c r="P41" s="96"/>
      <c r="Q41" s="96"/>
      <c r="R41" s="96"/>
      <c r="S41" s="96"/>
    </row>
    <row r="42" spans="1:19" x14ac:dyDescent="0.25">
      <c r="A42" s="96"/>
      <c r="B42" s="26"/>
      <c r="C42" s="96"/>
      <c r="D42" s="96"/>
      <c r="E42" s="96"/>
      <c r="F42" s="96"/>
      <c r="G42" s="96"/>
      <c r="H42" s="96"/>
      <c r="I42" s="96"/>
      <c r="J42" s="96"/>
      <c r="K42" s="96"/>
      <c r="L42" s="96"/>
      <c r="M42" s="96"/>
      <c r="N42" s="96"/>
      <c r="O42" s="96"/>
      <c r="P42" s="96"/>
      <c r="Q42" s="96"/>
      <c r="R42" s="96"/>
      <c r="S42" s="96"/>
    </row>
    <row r="43" spans="1:19" x14ac:dyDescent="0.25">
      <c r="A43" s="96"/>
      <c r="B43" s="26"/>
      <c r="C43" s="96"/>
      <c r="D43" s="96"/>
      <c r="E43" s="96"/>
      <c r="F43" s="96"/>
      <c r="G43" s="96"/>
      <c r="H43" s="96"/>
      <c r="I43" s="96"/>
      <c r="J43" s="96"/>
      <c r="K43" s="96"/>
      <c r="L43" s="96"/>
      <c r="M43" s="96"/>
      <c r="N43" s="96"/>
      <c r="O43" s="96"/>
      <c r="P43" s="96"/>
      <c r="Q43" s="96"/>
      <c r="R43" s="96"/>
      <c r="S43" s="96"/>
    </row>
    <row r="44" spans="1:19" x14ac:dyDescent="0.25">
      <c r="A44" s="96"/>
      <c r="B44" s="26"/>
      <c r="C44" s="96"/>
      <c r="D44" s="96"/>
      <c r="E44" s="96"/>
      <c r="F44" s="96"/>
      <c r="G44" s="96"/>
      <c r="H44" s="96"/>
      <c r="I44" s="96"/>
      <c r="J44" s="96"/>
      <c r="K44" s="96"/>
      <c r="L44" s="96"/>
      <c r="M44" s="96"/>
      <c r="N44" s="96"/>
      <c r="O44" s="96"/>
      <c r="P44" s="96"/>
      <c r="Q44" s="96"/>
      <c r="R44" s="96"/>
      <c r="S44" s="96"/>
    </row>
    <row r="45" spans="1:19" x14ac:dyDescent="0.25">
      <c r="A45" s="96"/>
      <c r="B45" s="26"/>
      <c r="C45" s="96"/>
      <c r="D45" s="96"/>
      <c r="E45" s="96"/>
      <c r="F45" s="96"/>
      <c r="G45" s="96"/>
      <c r="H45" s="96"/>
      <c r="I45" s="96"/>
      <c r="J45" s="96"/>
      <c r="K45" s="96"/>
      <c r="L45" s="96"/>
      <c r="M45" s="96"/>
      <c r="N45" s="96"/>
      <c r="O45" s="96"/>
      <c r="P45" s="96"/>
      <c r="Q45" s="96"/>
      <c r="R45" s="96"/>
      <c r="S45" s="96"/>
    </row>
    <row r="46" spans="1:19" x14ac:dyDescent="0.25">
      <c r="A46" s="96"/>
      <c r="B46" s="26"/>
      <c r="C46" s="96"/>
      <c r="D46" s="96"/>
      <c r="E46" s="96"/>
      <c r="F46" s="96"/>
      <c r="G46" s="96"/>
      <c r="H46" s="96"/>
      <c r="I46" s="96"/>
      <c r="J46" s="96"/>
      <c r="K46" s="96"/>
      <c r="L46" s="96"/>
      <c r="M46" s="96"/>
      <c r="N46" s="96"/>
      <c r="O46" s="96"/>
      <c r="P46" s="96"/>
      <c r="Q46" s="96"/>
      <c r="R46" s="96"/>
      <c r="S46" s="96"/>
    </row>
    <row r="47" spans="1:19" x14ac:dyDescent="0.25">
      <c r="A47" s="96"/>
      <c r="B47" s="26"/>
      <c r="C47" s="96"/>
      <c r="D47" s="96"/>
      <c r="E47" s="96"/>
      <c r="F47" s="96"/>
      <c r="G47" s="96"/>
      <c r="H47" s="96"/>
      <c r="I47" s="96"/>
      <c r="J47" s="96"/>
      <c r="K47" s="96"/>
      <c r="L47" s="96"/>
      <c r="M47" s="96"/>
      <c r="N47" s="96"/>
      <c r="O47" s="96"/>
      <c r="P47" s="96"/>
      <c r="Q47" s="96"/>
      <c r="R47" s="96"/>
      <c r="S47" s="96"/>
    </row>
    <row r="48" spans="1:19" x14ac:dyDescent="0.25">
      <c r="A48" s="96"/>
      <c r="B48" s="26"/>
      <c r="C48" s="96"/>
      <c r="D48" s="96"/>
      <c r="E48" s="96"/>
      <c r="F48" s="96"/>
      <c r="G48" s="96"/>
      <c r="H48" s="96"/>
      <c r="I48" s="96"/>
      <c r="J48" s="96"/>
      <c r="K48" s="96"/>
      <c r="L48" s="96"/>
      <c r="M48" s="96"/>
      <c r="N48" s="96"/>
      <c r="O48" s="96"/>
      <c r="P48" s="96"/>
      <c r="Q48" s="96"/>
      <c r="R48" s="96"/>
      <c r="S48" s="96"/>
    </row>
    <row r="49" spans="1:19" x14ac:dyDescent="0.25">
      <c r="A49" s="96"/>
      <c r="B49" s="26"/>
      <c r="C49" s="96"/>
      <c r="D49" s="96"/>
      <c r="E49" s="96"/>
      <c r="F49" s="96"/>
      <c r="G49" s="96"/>
      <c r="H49" s="96"/>
      <c r="I49" s="96"/>
      <c r="J49" s="96"/>
      <c r="K49" s="96"/>
      <c r="L49" s="96"/>
      <c r="M49" s="96"/>
      <c r="N49" s="96"/>
      <c r="O49" s="96"/>
      <c r="P49" s="96"/>
      <c r="Q49" s="96"/>
      <c r="R49" s="96"/>
      <c r="S49" s="96"/>
    </row>
    <row r="50" spans="1:19" x14ac:dyDescent="0.25">
      <c r="A50" s="96"/>
      <c r="B50" s="26"/>
      <c r="C50" s="96"/>
      <c r="D50" s="96"/>
      <c r="E50" s="96"/>
      <c r="F50" s="96"/>
      <c r="G50" s="96"/>
      <c r="H50" s="96"/>
      <c r="I50" s="96"/>
      <c r="J50" s="96"/>
      <c r="K50" s="96"/>
      <c r="L50" s="96"/>
      <c r="M50" s="96"/>
      <c r="N50" s="96"/>
      <c r="O50" s="96"/>
      <c r="P50" s="96"/>
      <c r="Q50" s="96"/>
      <c r="R50" s="96"/>
      <c r="S50" s="96"/>
    </row>
    <row r="51" spans="1:19" x14ac:dyDescent="0.25">
      <c r="A51" s="96"/>
      <c r="B51" s="26"/>
      <c r="C51" s="96"/>
      <c r="D51" s="96"/>
      <c r="E51" s="96"/>
      <c r="F51" s="96"/>
      <c r="G51" s="96"/>
      <c r="H51" s="96"/>
      <c r="I51" s="96"/>
      <c r="J51" s="96"/>
      <c r="K51" s="96"/>
      <c r="L51" s="96"/>
      <c r="M51" s="96"/>
      <c r="N51" s="96"/>
      <c r="O51" s="96"/>
      <c r="P51" s="96"/>
      <c r="Q51" s="96"/>
      <c r="R51" s="96"/>
      <c r="S51" s="96"/>
    </row>
    <row r="52" spans="1:19" x14ac:dyDescent="0.25">
      <c r="A52" s="96"/>
      <c r="B52" s="26"/>
      <c r="C52" s="96"/>
      <c r="D52" s="96"/>
      <c r="E52" s="96"/>
      <c r="F52" s="96"/>
      <c r="G52" s="96"/>
      <c r="H52" s="96"/>
      <c r="I52" s="96"/>
      <c r="J52" s="96"/>
      <c r="K52" s="96"/>
      <c r="L52" s="96"/>
      <c r="M52" s="96"/>
      <c r="N52" s="96"/>
      <c r="O52" s="96"/>
      <c r="P52" s="96"/>
      <c r="Q52" s="96"/>
      <c r="R52" s="96"/>
      <c r="S52" s="96"/>
    </row>
    <row r="53" spans="1:19" x14ac:dyDescent="0.25">
      <c r="A53" s="96"/>
      <c r="B53" s="26"/>
      <c r="C53" s="96"/>
      <c r="D53" s="96"/>
      <c r="E53" s="96"/>
      <c r="F53" s="96"/>
      <c r="G53" s="96"/>
      <c r="H53" s="96"/>
      <c r="I53" s="96"/>
      <c r="J53" s="96"/>
      <c r="K53" s="96"/>
      <c r="L53" s="96"/>
      <c r="M53" s="96"/>
      <c r="N53" s="96"/>
      <c r="O53" s="96"/>
      <c r="P53" s="96"/>
      <c r="Q53" s="96"/>
      <c r="R53" s="96"/>
      <c r="S53" s="96"/>
    </row>
    <row r="54" spans="1:19" x14ac:dyDescent="0.25">
      <c r="A54" s="96"/>
      <c r="B54" s="26"/>
      <c r="C54" s="96"/>
      <c r="D54" s="96"/>
      <c r="E54" s="96"/>
      <c r="F54" s="96"/>
      <c r="G54" s="96"/>
      <c r="H54" s="96"/>
      <c r="I54" s="96"/>
      <c r="J54" s="96"/>
      <c r="K54" s="96"/>
      <c r="L54" s="96"/>
      <c r="M54" s="96"/>
      <c r="N54" s="96"/>
      <c r="O54" s="96"/>
      <c r="P54" s="96"/>
      <c r="Q54" s="96"/>
      <c r="R54" s="96"/>
      <c r="S54" s="96"/>
    </row>
    <row r="55" spans="1:19" x14ac:dyDescent="0.25">
      <c r="A55" s="96"/>
      <c r="B55" s="26"/>
      <c r="C55" s="96"/>
      <c r="D55" s="96"/>
      <c r="E55" s="96"/>
      <c r="F55" s="96"/>
      <c r="G55" s="96"/>
      <c r="H55" s="96"/>
      <c r="I55" s="96"/>
      <c r="J55" s="96"/>
      <c r="K55" s="96"/>
      <c r="L55" s="96"/>
      <c r="M55" s="96"/>
      <c r="N55" s="96"/>
      <c r="O55" s="96"/>
      <c r="P55" s="96"/>
      <c r="Q55" s="96"/>
      <c r="R55" s="96"/>
      <c r="S55" s="96"/>
    </row>
    <row r="56" spans="1:19" x14ac:dyDescent="0.25">
      <c r="A56" s="96"/>
      <c r="B56" s="26"/>
      <c r="C56" s="96"/>
      <c r="D56" s="96"/>
      <c r="E56" s="96"/>
      <c r="F56" s="96"/>
      <c r="G56" s="96"/>
      <c r="H56" s="96"/>
      <c r="I56" s="96"/>
      <c r="J56" s="96"/>
      <c r="K56" s="96"/>
      <c r="L56" s="96"/>
      <c r="M56" s="96"/>
      <c r="N56" s="96"/>
      <c r="O56" s="96"/>
      <c r="P56" s="96"/>
      <c r="Q56" s="96"/>
      <c r="R56" s="96"/>
      <c r="S56" s="96"/>
    </row>
    <row r="57" spans="1:19" x14ac:dyDescent="0.25">
      <c r="A57" s="96"/>
      <c r="B57" s="26"/>
      <c r="C57" s="96"/>
      <c r="D57" s="96"/>
      <c r="E57" s="96"/>
      <c r="F57" s="96"/>
      <c r="G57" s="96"/>
      <c r="H57" s="96"/>
      <c r="I57" s="96"/>
      <c r="J57" s="96"/>
      <c r="K57" s="96"/>
      <c r="L57" s="96"/>
      <c r="M57" s="96"/>
      <c r="N57" s="96"/>
      <c r="O57" s="96"/>
      <c r="P57" s="96"/>
      <c r="Q57" s="96"/>
      <c r="R57" s="96"/>
      <c r="S57" s="96"/>
    </row>
    <row r="58" spans="1:19" x14ac:dyDescent="0.25">
      <c r="A58" s="96"/>
      <c r="B58" s="26"/>
      <c r="C58" s="96"/>
      <c r="D58" s="96"/>
      <c r="E58" s="96"/>
      <c r="F58" s="96"/>
      <c r="G58" s="96"/>
      <c r="H58" s="96"/>
      <c r="I58" s="96"/>
      <c r="J58" s="96"/>
      <c r="K58" s="96"/>
      <c r="L58" s="96"/>
      <c r="M58" s="96"/>
      <c r="N58" s="96"/>
      <c r="O58" s="96"/>
      <c r="P58" s="96"/>
      <c r="Q58" s="96"/>
      <c r="R58" s="96"/>
      <c r="S58" s="96"/>
    </row>
    <row r="59" spans="1:19" x14ac:dyDescent="0.25">
      <c r="A59" s="96"/>
      <c r="B59" s="26"/>
      <c r="C59" s="96"/>
      <c r="D59" s="96"/>
      <c r="E59" s="96"/>
      <c r="F59" s="96"/>
      <c r="G59" s="96"/>
      <c r="H59" s="96"/>
      <c r="I59" s="96"/>
      <c r="J59" s="96"/>
      <c r="K59" s="96"/>
      <c r="L59" s="96"/>
      <c r="M59" s="96"/>
      <c r="N59" s="96"/>
      <c r="O59" s="96"/>
      <c r="P59" s="96"/>
      <c r="Q59" s="96"/>
      <c r="R59" s="96"/>
      <c r="S59" s="96"/>
    </row>
    <row r="60" spans="1:19" x14ac:dyDescent="0.25">
      <c r="A60" s="96"/>
      <c r="B60" s="26"/>
      <c r="C60" s="96"/>
      <c r="D60" s="96"/>
      <c r="E60" s="96"/>
      <c r="F60" s="96"/>
      <c r="G60" s="96"/>
      <c r="H60" s="96"/>
      <c r="I60" s="96"/>
      <c r="J60" s="96"/>
      <c r="K60" s="96"/>
      <c r="L60" s="96"/>
      <c r="M60" s="96"/>
      <c r="N60" s="96"/>
      <c r="O60" s="96"/>
      <c r="P60" s="96"/>
      <c r="Q60" s="96"/>
      <c r="R60" s="96"/>
      <c r="S60" s="96"/>
    </row>
    <row r="61" spans="1:19" x14ac:dyDescent="0.25">
      <c r="A61" s="96"/>
      <c r="B61" s="26"/>
      <c r="C61" s="96"/>
      <c r="D61" s="96"/>
      <c r="E61" s="96"/>
      <c r="F61" s="96"/>
      <c r="G61" s="96"/>
      <c r="H61" s="96"/>
      <c r="I61" s="96"/>
      <c r="J61" s="96"/>
      <c r="K61" s="96"/>
      <c r="L61" s="96"/>
      <c r="M61" s="96"/>
      <c r="N61" s="96"/>
      <c r="O61" s="96"/>
      <c r="P61" s="96"/>
      <c r="Q61" s="96"/>
      <c r="R61" s="96"/>
      <c r="S61" s="96"/>
    </row>
    <row r="62" spans="1:19" x14ac:dyDescent="0.25">
      <c r="A62" s="96"/>
      <c r="B62" s="26"/>
      <c r="C62" s="96"/>
      <c r="D62" s="96"/>
      <c r="E62" s="96"/>
      <c r="F62" s="96"/>
      <c r="G62" s="96"/>
      <c r="H62" s="96"/>
      <c r="I62" s="96"/>
      <c r="J62" s="96"/>
      <c r="K62" s="96"/>
      <c r="L62" s="96"/>
      <c r="M62" s="96"/>
      <c r="N62" s="96"/>
      <c r="O62" s="96"/>
      <c r="P62" s="96"/>
      <c r="Q62" s="96"/>
      <c r="R62" s="96"/>
      <c r="S62" s="96"/>
    </row>
    <row r="63" spans="1:19" x14ac:dyDescent="0.25">
      <c r="A63" s="96"/>
      <c r="B63" s="26"/>
      <c r="C63" s="96"/>
      <c r="D63" s="96"/>
      <c r="E63" s="96"/>
      <c r="F63" s="96"/>
      <c r="G63" s="96"/>
      <c r="H63" s="96"/>
      <c r="I63" s="96"/>
      <c r="J63" s="96"/>
      <c r="K63" s="96"/>
      <c r="L63" s="96"/>
      <c r="M63" s="96"/>
      <c r="N63" s="96"/>
      <c r="O63" s="96"/>
      <c r="P63" s="96"/>
      <c r="Q63" s="96"/>
      <c r="R63" s="96"/>
      <c r="S63" s="96"/>
    </row>
    <row r="64" spans="1:19" x14ac:dyDescent="0.25">
      <c r="A64" s="96"/>
      <c r="B64" s="26"/>
      <c r="C64" s="96"/>
      <c r="D64" s="96"/>
      <c r="E64" s="96"/>
      <c r="F64" s="96"/>
      <c r="G64" s="96"/>
      <c r="H64" s="96"/>
      <c r="I64" s="96"/>
      <c r="J64" s="96"/>
      <c r="K64" s="96"/>
      <c r="L64" s="96"/>
      <c r="M64" s="96"/>
      <c r="N64" s="96"/>
      <c r="O64" s="96"/>
      <c r="P64" s="96"/>
      <c r="Q64" s="96"/>
      <c r="R64" s="96"/>
      <c r="S64" s="96"/>
    </row>
    <row r="65" spans="1:19" x14ac:dyDescent="0.25">
      <c r="A65" s="96"/>
      <c r="B65" s="26"/>
      <c r="C65" s="96"/>
      <c r="D65" s="96"/>
      <c r="E65" s="96"/>
      <c r="F65" s="96"/>
      <c r="G65" s="96"/>
      <c r="H65" s="96"/>
      <c r="I65" s="96"/>
      <c r="J65" s="96"/>
      <c r="K65" s="96"/>
      <c r="L65" s="96"/>
      <c r="M65" s="96"/>
      <c r="N65" s="96"/>
      <c r="O65" s="96"/>
      <c r="P65" s="96"/>
      <c r="Q65" s="96"/>
      <c r="R65" s="96"/>
      <c r="S65" s="96"/>
    </row>
    <row r="66" spans="1:19" x14ac:dyDescent="0.25">
      <c r="A66" s="96"/>
      <c r="B66" s="26"/>
      <c r="C66" s="96"/>
      <c r="D66" s="96"/>
      <c r="E66" s="96"/>
      <c r="F66" s="96"/>
      <c r="G66" s="96"/>
      <c r="H66" s="96"/>
      <c r="I66" s="96"/>
      <c r="J66" s="96"/>
      <c r="K66" s="96"/>
      <c r="L66" s="96"/>
      <c r="M66" s="96"/>
      <c r="N66" s="96"/>
      <c r="O66" s="96"/>
      <c r="P66" s="96"/>
      <c r="Q66" s="96"/>
      <c r="R66" s="96"/>
      <c r="S66" s="96"/>
    </row>
    <row r="67" spans="1:19" x14ac:dyDescent="0.25">
      <c r="A67" s="96"/>
      <c r="B67" s="26"/>
      <c r="C67" s="96"/>
      <c r="D67" s="96"/>
      <c r="E67" s="96"/>
      <c r="F67" s="96"/>
      <c r="G67" s="96"/>
      <c r="H67" s="96"/>
      <c r="I67" s="96"/>
      <c r="J67" s="96"/>
      <c r="K67" s="96"/>
      <c r="L67" s="96"/>
      <c r="M67" s="96"/>
      <c r="N67" s="96"/>
      <c r="O67" s="96"/>
      <c r="P67" s="96"/>
      <c r="Q67" s="96"/>
      <c r="R67" s="96"/>
      <c r="S67" s="96"/>
    </row>
    <row r="68" spans="1:19" x14ac:dyDescent="0.25">
      <c r="A68" s="96"/>
      <c r="B68" s="26"/>
      <c r="C68" s="96"/>
      <c r="D68" s="96"/>
      <c r="E68" s="96"/>
      <c r="F68" s="96"/>
      <c r="G68" s="96"/>
      <c r="H68" s="96"/>
      <c r="I68" s="96"/>
      <c r="J68" s="96"/>
      <c r="K68" s="96"/>
      <c r="L68" s="96"/>
      <c r="M68" s="96"/>
      <c r="N68" s="96"/>
      <c r="O68" s="96"/>
      <c r="P68" s="96"/>
      <c r="Q68" s="96"/>
      <c r="R68" s="96"/>
      <c r="S68" s="96"/>
    </row>
    <row r="69" spans="1:19" x14ac:dyDescent="0.25">
      <c r="A69" s="96"/>
      <c r="B69" s="26"/>
      <c r="C69" s="96"/>
      <c r="D69" s="96"/>
      <c r="E69" s="96"/>
      <c r="F69" s="96"/>
      <c r="G69" s="96"/>
      <c r="H69" s="96"/>
      <c r="I69" s="96"/>
      <c r="J69" s="96"/>
      <c r="K69" s="96"/>
      <c r="L69" s="96"/>
      <c r="M69" s="96"/>
      <c r="N69" s="96"/>
      <c r="O69" s="96"/>
      <c r="P69" s="96"/>
      <c r="Q69" s="96"/>
      <c r="R69" s="96"/>
      <c r="S69" s="96"/>
    </row>
    <row r="70" spans="1:19" x14ac:dyDescent="0.25">
      <c r="A70" s="96"/>
      <c r="B70" s="26"/>
      <c r="C70" s="96"/>
      <c r="D70" s="96"/>
      <c r="E70" s="96"/>
      <c r="F70" s="96"/>
      <c r="G70" s="96"/>
      <c r="H70" s="96"/>
      <c r="I70" s="96"/>
      <c r="J70" s="96"/>
      <c r="K70" s="96"/>
      <c r="L70" s="96"/>
      <c r="M70" s="96"/>
      <c r="N70" s="96"/>
      <c r="O70" s="96"/>
      <c r="P70" s="96"/>
      <c r="Q70" s="96"/>
      <c r="R70" s="96"/>
      <c r="S70" s="96"/>
    </row>
  </sheetData>
  <mergeCells count="6">
    <mergeCell ref="A5:B5"/>
    <mergeCell ref="A6:A8"/>
    <mergeCell ref="A9:A10"/>
    <mergeCell ref="A11:A12"/>
    <mergeCell ref="A3:B3"/>
    <mergeCell ref="A4:B4"/>
  </mergeCells>
  <phoneticPr fontId="3" type="noConversion"/>
  <printOptions horizontalCentered="1"/>
  <pageMargins left="0.39370078740157483" right="0.39370078740157483" top="0.39370078740157483" bottom="0.39370078740157483" header="0.19685039370078741" footer="0.19685039370078741"/>
  <pageSetup paperSize="9" scale="76" fitToHeight="0" orientation="landscape" r:id="rId1"/>
  <headerFooter alignWithMargins="0">
    <oddHeader>&amp;L&amp;"Calibri"&amp;10&amp;K000000Official&amp;1#</oddHeader>
    <oddFooter>&amp;C&amp;8&amp;P of &amp;N</oddFooter>
  </headerFooter>
  <rowBreaks count="1" manualBreakCount="1">
    <brk id="49" max="20" man="1"/>
  </rowBreaks>
  <ignoredErrors>
    <ignoredError sqref="H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CO1153"/>
  <sheetViews>
    <sheetView zoomScale="110" zoomScaleNormal="110" workbookViewId="0">
      <pane ySplit="1" topLeftCell="A60" activePane="bottomLeft" state="frozen"/>
      <selection pane="bottomLeft"/>
    </sheetView>
  </sheetViews>
  <sheetFormatPr defaultColWidth="9.109375" defaultRowHeight="12" customHeight="1" x14ac:dyDescent="0.2"/>
  <cols>
    <col min="1" max="1" width="5" style="224" customWidth="1"/>
    <col min="2" max="2" width="14.33203125" style="225" customWidth="1"/>
    <col min="3" max="3" width="10" style="225" customWidth="1"/>
    <col min="4" max="4" width="28" style="225" customWidth="1"/>
    <col min="5" max="5" width="18.88671875" style="225" customWidth="1"/>
    <col min="6" max="6" width="7" style="224" customWidth="1"/>
    <col min="7" max="7" width="7.88671875" style="224" customWidth="1"/>
    <col min="8" max="8" width="12.88671875" style="225" customWidth="1"/>
    <col min="9" max="9" width="11.44140625" style="226" customWidth="1"/>
    <col min="10" max="10" width="9.88671875" style="246" customWidth="1"/>
    <col min="11" max="11" width="7.44140625" style="247" customWidth="1"/>
    <col min="12" max="12" width="8.88671875" style="247" customWidth="1"/>
    <col min="13" max="13" width="9.44140625" style="247" customWidth="1"/>
    <col min="14" max="14" width="10" style="247" customWidth="1"/>
    <col min="15" max="15" width="10.109375" style="247" customWidth="1"/>
    <col min="16" max="16" width="10.44140625" style="224" customWidth="1"/>
    <col min="17" max="17" width="28.6640625" style="225" customWidth="1"/>
    <col min="18" max="18" width="9.88671875" style="224" customWidth="1"/>
    <col min="19" max="19" width="9.88671875" style="226" customWidth="1"/>
    <col min="20" max="20" width="9.88671875" style="246" customWidth="1"/>
    <col min="21" max="21" width="8.88671875" style="224" customWidth="1"/>
    <col min="22" max="22" width="6.5546875" style="224" customWidth="1"/>
    <col min="23" max="23" width="9.88671875" style="246" customWidth="1"/>
    <col min="24" max="24" width="5" style="224" customWidth="1"/>
    <col min="25" max="25" width="11.6640625" style="224" customWidth="1"/>
    <col min="26" max="26" width="11.44140625" style="224" customWidth="1"/>
    <col min="27" max="27" width="11.5546875" style="224" customWidth="1"/>
    <col min="28" max="28" width="10" style="248" customWidth="1"/>
    <col min="29" max="29" width="12.109375" style="226" customWidth="1"/>
    <col min="30" max="30" width="9.109375" style="224" customWidth="1"/>
    <col min="31" max="31" width="10.109375" style="246" customWidth="1"/>
    <col min="32" max="32" width="18.5546875" style="224" customWidth="1"/>
    <col min="33" max="33" width="6.6640625" style="224" customWidth="1"/>
    <col min="34" max="34" width="10.88671875" style="224" customWidth="1"/>
    <col min="35" max="35" width="9.44140625" style="224" customWidth="1"/>
    <col min="36" max="36" width="9.44140625" style="239" customWidth="1"/>
    <col min="37" max="37" width="9.6640625" style="239" customWidth="1"/>
    <col min="38" max="38" width="10.33203125" style="239" customWidth="1"/>
    <col min="39" max="39" width="8.88671875" style="239" customWidth="1"/>
    <col min="40" max="40" width="6.109375" style="239" customWidth="1"/>
    <col min="41" max="45" width="5.109375" style="239" customWidth="1"/>
    <col min="46" max="46" width="6.6640625" style="239" customWidth="1"/>
    <col min="47" max="47" width="6.109375" style="239" customWidth="1"/>
    <col min="48" max="48" width="4.88671875" style="239" customWidth="1"/>
    <col min="49" max="51" width="5.109375" style="239" customWidth="1"/>
    <col min="52" max="52" width="4.88671875" style="239" customWidth="1"/>
    <col min="53" max="53" width="6.5546875" style="239" customWidth="1"/>
    <col min="54" max="54" width="6.88671875" style="239" customWidth="1"/>
    <col min="55" max="60" width="7" style="239" customWidth="1"/>
    <col min="61" max="61" width="5.88671875" style="239" customWidth="1"/>
    <col min="62" max="65" width="5.109375" style="239" customWidth="1"/>
    <col min="66" max="66" width="6.109375" style="239" customWidth="1"/>
    <col min="67" max="67" width="6.6640625" style="239" customWidth="1"/>
    <col min="68" max="68" width="15.44140625" style="224" customWidth="1"/>
    <col min="69" max="69" width="7.5546875" style="224" customWidth="1"/>
    <col min="70" max="70" width="33" style="242" customWidth="1"/>
    <col min="71" max="71" width="14.33203125" style="224" customWidth="1"/>
    <col min="72" max="91" width="7.6640625" style="239" customWidth="1"/>
    <col min="92" max="93" width="9.109375" style="239" customWidth="1"/>
    <col min="94" max="16384" width="9.109375" style="225"/>
  </cols>
  <sheetData>
    <row r="1" spans="1:93" s="211" customFormat="1" ht="49.2" customHeight="1" x14ac:dyDescent="0.25">
      <c r="A1" s="211" t="s">
        <v>242</v>
      </c>
      <c r="B1" s="211" t="s">
        <v>76</v>
      </c>
      <c r="C1" s="211" t="s">
        <v>243</v>
      </c>
      <c r="D1" s="211" t="s">
        <v>244</v>
      </c>
      <c r="E1" s="211" t="s">
        <v>245</v>
      </c>
      <c r="F1" s="211" t="s">
        <v>246</v>
      </c>
      <c r="G1" s="211" t="s">
        <v>247</v>
      </c>
      <c r="H1" s="211" t="s">
        <v>248</v>
      </c>
      <c r="I1" s="212" t="s">
        <v>249</v>
      </c>
      <c r="J1" s="229" t="s">
        <v>250</v>
      </c>
      <c r="K1" s="213" t="s">
        <v>251</v>
      </c>
      <c r="L1" s="213" t="s">
        <v>252</v>
      </c>
      <c r="M1" s="213" t="s">
        <v>253</v>
      </c>
      <c r="N1" s="213" t="s">
        <v>254</v>
      </c>
      <c r="O1" s="213" t="s">
        <v>255</v>
      </c>
      <c r="P1" s="211" t="s">
        <v>256</v>
      </c>
      <c r="Q1" s="211" t="s">
        <v>257</v>
      </c>
      <c r="R1" s="211" t="s">
        <v>258</v>
      </c>
      <c r="S1" s="212" t="s">
        <v>259</v>
      </c>
      <c r="T1" s="229" t="s">
        <v>260</v>
      </c>
      <c r="U1" s="211" t="s">
        <v>261</v>
      </c>
      <c r="V1" s="211" t="s">
        <v>262</v>
      </c>
      <c r="W1" s="229" t="s">
        <v>263</v>
      </c>
      <c r="X1" s="211" t="s">
        <v>264</v>
      </c>
      <c r="Y1" s="211" t="s">
        <v>105</v>
      </c>
      <c r="Z1" s="211" t="s">
        <v>265</v>
      </c>
      <c r="AA1" s="211" t="s">
        <v>266</v>
      </c>
      <c r="AB1" s="230" t="s">
        <v>267</v>
      </c>
      <c r="AC1" s="212" t="s">
        <v>268</v>
      </c>
      <c r="AD1" s="211" t="s">
        <v>269</v>
      </c>
      <c r="AE1" s="229" t="s">
        <v>270</v>
      </c>
      <c r="AF1" s="211" t="s">
        <v>45</v>
      </c>
      <c r="AG1" s="211" t="s">
        <v>271</v>
      </c>
      <c r="AH1" s="211" t="s">
        <v>272</v>
      </c>
      <c r="AI1" s="211" t="s">
        <v>273</v>
      </c>
      <c r="AJ1" s="213" t="s">
        <v>274</v>
      </c>
      <c r="AK1" s="213" t="s">
        <v>275</v>
      </c>
      <c r="AL1" s="213" t="s">
        <v>276</v>
      </c>
      <c r="AM1" s="213" t="s">
        <v>277</v>
      </c>
      <c r="AN1" s="213" t="s">
        <v>278</v>
      </c>
      <c r="AO1" s="213" t="s">
        <v>279</v>
      </c>
      <c r="AP1" s="213" t="s">
        <v>280</v>
      </c>
      <c r="AQ1" s="213" t="s">
        <v>281</v>
      </c>
      <c r="AR1" s="213" t="s">
        <v>282</v>
      </c>
      <c r="AS1" s="213" t="s">
        <v>283</v>
      </c>
      <c r="AT1" s="213" t="s">
        <v>284</v>
      </c>
      <c r="AU1" s="213" t="s">
        <v>285</v>
      </c>
      <c r="AV1" s="213" t="s">
        <v>286</v>
      </c>
      <c r="AW1" s="213" t="s">
        <v>287</v>
      </c>
      <c r="AX1" s="213" t="s">
        <v>288</v>
      </c>
      <c r="AY1" s="213" t="s">
        <v>289</v>
      </c>
      <c r="AZ1" s="213" t="s">
        <v>290</v>
      </c>
      <c r="BA1" s="213" t="s">
        <v>291</v>
      </c>
      <c r="BB1" s="213" t="s">
        <v>292</v>
      </c>
      <c r="BC1" s="213" t="s">
        <v>293</v>
      </c>
      <c r="BD1" s="213" t="s">
        <v>294</v>
      </c>
      <c r="BE1" s="213" t="s">
        <v>295</v>
      </c>
      <c r="BF1" s="213" t="s">
        <v>296</v>
      </c>
      <c r="BG1" s="213" t="s">
        <v>297</v>
      </c>
      <c r="BH1" s="213" t="s">
        <v>298</v>
      </c>
      <c r="BI1" s="213" t="s">
        <v>299</v>
      </c>
      <c r="BJ1" s="213" t="s">
        <v>300</v>
      </c>
      <c r="BK1" s="213" t="s">
        <v>301</v>
      </c>
      <c r="BL1" s="213" t="s">
        <v>302</v>
      </c>
      <c r="BM1" s="213" t="s">
        <v>303</v>
      </c>
      <c r="BN1" s="213" t="s">
        <v>304</v>
      </c>
      <c r="BO1" s="213" t="s">
        <v>305</v>
      </c>
      <c r="BP1" s="211" t="s">
        <v>140</v>
      </c>
      <c r="BQ1" s="211" t="s">
        <v>188</v>
      </c>
      <c r="BR1" s="211" t="s">
        <v>306</v>
      </c>
      <c r="BS1" s="211" t="s">
        <v>307</v>
      </c>
      <c r="BT1" s="213" t="s">
        <v>11</v>
      </c>
      <c r="BU1" s="213" t="s">
        <v>218</v>
      </c>
      <c r="BV1" s="213" t="s">
        <v>219</v>
      </c>
      <c r="BW1" s="213" t="s">
        <v>220</v>
      </c>
      <c r="BX1" s="213" t="s">
        <v>221</v>
      </c>
      <c r="BY1" s="213" t="s">
        <v>222</v>
      </c>
      <c r="BZ1" s="213" t="s">
        <v>223</v>
      </c>
      <c r="CA1" s="213" t="s">
        <v>224</v>
      </c>
      <c r="CB1" s="213" t="s">
        <v>225</v>
      </c>
      <c r="CC1" s="213" t="s">
        <v>226</v>
      </c>
      <c r="CD1" s="213" t="s">
        <v>227</v>
      </c>
      <c r="CE1" s="213" t="s">
        <v>228</v>
      </c>
      <c r="CF1" s="213" t="s">
        <v>229</v>
      </c>
      <c r="CG1" s="213" t="s">
        <v>230</v>
      </c>
      <c r="CH1" s="213" t="s">
        <v>231</v>
      </c>
      <c r="CI1" s="213" t="s">
        <v>232</v>
      </c>
      <c r="CJ1" s="213" t="s">
        <v>308</v>
      </c>
      <c r="CK1" s="213" t="s">
        <v>309</v>
      </c>
      <c r="CL1" s="213" t="s">
        <v>310</v>
      </c>
      <c r="CM1" s="213" t="s">
        <v>311</v>
      </c>
      <c r="CN1" s="213" t="s">
        <v>312</v>
      </c>
      <c r="CO1" s="213" t="s">
        <v>313</v>
      </c>
    </row>
    <row r="2" spans="1:93" ht="13.95" customHeight="1" x14ac:dyDescent="0.2">
      <c r="A2" s="231">
        <v>4513</v>
      </c>
      <c r="B2" s="232" t="s">
        <v>314</v>
      </c>
      <c r="C2" s="232" t="s">
        <v>315</v>
      </c>
      <c r="D2" s="232" t="s">
        <v>316</v>
      </c>
      <c r="E2" s="232" t="s">
        <v>317</v>
      </c>
      <c r="F2" s="231">
        <v>525336</v>
      </c>
      <c r="G2" s="231">
        <v>175122</v>
      </c>
      <c r="H2" s="232" t="s">
        <v>175</v>
      </c>
      <c r="I2" s="233">
        <v>43836</v>
      </c>
      <c r="J2" s="233">
        <v>44804</v>
      </c>
      <c r="K2" s="231">
        <v>0</v>
      </c>
      <c r="L2" s="231">
        <v>84</v>
      </c>
      <c r="M2" s="231">
        <v>84</v>
      </c>
      <c r="N2" s="231">
        <v>168</v>
      </c>
      <c r="O2" s="231">
        <v>168</v>
      </c>
      <c r="P2" s="234" t="s">
        <v>318</v>
      </c>
      <c r="Q2" s="232" t="s">
        <v>319</v>
      </c>
      <c r="R2" s="234" t="s">
        <v>320</v>
      </c>
      <c r="S2" s="235">
        <v>43312</v>
      </c>
      <c r="T2" s="235">
        <v>43756</v>
      </c>
      <c r="U2" s="234"/>
      <c r="V2" s="232" t="s">
        <v>321</v>
      </c>
      <c r="W2" s="231"/>
      <c r="X2" s="232" t="s">
        <v>322</v>
      </c>
      <c r="Y2" s="232" t="s">
        <v>323</v>
      </c>
      <c r="Z2" s="232" t="s">
        <v>323</v>
      </c>
      <c r="AA2" s="232" t="s">
        <v>324</v>
      </c>
      <c r="AB2" s="236">
        <v>0.10100000000000001</v>
      </c>
      <c r="AC2" s="235">
        <v>43836</v>
      </c>
      <c r="AD2" s="234"/>
      <c r="AE2" s="235">
        <v>44804</v>
      </c>
      <c r="AF2" s="232" t="s">
        <v>56</v>
      </c>
      <c r="AG2" s="232" t="s">
        <v>325</v>
      </c>
      <c r="AH2" s="234" t="s">
        <v>326</v>
      </c>
      <c r="AI2" s="250"/>
      <c r="AJ2" s="234">
        <v>0</v>
      </c>
      <c r="AK2" s="234">
        <v>84</v>
      </c>
      <c r="AL2" s="234">
        <v>0</v>
      </c>
      <c r="AM2" s="234">
        <v>9</v>
      </c>
      <c r="AN2" s="234">
        <v>0</v>
      </c>
      <c r="AO2" s="234">
        <v>18</v>
      </c>
      <c r="AP2" s="234">
        <v>60</v>
      </c>
      <c r="AQ2" s="234">
        <v>6</v>
      </c>
      <c r="AR2" s="234">
        <v>0</v>
      </c>
      <c r="AS2" s="234">
        <v>0</v>
      </c>
      <c r="AT2" s="234">
        <v>0</v>
      </c>
      <c r="AU2" s="234">
        <v>0</v>
      </c>
      <c r="AV2" s="234">
        <v>18</v>
      </c>
      <c r="AW2" s="234">
        <v>60</v>
      </c>
      <c r="AX2" s="234">
        <v>6</v>
      </c>
      <c r="AY2" s="234">
        <v>0</v>
      </c>
      <c r="AZ2" s="234">
        <v>0</v>
      </c>
      <c r="BA2" s="234">
        <v>0</v>
      </c>
      <c r="BB2" s="234">
        <v>0</v>
      </c>
      <c r="BC2" s="234">
        <v>0</v>
      </c>
      <c r="BD2" s="234">
        <v>0</v>
      </c>
      <c r="BE2" s="234">
        <v>0</v>
      </c>
      <c r="BF2" s="234">
        <v>0</v>
      </c>
      <c r="BG2" s="234">
        <v>0</v>
      </c>
      <c r="BH2" s="234">
        <v>0</v>
      </c>
      <c r="BI2" s="234">
        <v>0</v>
      </c>
      <c r="BJ2" s="234">
        <v>0</v>
      </c>
      <c r="BK2" s="234">
        <v>0</v>
      </c>
      <c r="BL2" s="234">
        <v>0</v>
      </c>
      <c r="BM2" s="234">
        <v>0</v>
      </c>
      <c r="BN2" s="234">
        <v>0</v>
      </c>
      <c r="BO2" s="234">
        <v>0</v>
      </c>
      <c r="BP2" s="234"/>
      <c r="BQ2" s="234"/>
      <c r="BR2" s="237" t="s">
        <v>327</v>
      </c>
      <c r="BS2" s="238">
        <v>1</v>
      </c>
      <c r="BT2" s="239">
        <f t="shared" ref="BT2:BT33" si="0">M2</f>
        <v>84</v>
      </c>
      <c r="CN2" s="238">
        <f t="shared" ref="CN2:CN65" si="1">SUM(BU2:BY2)</f>
        <v>0</v>
      </c>
      <c r="CO2" s="238">
        <f t="shared" ref="CO2:CO65" si="2">SUM(BU2:CD2)</f>
        <v>0</v>
      </c>
    </row>
    <row r="3" spans="1:93" ht="13.95" customHeight="1" x14ac:dyDescent="0.2">
      <c r="A3" s="231">
        <v>4513</v>
      </c>
      <c r="B3" s="232" t="s">
        <v>314</v>
      </c>
      <c r="C3" s="232" t="s">
        <v>315</v>
      </c>
      <c r="D3" s="232" t="s">
        <v>316</v>
      </c>
      <c r="E3" s="232" t="s">
        <v>317</v>
      </c>
      <c r="F3" s="231">
        <v>525336</v>
      </c>
      <c r="G3" s="231">
        <v>175122</v>
      </c>
      <c r="H3" s="232" t="s">
        <v>175</v>
      </c>
      <c r="I3" s="233">
        <v>43836</v>
      </c>
      <c r="J3" s="233">
        <v>44804</v>
      </c>
      <c r="K3" s="231">
        <v>0</v>
      </c>
      <c r="L3" s="231">
        <v>84</v>
      </c>
      <c r="M3" s="231">
        <v>84</v>
      </c>
      <c r="N3" s="231">
        <v>168</v>
      </c>
      <c r="O3" s="231">
        <v>168</v>
      </c>
      <c r="P3" s="234" t="s">
        <v>318</v>
      </c>
      <c r="Q3" s="232" t="s">
        <v>319</v>
      </c>
      <c r="R3" s="234" t="s">
        <v>320</v>
      </c>
      <c r="S3" s="235">
        <v>43312</v>
      </c>
      <c r="T3" s="235">
        <v>43756</v>
      </c>
      <c r="U3" s="234"/>
      <c r="V3" s="232" t="s">
        <v>321</v>
      </c>
      <c r="W3" s="231"/>
      <c r="X3" s="232" t="s">
        <v>322</v>
      </c>
      <c r="Y3" s="232" t="s">
        <v>323</v>
      </c>
      <c r="Z3" s="232" t="s">
        <v>323</v>
      </c>
      <c r="AA3" s="232" t="s">
        <v>324</v>
      </c>
      <c r="AB3" s="236">
        <v>8.2000000000000003E-2</v>
      </c>
      <c r="AC3" s="235">
        <v>43836</v>
      </c>
      <c r="AD3" s="234"/>
      <c r="AE3" s="235">
        <v>44804</v>
      </c>
      <c r="AF3" s="232" t="s">
        <v>57</v>
      </c>
      <c r="AG3" s="232" t="s">
        <v>328</v>
      </c>
      <c r="AH3" s="234" t="s">
        <v>326</v>
      </c>
      <c r="AI3" s="250"/>
      <c r="AJ3" s="234">
        <v>0</v>
      </c>
      <c r="AK3" s="234">
        <v>68</v>
      </c>
      <c r="AL3" s="234">
        <v>0</v>
      </c>
      <c r="AM3" s="234">
        <v>8</v>
      </c>
      <c r="AN3" s="234">
        <v>0</v>
      </c>
      <c r="AO3" s="234">
        <v>18</v>
      </c>
      <c r="AP3" s="234">
        <v>60</v>
      </c>
      <c r="AQ3" s="234">
        <v>6</v>
      </c>
      <c r="AR3" s="234">
        <v>0</v>
      </c>
      <c r="AS3" s="234">
        <v>0</v>
      </c>
      <c r="AT3" s="234">
        <v>0</v>
      </c>
      <c r="AU3" s="234">
        <v>0</v>
      </c>
      <c r="AV3" s="234">
        <v>18</v>
      </c>
      <c r="AW3" s="234">
        <v>60</v>
      </c>
      <c r="AX3" s="234">
        <v>6</v>
      </c>
      <c r="AY3" s="234">
        <v>0</v>
      </c>
      <c r="AZ3" s="234">
        <v>0</v>
      </c>
      <c r="BA3" s="234">
        <v>0</v>
      </c>
      <c r="BB3" s="234">
        <v>0</v>
      </c>
      <c r="BC3" s="234">
        <v>0</v>
      </c>
      <c r="BD3" s="234">
        <v>0</v>
      </c>
      <c r="BE3" s="234">
        <v>0</v>
      </c>
      <c r="BF3" s="234">
        <v>0</v>
      </c>
      <c r="BG3" s="234">
        <v>0</v>
      </c>
      <c r="BH3" s="234">
        <v>0</v>
      </c>
      <c r="BI3" s="234">
        <v>0</v>
      </c>
      <c r="BJ3" s="234">
        <v>0</v>
      </c>
      <c r="BK3" s="234">
        <v>0</v>
      </c>
      <c r="BL3" s="234">
        <v>0</v>
      </c>
      <c r="BM3" s="234">
        <v>0</v>
      </c>
      <c r="BN3" s="234">
        <v>0</v>
      </c>
      <c r="BO3" s="234">
        <v>0</v>
      </c>
      <c r="BP3" s="234"/>
      <c r="BQ3" s="234"/>
      <c r="BR3" s="237" t="s">
        <v>327</v>
      </c>
      <c r="BS3" s="238">
        <v>1</v>
      </c>
      <c r="BT3" s="239">
        <f t="shared" si="0"/>
        <v>84</v>
      </c>
      <c r="CN3" s="238">
        <f t="shared" si="1"/>
        <v>0</v>
      </c>
      <c r="CO3" s="238">
        <f t="shared" si="2"/>
        <v>0</v>
      </c>
    </row>
    <row r="4" spans="1:93" ht="13.95" customHeight="1" x14ac:dyDescent="0.2">
      <c r="A4" s="231">
        <v>6479</v>
      </c>
      <c r="B4" s="232" t="s">
        <v>314</v>
      </c>
      <c r="C4" s="232" t="s">
        <v>329</v>
      </c>
      <c r="D4" s="232" t="s">
        <v>330</v>
      </c>
      <c r="E4" s="232" t="s">
        <v>317</v>
      </c>
      <c r="F4" s="231">
        <v>528125</v>
      </c>
      <c r="G4" s="231">
        <v>175809</v>
      </c>
      <c r="H4" s="232" t="s">
        <v>171</v>
      </c>
      <c r="I4" s="233">
        <v>43705</v>
      </c>
      <c r="J4" s="233">
        <v>44804</v>
      </c>
      <c r="K4" s="231">
        <v>0</v>
      </c>
      <c r="L4" s="231">
        <v>18</v>
      </c>
      <c r="M4" s="231">
        <v>18</v>
      </c>
      <c r="N4" s="231">
        <v>18</v>
      </c>
      <c r="O4" s="231">
        <v>18</v>
      </c>
      <c r="P4" s="234" t="s">
        <v>318</v>
      </c>
      <c r="Q4" s="232" t="s">
        <v>331</v>
      </c>
      <c r="R4" s="234" t="s">
        <v>332</v>
      </c>
      <c r="S4" s="235">
        <v>42643</v>
      </c>
      <c r="T4" s="235">
        <v>42761</v>
      </c>
      <c r="U4" s="234"/>
      <c r="V4" s="232" t="s">
        <v>321</v>
      </c>
      <c r="W4" s="231"/>
      <c r="X4" s="232" t="s">
        <v>322</v>
      </c>
      <c r="Y4" s="232" t="s">
        <v>323</v>
      </c>
      <c r="Z4" s="232" t="s">
        <v>323</v>
      </c>
      <c r="AA4" s="232" t="s">
        <v>324</v>
      </c>
      <c r="AB4" s="236">
        <v>0.4</v>
      </c>
      <c r="AC4" s="235">
        <v>43705</v>
      </c>
      <c r="AD4" s="234"/>
      <c r="AE4" s="235">
        <v>44804</v>
      </c>
      <c r="AF4" s="232" t="s">
        <v>57</v>
      </c>
      <c r="AG4" s="232" t="s">
        <v>333</v>
      </c>
      <c r="AH4" s="234" t="s">
        <v>317</v>
      </c>
      <c r="AI4" s="250"/>
      <c r="AJ4" s="234">
        <v>16</v>
      </c>
      <c r="AK4" s="224"/>
      <c r="AL4" s="234">
        <v>2</v>
      </c>
      <c r="AM4" s="224"/>
      <c r="AN4" s="234">
        <v>0</v>
      </c>
      <c r="AO4" s="234">
        <v>4</v>
      </c>
      <c r="AP4" s="234">
        <v>11</v>
      </c>
      <c r="AQ4" s="234">
        <v>0</v>
      </c>
      <c r="AR4" s="234">
        <v>1</v>
      </c>
      <c r="AS4" s="234">
        <v>2</v>
      </c>
      <c r="AT4" s="234">
        <v>0</v>
      </c>
      <c r="AU4" s="234">
        <v>0</v>
      </c>
      <c r="AV4" s="234">
        <v>4</v>
      </c>
      <c r="AW4" s="234">
        <v>11</v>
      </c>
      <c r="AX4" s="234">
        <v>0</v>
      </c>
      <c r="AY4" s="234">
        <v>0</v>
      </c>
      <c r="AZ4" s="234">
        <v>0</v>
      </c>
      <c r="BA4" s="234">
        <v>0</v>
      </c>
      <c r="BB4" s="234">
        <v>0</v>
      </c>
      <c r="BC4" s="234">
        <v>0</v>
      </c>
      <c r="BD4" s="234">
        <v>0</v>
      </c>
      <c r="BE4" s="234">
        <v>0</v>
      </c>
      <c r="BF4" s="234">
        <v>1</v>
      </c>
      <c r="BG4" s="234">
        <v>2</v>
      </c>
      <c r="BH4" s="234">
        <v>0</v>
      </c>
      <c r="BI4" s="234">
        <v>0</v>
      </c>
      <c r="BJ4" s="234">
        <v>0</v>
      </c>
      <c r="BK4" s="234">
        <v>0</v>
      </c>
      <c r="BL4" s="234">
        <v>0</v>
      </c>
      <c r="BM4" s="234">
        <v>0</v>
      </c>
      <c r="BN4" s="234">
        <v>0</v>
      </c>
      <c r="BO4" s="234">
        <v>0</v>
      </c>
      <c r="BP4" s="234"/>
      <c r="BQ4" s="234"/>
      <c r="BR4" s="237" t="s">
        <v>334</v>
      </c>
      <c r="BS4" s="238">
        <v>1</v>
      </c>
      <c r="BT4" s="239">
        <f t="shared" si="0"/>
        <v>18</v>
      </c>
      <c r="CN4" s="238">
        <f t="shared" si="1"/>
        <v>0</v>
      </c>
      <c r="CO4" s="238">
        <f t="shared" si="2"/>
        <v>0</v>
      </c>
    </row>
    <row r="5" spans="1:93" ht="13.95" customHeight="1" x14ac:dyDescent="0.2">
      <c r="A5" s="231">
        <v>4183</v>
      </c>
      <c r="B5" s="232" t="s">
        <v>314</v>
      </c>
      <c r="C5" s="232" t="s">
        <v>335</v>
      </c>
      <c r="D5" s="232" t="s">
        <v>336</v>
      </c>
      <c r="E5" s="232" t="s">
        <v>317</v>
      </c>
      <c r="F5" s="231">
        <v>528639</v>
      </c>
      <c r="G5" s="231">
        <v>173520</v>
      </c>
      <c r="H5" s="232" t="s">
        <v>141</v>
      </c>
      <c r="I5" s="233">
        <v>44588</v>
      </c>
      <c r="J5" s="233">
        <v>44935</v>
      </c>
      <c r="K5" s="231">
        <v>9</v>
      </c>
      <c r="L5" s="231">
        <v>12</v>
      </c>
      <c r="M5" s="231">
        <v>3</v>
      </c>
      <c r="N5" s="231">
        <v>12</v>
      </c>
      <c r="O5" s="231">
        <v>3</v>
      </c>
      <c r="P5" s="234" t="s">
        <v>318</v>
      </c>
      <c r="Q5" s="232" t="s">
        <v>337</v>
      </c>
      <c r="R5" s="234" t="s">
        <v>332</v>
      </c>
      <c r="S5" s="235">
        <v>44272</v>
      </c>
      <c r="T5" s="235">
        <v>44427</v>
      </c>
      <c r="U5" s="234"/>
      <c r="V5" s="232" t="s">
        <v>321</v>
      </c>
      <c r="W5" s="231"/>
      <c r="X5" s="232" t="s">
        <v>322</v>
      </c>
      <c r="Y5" s="232" t="s">
        <v>338</v>
      </c>
      <c r="Z5" s="232" t="s">
        <v>339</v>
      </c>
      <c r="AA5" s="232" t="s">
        <v>324</v>
      </c>
      <c r="AB5" s="236">
        <v>1.578833E-2</v>
      </c>
      <c r="AC5" s="235">
        <v>44588</v>
      </c>
      <c r="AD5" s="234"/>
      <c r="AE5" s="235">
        <v>44935</v>
      </c>
      <c r="AF5" s="232" t="s">
        <v>77</v>
      </c>
      <c r="AG5" s="232" t="s">
        <v>340</v>
      </c>
      <c r="AH5" s="234" t="s">
        <v>317</v>
      </c>
      <c r="AI5" s="250"/>
      <c r="AJ5" s="234">
        <v>0</v>
      </c>
      <c r="AK5" s="234">
        <v>2</v>
      </c>
      <c r="AL5" s="234">
        <v>0</v>
      </c>
      <c r="AM5" s="224"/>
      <c r="AN5" s="234">
        <v>0</v>
      </c>
      <c r="AO5" s="234">
        <v>-1</v>
      </c>
      <c r="AP5" s="234">
        <v>4</v>
      </c>
      <c r="AQ5" s="234">
        <v>0</v>
      </c>
      <c r="AR5" s="234">
        <v>0</v>
      </c>
      <c r="AS5" s="234">
        <v>0</v>
      </c>
      <c r="AT5" s="234">
        <v>0</v>
      </c>
      <c r="AU5" s="234">
        <v>0</v>
      </c>
      <c r="AV5" s="234">
        <v>-1</v>
      </c>
      <c r="AW5" s="234">
        <v>4</v>
      </c>
      <c r="AX5" s="234">
        <v>0</v>
      </c>
      <c r="AY5" s="234">
        <v>0</v>
      </c>
      <c r="AZ5" s="234">
        <v>0</v>
      </c>
      <c r="BA5" s="234">
        <v>0</v>
      </c>
      <c r="BB5" s="234">
        <v>0</v>
      </c>
      <c r="BC5" s="234">
        <v>0</v>
      </c>
      <c r="BD5" s="234">
        <v>0</v>
      </c>
      <c r="BE5" s="234">
        <v>0</v>
      </c>
      <c r="BF5" s="234">
        <v>0</v>
      </c>
      <c r="BG5" s="234">
        <v>0</v>
      </c>
      <c r="BH5" s="234">
        <v>0</v>
      </c>
      <c r="BI5" s="234">
        <v>0</v>
      </c>
      <c r="BJ5" s="234">
        <v>0</v>
      </c>
      <c r="BK5" s="234">
        <v>0</v>
      </c>
      <c r="BL5" s="234">
        <v>0</v>
      </c>
      <c r="BM5" s="234">
        <v>0</v>
      </c>
      <c r="BN5" s="234">
        <v>0</v>
      </c>
      <c r="BO5" s="234">
        <v>0</v>
      </c>
      <c r="BP5" s="234" t="s">
        <v>141</v>
      </c>
      <c r="BQ5" s="234"/>
      <c r="BR5" s="237" t="s">
        <v>141</v>
      </c>
      <c r="BS5" s="238">
        <v>11</v>
      </c>
      <c r="BT5" s="239">
        <f t="shared" si="0"/>
        <v>3</v>
      </c>
      <c r="CN5" s="238">
        <f t="shared" si="1"/>
        <v>0</v>
      </c>
      <c r="CO5" s="238">
        <f t="shared" si="2"/>
        <v>0</v>
      </c>
    </row>
    <row r="6" spans="1:93" ht="13.95" customHeight="1" x14ac:dyDescent="0.2">
      <c r="A6" s="231">
        <v>2305</v>
      </c>
      <c r="B6" s="232" t="s">
        <v>314</v>
      </c>
      <c r="C6" s="232" t="s">
        <v>341</v>
      </c>
      <c r="D6" s="232" t="s">
        <v>342</v>
      </c>
      <c r="E6" s="232" t="s">
        <v>317</v>
      </c>
      <c r="F6" s="231">
        <v>528440</v>
      </c>
      <c r="G6" s="231">
        <v>173367</v>
      </c>
      <c r="H6" s="232" t="s">
        <v>141</v>
      </c>
      <c r="I6" s="233">
        <v>43885</v>
      </c>
      <c r="J6" s="233">
        <v>44746</v>
      </c>
      <c r="K6" s="231">
        <v>0</v>
      </c>
      <c r="L6" s="231">
        <v>10</v>
      </c>
      <c r="M6" s="231">
        <v>10</v>
      </c>
      <c r="N6" s="231">
        <v>26</v>
      </c>
      <c r="O6" s="231">
        <v>26</v>
      </c>
      <c r="P6" s="234" t="s">
        <v>318</v>
      </c>
      <c r="Q6" s="232" t="s">
        <v>343</v>
      </c>
      <c r="R6" s="234" t="s">
        <v>344</v>
      </c>
      <c r="S6" s="235">
        <v>43893</v>
      </c>
      <c r="T6" s="235">
        <v>44077</v>
      </c>
      <c r="U6" s="234"/>
      <c r="V6" s="232" t="s">
        <v>321</v>
      </c>
      <c r="W6" s="231"/>
      <c r="X6" s="232" t="s">
        <v>322</v>
      </c>
      <c r="Y6" s="232" t="s">
        <v>323</v>
      </c>
      <c r="Z6" s="232" t="s">
        <v>323</v>
      </c>
      <c r="AA6" s="232" t="s">
        <v>324</v>
      </c>
      <c r="AB6" s="236">
        <v>7.0000000000000007E-2</v>
      </c>
      <c r="AC6" s="235">
        <v>43885</v>
      </c>
      <c r="AD6" s="234"/>
      <c r="AE6" s="235">
        <v>44746</v>
      </c>
      <c r="AF6" s="232" t="s">
        <v>56</v>
      </c>
      <c r="AG6" s="232" t="s">
        <v>345</v>
      </c>
      <c r="AH6" s="234" t="s">
        <v>317</v>
      </c>
      <c r="AI6" s="250"/>
      <c r="AJ6" s="234">
        <v>0</v>
      </c>
      <c r="AK6" s="234">
        <v>0</v>
      </c>
      <c r="AL6" s="234">
        <v>0</v>
      </c>
      <c r="AM6" s="234">
        <v>0</v>
      </c>
      <c r="AN6" s="234">
        <v>0</v>
      </c>
      <c r="AO6" s="234">
        <v>6</v>
      </c>
      <c r="AP6" s="234">
        <v>4</v>
      </c>
      <c r="AQ6" s="234">
        <v>0</v>
      </c>
      <c r="AR6" s="234">
        <v>0</v>
      </c>
      <c r="AS6" s="234">
        <v>0</v>
      </c>
      <c r="AT6" s="234">
        <v>0</v>
      </c>
      <c r="AU6" s="234">
        <v>0</v>
      </c>
      <c r="AV6" s="234">
        <v>6</v>
      </c>
      <c r="AW6" s="234">
        <v>4</v>
      </c>
      <c r="AX6" s="234">
        <v>0</v>
      </c>
      <c r="AY6" s="234">
        <v>0</v>
      </c>
      <c r="AZ6" s="234">
        <v>0</v>
      </c>
      <c r="BA6" s="234">
        <v>0</v>
      </c>
      <c r="BB6" s="234">
        <v>0</v>
      </c>
      <c r="BC6" s="234">
        <v>0</v>
      </c>
      <c r="BD6" s="234">
        <v>0</v>
      </c>
      <c r="BE6" s="234">
        <v>0</v>
      </c>
      <c r="BF6" s="234">
        <v>0</v>
      </c>
      <c r="BG6" s="234">
        <v>0</v>
      </c>
      <c r="BH6" s="234">
        <v>0</v>
      </c>
      <c r="BI6" s="234">
        <v>0</v>
      </c>
      <c r="BJ6" s="234">
        <v>0</v>
      </c>
      <c r="BK6" s="234">
        <v>0</v>
      </c>
      <c r="BL6" s="234">
        <v>0</v>
      </c>
      <c r="BM6" s="234">
        <v>0</v>
      </c>
      <c r="BN6" s="234">
        <v>0</v>
      </c>
      <c r="BO6" s="234">
        <v>0</v>
      </c>
      <c r="BP6" s="234" t="s">
        <v>141</v>
      </c>
      <c r="BQ6" s="234"/>
      <c r="BR6" s="237" t="s">
        <v>141</v>
      </c>
      <c r="BS6" s="238">
        <v>1</v>
      </c>
      <c r="BT6" s="239">
        <f t="shared" si="0"/>
        <v>10</v>
      </c>
      <c r="CN6" s="238">
        <f t="shared" si="1"/>
        <v>0</v>
      </c>
      <c r="CO6" s="238">
        <f t="shared" si="2"/>
        <v>0</v>
      </c>
    </row>
    <row r="7" spans="1:93" ht="13.95" customHeight="1" x14ac:dyDescent="0.2">
      <c r="A7" s="231">
        <v>5114</v>
      </c>
      <c r="B7" s="232" t="s">
        <v>314</v>
      </c>
      <c r="C7" s="232" t="s">
        <v>346</v>
      </c>
      <c r="D7" s="232" t="s">
        <v>347</v>
      </c>
      <c r="E7" s="232" t="s">
        <v>317</v>
      </c>
      <c r="F7" s="231">
        <v>527786</v>
      </c>
      <c r="G7" s="231">
        <v>171065</v>
      </c>
      <c r="H7" s="232" t="s">
        <v>177</v>
      </c>
      <c r="I7" s="233">
        <v>43521</v>
      </c>
      <c r="J7" s="233">
        <v>44959</v>
      </c>
      <c r="K7" s="231">
        <v>0</v>
      </c>
      <c r="L7" s="231">
        <v>9</v>
      </c>
      <c r="M7" s="231">
        <v>9</v>
      </c>
      <c r="N7" s="231">
        <v>9</v>
      </c>
      <c r="O7" s="231">
        <v>9</v>
      </c>
      <c r="P7" s="234"/>
      <c r="Q7" s="232" t="s">
        <v>348</v>
      </c>
      <c r="R7" s="234" t="s">
        <v>332</v>
      </c>
      <c r="S7" s="235">
        <v>42474</v>
      </c>
      <c r="T7" s="235">
        <v>42599</v>
      </c>
      <c r="U7" s="234"/>
      <c r="V7" s="232" t="s">
        <v>321</v>
      </c>
      <c r="W7" s="231"/>
      <c r="X7" s="232" t="s">
        <v>322</v>
      </c>
      <c r="Y7" s="232" t="s">
        <v>323</v>
      </c>
      <c r="Z7" s="232" t="s">
        <v>324</v>
      </c>
      <c r="AA7" s="232" t="s">
        <v>349</v>
      </c>
      <c r="AB7" s="236">
        <v>4.2999999999999997E-2</v>
      </c>
      <c r="AC7" s="235">
        <v>43521</v>
      </c>
      <c r="AD7" s="234"/>
      <c r="AE7" s="235">
        <v>44959</v>
      </c>
      <c r="AF7" s="232" t="s">
        <v>77</v>
      </c>
      <c r="AG7" s="232" t="s">
        <v>350</v>
      </c>
      <c r="AH7" s="234" t="s">
        <v>317</v>
      </c>
      <c r="AI7" s="250"/>
      <c r="AJ7" s="234">
        <v>9</v>
      </c>
      <c r="AK7" s="224"/>
      <c r="AL7" s="234">
        <v>0</v>
      </c>
      <c r="AM7" s="224"/>
      <c r="AN7" s="234">
        <v>0</v>
      </c>
      <c r="AO7" s="234">
        <v>2</v>
      </c>
      <c r="AP7" s="234">
        <v>5</v>
      </c>
      <c r="AQ7" s="234">
        <v>2</v>
      </c>
      <c r="AR7" s="234">
        <v>0</v>
      </c>
      <c r="AS7" s="234">
        <v>0</v>
      </c>
      <c r="AT7" s="234">
        <v>0</v>
      </c>
      <c r="AU7" s="234">
        <v>0</v>
      </c>
      <c r="AV7" s="234">
        <v>2</v>
      </c>
      <c r="AW7" s="234">
        <v>5</v>
      </c>
      <c r="AX7" s="234">
        <v>2</v>
      </c>
      <c r="AY7" s="234">
        <v>0</v>
      </c>
      <c r="AZ7" s="234">
        <v>0</v>
      </c>
      <c r="BA7" s="234">
        <v>0</v>
      </c>
      <c r="BB7" s="234">
        <v>0</v>
      </c>
      <c r="BC7" s="234">
        <v>0</v>
      </c>
      <c r="BD7" s="234">
        <v>0</v>
      </c>
      <c r="BE7" s="234">
        <v>0</v>
      </c>
      <c r="BF7" s="234">
        <v>0</v>
      </c>
      <c r="BG7" s="234">
        <v>0</v>
      </c>
      <c r="BH7" s="234">
        <v>0</v>
      </c>
      <c r="BI7" s="234">
        <v>0</v>
      </c>
      <c r="BJ7" s="234">
        <v>0</v>
      </c>
      <c r="BK7" s="234">
        <v>0</v>
      </c>
      <c r="BL7" s="234">
        <v>0</v>
      </c>
      <c r="BM7" s="234">
        <v>0</v>
      </c>
      <c r="BN7" s="234">
        <v>0</v>
      </c>
      <c r="BO7" s="234">
        <v>0</v>
      </c>
      <c r="BP7" s="234" t="s">
        <v>144</v>
      </c>
      <c r="BQ7" s="234"/>
      <c r="BR7" s="237" t="s">
        <v>144</v>
      </c>
      <c r="BS7" s="238">
        <v>1</v>
      </c>
      <c r="BT7" s="239">
        <f t="shared" si="0"/>
        <v>9</v>
      </c>
      <c r="CN7" s="238">
        <f t="shared" si="1"/>
        <v>0</v>
      </c>
      <c r="CO7" s="238">
        <f t="shared" si="2"/>
        <v>0</v>
      </c>
    </row>
    <row r="8" spans="1:93" ht="13.95" customHeight="1" x14ac:dyDescent="0.2">
      <c r="A8" s="231">
        <v>6515</v>
      </c>
      <c r="B8" s="232" t="s">
        <v>314</v>
      </c>
      <c r="C8" s="232" t="s">
        <v>351</v>
      </c>
      <c r="D8" s="232" t="s">
        <v>352</v>
      </c>
      <c r="E8" s="232" t="s">
        <v>317</v>
      </c>
      <c r="F8" s="231">
        <v>523349</v>
      </c>
      <c r="G8" s="231">
        <v>175914</v>
      </c>
      <c r="H8" s="232" t="s">
        <v>175</v>
      </c>
      <c r="I8" s="233">
        <v>44105</v>
      </c>
      <c r="J8" s="233">
        <v>44664</v>
      </c>
      <c r="K8" s="231">
        <v>0</v>
      </c>
      <c r="L8" s="231">
        <v>9</v>
      </c>
      <c r="M8" s="231">
        <v>9</v>
      </c>
      <c r="N8" s="231">
        <v>9</v>
      </c>
      <c r="O8" s="231">
        <v>9</v>
      </c>
      <c r="P8" s="234"/>
      <c r="Q8" s="232" t="s">
        <v>353</v>
      </c>
      <c r="R8" s="234" t="s">
        <v>320</v>
      </c>
      <c r="S8" s="235">
        <v>42689</v>
      </c>
      <c r="T8" s="235">
        <v>43231</v>
      </c>
      <c r="U8" s="234"/>
      <c r="V8" s="232" t="s">
        <v>321</v>
      </c>
      <c r="W8" s="231"/>
      <c r="X8" s="232" t="s">
        <v>322</v>
      </c>
      <c r="Y8" s="232" t="s">
        <v>339</v>
      </c>
      <c r="Z8" s="232" t="s">
        <v>324</v>
      </c>
      <c r="AA8" s="232" t="s">
        <v>354</v>
      </c>
      <c r="AB8" s="236">
        <v>3.6999999999999998E-2</v>
      </c>
      <c r="AC8" s="235">
        <v>44105</v>
      </c>
      <c r="AD8" s="234"/>
      <c r="AE8" s="235">
        <v>44664</v>
      </c>
      <c r="AF8" s="232" t="s">
        <v>56</v>
      </c>
      <c r="AG8" s="232" t="s">
        <v>355</v>
      </c>
      <c r="AH8" s="234" t="s">
        <v>317</v>
      </c>
      <c r="AI8" s="250"/>
      <c r="AJ8" s="234">
        <v>0</v>
      </c>
      <c r="AK8" s="224"/>
      <c r="AL8" s="234">
        <v>0</v>
      </c>
      <c r="AM8" s="224"/>
      <c r="AN8" s="234">
        <v>2</v>
      </c>
      <c r="AO8" s="234">
        <v>7</v>
      </c>
      <c r="AP8" s="234">
        <v>0</v>
      </c>
      <c r="AQ8" s="234">
        <v>0</v>
      </c>
      <c r="AR8" s="234">
        <v>0</v>
      </c>
      <c r="AS8" s="234">
        <v>0</v>
      </c>
      <c r="AT8" s="234">
        <v>0</v>
      </c>
      <c r="AU8" s="234">
        <v>2</v>
      </c>
      <c r="AV8" s="234">
        <v>7</v>
      </c>
      <c r="AW8" s="234">
        <v>0</v>
      </c>
      <c r="AX8" s="234">
        <v>0</v>
      </c>
      <c r="AY8" s="234">
        <v>0</v>
      </c>
      <c r="AZ8" s="234">
        <v>0</v>
      </c>
      <c r="BA8" s="234">
        <v>0</v>
      </c>
      <c r="BB8" s="234">
        <v>0</v>
      </c>
      <c r="BC8" s="234">
        <v>0</v>
      </c>
      <c r="BD8" s="234">
        <v>0</v>
      </c>
      <c r="BE8" s="234">
        <v>0</v>
      </c>
      <c r="BF8" s="234">
        <v>0</v>
      </c>
      <c r="BG8" s="234">
        <v>0</v>
      </c>
      <c r="BH8" s="234">
        <v>0</v>
      </c>
      <c r="BI8" s="234">
        <v>0</v>
      </c>
      <c r="BJ8" s="234">
        <v>0</v>
      </c>
      <c r="BK8" s="234">
        <v>0</v>
      </c>
      <c r="BL8" s="234">
        <v>0</v>
      </c>
      <c r="BM8" s="234">
        <v>0</v>
      </c>
      <c r="BN8" s="234">
        <v>0</v>
      </c>
      <c r="BO8" s="234">
        <v>0</v>
      </c>
      <c r="BP8" s="234"/>
      <c r="BQ8" s="234"/>
      <c r="BR8" s="237" t="s">
        <v>334</v>
      </c>
      <c r="BS8" s="238">
        <v>11</v>
      </c>
      <c r="BT8" s="239">
        <f t="shared" si="0"/>
        <v>9</v>
      </c>
      <c r="CN8" s="238">
        <f t="shared" si="1"/>
        <v>0</v>
      </c>
      <c r="CO8" s="238">
        <f t="shared" si="2"/>
        <v>0</v>
      </c>
    </row>
    <row r="9" spans="1:93" ht="13.95" customHeight="1" x14ac:dyDescent="0.2">
      <c r="A9" s="231">
        <v>7478</v>
      </c>
      <c r="B9" s="232" t="s">
        <v>314</v>
      </c>
      <c r="C9" s="232" t="s">
        <v>356</v>
      </c>
      <c r="D9" s="232" t="s">
        <v>357</v>
      </c>
      <c r="E9" s="232" t="s">
        <v>317</v>
      </c>
      <c r="F9" s="231">
        <v>527583</v>
      </c>
      <c r="G9" s="231">
        <v>172331</v>
      </c>
      <c r="H9" s="232" t="s">
        <v>178</v>
      </c>
      <c r="I9" s="233">
        <v>44317</v>
      </c>
      <c r="J9" s="233">
        <v>44889</v>
      </c>
      <c r="K9" s="231">
        <v>1</v>
      </c>
      <c r="L9" s="231">
        <v>9</v>
      </c>
      <c r="M9" s="231">
        <v>8</v>
      </c>
      <c r="N9" s="231">
        <v>9</v>
      </c>
      <c r="O9" s="231">
        <v>8</v>
      </c>
      <c r="P9" s="234"/>
      <c r="Q9" s="232" t="s">
        <v>358</v>
      </c>
      <c r="R9" s="234" t="s">
        <v>332</v>
      </c>
      <c r="S9" s="235">
        <v>44176</v>
      </c>
      <c r="T9" s="235">
        <v>44279</v>
      </c>
      <c r="U9" s="234"/>
      <c r="V9" s="232" t="s">
        <v>321</v>
      </c>
      <c r="W9" s="231"/>
      <c r="X9" s="232" t="s">
        <v>322</v>
      </c>
      <c r="Y9" s="232" t="s">
        <v>323</v>
      </c>
      <c r="Z9" s="232" t="s">
        <v>324</v>
      </c>
      <c r="AA9" s="232" t="s">
        <v>349</v>
      </c>
      <c r="AB9" s="236">
        <v>0.05</v>
      </c>
      <c r="AC9" s="235">
        <v>44317</v>
      </c>
      <c r="AD9" s="234"/>
      <c r="AE9" s="235">
        <v>44889</v>
      </c>
      <c r="AF9" s="232" t="s">
        <v>77</v>
      </c>
      <c r="AG9" s="232" t="s">
        <v>350</v>
      </c>
      <c r="AH9" s="234" t="s">
        <v>317</v>
      </c>
      <c r="AI9" s="250"/>
      <c r="AJ9" s="234">
        <v>0</v>
      </c>
      <c r="AK9" s="224"/>
      <c r="AL9" s="234">
        <v>0</v>
      </c>
      <c r="AM9" s="224"/>
      <c r="AN9" s="234">
        <v>0</v>
      </c>
      <c r="AO9" s="234">
        <v>1</v>
      </c>
      <c r="AP9" s="234">
        <v>4</v>
      </c>
      <c r="AQ9" s="234">
        <v>4</v>
      </c>
      <c r="AR9" s="234">
        <v>0</v>
      </c>
      <c r="AS9" s="234">
        <v>-1</v>
      </c>
      <c r="AT9" s="234">
        <v>0</v>
      </c>
      <c r="AU9" s="234">
        <v>0</v>
      </c>
      <c r="AV9" s="234">
        <v>1</v>
      </c>
      <c r="AW9" s="234">
        <v>4</v>
      </c>
      <c r="AX9" s="234">
        <v>4</v>
      </c>
      <c r="AY9" s="234">
        <v>0</v>
      </c>
      <c r="AZ9" s="234">
        <v>0</v>
      </c>
      <c r="BA9" s="234">
        <v>0</v>
      </c>
      <c r="BB9" s="234">
        <v>0</v>
      </c>
      <c r="BC9" s="234">
        <v>0</v>
      </c>
      <c r="BD9" s="234">
        <v>0</v>
      </c>
      <c r="BE9" s="234">
        <v>0</v>
      </c>
      <c r="BF9" s="234">
        <v>0</v>
      </c>
      <c r="BG9" s="234">
        <v>-1</v>
      </c>
      <c r="BH9" s="234">
        <v>0</v>
      </c>
      <c r="BI9" s="234">
        <v>0</v>
      </c>
      <c r="BJ9" s="234">
        <v>0</v>
      </c>
      <c r="BK9" s="234">
        <v>0</v>
      </c>
      <c r="BL9" s="234">
        <v>0</v>
      </c>
      <c r="BM9" s="234">
        <v>0</v>
      </c>
      <c r="BN9" s="234">
        <v>0</v>
      </c>
      <c r="BO9" s="234">
        <v>0</v>
      </c>
      <c r="BP9" s="234"/>
      <c r="BQ9" s="234"/>
      <c r="BR9" s="237" t="s">
        <v>334</v>
      </c>
      <c r="BS9" s="238">
        <v>1</v>
      </c>
      <c r="BT9" s="239">
        <f t="shared" si="0"/>
        <v>8</v>
      </c>
      <c r="CN9" s="238">
        <f t="shared" si="1"/>
        <v>0</v>
      </c>
      <c r="CO9" s="238">
        <f t="shared" si="2"/>
        <v>0</v>
      </c>
    </row>
    <row r="10" spans="1:93" ht="13.95" customHeight="1" x14ac:dyDescent="0.2">
      <c r="A10" s="231">
        <v>5232</v>
      </c>
      <c r="B10" s="232" t="s">
        <v>314</v>
      </c>
      <c r="C10" s="232" t="s">
        <v>359</v>
      </c>
      <c r="D10" s="232" t="s">
        <v>360</v>
      </c>
      <c r="E10" s="232" t="s">
        <v>317</v>
      </c>
      <c r="F10" s="231">
        <v>527007</v>
      </c>
      <c r="G10" s="231">
        <v>176205</v>
      </c>
      <c r="H10" s="232" t="s">
        <v>174</v>
      </c>
      <c r="I10" s="233">
        <v>44025</v>
      </c>
      <c r="J10" s="233">
        <v>44840</v>
      </c>
      <c r="K10" s="231">
        <v>1</v>
      </c>
      <c r="L10" s="231">
        <v>8</v>
      </c>
      <c r="M10" s="231">
        <v>7</v>
      </c>
      <c r="N10" s="231">
        <v>9</v>
      </c>
      <c r="O10" s="231">
        <v>8</v>
      </c>
      <c r="P10" s="234"/>
      <c r="Q10" s="232" t="s">
        <v>361</v>
      </c>
      <c r="R10" s="234" t="s">
        <v>332</v>
      </c>
      <c r="S10" s="235">
        <v>43761</v>
      </c>
      <c r="T10" s="235">
        <v>43885</v>
      </c>
      <c r="U10" s="234"/>
      <c r="V10" s="232" t="s">
        <v>321</v>
      </c>
      <c r="W10" s="231"/>
      <c r="X10" s="232" t="s">
        <v>322</v>
      </c>
      <c r="Y10" s="232" t="s">
        <v>323</v>
      </c>
      <c r="Z10" s="232" t="s">
        <v>324</v>
      </c>
      <c r="AA10" s="232" t="s">
        <v>349</v>
      </c>
      <c r="AB10" s="236">
        <v>3.2000000000000001E-2</v>
      </c>
      <c r="AC10" s="235">
        <v>44025</v>
      </c>
      <c r="AD10" s="234"/>
      <c r="AE10" s="235">
        <v>44840</v>
      </c>
      <c r="AF10" s="232" t="s">
        <v>77</v>
      </c>
      <c r="AG10" s="232" t="s">
        <v>350</v>
      </c>
      <c r="AH10" s="234" t="s">
        <v>317</v>
      </c>
      <c r="AI10" s="250"/>
      <c r="AJ10" s="234">
        <v>0</v>
      </c>
      <c r="AK10" s="224"/>
      <c r="AL10" s="234">
        <v>0</v>
      </c>
      <c r="AM10" s="224"/>
      <c r="AN10" s="234">
        <v>1</v>
      </c>
      <c r="AO10" s="234">
        <v>2</v>
      </c>
      <c r="AP10" s="234">
        <v>4</v>
      </c>
      <c r="AQ10" s="234">
        <v>0</v>
      </c>
      <c r="AR10" s="234">
        <v>0</v>
      </c>
      <c r="AS10" s="234">
        <v>0</v>
      </c>
      <c r="AT10" s="234">
        <v>0</v>
      </c>
      <c r="AU10" s="234">
        <v>1</v>
      </c>
      <c r="AV10" s="234">
        <v>2</v>
      </c>
      <c r="AW10" s="234">
        <v>4</v>
      </c>
      <c r="AX10" s="234">
        <v>1</v>
      </c>
      <c r="AY10" s="234">
        <v>0</v>
      </c>
      <c r="AZ10" s="234">
        <v>0</v>
      </c>
      <c r="BA10" s="234">
        <v>0</v>
      </c>
      <c r="BB10" s="234">
        <v>0</v>
      </c>
      <c r="BC10" s="234">
        <v>0</v>
      </c>
      <c r="BD10" s="234">
        <v>0</v>
      </c>
      <c r="BE10" s="234">
        <v>-1</v>
      </c>
      <c r="BF10" s="234">
        <v>0</v>
      </c>
      <c r="BG10" s="234">
        <v>0</v>
      </c>
      <c r="BH10" s="234">
        <v>0</v>
      </c>
      <c r="BI10" s="234">
        <v>0</v>
      </c>
      <c r="BJ10" s="234">
        <v>0</v>
      </c>
      <c r="BK10" s="234">
        <v>0</v>
      </c>
      <c r="BL10" s="234">
        <v>0</v>
      </c>
      <c r="BM10" s="234">
        <v>0</v>
      </c>
      <c r="BN10" s="234">
        <v>0</v>
      </c>
      <c r="BO10" s="234">
        <v>0</v>
      </c>
      <c r="BP10" s="234"/>
      <c r="BQ10" s="234"/>
      <c r="BR10" s="237" t="s">
        <v>334</v>
      </c>
      <c r="BS10" s="238">
        <v>1</v>
      </c>
      <c r="BT10" s="239">
        <f t="shared" si="0"/>
        <v>7</v>
      </c>
      <c r="CN10" s="238">
        <f t="shared" si="1"/>
        <v>0</v>
      </c>
      <c r="CO10" s="238">
        <f t="shared" si="2"/>
        <v>0</v>
      </c>
    </row>
    <row r="11" spans="1:93" ht="13.95" customHeight="1" x14ac:dyDescent="0.2">
      <c r="A11" s="231">
        <v>7594</v>
      </c>
      <c r="B11" s="232" t="s">
        <v>314</v>
      </c>
      <c r="C11" s="232" t="s">
        <v>362</v>
      </c>
      <c r="D11" s="232" t="s">
        <v>363</v>
      </c>
      <c r="E11" s="232" t="s">
        <v>317</v>
      </c>
      <c r="F11" s="231">
        <v>526141</v>
      </c>
      <c r="G11" s="231">
        <v>174861</v>
      </c>
      <c r="H11" s="232" t="s">
        <v>181</v>
      </c>
      <c r="I11" s="233">
        <v>44440</v>
      </c>
      <c r="J11" s="233">
        <v>44965</v>
      </c>
      <c r="K11" s="231">
        <v>0</v>
      </c>
      <c r="L11" s="231">
        <v>8</v>
      </c>
      <c r="M11" s="231">
        <v>8</v>
      </c>
      <c r="N11" s="231">
        <v>8</v>
      </c>
      <c r="O11" s="231">
        <v>8</v>
      </c>
      <c r="P11" s="234"/>
      <c r="Q11" s="232" t="s">
        <v>364</v>
      </c>
      <c r="R11" s="234" t="s">
        <v>332</v>
      </c>
      <c r="S11" s="235">
        <v>44252</v>
      </c>
      <c r="T11" s="235">
        <v>44322</v>
      </c>
      <c r="U11" s="234"/>
      <c r="V11" s="232" t="s">
        <v>321</v>
      </c>
      <c r="W11" s="231"/>
      <c r="X11" s="232" t="s">
        <v>322</v>
      </c>
      <c r="Y11" s="232" t="s">
        <v>365</v>
      </c>
      <c r="Z11" s="232" t="s">
        <v>324</v>
      </c>
      <c r="AA11" s="232" t="s">
        <v>31</v>
      </c>
      <c r="AB11" s="236">
        <v>8.0000000000000002E-3</v>
      </c>
      <c r="AC11" s="235">
        <v>44440</v>
      </c>
      <c r="AD11" s="234"/>
      <c r="AE11" s="235">
        <v>44965</v>
      </c>
      <c r="AF11" s="232" t="s">
        <v>77</v>
      </c>
      <c r="AG11" s="232" t="s">
        <v>350</v>
      </c>
      <c r="AH11" s="234" t="s">
        <v>317</v>
      </c>
      <c r="AI11" s="250"/>
      <c r="AJ11" s="234">
        <v>0</v>
      </c>
      <c r="AK11" s="224"/>
      <c r="AL11" s="234">
        <v>0</v>
      </c>
      <c r="AM11" s="224"/>
      <c r="AN11" s="234">
        <v>5</v>
      </c>
      <c r="AO11" s="234">
        <v>2</v>
      </c>
      <c r="AP11" s="234">
        <v>1</v>
      </c>
      <c r="AQ11" s="234">
        <v>0</v>
      </c>
      <c r="AR11" s="234">
        <v>0</v>
      </c>
      <c r="AS11" s="234">
        <v>0</v>
      </c>
      <c r="AT11" s="234">
        <v>0</v>
      </c>
      <c r="AU11" s="234">
        <v>5</v>
      </c>
      <c r="AV11" s="234">
        <v>2</v>
      </c>
      <c r="AW11" s="234">
        <v>1</v>
      </c>
      <c r="AX11" s="234">
        <v>0</v>
      </c>
      <c r="AY11" s="234">
        <v>0</v>
      </c>
      <c r="AZ11" s="234">
        <v>0</v>
      </c>
      <c r="BA11" s="234">
        <v>0</v>
      </c>
      <c r="BB11" s="234">
        <v>0</v>
      </c>
      <c r="BC11" s="234">
        <v>0</v>
      </c>
      <c r="BD11" s="234">
        <v>0</v>
      </c>
      <c r="BE11" s="234">
        <v>0</v>
      </c>
      <c r="BF11" s="234">
        <v>0</v>
      </c>
      <c r="BG11" s="234">
        <v>0</v>
      </c>
      <c r="BH11" s="234">
        <v>0</v>
      </c>
      <c r="BI11" s="234">
        <v>0</v>
      </c>
      <c r="BJ11" s="234">
        <v>0</v>
      </c>
      <c r="BK11" s="234">
        <v>0</v>
      </c>
      <c r="BL11" s="234">
        <v>0</v>
      </c>
      <c r="BM11" s="234">
        <v>0</v>
      </c>
      <c r="BN11" s="234">
        <v>0</v>
      </c>
      <c r="BO11" s="234">
        <v>0</v>
      </c>
      <c r="BP11" s="234"/>
      <c r="BQ11" s="234"/>
      <c r="BR11" s="237" t="s">
        <v>334</v>
      </c>
      <c r="BS11" s="238">
        <v>11</v>
      </c>
      <c r="BT11" s="239">
        <f t="shared" si="0"/>
        <v>8</v>
      </c>
      <c r="CN11" s="238">
        <f t="shared" si="1"/>
        <v>0</v>
      </c>
      <c r="CO11" s="238">
        <f t="shared" si="2"/>
        <v>0</v>
      </c>
    </row>
    <row r="12" spans="1:93" ht="13.95" customHeight="1" x14ac:dyDescent="0.2">
      <c r="A12" s="231">
        <v>7324</v>
      </c>
      <c r="B12" s="232" t="s">
        <v>314</v>
      </c>
      <c r="C12" s="232" t="s">
        <v>366</v>
      </c>
      <c r="D12" s="232" t="s">
        <v>367</v>
      </c>
      <c r="E12" s="232" t="s">
        <v>317</v>
      </c>
      <c r="F12" s="231">
        <v>525232</v>
      </c>
      <c r="G12" s="231">
        <v>174667</v>
      </c>
      <c r="H12" s="232" t="s">
        <v>164</v>
      </c>
      <c r="I12" s="233">
        <v>44644</v>
      </c>
      <c r="J12" s="233">
        <v>44859</v>
      </c>
      <c r="K12" s="231">
        <v>2</v>
      </c>
      <c r="L12" s="231">
        <v>8</v>
      </c>
      <c r="M12" s="231">
        <v>6</v>
      </c>
      <c r="N12" s="231">
        <v>8</v>
      </c>
      <c r="O12" s="231">
        <v>6</v>
      </c>
      <c r="P12" s="234"/>
      <c r="Q12" s="232" t="s">
        <v>368</v>
      </c>
      <c r="R12" s="234" t="s">
        <v>332</v>
      </c>
      <c r="S12" s="235">
        <v>44487</v>
      </c>
      <c r="T12" s="235">
        <v>44644</v>
      </c>
      <c r="U12" s="234"/>
      <c r="V12" s="232" t="s">
        <v>321</v>
      </c>
      <c r="W12" s="231"/>
      <c r="X12" s="232" t="s">
        <v>322</v>
      </c>
      <c r="Y12" s="232" t="s">
        <v>338</v>
      </c>
      <c r="Z12" s="232" t="s">
        <v>324</v>
      </c>
      <c r="AA12" s="232" t="s">
        <v>354</v>
      </c>
      <c r="AB12" s="236">
        <v>1.2999999999999999E-2</v>
      </c>
      <c r="AC12" s="235">
        <v>44644</v>
      </c>
      <c r="AD12" s="234"/>
      <c r="AE12" s="235">
        <v>44859</v>
      </c>
      <c r="AF12" s="232" t="s">
        <v>77</v>
      </c>
      <c r="AG12" s="232" t="s">
        <v>340</v>
      </c>
      <c r="AH12" s="234" t="s">
        <v>317</v>
      </c>
      <c r="AI12" s="250"/>
      <c r="AJ12" s="234">
        <v>0</v>
      </c>
      <c r="AK12" s="224"/>
      <c r="AL12" s="234">
        <v>0</v>
      </c>
      <c r="AM12" s="224"/>
      <c r="AN12" s="234">
        <v>2</v>
      </c>
      <c r="AO12" s="234">
        <v>3</v>
      </c>
      <c r="AP12" s="234">
        <v>3</v>
      </c>
      <c r="AQ12" s="234">
        <v>-2</v>
      </c>
      <c r="AR12" s="234">
        <v>0</v>
      </c>
      <c r="AS12" s="234">
        <v>0</v>
      </c>
      <c r="AT12" s="234">
        <v>0</v>
      </c>
      <c r="AU12" s="234">
        <v>2</v>
      </c>
      <c r="AV12" s="234">
        <v>3</v>
      </c>
      <c r="AW12" s="234">
        <v>3</v>
      </c>
      <c r="AX12" s="234">
        <v>-2</v>
      </c>
      <c r="AY12" s="234">
        <v>0</v>
      </c>
      <c r="AZ12" s="234">
        <v>0</v>
      </c>
      <c r="BA12" s="234">
        <v>0</v>
      </c>
      <c r="BB12" s="234">
        <v>0</v>
      </c>
      <c r="BC12" s="234">
        <v>0</v>
      </c>
      <c r="BD12" s="234">
        <v>0</v>
      </c>
      <c r="BE12" s="234">
        <v>0</v>
      </c>
      <c r="BF12" s="234">
        <v>0</v>
      </c>
      <c r="BG12" s="234">
        <v>0</v>
      </c>
      <c r="BH12" s="234">
        <v>0</v>
      </c>
      <c r="BI12" s="234">
        <v>0</v>
      </c>
      <c r="BJ12" s="234">
        <v>0</v>
      </c>
      <c r="BK12" s="234">
        <v>0</v>
      </c>
      <c r="BL12" s="234">
        <v>0</v>
      </c>
      <c r="BM12" s="234">
        <v>0</v>
      </c>
      <c r="BN12" s="234">
        <v>0</v>
      </c>
      <c r="BO12" s="234">
        <v>0</v>
      </c>
      <c r="BP12" s="234"/>
      <c r="BQ12" s="234"/>
      <c r="BR12" s="237" t="s">
        <v>327</v>
      </c>
      <c r="BS12" s="238">
        <v>11</v>
      </c>
      <c r="BT12" s="239">
        <f t="shared" si="0"/>
        <v>6</v>
      </c>
      <c r="CN12" s="238">
        <f t="shared" si="1"/>
        <v>0</v>
      </c>
      <c r="CO12" s="238">
        <f t="shared" si="2"/>
        <v>0</v>
      </c>
    </row>
    <row r="13" spans="1:93" ht="13.95" customHeight="1" x14ac:dyDescent="0.2">
      <c r="A13" s="231">
        <v>6481</v>
      </c>
      <c r="B13" s="232" t="s">
        <v>314</v>
      </c>
      <c r="C13" s="232" t="s">
        <v>369</v>
      </c>
      <c r="D13" s="232" t="s">
        <v>370</v>
      </c>
      <c r="E13" s="232" t="s">
        <v>317</v>
      </c>
      <c r="F13" s="231">
        <v>528408</v>
      </c>
      <c r="G13" s="231">
        <v>173055</v>
      </c>
      <c r="H13" s="232" t="s">
        <v>172</v>
      </c>
      <c r="I13" s="233">
        <v>44235</v>
      </c>
      <c r="J13" s="233">
        <v>44728</v>
      </c>
      <c r="K13" s="231">
        <v>0</v>
      </c>
      <c r="L13" s="231">
        <v>7</v>
      </c>
      <c r="M13" s="231">
        <v>7</v>
      </c>
      <c r="N13" s="231">
        <v>7</v>
      </c>
      <c r="O13" s="231">
        <v>7</v>
      </c>
      <c r="P13" s="234"/>
      <c r="Q13" s="232" t="s">
        <v>371</v>
      </c>
      <c r="R13" s="234" t="s">
        <v>332</v>
      </c>
      <c r="S13" s="235">
        <v>43601</v>
      </c>
      <c r="T13" s="235">
        <v>43676</v>
      </c>
      <c r="U13" s="234"/>
      <c r="V13" s="232" t="s">
        <v>321</v>
      </c>
      <c r="W13" s="231"/>
      <c r="X13" s="232" t="s">
        <v>322</v>
      </c>
      <c r="Y13" s="232" t="s">
        <v>323</v>
      </c>
      <c r="Z13" s="232" t="s">
        <v>324</v>
      </c>
      <c r="AA13" s="232" t="s">
        <v>349</v>
      </c>
      <c r="AB13" s="236">
        <v>1.4E-2</v>
      </c>
      <c r="AC13" s="235">
        <v>44235</v>
      </c>
      <c r="AD13" s="234"/>
      <c r="AE13" s="235">
        <v>44728</v>
      </c>
      <c r="AF13" s="232" t="s">
        <v>77</v>
      </c>
      <c r="AG13" s="232" t="s">
        <v>350</v>
      </c>
      <c r="AH13" s="234" t="s">
        <v>317</v>
      </c>
      <c r="AI13" s="250"/>
      <c r="AJ13" s="234">
        <v>0</v>
      </c>
      <c r="AK13" s="224"/>
      <c r="AL13" s="234">
        <v>0</v>
      </c>
      <c r="AM13" s="224"/>
      <c r="AN13" s="234">
        <v>0</v>
      </c>
      <c r="AO13" s="234">
        <v>0</v>
      </c>
      <c r="AP13" s="234">
        <v>0</v>
      </c>
      <c r="AQ13" s="234">
        <v>7</v>
      </c>
      <c r="AR13" s="234">
        <v>0</v>
      </c>
      <c r="AS13" s="234">
        <v>0</v>
      </c>
      <c r="AT13" s="234">
        <v>0</v>
      </c>
      <c r="AU13" s="234">
        <v>0</v>
      </c>
      <c r="AV13" s="234">
        <v>0</v>
      </c>
      <c r="AW13" s="234">
        <v>0</v>
      </c>
      <c r="AX13" s="234">
        <v>0</v>
      </c>
      <c r="AY13" s="234">
        <v>0</v>
      </c>
      <c r="AZ13" s="234">
        <v>0</v>
      </c>
      <c r="BA13" s="234">
        <v>0</v>
      </c>
      <c r="BB13" s="234">
        <v>0</v>
      </c>
      <c r="BC13" s="234">
        <v>0</v>
      </c>
      <c r="BD13" s="234">
        <v>0</v>
      </c>
      <c r="BE13" s="234">
        <v>7</v>
      </c>
      <c r="BF13" s="234">
        <v>0</v>
      </c>
      <c r="BG13" s="234">
        <v>0</v>
      </c>
      <c r="BH13" s="234">
        <v>0</v>
      </c>
      <c r="BI13" s="234">
        <v>0</v>
      </c>
      <c r="BJ13" s="234">
        <v>0</v>
      </c>
      <c r="BK13" s="234">
        <v>0</v>
      </c>
      <c r="BL13" s="234">
        <v>0</v>
      </c>
      <c r="BM13" s="234">
        <v>0</v>
      </c>
      <c r="BN13" s="234">
        <v>0</v>
      </c>
      <c r="BO13" s="234">
        <v>0</v>
      </c>
      <c r="BP13" s="234"/>
      <c r="BQ13" s="234"/>
      <c r="BR13" s="237" t="s">
        <v>334</v>
      </c>
      <c r="BS13" s="238">
        <v>1</v>
      </c>
      <c r="BT13" s="239">
        <f t="shared" si="0"/>
        <v>7</v>
      </c>
      <c r="CN13" s="238">
        <f t="shared" si="1"/>
        <v>0</v>
      </c>
      <c r="CO13" s="238">
        <f t="shared" si="2"/>
        <v>0</v>
      </c>
    </row>
    <row r="14" spans="1:93" ht="13.95" customHeight="1" x14ac:dyDescent="0.2">
      <c r="A14" s="231">
        <v>7204</v>
      </c>
      <c r="B14" s="232" t="s">
        <v>314</v>
      </c>
      <c r="C14" s="232" t="s">
        <v>372</v>
      </c>
      <c r="D14" s="232" t="s">
        <v>373</v>
      </c>
      <c r="E14" s="232" t="s">
        <v>317</v>
      </c>
      <c r="F14" s="231">
        <v>528657</v>
      </c>
      <c r="G14" s="231">
        <v>172323</v>
      </c>
      <c r="H14" s="232" t="s">
        <v>172</v>
      </c>
      <c r="I14" s="233">
        <v>43921</v>
      </c>
      <c r="J14" s="233">
        <v>44790</v>
      </c>
      <c r="K14" s="231">
        <v>0</v>
      </c>
      <c r="L14" s="231">
        <v>7</v>
      </c>
      <c r="M14" s="231">
        <v>7</v>
      </c>
      <c r="N14" s="231">
        <v>7</v>
      </c>
      <c r="O14" s="231">
        <v>7</v>
      </c>
      <c r="P14" s="234"/>
      <c r="Q14" s="232" t="s">
        <v>374</v>
      </c>
      <c r="R14" s="234" t="s">
        <v>332</v>
      </c>
      <c r="S14" s="235">
        <v>43665</v>
      </c>
      <c r="T14" s="235">
        <v>43726</v>
      </c>
      <c r="U14" s="234"/>
      <c r="V14" s="232" t="s">
        <v>321</v>
      </c>
      <c r="W14" s="231"/>
      <c r="X14" s="232" t="s">
        <v>322</v>
      </c>
      <c r="Y14" s="232" t="s">
        <v>338</v>
      </c>
      <c r="Z14" s="232" t="s">
        <v>324</v>
      </c>
      <c r="AA14" s="232" t="s">
        <v>31</v>
      </c>
      <c r="AB14" s="236">
        <v>4.5999999999999999E-2</v>
      </c>
      <c r="AC14" s="235">
        <v>43921</v>
      </c>
      <c r="AD14" s="234"/>
      <c r="AE14" s="235">
        <v>44790</v>
      </c>
      <c r="AF14" s="232" t="s">
        <v>77</v>
      </c>
      <c r="AG14" s="232" t="s">
        <v>350</v>
      </c>
      <c r="AH14" s="234" t="s">
        <v>317</v>
      </c>
      <c r="AI14" s="250"/>
      <c r="AJ14" s="234">
        <v>0</v>
      </c>
      <c r="AK14" s="224"/>
      <c r="AL14" s="234">
        <v>0</v>
      </c>
      <c r="AM14" s="224"/>
      <c r="AN14" s="234">
        <v>0</v>
      </c>
      <c r="AO14" s="234">
        <v>1</v>
      </c>
      <c r="AP14" s="234">
        <v>4</v>
      </c>
      <c r="AQ14" s="234">
        <v>2</v>
      </c>
      <c r="AR14" s="234">
        <v>0</v>
      </c>
      <c r="AS14" s="234">
        <v>0</v>
      </c>
      <c r="AT14" s="234">
        <v>0</v>
      </c>
      <c r="AU14" s="234">
        <v>0</v>
      </c>
      <c r="AV14" s="234">
        <v>1</v>
      </c>
      <c r="AW14" s="234">
        <v>4</v>
      </c>
      <c r="AX14" s="234">
        <v>2</v>
      </c>
      <c r="AY14" s="234">
        <v>0</v>
      </c>
      <c r="AZ14" s="234">
        <v>0</v>
      </c>
      <c r="BA14" s="234">
        <v>0</v>
      </c>
      <c r="BB14" s="234">
        <v>0</v>
      </c>
      <c r="BC14" s="234">
        <v>0</v>
      </c>
      <c r="BD14" s="234">
        <v>0</v>
      </c>
      <c r="BE14" s="234">
        <v>0</v>
      </c>
      <c r="BF14" s="234">
        <v>0</v>
      </c>
      <c r="BG14" s="234">
        <v>0</v>
      </c>
      <c r="BH14" s="234">
        <v>0</v>
      </c>
      <c r="BI14" s="234">
        <v>0</v>
      </c>
      <c r="BJ14" s="234">
        <v>0</v>
      </c>
      <c r="BK14" s="234">
        <v>0</v>
      </c>
      <c r="BL14" s="234">
        <v>0</v>
      </c>
      <c r="BM14" s="234">
        <v>0</v>
      </c>
      <c r="BN14" s="234">
        <v>0</v>
      </c>
      <c r="BO14" s="234">
        <v>0</v>
      </c>
      <c r="BP14" s="234"/>
      <c r="BQ14" s="234"/>
      <c r="BR14" s="237" t="s">
        <v>334</v>
      </c>
      <c r="BS14" s="238">
        <v>11</v>
      </c>
      <c r="BT14" s="239">
        <f t="shared" si="0"/>
        <v>7</v>
      </c>
      <c r="CN14" s="238">
        <f t="shared" si="1"/>
        <v>0</v>
      </c>
      <c r="CO14" s="238">
        <f t="shared" si="2"/>
        <v>0</v>
      </c>
    </row>
    <row r="15" spans="1:93" ht="13.95" customHeight="1" x14ac:dyDescent="0.2">
      <c r="A15" s="231">
        <v>5420</v>
      </c>
      <c r="B15" s="232" t="s">
        <v>314</v>
      </c>
      <c r="C15" s="232" t="s">
        <v>375</v>
      </c>
      <c r="D15" s="232" t="s">
        <v>376</v>
      </c>
      <c r="E15" s="232" t="s">
        <v>317</v>
      </c>
      <c r="F15" s="231">
        <v>527461</v>
      </c>
      <c r="G15" s="231">
        <v>171563</v>
      </c>
      <c r="H15" s="232" t="s">
        <v>177</v>
      </c>
      <c r="I15" s="233">
        <v>44270</v>
      </c>
      <c r="J15" s="233">
        <v>44686</v>
      </c>
      <c r="K15" s="231">
        <v>0</v>
      </c>
      <c r="L15" s="231">
        <v>6</v>
      </c>
      <c r="M15" s="231">
        <v>6</v>
      </c>
      <c r="N15" s="231">
        <v>6</v>
      </c>
      <c r="O15" s="231">
        <v>6</v>
      </c>
      <c r="P15" s="234"/>
      <c r="Q15" s="232" t="s">
        <v>377</v>
      </c>
      <c r="R15" s="234" t="s">
        <v>332</v>
      </c>
      <c r="S15" s="235">
        <v>44026</v>
      </c>
      <c r="T15" s="235">
        <v>44165</v>
      </c>
      <c r="U15" s="234"/>
      <c r="V15" s="232" t="s">
        <v>321</v>
      </c>
      <c r="W15" s="231"/>
      <c r="X15" s="232" t="s">
        <v>322</v>
      </c>
      <c r="Y15" s="232" t="s">
        <v>378</v>
      </c>
      <c r="Z15" s="232" t="s">
        <v>324</v>
      </c>
      <c r="AA15" s="232" t="s">
        <v>25</v>
      </c>
      <c r="AB15" s="236">
        <v>6.8000000000000005E-2</v>
      </c>
      <c r="AC15" s="235">
        <v>44270</v>
      </c>
      <c r="AD15" s="234"/>
      <c r="AE15" s="235">
        <v>44686</v>
      </c>
      <c r="AF15" s="232" t="s">
        <v>77</v>
      </c>
      <c r="AG15" s="232" t="s">
        <v>350</v>
      </c>
      <c r="AH15" s="234" t="s">
        <v>317</v>
      </c>
      <c r="AI15" s="250"/>
      <c r="AJ15" s="234">
        <v>0</v>
      </c>
      <c r="AK15" s="224"/>
      <c r="AL15" s="234">
        <v>0</v>
      </c>
      <c r="AM15" s="224"/>
      <c r="AN15" s="234">
        <v>0</v>
      </c>
      <c r="AO15" s="234">
        <v>1</v>
      </c>
      <c r="AP15" s="234">
        <v>4</v>
      </c>
      <c r="AQ15" s="234">
        <v>1</v>
      </c>
      <c r="AR15" s="234">
        <v>0</v>
      </c>
      <c r="AS15" s="234">
        <v>0</v>
      </c>
      <c r="AT15" s="234">
        <v>0</v>
      </c>
      <c r="AU15" s="234">
        <v>0</v>
      </c>
      <c r="AV15" s="234">
        <v>1</v>
      </c>
      <c r="AW15" s="234">
        <v>4</v>
      </c>
      <c r="AX15" s="234">
        <v>1</v>
      </c>
      <c r="AY15" s="234">
        <v>0</v>
      </c>
      <c r="AZ15" s="234">
        <v>0</v>
      </c>
      <c r="BA15" s="234">
        <v>0</v>
      </c>
      <c r="BB15" s="234">
        <v>0</v>
      </c>
      <c r="BC15" s="234">
        <v>0</v>
      </c>
      <c r="BD15" s="234">
        <v>0</v>
      </c>
      <c r="BE15" s="234">
        <v>0</v>
      </c>
      <c r="BF15" s="234">
        <v>0</v>
      </c>
      <c r="BG15" s="234">
        <v>0</v>
      </c>
      <c r="BH15" s="234">
        <v>0</v>
      </c>
      <c r="BI15" s="234">
        <v>0</v>
      </c>
      <c r="BJ15" s="234">
        <v>0</v>
      </c>
      <c r="BK15" s="234">
        <v>0</v>
      </c>
      <c r="BL15" s="234">
        <v>0</v>
      </c>
      <c r="BM15" s="234">
        <v>0</v>
      </c>
      <c r="BN15" s="234">
        <v>0</v>
      </c>
      <c r="BO15" s="234">
        <v>0</v>
      </c>
      <c r="BP15" s="234" t="s">
        <v>144</v>
      </c>
      <c r="BQ15" s="234"/>
      <c r="BR15" s="237" t="s">
        <v>144</v>
      </c>
      <c r="BS15" s="238">
        <v>11</v>
      </c>
      <c r="BT15" s="239">
        <f t="shared" si="0"/>
        <v>6</v>
      </c>
      <c r="CN15" s="238">
        <f t="shared" si="1"/>
        <v>0</v>
      </c>
      <c r="CO15" s="238">
        <f t="shared" si="2"/>
        <v>0</v>
      </c>
    </row>
    <row r="16" spans="1:93" ht="13.95" customHeight="1" x14ac:dyDescent="0.2">
      <c r="A16" s="231">
        <v>7365</v>
      </c>
      <c r="B16" s="232" t="s">
        <v>314</v>
      </c>
      <c r="C16" s="232" t="s">
        <v>379</v>
      </c>
      <c r="D16" s="232" t="s">
        <v>380</v>
      </c>
      <c r="E16" s="232" t="s">
        <v>317</v>
      </c>
      <c r="F16" s="231">
        <v>524420</v>
      </c>
      <c r="G16" s="231">
        <v>175013</v>
      </c>
      <c r="H16" s="232" t="s">
        <v>175</v>
      </c>
      <c r="I16" s="233">
        <v>44564</v>
      </c>
      <c r="J16" s="233">
        <v>45016</v>
      </c>
      <c r="K16" s="231">
        <v>0</v>
      </c>
      <c r="L16" s="231">
        <v>6</v>
      </c>
      <c r="M16" s="231">
        <v>6</v>
      </c>
      <c r="N16" s="231">
        <v>6</v>
      </c>
      <c r="O16" s="231">
        <v>6</v>
      </c>
      <c r="P16" s="234"/>
      <c r="Q16" s="232" t="s">
        <v>381</v>
      </c>
      <c r="R16" s="234" t="s">
        <v>332</v>
      </c>
      <c r="S16" s="235">
        <v>44026</v>
      </c>
      <c r="T16" s="235">
        <v>44186</v>
      </c>
      <c r="U16" s="234"/>
      <c r="V16" s="232" t="s">
        <v>321</v>
      </c>
      <c r="W16" s="231"/>
      <c r="X16" s="232" t="s">
        <v>322</v>
      </c>
      <c r="Y16" s="232" t="s">
        <v>323</v>
      </c>
      <c r="Z16" s="232" t="s">
        <v>324</v>
      </c>
      <c r="AA16" s="232" t="s">
        <v>349</v>
      </c>
      <c r="AB16" s="236">
        <v>2.1000000000000001E-2</v>
      </c>
      <c r="AC16" s="235">
        <v>44564</v>
      </c>
      <c r="AD16" s="234"/>
      <c r="AE16" s="235">
        <v>45016</v>
      </c>
      <c r="AF16" s="232" t="s">
        <v>77</v>
      </c>
      <c r="AG16" s="232" t="s">
        <v>350</v>
      </c>
      <c r="AH16" s="234" t="s">
        <v>317</v>
      </c>
      <c r="AI16" s="250"/>
      <c r="AJ16" s="234">
        <v>0</v>
      </c>
      <c r="AK16" s="224"/>
      <c r="AL16" s="234">
        <v>0</v>
      </c>
      <c r="AM16" s="224"/>
      <c r="AN16" s="234">
        <v>3</v>
      </c>
      <c r="AO16" s="234">
        <v>1</v>
      </c>
      <c r="AP16" s="234">
        <v>2</v>
      </c>
      <c r="AQ16" s="234">
        <v>0</v>
      </c>
      <c r="AR16" s="234">
        <v>0</v>
      </c>
      <c r="AS16" s="234">
        <v>0</v>
      </c>
      <c r="AT16" s="234">
        <v>0</v>
      </c>
      <c r="AU16" s="234">
        <v>3</v>
      </c>
      <c r="AV16" s="234">
        <v>1</v>
      </c>
      <c r="AW16" s="234">
        <v>2</v>
      </c>
      <c r="AX16" s="234">
        <v>0</v>
      </c>
      <c r="AY16" s="234">
        <v>0</v>
      </c>
      <c r="AZ16" s="234">
        <v>0</v>
      </c>
      <c r="BA16" s="234">
        <v>0</v>
      </c>
      <c r="BB16" s="234">
        <v>0</v>
      </c>
      <c r="BC16" s="234">
        <v>0</v>
      </c>
      <c r="BD16" s="234">
        <v>0</v>
      </c>
      <c r="BE16" s="234">
        <v>0</v>
      </c>
      <c r="BF16" s="234">
        <v>0</v>
      </c>
      <c r="BG16" s="234">
        <v>0</v>
      </c>
      <c r="BH16" s="234">
        <v>0</v>
      </c>
      <c r="BI16" s="234">
        <v>0</v>
      </c>
      <c r="BJ16" s="234">
        <v>0</v>
      </c>
      <c r="BK16" s="234">
        <v>0</v>
      </c>
      <c r="BL16" s="234">
        <v>0</v>
      </c>
      <c r="BM16" s="234">
        <v>0</v>
      </c>
      <c r="BN16" s="234">
        <v>0</v>
      </c>
      <c r="BO16" s="234">
        <v>0</v>
      </c>
      <c r="BP16" s="234"/>
      <c r="BQ16" s="234"/>
      <c r="BR16" s="237" t="s">
        <v>152</v>
      </c>
      <c r="BS16" s="238">
        <v>1</v>
      </c>
      <c r="BT16" s="239">
        <f t="shared" si="0"/>
        <v>6</v>
      </c>
      <c r="CN16" s="238">
        <f t="shared" si="1"/>
        <v>0</v>
      </c>
      <c r="CO16" s="238">
        <f t="shared" si="2"/>
        <v>0</v>
      </c>
    </row>
    <row r="17" spans="1:93" ht="13.95" customHeight="1" x14ac:dyDescent="0.2">
      <c r="A17" s="231">
        <v>7440</v>
      </c>
      <c r="B17" s="232" t="s">
        <v>314</v>
      </c>
      <c r="C17" s="232" t="s">
        <v>382</v>
      </c>
      <c r="D17" s="232" t="s">
        <v>383</v>
      </c>
      <c r="E17" s="232" t="s">
        <v>317</v>
      </c>
      <c r="F17" s="231">
        <v>528916</v>
      </c>
      <c r="G17" s="231">
        <v>174074</v>
      </c>
      <c r="H17" s="232" t="s">
        <v>141</v>
      </c>
      <c r="I17" s="233">
        <v>44578</v>
      </c>
      <c r="J17" s="233">
        <v>45011</v>
      </c>
      <c r="K17" s="231">
        <v>2</v>
      </c>
      <c r="L17" s="231">
        <v>6</v>
      </c>
      <c r="M17" s="231">
        <v>4</v>
      </c>
      <c r="N17" s="231">
        <v>6</v>
      </c>
      <c r="O17" s="231">
        <v>4</v>
      </c>
      <c r="P17" s="234"/>
      <c r="Q17" s="232" t="s">
        <v>384</v>
      </c>
      <c r="R17" s="234" t="s">
        <v>332</v>
      </c>
      <c r="S17" s="235">
        <v>44315</v>
      </c>
      <c r="T17" s="235">
        <v>44427</v>
      </c>
      <c r="U17" s="234"/>
      <c r="V17" s="232" t="s">
        <v>321</v>
      </c>
      <c r="W17" s="231"/>
      <c r="X17" s="232" t="s">
        <v>322</v>
      </c>
      <c r="Y17" s="232" t="s">
        <v>338</v>
      </c>
      <c r="Z17" s="232" t="s">
        <v>324</v>
      </c>
      <c r="AA17" s="232" t="s">
        <v>15</v>
      </c>
      <c r="AB17" s="236">
        <v>9.0500000000000008E-3</v>
      </c>
      <c r="AC17" s="235">
        <v>44578</v>
      </c>
      <c r="AD17" s="234"/>
      <c r="AE17" s="235">
        <v>45011</v>
      </c>
      <c r="AF17" s="232" t="s">
        <v>77</v>
      </c>
      <c r="AG17" s="232" t="s">
        <v>350</v>
      </c>
      <c r="AH17" s="234" t="s">
        <v>317</v>
      </c>
      <c r="AI17" s="250"/>
      <c r="AJ17" s="234">
        <v>0</v>
      </c>
      <c r="AK17" s="234">
        <v>6</v>
      </c>
      <c r="AL17" s="234">
        <v>0</v>
      </c>
      <c r="AM17" s="234">
        <v>6</v>
      </c>
      <c r="AN17" s="234">
        <v>0</v>
      </c>
      <c r="AO17" s="234">
        <v>2</v>
      </c>
      <c r="AP17" s="234">
        <v>2</v>
      </c>
      <c r="AQ17" s="234">
        <v>0</v>
      </c>
      <c r="AR17" s="234">
        <v>0</v>
      </c>
      <c r="AS17" s="234">
        <v>0</v>
      </c>
      <c r="AT17" s="234">
        <v>0</v>
      </c>
      <c r="AU17" s="234">
        <v>0</v>
      </c>
      <c r="AV17" s="234">
        <v>2</v>
      </c>
      <c r="AW17" s="234">
        <v>2</v>
      </c>
      <c r="AX17" s="234">
        <v>2</v>
      </c>
      <c r="AY17" s="234">
        <v>0</v>
      </c>
      <c r="AZ17" s="234">
        <v>0</v>
      </c>
      <c r="BA17" s="234">
        <v>0</v>
      </c>
      <c r="BB17" s="234">
        <v>0</v>
      </c>
      <c r="BC17" s="234">
        <v>0</v>
      </c>
      <c r="BD17" s="234">
        <v>0</v>
      </c>
      <c r="BE17" s="234">
        <v>-2</v>
      </c>
      <c r="BF17" s="234">
        <v>0</v>
      </c>
      <c r="BG17" s="234">
        <v>0</v>
      </c>
      <c r="BH17" s="234">
        <v>0</v>
      </c>
      <c r="BI17" s="234">
        <v>0</v>
      </c>
      <c r="BJ17" s="234">
        <v>0</v>
      </c>
      <c r="BK17" s="234">
        <v>0</v>
      </c>
      <c r="BL17" s="234">
        <v>0</v>
      </c>
      <c r="BM17" s="234">
        <v>0</v>
      </c>
      <c r="BN17" s="234">
        <v>0</v>
      </c>
      <c r="BO17" s="234">
        <v>0</v>
      </c>
      <c r="BP17" s="234"/>
      <c r="BQ17" s="234"/>
      <c r="BR17" s="237" t="s">
        <v>334</v>
      </c>
      <c r="BS17" s="238">
        <v>11</v>
      </c>
      <c r="BT17" s="239">
        <f t="shared" si="0"/>
        <v>4</v>
      </c>
      <c r="CN17" s="238">
        <f t="shared" si="1"/>
        <v>0</v>
      </c>
      <c r="CO17" s="238">
        <f t="shared" si="2"/>
        <v>0</v>
      </c>
    </row>
    <row r="18" spans="1:93" ht="13.95" customHeight="1" x14ac:dyDescent="0.2">
      <c r="A18" s="231">
        <v>7210</v>
      </c>
      <c r="B18" s="232" t="s">
        <v>314</v>
      </c>
      <c r="C18" s="232" t="s">
        <v>385</v>
      </c>
      <c r="D18" s="232" t="s">
        <v>386</v>
      </c>
      <c r="E18" s="232" t="s">
        <v>317</v>
      </c>
      <c r="F18" s="231">
        <v>528481</v>
      </c>
      <c r="G18" s="231">
        <v>173303</v>
      </c>
      <c r="H18" s="232" t="s">
        <v>141</v>
      </c>
      <c r="I18" s="233">
        <v>44268</v>
      </c>
      <c r="J18" s="233">
        <v>44858</v>
      </c>
      <c r="K18" s="231">
        <v>0</v>
      </c>
      <c r="L18" s="231">
        <v>5</v>
      </c>
      <c r="M18" s="231">
        <v>5</v>
      </c>
      <c r="N18" s="231">
        <v>5</v>
      </c>
      <c r="O18" s="231">
        <v>5</v>
      </c>
      <c r="P18" s="234"/>
      <c r="Q18" s="232" t="s">
        <v>387</v>
      </c>
      <c r="R18" s="234" t="s">
        <v>332</v>
      </c>
      <c r="S18" s="235">
        <v>43671</v>
      </c>
      <c r="T18" s="235">
        <v>43801</v>
      </c>
      <c r="U18" s="234"/>
      <c r="V18" s="232" t="s">
        <v>321</v>
      </c>
      <c r="W18" s="231"/>
      <c r="X18" s="232" t="s">
        <v>322</v>
      </c>
      <c r="Y18" s="232" t="s">
        <v>323</v>
      </c>
      <c r="Z18" s="232" t="s">
        <v>324</v>
      </c>
      <c r="AA18" s="232" t="s">
        <v>349</v>
      </c>
      <c r="AB18" s="236">
        <v>1.0999999999999999E-2</v>
      </c>
      <c r="AC18" s="235">
        <v>44286</v>
      </c>
      <c r="AD18" s="234"/>
      <c r="AE18" s="235">
        <v>44858</v>
      </c>
      <c r="AF18" s="232" t="s">
        <v>77</v>
      </c>
      <c r="AG18" s="232" t="s">
        <v>350</v>
      </c>
      <c r="AH18" s="234" t="s">
        <v>317</v>
      </c>
      <c r="AI18" s="250"/>
      <c r="AJ18" s="234">
        <v>0</v>
      </c>
      <c r="AK18" s="224"/>
      <c r="AL18" s="234">
        <v>0</v>
      </c>
      <c r="AM18" s="224"/>
      <c r="AN18" s="234">
        <v>0</v>
      </c>
      <c r="AO18" s="234">
        <v>4</v>
      </c>
      <c r="AP18" s="234">
        <v>1</v>
      </c>
      <c r="AQ18" s="234">
        <v>0</v>
      </c>
      <c r="AR18" s="234">
        <v>0</v>
      </c>
      <c r="AS18" s="234">
        <v>0</v>
      </c>
      <c r="AT18" s="234">
        <v>0</v>
      </c>
      <c r="AU18" s="234">
        <v>0</v>
      </c>
      <c r="AV18" s="234">
        <v>4</v>
      </c>
      <c r="AW18" s="234">
        <v>1</v>
      </c>
      <c r="AX18" s="234">
        <v>0</v>
      </c>
      <c r="AY18" s="234">
        <v>0</v>
      </c>
      <c r="AZ18" s="234">
        <v>0</v>
      </c>
      <c r="BA18" s="234">
        <v>0</v>
      </c>
      <c r="BB18" s="234">
        <v>0</v>
      </c>
      <c r="BC18" s="234">
        <v>0</v>
      </c>
      <c r="BD18" s="234">
        <v>0</v>
      </c>
      <c r="BE18" s="234">
        <v>0</v>
      </c>
      <c r="BF18" s="234">
        <v>0</v>
      </c>
      <c r="BG18" s="234">
        <v>0</v>
      </c>
      <c r="BH18" s="234">
        <v>0</v>
      </c>
      <c r="BI18" s="234">
        <v>0</v>
      </c>
      <c r="BJ18" s="234">
        <v>0</v>
      </c>
      <c r="BK18" s="234">
        <v>0</v>
      </c>
      <c r="BL18" s="234">
        <v>0</v>
      </c>
      <c r="BM18" s="234">
        <v>0</v>
      </c>
      <c r="BN18" s="234">
        <v>0</v>
      </c>
      <c r="BO18" s="234">
        <v>0</v>
      </c>
      <c r="BP18" s="234" t="s">
        <v>141</v>
      </c>
      <c r="BQ18" s="234"/>
      <c r="BR18" s="237" t="s">
        <v>141</v>
      </c>
      <c r="BS18" s="238">
        <v>1</v>
      </c>
      <c r="BT18" s="239">
        <f t="shared" si="0"/>
        <v>5</v>
      </c>
      <c r="CN18" s="238">
        <f t="shared" si="1"/>
        <v>0</v>
      </c>
      <c r="CO18" s="238">
        <f t="shared" si="2"/>
        <v>0</v>
      </c>
    </row>
    <row r="19" spans="1:93" ht="13.95" customHeight="1" x14ac:dyDescent="0.2">
      <c r="A19" s="231">
        <v>6828</v>
      </c>
      <c r="B19" s="232" t="s">
        <v>314</v>
      </c>
      <c r="C19" s="232" t="s">
        <v>388</v>
      </c>
      <c r="D19" s="232" t="s">
        <v>389</v>
      </c>
      <c r="E19" s="232" t="s">
        <v>317</v>
      </c>
      <c r="F19" s="231">
        <v>527983</v>
      </c>
      <c r="G19" s="231">
        <v>171216</v>
      </c>
      <c r="H19" s="232" t="s">
        <v>177</v>
      </c>
      <c r="I19" s="233">
        <v>43634</v>
      </c>
      <c r="J19" s="233">
        <v>44838</v>
      </c>
      <c r="K19" s="231">
        <v>1</v>
      </c>
      <c r="L19" s="231">
        <v>5</v>
      </c>
      <c r="M19" s="231">
        <v>4</v>
      </c>
      <c r="N19" s="231">
        <v>5</v>
      </c>
      <c r="O19" s="231">
        <v>4</v>
      </c>
      <c r="P19" s="234"/>
      <c r="Q19" s="232" t="s">
        <v>390</v>
      </c>
      <c r="R19" s="234" t="s">
        <v>332</v>
      </c>
      <c r="S19" s="235">
        <v>43990</v>
      </c>
      <c r="T19" s="235">
        <v>44187</v>
      </c>
      <c r="U19" s="234"/>
      <c r="V19" s="232" t="s">
        <v>321</v>
      </c>
      <c r="W19" s="231"/>
      <c r="X19" s="232" t="s">
        <v>322</v>
      </c>
      <c r="Y19" s="232" t="s">
        <v>323</v>
      </c>
      <c r="Z19" s="232" t="s">
        <v>324</v>
      </c>
      <c r="AA19" s="232" t="s">
        <v>349</v>
      </c>
      <c r="AB19" s="236">
        <v>3.3000000000000002E-2</v>
      </c>
      <c r="AC19" s="235">
        <v>43634</v>
      </c>
      <c r="AD19" s="234"/>
      <c r="AE19" s="235">
        <v>44838</v>
      </c>
      <c r="AF19" s="232" t="s">
        <v>77</v>
      </c>
      <c r="AG19" s="232" t="s">
        <v>350</v>
      </c>
      <c r="AH19" s="234" t="s">
        <v>317</v>
      </c>
      <c r="AI19" s="250"/>
      <c r="AJ19" s="234">
        <v>0</v>
      </c>
      <c r="AK19" s="224"/>
      <c r="AL19" s="234">
        <v>0</v>
      </c>
      <c r="AM19" s="224"/>
      <c r="AN19" s="234">
        <v>0</v>
      </c>
      <c r="AO19" s="234">
        <v>2</v>
      </c>
      <c r="AP19" s="234">
        <v>2</v>
      </c>
      <c r="AQ19" s="234">
        <v>1</v>
      </c>
      <c r="AR19" s="234">
        <v>0</v>
      </c>
      <c r="AS19" s="234">
        <v>-1</v>
      </c>
      <c r="AT19" s="234">
        <v>0</v>
      </c>
      <c r="AU19" s="234">
        <v>0</v>
      </c>
      <c r="AV19" s="234">
        <v>2</v>
      </c>
      <c r="AW19" s="234">
        <v>2</v>
      </c>
      <c r="AX19" s="234">
        <v>1</v>
      </c>
      <c r="AY19" s="234">
        <v>0</v>
      </c>
      <c r="AZ19" s="234">
        <v>0</v>
      </c>
      <c r="BA19" s="234">
        <v>0</v>
      </c>
      <c r="BB19" s="234">
        <v>0</v>
      </c>
      <c r="BC19" s="234">
        <v>0</v>
      </c>
      <c r="BD19" s="234">
        <v>0</v>
      </c>
      <c r="BE19" s="234">
        <v>0</v>
      </c>
      <c r="BF19" s="234">
        <v>0</v>
      </c>
      <c r="BG19" s="234">
        <v>-1</v>
      </c>
      <c r="BH19" s="234">
        <v>0</v>
      </c>
      <c r="BI19" s="234">
        <v>0</v>
      </c>
      <c r="BJ19" s="234">
        <v>0</v>
      </c>
      <c r="BK19" s="234">
        <v>0</v>
      </c>
      <c r="BL19" s="234">
        <v>0</v>
      </c>
      <c r="BM19" s="234">
        <v>0</v>
      </c>
      <c r="BN19" s="234">
        <v>0</v>
      </c>
      <c r="BO19" s="234">
        <v>0</v>
      </c>
      <c r="BP19" s="234"/>
      <c r="BQ19" s="234"/>
      <c r="BR19" s="237" t="s">
        <v>334</v>
      </c>
      <c r="BS19" s="238">
        <v>1</v>
      </c>
      <c r="BT19" s="239">
        <f t="shared" si="0"/>
        <v>4</v>
      </c>
      <c r="CN19" s="238">
        <f t="shared" si="1"/>
        <v>0</v>
      </c>
      <c r="CO19" s="238">
        <f t="shared" si="2"/>
        <v>0</v>
      </c>
    </row>
    <row r="20" spans="1:93" ht="13.95" customHeight="1" x14ac:dyDescent="0.2">
      <c r="A20" s="231">
        <v>3157</v>
      </c>
      <c r="B20" s="232" t="s">
        <v>314</v>
      </c>
      <c r="C20" s="232" t="s">
        <v>391</v>
      </c>
      <c r="D20" s="232" t="s">
        <v>392</v>
      </c>
      <c r="E20" s="232" t="s">
        <v>317</v>
      </c>
      <c r="F20" s="231">
        <v>526833</v>
      </c>
      <c r="G20" s="231">
        <v>171839</v>
      </c>
      <c r="H20" s="232" t="s">
        <v>177</v>
      </c>
      <c r="I20" s="233">
        <v>44621</v>
      </c>
      <c r="J20" s="233">
        <v>44957</v>
      </c>
      <c r="K20" s="231">
        <v>3</v>
      </c>
      <c r="L20" s="231">
        <v>5</v>
      </c>
      <c r="M20" s="231">
        <v>2</v>
      </c>
      <c r="N20" s="231">
        <v>5</v>
      </c>
      <c r="O20" s="231">
        <v>2</v>
      </c>
      <c r="P20" s="234"/>
      <c r="Q20" s="232" t="s">
        <v>393</v>
      </c>
      <c r="R20" s="234" t="s">
        <v>332</v>
      </c>
      <c r="S20" s="235">
        <v>44391</v>
      </c>
      <c r="T20" s="235">
        <v>44488</v>
      </c>
      <c r="U20" s="234"/>
      <c r="V20" s="232" t="s">
        <v>321</v>
      </c>
      <c r="W20" s="231"/>
      <c r="X20" s="232" t="s">
        <v>322</v>
      </c>
      <c r="Y20" s="232" t="s">
        <v>323</v>
      </c>
      <c r="Z20" s="232" t="s">
        <v>324</v>
      </c>
      <c r="AA20" s="232" t="s">
        <v>349</v>
      </c>
      <c r="AB20" s="236">
        <v>8.9999999999999993E-3</v>
      </c>
      <c r="AC20" s="235">
        <v>44621</v>
      </c>
      <c r="AD20" s="234"/>
      <c r="AE20" s="235">
        <v>44957</v>
      </c>
      <c r="AF20" s="232" t="s">
        <v>77</v>
      </c>
      <c r="AG20" s="232" t="s">
        <v>350</v>
      </c>
      <c r="AH20" s="234" t="s">
        <v>317</v>
      </c>
      <c r="AI20" s="250"/>
      <c r="AJ20" s="234">
        <v>0</v>
      </c>
      <c r="AK20" s="224"/>
      <c r="AL20" s="234">
        <v>0</v>
      </c>
      <c r="AM20" s="224"/>
      <c r="AN20" s="234">
        <v>0</v>
      </c>
      <c r="AO20" s="234">
        <v>2</v>
      </c>
      <c r="AP20" s="234">
        <v>1</v>
      </c>
      <c r="AQ20" s="234">
        <v>-1</v>
      </c>
      <c r="AR20" s="234">
        <v>0</v>
      </c>
      <c r="AS20" s="234">
        <v>0</v>
      </c>
      <c r="AT20" s="234">
        <v>0</v>
      </c>
      <c r="AU20" s="234">
        <v>0</v>
      </c>
      <c r="AV20" s="234">
        <v>2</v>
      </c>
      <c r="AW20" s="234">
        <v>1</v>
      </c>
      <c r="AX20" s="234">
        <v>-1</v>
      </c>
      <c r="AY20" s="234">
        <v>0</v>
      </c>
      <c r="AZ20" s="234">
        <v>0</v>
      </c>
      <c r="BA20" s="234">
        <v>0</v>
      </c>
      <c r="BB20" s="234">
        <v>0</v>
      </c>
      <c r="BC20" s="234">
        <v>0</v>
      </c>
      <c r="BD20" s="234">
        <v>0</v>
      </c>
      <c r="BE20" s="234">
        <v>0</v>
      </c>
      <c r="BF20" s="234">
        <v>0</v>
      </c>
      <c r="BG20" s="234">
        <v>0</v>
      </c>
      <c r="BH20" s="234">
        <v>0</v>
      </c>
      <c r="BI20" s="234">
        <v>0</v>
      </c>
      <c r="BJ20" s="234">
        <v>0</v>
      </c>
      <c r="BK20" s="234">
        <v>0</v>
      </c>
      <c r="BL20" s="234">
        <v>0</v>
      </c>
      <c r="BM20" s="234">
        <v>0</v>
      </c>
      <c r="BN20" s="234">
        <v>0</v>
      </c>
      <c r="BO20" s="234">
        <v>0</v>
      </c>
      <c r="BP20" s="234"/>
      <c r="BQ20" s="234"/>
      <c r="BR20" s="237" t="s">
        <v>334</v>
      </c>
      <c r="BS20" s="238">
        <v>1</v>
      </c>
      <c r="BT20" s="239">
        <f t="shared" si="0"/>
        <v>2</v>
      </c>
      <c r="CN20" s="238">
        <f t="shared" si="1"/>
        <v>0</v>
      </c>
      <c r="CO20" s="238">
        <f t="shared" si="2"/>
        <v>0</v>
      </c>
    </row>
    <row r="21" spans="1:93" ht="13.95" customHeight="1" x14ac:dyDescent="0.2">
      <c r="A21" s="231">
        <v>6186</v>
      </c>
      <c r="B21" s="232" t="s">
        <v>314</v>
      </c>
      <c r="C21" s="232" t="s">
        <v>394</v>
      </c>
      <c r="D21" s="232" t="s">
        <v>395</v>
      </c>
      <c r="E21" s="232" t="s">
        <v>317</v>
      </c>
      <c r="F21" s="231">
        <v>527237</v>
      </c>
      <c r="G21" s="231">
        <v>171543</v>
      </c>
      <c r="H21" s="232" t="s">
        <v>177</v>
      </c>
      <c r="I21" s="233">
        <v>44358</v>
      </c>
      <c r="J21" s="233">
        <v>45012</v>
      </c>
      <c r="K21" s="231">
        <v>1</v>
      </c>
      <c r="L21" s="231">
        <v>4</v>
      </c>
      <c r="M21" s="231">
        <v>3</v>
      </c>
      <c r="N21" s="231">
        <v>4</v>
      </c>
      <c r="O21" s="231">
        <v>3</v>
      </c>
      <c r="P21" s="234"/>
      <c r="Q21" s="232" t="s">
        <v>396</v>
      </c>
      <c r="R21" s="234" t="s">
        <v>332</v>
      </c>
      <c r="S21" s="235">
        <v>43844</v>
      </c>
      <c r="T21" s="235">
        <v>44099</v>
      </c>
      <c r="U21" s="234"/>
      <c r="V21" s="232" t="s">
        <v>321</v>
      </c>
      <c r="W21" s="231"/>
      <c r="X21" s="232" t="s">
        <v>322</v>
      </c>
      <c r="Y21" s="232" t="s">
        <v>338</v>
      </c>
      <c r="Z21" s="232" t="s">
        <v>324</v>
      </c>
      <c r="AA21" s="232" t="s">
        <v>15</v>
      </c>
      <c r="AB21" s="236">
        <v>1.4E-2</v>
      </c>
      <c r="AC21" s="235">
        <v>44358</v>
      </c>
      <c r="AD21" s="234"/>
      <c r="AE21" s="235">
        <v>45012</v>
      </c>
      <c r="AF21" s="232" t="s">
        <v>77</v>
      </c>
      <c r="AG21" s="232" t="s">
        <v>350</v>
      </c>
      <c r="AH21" s="234" t="s">
        <v>317</v>
      </c>
      <c r="AI21" s="250"/>
      <c r="AJ21" s="234">
        <v>0</v>
      </c>
      <c r="AK21" s="224"/>
      <c r="AL21" s="234">
        <v>0</v>
      </c>
      <c r="AM21" s="224"/>
      <c r="AN21" s="234">
        <v>2</v>
      </c>
      <c r="AO21" s="234">
        <v>0</v>
      </c>
      <c r="AP21" s="234">
        <v>1</v>
      </c>
      <c r="AQ21" s="234">
        <v>1</v>
      </c>
      <c r="AR21" s="234">
        <v>0</v>
      </c>
      <c r="AS21" s="234">
        <v>-1</v>
      </c>
      <c r="AT21" s="234">
        <v>0</v>
      </c>
      <c r="AU21" s="234">
        <v>2</v>
      </c>
      <c r="AV21" s="234">
        <v>0</v>
      </c>
      <c r="AW21" s="234">
        <v>1</v>
      </c>
      <c r="AX21" s="234">
        <v>1</v>
      </c>
      <c r="AY21" s="234">
        <v>0</v>
      </c>
      <c r="AZ21" s="234">
        <v>0</v>
      </c>
      <c r="BA21" s="234">
        <v>0</v>
      </c>
      <c r="BB21" s="234">
        <v>0</v>
      </c>
      <c r="BC21" s="234">
        <v>0</v>
      </c>
      <c r="BD21" s="234">
        <v>0</v>
      </c>
      <c r="BE21" s="234">
        <v>0</v>
      </c>
      <c r="BF21" s="234">
        <v>0</v>
      </c>
      <c r="BG21" s="234">
        <v>-1</v>
      </c>
      <c r="BH21" s="234">
        <v>0</v>
      </c>
      <c r="BI21" s="234">
        <v>0</v>
      </c>
      <c r="BJ21" s="234">
        <v>0</v>
      </c>
      <c r="BK21" s="234">
        <v>0</v>
      </c>
      <c r="BL21" s="234">
        <v>0</v>
      </c>
      <c r="BM21" s="234">
        <v>0</v>
      </c>
      <c r="BN21" s="234">
        <v>0</v>
      </c>
      <c r="BO21" s="234">
        <v>0</v>
      </c>
      <c r="BP21" s="234"/>
      <c r="BQ21" s="234"/>
      <c r="BR21" s="237" t="s">
        <v>144</v>
      </c>
      <c r="BS21" s="238">
        <v>11</v>
      </c>
      <c r="BT21" s="239">
        <f t="shared" si="0"/>
        <v>3</v>
      </c>
      <c r="CN21" s="238">
        <f t="shared" si="1"/>
        <v>0</v>
      </c>
      <c r="CO21" s="238">
        <f t="shared" si="2"/>
        <v>0</v>
      </c>
    </row>
    <row r="22" spans="1:93" ht="13.95" customHeight="1" x14ac:dyDescent="0.2">
      <c r="A22" s="231">
        <v>5996</v>
      </c>
      <c r="B22" s="232" t="s">
        <v>314</v>
      </c>
      <c r="C22" s="232" t="s">
        <v>397</v>
      </c>
      <c r="D22" s="232" t="s">
        <v>398</v>
      </c>
      <c r="E22" s="232" t="s">
        <v>317</v>
      </c>
      <c r="F22" s="231">
        <v>527571</v>
      </c>
      <c r="G22" s="231">
        <v>171743</v>
      </c>
      <c r="H22" s="232" t="s">
        <v>176</v>
      </c>
      <c r="I22" s="233">
        <v>44095</v>
      </c>
      <c r="J22" s="233">
        <v>44738</v>
      </c>
      <c r="K22" s="231">
        <v>0</v>
      </c>
      <c r="L22" s="231">
        <v>4</v>
      </c>
      <c r="M22" s="231">
        <v>4</v>
      </c>
      <c r="N22" s="231">
        <v>4</v>
      </c>
      <c r="O22" s="231">
        <v>4</v>
      </c>
      <c r="P22" s="234"/>
      <c r="Q22" s="232" t="s">
        <v>399</v>
      </c>
      <c r="R22" s="234" t="s">
        <v>332</v>
      </c>
      <c r="S22" s="235">
        <v>44032</v>
      </c>
      <c r="T22" s="235">
        <v>44187</v>
      </c>
      <c r="U22" s="234"/>
      <c r="V22" s="232" t="s">
        <v>321</v>
      </c>
      <c r="W22" s="231"/>
      <c r="X22" s="232" t="s">
        <v>322</v>
      </c>
      <c r="Y22" s="232" t="s">
        <v>323</v>
      </c>
      <c r="Z22" s="232" t="s">
        <v>324</v>
      </c>
      <c r="AA22" s="232" t="s">
        <v>349</v>
      </c>
      <c r="AB22" s="236">
        <v>1.2E-2</v>
      </c>
      <c r="AC22" s="235">
        <v>44095</v>
      </c>
      <c r="AD22" s="234"/>
      <c r="AE22" s="235">
        <v>44738</v>
      </c>
      <c r="AF22" s="232" t="s">
        <v>77</v>
      </c>
      <c r="AG22" s="232" t="s">
        <v>350</v>
      </c>
      <c r="AH22" s="234" t="s">
        <v>317</v>
      </c>
      <c r="AI22" s="250"/>
      <c r="AJ22" s="234">
        <v>0</v>
      </c>
      <c r="AK22" s="224"/>
      <c r="AL22" s="234">
        <v>0</v>
      </c>
      <c r="AM22" s="224"/>
      <c r="AN22" s="234">
        <v>1</v>
      </c>
      <c r="AO22" s="234">
        <v>1</v>
      </c>
      <c r="AP22" s="234">
        <v>2</v>
      </c>
      <c r="AQ22" s="234">
        <v>0</v>
      </c>
      <c r="AR22" s="234">
        <v>0</v>
      </c>
      <c r="AS22" s="234">
        <v>0</v>
      </c>
      <c r="AT22" s="234">
        <v>0</v>
      </c>
      <c r="AU22" s="234">
        <v>1</v>
      </c>
      <c r="AV22" s="234">
        <v>1</v>
      </c>
      <c r="AW22" s="234">
        <v>2</v>
      </c>
      <c r="AX22" s="234">
        <v>0</v>
      </c>
      <c r="AY22" s="234">
        <v>0</v>
      </c>
      <c r="AZ22" s="234">
        <v>0</v>
      </c>
      <c r="BA22" s="234">
        <v>0</v>
      </c>
      <c r="BB22" s="234">
        <v>0</v>
      </c>
      <c r="BC22" s="234">
        <v>0</v>
      </c>
      <c r="BD22" s="234">
        <v>0</v>
      </c>
      <c r="BE22" s="234">
        <v>0</v>
      </c>
      <c r="BF22" s="234">
        <v>0</v>
      </c>
      <c r="BG22" s="234">
        <v>0</v>
      </c>
      <c r="BH22" s="234">
        <v>0</v>
      </c>
      <c r="BI22" s="234">
        <v>0</v>
      </c>
      <c r="BJ22" s="234">
        <v>0</v>
      </c>
      <c r="BK22" s="234">
        <v>0</v>
      </c>
      <c r="BL22" s="234">
        <v>0</v>
      </c>
      <c r="BM22" s="234">
        <v>0</v>
      </c>
      <c r="BN22" s="234">
        <v>0</v>
      </c>
      <c r="BO22" s="234">
        <v>0</v>
      </c>
      <c r="BP22" s="234"/>
      <c r="BQ22" s="234"/>
      <c r="BR22" s="237" t="s">
        <v>144</v>
      </c>
      <c r="BS22" s="238">
        <v>1</v>
      </c>
      <c r="BT22" s="239">
        <f t="shared" si="0"/>
        <v>4</v>
      </c>
      <c r="CN22" s="238">
        <f t="shared" si="1"/>
        <v>0</v>
      </c>
      <c r="CO22" s="238">
        <f t="shared" si="2"/>
        <v>0</v>
      </c>
    </row>
    <row r="23" spans="1:93" ht="13.95" customHeight="1" x14ac:dyDescent="0.2">
      <c r="A23" s="231">
        <v>4592</v>
      </c>
      <c r="B23" s="232" t="s">
        <v>314</v>
      </c>
      <c r="C23" s="232" t="s">
        <v>400</v>
      </c>
      <c r="D23" s="232" t="s">
        <v>401</v>
      </c>
      <c r="E23" s="232" t="s">
        <v>317</v>
      </c>
      <c r="F23" s="231">
        <v>525349</v>
      </c>
      <c r="G23" s="231">
        <v>174610</v>
      </c>
      <c r="H23" s="232" t="s">
        <v>181</v>
      </c>
      <c r="I23" s="233">
        <v>44593</v>
      </c>
      <c r="J23" s="233">
        <v>44732</v>
      </c>
      <c r="K23" s="231">
        <v>0</v>
      </c>
      <c r="L23" s="231">
        <v>4</v>
      </c>
      <c r="M23" s="231">
        <v>4</v>
      </c>
      <c r="N23" s="231">
        <v>4</v>
      </c>
      <c r="O23" s="231">
        <v>4</v>
      </c>
      <c r="P23" s="234"/>
      <c r="Q23" s="232" t="s">
        <v>402</v>
      </c>
      <c r="R23" s="234" t="s">
        <v>320</v>
      </c>
      <c r="S23" s="235">
        <v>44077</v>
      </c>
      <c r="T23" s="235">
        <v>44267</v>
      </c>
      <c r="U23" s="234"/>
      <c r="V23" s="232" t="s">
        <v>321</v>
      </c>
      <c r="W23" s="231"/>
      <c r="X23" s="232" t="s">
        <v>322</v>
      </c>
      <c r="Y23" s="232" t="s">
        <v>378</v>
      </c>
      <c r="Z23" s="232" t="s">
        <v>324</v>
      </c>
      <c r="AA23" s="232" t="s">
        <v>28</v>
      </c>
      <c r="AB23" s="236">
        <v>7.0000000000000001E-3</v>
      </c>
      <c r="AC23" s="235">
        <v>44593</v>
      </c>
      <c r="AD23" s="234"/>
      <c r="AE23" s="235">
        <v>44732</v>
      </c>
      <c r="AF23" s="232" t="s">
        <v>77</v>
      </c>
      <c r="AG23" s="232" t="s">
        <v>350</v>
      </c>
      <c r="AH23" s="234" t="s">
        <v>317</v>
      </c>
      <c r="AI23" s="250"/>
      <c r="AJ23" s="234">
        <v>0</v>
      </c>
      <c r="AK23" s="224"/>
      <c r="AL23" s="234">
        <v>0</v>
      </c>
      <c r="AM23" s="224"/>
      <c r="AN23" s="234">
        <v>1</v>
      </c>
      <c r="AO23" s="234">
        <v>0</v>
      </c>
      <c r="AP23" s="234">
        <v>3</v>
      </c>
      <c r="AQ23" s="234">
        <v>0</v>
      </c>
      <c r="AR23" s="234">
        <v>0</v>
      </c>
      <c r="AS23" s="234">
        <v>0</v>
      </c>
      <c r="AT23" s="234">
        <v>0</v>
      </c>
      <c r="AU23" s="234">
        <v>1</v>
      </c>
      <c r="AV23" s="234">
        <v>0</v>
      </c>
      <c r="AW23" s="234">
        <v>3</v>
      </c>
      <c r="AX23" s="234">
        <v>0</v>
      </c>
      <c r="AY23" s="234">
        <v>0</v>
      </c>
      <c r="AZ23" s="234">
        <v>0</v>
      </c>
      <c r="BA23" s="234">
        <v>0</v>
      </c>
      <c r="BB23" s="234">
        <v>0</v>
      </c>
      <c r="BC23" s="234">
        <v>0</v>
      </c>
      <c r="BD23" s="234">
        <v>0</v>
      </c>
      <c r="BE23" s="234">
        <v>0</v>
      </c>
      <c r="BF23" s="234">
        <v>0</v>
      </c>
      <c r="BG23" s="234">
        <v>0</v>
      </c>
      <c r="BH23" s="234">
        <v>0</v>
      </c>
      <c r="BI23" s="234">
        <v>0</v>
      </c>
      <c r="BJ23" s="234">
        <v>0</v>
      </c>
      <c r="BK23" s="234">
        <v>0</v>
      </c>
      <c r="BL23" s="234">
        <v>0</v>
      </c>
      <c r="BM23" s="234">
        <v>0</v>
      </c>
      <c r="BN23" s="234">
        <v>0</v>
      </c>
      <c r="BO23" s="234">
        <v>0</v>
      </c>
      <c r="BP23" s="234" t="s">
        <v>145</v>
      </c>
      <c r="BQ23" s="234"/>
      <c r="BR23" s="237" t="s">
        <v>327</v>
      </c>
      <c r="BS23" s="238">
        <v>11</v>
      </c>
      <c r="BT23" s="239">
        <f t="shared" si="0"/>
        <v>4</v>
      </c>
      <c r="CN23" s="238">
        <f t="shared" si="1"/>
        <v>0</v>
      </c>
      <c r="CO23" s="238">
        <f t="shared" si="2"/>
        <v>0</v>
      </c>
    </row>
    <row r="24" spans="1:93" ht="13.95" customHeight="1" x14ac:dyDescent="0.2">
      <c r="A24" s="231">
        <v>7646</v>
      </c>
      <c r="B24" s="232" t="s">
        <v>314</v>
      </c>
      <c r="C24" s="232" t="s">
        <v>403</v>
      </c>
      <c r="D24" s="232" t="s">
        <v>404</v>
      </c>
      <c r="E24" s="232" t="s">
        <v>317</v>
      </c>
      <c r="F24" s="231">
        <v>527974</v>
      </c>
      <c r="G24" s="231">
        <v>170779</v>
      </c>
      <c r="H24" s="232" t="s">
        <v>177</v>
      </c>
      <c r="I24" s="233">
        <v>44586</v>
      </c>
      <c r="J24" s="233">
        <v>44945</v>
      </c>
      <c r="K24" s="231">
        <v>2</v>
      </c>
      <c r="L24" s="231">
        <v>4</v>
      </c>
      <c r="M24" s="231">
        <v>2</v>
      </c>
      <c r="N24" s="231">
        <v>4</v>
      </c>
      <c r="O24" s="231">
        <v>2</v>
      </c>
      <c r="P24" s="234"/>
      <c r="Q24" s="232" t="s">
        <v>405</v>
      </c>
      <c r="R24" s="234" t="s">
        <v>332</v>
      </c>
      <c r="S24" s="235">
        <v>44294</v>
      </c>
      <c r="T24" s="235">
        <v>44350</v>
      </c>
      <c r="U24" s="234"/>
      <c r="V24" s="232" t="s">
        <v>321</v>
      </c>
      <c r="W24" s="231"/>
      <c r="X24" s="232" t="s">
        <v>322</v>
      </c>
      <c r="Y24" s="232" t="s">
        <v>338</v>
      </c>
      <c r="Z24" s="232" t="s">
        <v>324</v>
      </c>
      <c r="AA24" s="232" t="s">
        <v>354</v>
      </c>
      <c r="AB24" s="236">
        <v>1.4E-2</v>
      </c>
      <c r="AC24" s="235">
        <v>44586</v>
      </c>
      <c r="AD24" s="234"/>
      <c r="AE24" s="235">
        <v>44945</v>
      </c>
      <c r="AF24" s="232" t="s">
        <v>77</v>
      </c>
      <c r="AG24" s="232" t="s">
        <v>350</v>
      </c>
      <c r="AH24" s="234" t="s">
        <v>317</v>
      </c>
      <c r="AI24" s="250"/>
      <c r="AJ24" s="234">
        <v>0</v>
      </c>
      <c r="AK24" s="224"/>
      <c r="AL24" s="234">
        <v>0</v>
      </c>
      <c r="AM24" s="224"/>
      <c r="AN24" s="234">
        <v>0</v>
      </c>
      <c r="AO24" s="234">
        <v>0</v>
      </c>
      <c r="AP24" s="234">
        <v>2</v>
      </c>
      <c r="AQ24" s="234">
        <v>0</v>
      </c>
      <c r="AR24" s="234">
        <v>0</v>
      </c>
      <c r="AS24" s="234">
        <v>0</v>
      </c>
      <c r="AT24" s="234">
        <v>0</v>
      </c>
      <c r="AU24" s="234">
        <v>0</v>
      </c>
      <c r="AV24" s="234">
        <v>0</v>
      </c>
      <c r="AW24" s="234">
        <v>2</v>
      </c>
      <c r="AX24" s="234">
        <v>0</v>
      </c>
      <c r="AY24" s="234">
        <v>0</v>
      </c>
      <c r="AZ24" s="234">
        <v>0</v>
      </c>
      <c r="BA24" s="234">
        <v>0</v>
      </c>
      <c r="BB24" s="234">
        <v>0</v>
      </c>
      <c r="BC24" s="234">
        <v>0</v>
      </c>
      <c r="BD24" s="234">
        <v>0</v>
      </c>
      <c r="BE24" s="234">
        <v>0</v>
      </c>
      <c r="BF24" s="234">
        <v>0</v>
      </c>
      <c r="BG24" s="234">
        <v>0</v>
      </c>
      <c r="BH24" s="234">
        <v>0</v>
      </c>
      <c r="BI24" s="234">
        <v>0</v>
      </c>
      <c r="BJ24" s="234">
        <v>0</v>
      </c>
      <c r="BK24" s="234">
        <v>0</v>
      </c>
      <c r="BL24" s="234">
        <v>0</v>
      </c>
      <c r="BM24" s="234">
        <v>0</v>
      </c>
      <c r="BN24" s="234">
        <v>0</v>
      </c>
      <c r="BO24" s="234">
        <v>0</v>
      </c>
      <c r="BP24" s="234"/>
      <c r="BQ24" s="234"/>
      <c r="BR24" s="237" t="s">
        <v>334</v>
      </c>
      <c r="BS24" s="238">
        <v>11</v>
      </c>
      <c r="BT24" s="239">
        <f t="shared" si="0"/>
        <v>2</v>
      </c>
      <c r="CN24" s="238">
        <f t="shared" si="1"/>
        <v>0</v>
      </c>
      <c r="CO24" s="238">
        <f t="shared" si="2"/>
        <v>0</v>
      </c>
    </row>
    <row r="25" spans="1:93" ht="13.95" customHeight="1" x14ac:dyDescent="0.2">
      <c r="A25" s="231">
        <v>7647</v>
      </c>
      <c r="B25" s="232" t="s">
        <v>314</v>
      </c>
      <c r="C25" s="232" t="s">
        <v>406</v>
      </c>
      <c r="D25" s="232" t="s">
        <v>407</v>
      </c>
      <c r="E25" s="232" t="s">
        <v>317</v>
      </c>
      <c r="F25" s="231">
        <v>527970</v>
      </c>
      <c r="G25" s="231">
        <v>170768</v>
      </c>
      <c r="H25" s="232" t="s">
        <v>177</v>
      </c>
      <c r="I25" s="233">
        <v>44075</v>
      </c>
      <c r="J25" s="233">
        <v>44809</v>
      </c>
      <c r="K25" s="231">
        <v>2</v>
      </c>
      <c r="L25" s="231">
        <v>4</v>
      </c>
      <c r="M25" s="231">
        <v>2</v>
      </c>
      <c r="N25" s="231">
        <v>4</v>
      </c>
      <c r="O25" s="231">
        <v>2</v>
      </c>
      <c r="P25" s="234"/>
      <c r="Q25" s="232" t="s">
        <v>405</v>
      </c>
      <c r="R25" s="234" t="s">
        <v>332</v>
      </c>
      <c r="S25" s="235">
        <v>44294</v>
      </c>
      <c r="T25" s="235">
        <v>44350</v>
      </c>
      <c r="U25" s="234"/>
      <c r="V25" s="232" t="s">
        <v>321</v>
      </c>
      <c r="W25" s="231"/>
      <c r="X25" s="232" t="s">
        <v>322</v>
      </c>
      <c r="Y25" s="232" t="s">
        <v>338</v>
      </c>
      <c r="Z25" s="232" t="s">
        <v>324</v>
      </c>
      <c r="AA25" s="232" t="s">
        <v>354</v>
      </c>
      <c r="AB25" s="236">
        <v>1.4E-2</v>
      </c>
      <c r="AC25" s="235">
        <v>44075</v>
      </c>
      <c r="AD25" s="234"/>
      <c r="AE25" s="235">
        <v>44809</v>
      </c>
      <c r="AF25" s="232" t="s">
        <v>77</v>
      </c>
      <c r="AG25" s="232" t="s">
        <v>350</v>
      </c>
      <c r="AH25" s="234" t="s">
        <v>317</v>
      </c>
      <c r="AI25" s="250"/>
      <c r="AJ25" s="234">
        <v>0</v>
      </c>
      <c r="AK25" s="224"/>
      <c r="AL25" s="234">
        <v>0</v>
      </c>
      <c r="AM25" s="224"/>
      <c r="AN25" s="234">
        <v>0</v>
      </c>
      <c r="AO25" s="234">
        <v>0</v>
      </c>
      <c r="AP25" s="234">
        <v>2</v>
      </c>
      <c r="AQ25" s="234">
        <v>0</v>
      </c>
      <c r="AR25" s="234">
        <v>0</v>
      </c>
      <c r="AS25" s="234">
        <v>0</v>
      </c>
      <c r="AT25" s="234">
        <v>0</v>
      </c>
      <c r="AU25" s="234">
        <v>0</v>
      </c>
      <c r="AV25" s="234">
        <v>0</v>
      </c>
      <c r="AW25" s="234">
        <v>2</v>
      </c>
      <c r="AX25" s="234">
        <v>0</v>
      </c>
      <c r="AY25" s="234">
        <v>0</v>
      </c>
      <c r="AZ25" s="234">
        <v>0</v>
      </c>
      <c r="BA25" s="234">
        <v>0</v>
      </c>
      <c r="BB25" s="234">
        <v>0</v>
      </c>
      <c r="BC25" s="234">
        <v>0</v>
      </c>
      <c r="BD25" s="234">
        <v>0</v>
      </c>
      <c r="BE25" s="234">
        <v>0</v>
      </c>
      <c r="BF25" s="234">
        <v>0</v>
      </c>
      <c r="BG25" s="234">
        <v>0</v>
      </c>
      <c r="BH25" s="234">
        <v>0</v>
      </c>
      <c r="BI25" s="234">
        <v>0</v>
      </c>
      <c r="BJ25" s="234">
        <v>0</v>
      </c>
      <c r="BK25" s="234">
        <v>0</v>
      </c>
      <c r="BL25" s="234">
        <v>0</v>
      </c>
      <c r="BM25" s="234">
        <v>0</v>
      </c>
      <c r="BN25" s="234">
        <v>0</v>
      </c>
      <c r="BO25" s="234">
        <v>0</v>
      </c>
      <c r="BP25" s="234"/>
      <c r="BQ25" s="234"/>
      <c r="BR25" s="237" t="s">
        <v>334</v>
      </c>
      <c r="BS25" s="238">
        <v>11</v>
      </c>
      <c r="BT25" s="239">
        <f t="shared" si="0"/>
        <v>2</v>
      </c>
      <c r="CN25" s="238">
        <f t="shared" si="1"/>
        <v>0</v>
      </c>
      <c r="CO25" s="238">
        <f t="shared" si="2"/>
        <v>0</v>
      </c>
    </row>
    <row r="26" spans="1:93" ht="13.95" customHeight="1" x14ac:dyDescent="0.2">
      <c r="A26" s="231">
        <v>7611</v>
      </c>
      <c r="B26" s="232" t="s">
        <v>314</v>
      </c>
      <c r="C26" s="232" t="s">
        <v>408</v>
      </c>
      <c r="D26" s="232" t="s">
        <v>409</v>
      </c>
      <c r="E26" s="232" t="s">
        <v>317</v>
      </c>
      <c r="F26" s="231">
        <v>527614</v>
      </c>
      <c r="G26" s="231">
        <v>175748</v>
      </c>
      <c r="H26" s="232" t="s">
        <v>171</v>
      </c>
      <c r="I26" s="233">
        <v>44452</v>
      </c>
      <c r="J26" s="233">
        <v>44707</v>
      </c>
      <c r="K26" s="231">
        <v>1</v>
      </c>
      <c r="L26" s="231">
        <v>4</v>
      </c>
      <c r="M26" s="231">
        <v>3</v>
      </c>
      <c r="N26" s="231">
        <v>4</v>
      </c>
      <c r="O26" s="231">
        <v>3</v>
      </c>
      <c r="P26" s="234"/>
      <c r="Q26" s="232" t="s">
        <v>410</v>
      </c>
      <c r="R26" s="234" t="s">
        <v>332</v>
      </c>
      <c r="S26" s="235">
        <v>44295</v>
      </c>
      <c r="T26" s="235">
        <v>44384</v>
      </c>
      <c r="U26" s="234"/>
      <c r="V26" s="232" t="s">
        <v>321</v>
      </c>
      <c r="W26" s="231"/>
      <c r="X26" s="232" t="s">
        <v>322</v>
      </c>
      <c r="Y26" s="232" t="s">
        <v>338</v>
      </c>
      <c r="Z26" s="232" t="s">
        <v>324</v>
      </c>
      <c r="AA26" s="232" t="s">
        <v>411</v>
      </c>
      <c r="AB26" s="236">
        <v>1.3599999999999999E-2</v>
      </c>
      <c r="AC26" s="235">
        <v>44452</v>
      </c>
      <c r="AD26" s="234"/>
      <c r="AE26" s="235">
        <v>44707</v>
      </c>
      <c r="AF26" s="232" t="s">
        <v>77</v>
      </c>
      <c r="AG26" s="232" t="s">
        <v>350</v>
      </c>
      <c r="AH26" s="234" t="s">
        <v>317</v>
      </c>
      <c r="AI26" s="250"/>
      <c r="AJ26" s="234">
        <v>0</v>
      </c>
      <c r="AK26" s="224"/>
      <c r="AL26" s="234">
        <v>0</v>
      </c>
      <c r="AM26" s="224"/>
      <c r="AN26" s="234">
        <v>0</v>
      </c>
      <c r="AO26" s="234">
        <v>0</v>
      </c>
      <c r="AP26" s="234">
        <v>2</v>
      </c>
      <c r="AQ26" s="234">
        <v>2</v>
      </c>
      <c r="AR26" s="234">
        <v>0</v>
      </c>
      <c r="AS26" s="234">
        <v>-1</v>
      </c>
      <c r="AT26" s="234">
        <v>0</v>
      </c>
      <c r="AU26" s="234">
        <v>0</v>
      </c>
      <c r="AV26" s="234">
        <v>0</v>
      </c>
      <c r="AW26" s="234">
        <v>2</v>
      </c>
      <c r="AX26" s="234">
        <v>2</v>
      </c>
      <c r="AY26" s="234">
        <v>0</v>
      </c>
      <c r="AZ26" s="234">
        <v>-1</v>
      </c>
      <c r="BA26" s="234">
        <v>0</v>
      </c>
      <c r="BB26" s="234">
        <v>0</v>
      </c>
      <c r="BC26" s="234">
        <v>0</v>
      </c>
      <c r="BD26" s="234">
        <v>0</v>
      </c>
      <c r="BE26" s="234">
        <v>0</v>
      </c>
      <c r="BF26" s="234">
        <v>0</v>
      </c>
      <c r="BG26" s="234">
        <v>0</v>
      </c>
      <c r="BH26" s="234">
        <v>0</v>
      </c>
      <c r="BI26" s="234">
        <v>0</v>
      </c>
      <c r="BJ26" s="234">
        <v>0</v>
      </c>
      <c r="BK26" s="234">
        <v>0</v>
      </c>
      <c r="BL26" s="234">
        <v>0</v>
      </c>
      <c r="BM26" s="234">
        <v>0</v>
      </c>
      <c r="BN26" s="234">
        <v>0</v>
      </c>
      <c r="BO26" s="234">
        <v>0</v>
      </c>
      <c r="BP26" s="234"/>
      <c r="BQ26" s="234"/>
      <c r="BR26" s="237" t="s">
        <v>150</v>
      </c>
      <c r="BS26" s="238">
        <v>11</v>
      </c>
      <c r="BT26" s="239">
        <f t="shared" si="0"/>
        <v>3</v>
      </c>
      <c r="CN26" s="238">
        <f t="shared" si="1"/>
        <v>0</v>
      </c>
      <c r="CO26" s="238">
        <f t="shared" si="2"/>
        <v>0</v>
      </c>
    </row>
    <row r="27" spans="1:93" ht="13.95" customHeight="1" x14ac:dyDescent="0.2">
      <c r="A27" s="231">
        <v>7663</v>
      </c>
      <c r="B27" s="232" t="s">
        <v>314</v>
      </c>
      <c r="C27" s="232" t="s">
        <v>412</v>
      </c>
      <c r="D27" s="232" t="s">
        <v>413</v>
      </c>
      <c r="E27" s="232" t="s">
        <v>317</v>
      </c>
      <c r="F27" s="231">
        <v>527229</v>
      </c>
      <c r="G27" s="231">
        <v>171481</v>
      </c>
      <c r="H27" s="232" t="s">
        <v>177</v>
      </c>
      <c r="I27" s="233">
        <v>44439</v>
      </c>
      <c r="J27" s="233">
        <v>44705</v>
      </c>
      <c r="K27" s="231">
        <v>1</v>
      </c>
      <c r="L27" s="231">
        <v>4</v>
      </c>
      <c r="M27" s="231">
        <v>3</v>
      </c>
      <c r="N27" s="231">
        <v>4</v>
      </c>
      <c r="O27" s="231">
        <v>3</v>
      </c>
      <c r="P27" s="234"/>
      <c r="Q27" s="232" t="s">
        <v>414</v>
      </c>
      <c r="R27" s="234" t="s">
        <v>332</v>
      </c>
      <c r="S27" s="235">
        <v>44383</v>
      </c>
      <c r="T27" s="235">
        <v>44439</v>
      </c>
      <c r="U27" s="234"/>
      <c r="V27" s="232" t="s">
        <v>321</v>
      </c>
      <c r="W27" s="231"/>
      <c r="X27" s="232" t="s">
        <v>322</v>
      </c>
      <c r="Y27" s="232" t="s">
        <v>365</v>
      </c>
      <c r="Z27" s="232" t="s">
        <v>324</v>
      </c>
      <c r="AA27" s="232" t="s">
        <v>15</v>
      </c>
      <c r="AB27" s="236">
        <v>6.0749999999999997E-3</v>
      </c>
      <c r="AC27" s="235">
        <v>44439</v>
      </c>
      <c r="AD27" s="234"/>
      <c r="AE27" s="235">
        <v>44705</v>
      </c>
      <c r="AF27" s="232" t="s">
        <v>77</v>
      </c>
      <c r="AG27" s="232" t="s">
        <v>350</v>
      </c>
      <c r="AH27" s="234" t="s">
        <v>317</v>
      </c>
      <c r="AI27" s="250"/>
      <c r="AJ27" s="234">
        <v>0</v>
      </c>
      <c r="AK27" s="224"/>
      <c r="AL27" s="234">
        <v>0</v>
      </c>
      <c r="AM27" s="224"/>
      <c r="AN27" s="234">
        <v>0</v>
      </c>
      <c r="AO27" s="234">
        <v>2</v>
      </c>
      <c r="AP27" s="234">
        <v>1</v>
      </c>
      <c r="AQ27" s="234">
        <v>0</v>
      </c>
      <c r="AR27" s="234">
        <v>0</v>
      </c>
      <c r="AS27" s="234">
        <v>0</v>
      </c>
      <c r="AT27" s="234">
        <v>0</v>
      </c>
      <c r="AU27" s="234">
        <v>0</v>
      </c>
      <c r="AV27" s="234">
        <v>2</v>
      </c>
      <c r="AW27" s="234">
        <v>1</v>
      </c>
      <c r="AX27" s="234">
        <v>1</v>
      </c>
      <c r="AY27" s="234">
        <v>0</v>
      </c>
      <c r="AZ27" s="234">
        <v>0</v>
      </c>
      <c r="BA27" s="234">
        <v>0</v>
      </c>
      <c r="BB27" s="234">
        <v>0</v>
      </c>
      <c r="BC27" s="234">
        <v>0</v>
      </c>
      <c r="BD27" s="234">
        <v>0</v>
      </c>
      <c r="BE27" s="234">
        <v>-1</v>
      </c>
      <c r="BF27" s="234">
        <v>0</v>
      </c>
      <c r="BG27" s="234">
        <v>0</v>
      </c>
      <c r="BH27" s="234">
        <v>0</v>
      </c>
      <c r="BI27" s="234">
        <v>0</v>
      </c>
      <c r="BJ27" s="234">
        <v>0</v>
      </c>
      <c r="BK27" s="234">
        <v>0</v>
      </c>
      <c r="BL27" s="234">
        <v>0</v>
      </c>
      <c r="BM27" s="234">
        <v>0</v>
      </c>
      <c r="BN27" s="234">
        <v>0</v>
      </c>
      <c r="BO27" s="234">
        <v>0</v>
      </c>
      <c r="BP27" s="234"/>
      <c r="BQ27" s="234"/>
      <c r="BR27" s="237" t="s">
        <v>144</v>
      </c>
      <c r="BS27" s="238">
        <v>11</v>
      </c>
      <c r="BT27" s="239">
        <f t="shared" si="0"/>
        <v>3</v>
      </c>
      <c r="CN27" s="238">
        <f t="shared" si="1"/>
        <v>0</v>
      </c>
      <c r="CO27" s="238">
        <f t="shared" si="2"/>
        <v>0</v>
      </c>
    </row>
    <row r="28" spans="1:93" ht="13.95" customHeight="1" x14ac:dyDescent="0.2">
      <c r="A28" s="231">
        <v>6695</v>
      </c>
      <c r="B28" s="232" t="s">
        <v>314</v>
      </c>
      <c r="C28" s="232" t="s">
        <v>415</v>
      </c>
      <c r="D28" s="232" t="s">
        <v>416</v>
      </c>
      <c r="E28" s="232" t="s">
        <v>317</v>
      </c>
      <c r="F28" s="231">
        <v>526188</v>
      </c>
      <c r="G28" s="231">
        <v>172838</v>
      </c>
      <c r="H28" s="232" t="s">
        <v>180</v>
      </c>
      <c r="I28" s="233">
        <v>44069</v>
      </c>
      <c r="J28" s="233">
        <v>44732</v>
      </c>
      <c r="K28" s="231">
        <v>0</v>
      </c>
      <c r="L28" s="231">
        <v>3</v>
      </c>
      <c r="M28" s="231">
        <v>3</v>
      </c>
      <c r="N28" s="231">
        <v>3</v>
      </c>
      <c r="O28" s="231">
        <v>3</v>
      </c>
      <c r="P28" s="234"/>
      <c r="Q28" s="232" t="s">
        <v>417</v>
      </c>
      <c r="R28" s="234" t="s">
        <v>332</v>
      </c>
      <c r="S28" s="235">
        <v>42984</v>
      </c>
      <c r="T28" s="235">
        <v>43083</v>
      </c>
      <c r="U28" s="234"/>
      <c r="V28" s="232" t="s">
        <v>321</v>
      </c>
      <c r="W28" s="231"/>
      <c r="X28" s="232" t="s">
        <v>418</v>
      </c>
      <c r="Y28" s="232" t="s">
        <v>323</v>
      </c>
      <c r="Z28" s="232" t="s">
        <v>324</v>
      </c>
      <c r="AA28" s="232" t="s">
        <v>349</v>
      </c>
      <c r="AB28" s="236">
        <v>2.8000000000000001E-2</v>
      </c>
      <c r="AC28" s="235">
        <v>44069</v>
      </c>
      <c r="AD28" s="234"/>
      <c r="AE28" s="235">
        <v>44732</v>
      </c>
      <c r="AF28" s="232" t="s">
        <v>77</v>
      </c>
      <c r="AG28" s="232" t="s">
        <v>350</v>
      </c>
      <c r="AH28" s="234" t="s">
        <v>317</v>
      </c>
      <c r="AI28" s="250"/>
      <c r="AJ28" s="234">
        <v>0</v>
      </c>
      <c r="AK28" s="224"/>
      <c r="AL28" s="234">
        <v>0</v>
      </c>
      <c r="AM28" s="224"/>
      <c r="AN28" s="234">
        <v>0</v>
      </c>
      <c r="AO28" s="234">
        <v>3</v>
      </c>
      <c r="AP28" s="234">
        <v>0</v>
      </c>
      <c r="AQ28" s="234">
        <v>0</v>
      </c>
      <c r="AR28" s="234">
        <v>0</v>
      </c>
      <c r="AS28" s="234">
        <v>0</v>
      </c>
      <c r="AT28" s="234">
        <v>0</v>
      </c>
      <c r="AU28" s="234">
        <v>0</v>
      </c>
      <c r="AV28" s="234">
        <v>3</v>
      </c>
      <c r="AW28" s="234">
        <v>0</v>
      </c>
      <c r="AX28" s="234">
        <v>0</v>
      </c>
      <c r="AY28" s="234">
        <v>0</v>
      </c>
      <c r="AZ28" s="234">
        <v>0</v>
      </c>
      <c r="BA28" s="234">
        <v>0</v>
      </c>
      <c r="BB28" s="234">
        <v>0</v>
      </c>
      <c r="BC28" s="234">
        <v>0</v>
      </c>
      <c r="BD28" s="234">
        <v>0</v>
      </c>
      <c r="BE28" s="234">
        <v>0</v>
      </c>
      <c r="BF28" s="234">
        <v>0</v>
      </c>
      <c r="BG28" s="234">
        <v>0</v>
      </c>
      <c r="BH28" s="234">
        <v>0</v>
      </c>
      <c r="BI28" s="234">
        <v>0</v>
      </c>
      <c r="BJ28" s="234">
        <v>0</v>
      </c>
      <c r="BK28" s="234">
        <v>0</v>
      </c>
      <c r="BL28" s="234">
        <v>0</v>
      </c>
      <c r="BM28" s="234">
        <v>0</v>
      </c>
      <c r="BN28" s="234">
        <v>0</v>
      </c>
      <c r="BO28" s="234">
        <v>0</v>
      </c>
      <c r="BP28" s="234"/>
      <c r="BQ28" s="234"/>
      <c r="BR28" s="237" t="s">
        <v>334</v>
      </c>
      <c r="BS28" s="238">
        <v>1</v>
      </c>
      <c r="BT28" s="239">
        <f t="shared" si="0"/>
        <v>3</v>
      </c>
      <c r="CN28" s="238">
        <f t="shared" si="1"/>
        <v>0</v>
      </c>
      <c r="CO28" s="238">
        <f t="shared" si="2"/>
        <v>0</v>
      </c>
    </row>
    <row r="29" spans="1:93" ht="13.95" customHeight="1" x14ac:dyDescent="0.2">
      <c r="A29" s="231">
        <v>6930</v>
      </c>
      <c r="B29" s="232" t="s">
        <v>314</v>
      </c>
      <c r="C29" s="232" t="s">
        <v>419</v>
      </c>
      <c r="D29" s="232" t="s">
        <v>420</v>
      </c>
      <c r="E29" s="232" t="s">
        <v>317</v>
      </c>
      <c r="F29" s="231">
        <v>526666</v>
      </c>
      <c r="G29" s="231">
        <v>174232</v>
      </c>
      <c r="H29" s="232" t="s">
        <v>179</v>
      </c>
      <c r="I29" s="233">
        <v>43733</v>
      </c>
      <c r="J29" s="233">
        <v>44713</v>
      </c>
      <c r="K29" s="231">
        <v>1</v>
      </c>
      <c r="L29" s="231">
        <v>3</v>
      </c>
      <c r="M29" s="231">
        <v>2</v>
      </c>
      <c r="N29" s="231">
        <v>3</v>
      </c>
      <c r="O29" s="231">
        <v>2</v>
      </c>
      <c r="P29" s="234"/>
      <c r="Q29" s="232" t="s">
        <v>421</v>
      </c>
      <c r="R29" s="234" t="s">
        <v>332</v>
      </c>
      <c r="S29" s="235">
        <v>43196</v>
      </c>
      <c r="T29" s="235">
        <v>43265</v>
      </c>
      <c r="U29" s="234"/>
      <c r="V29" s="232" t="s">
        <v>321</v>
      </c>
      <c r="W29" s="231"/>
      <c r="X29" s="232" t="s">
        <v>322</v>
      </c>
      <c r="Y29" s="232" t="s">
        <v>338</v>
      </c>
      <c r="Z29" s="232" t="s">
        <v>324</v>
      </c>
      <c r="AA29" s="232" t="s">
        <v>15</v>
      </c>
      <c r="AB29" s="236">
        <v>2.9000000000000001E-2</v>
      </c>
      <c r="AC29" s="235">
        <v>43733</v>
      </c>
      <c r="AD29" s="234"/>
      <c r="AE29" s="235">
        <v>44713</v>
      </c>
      <c r="AF29" s="232" t="s">
        <v>77</v>
      </c>
      <c r="AG29" s="232" t="s">
        <v>350</v>
      </c>
      <c r="AH29" s="234" t="s">
        <v>317</v>
      </c>
      <c r="AI29" s="250"/>
      <c r="AJ29" s="234">
        <v>0</v>
      </c>
      <c r="AK29" s="224"/>
      <c r="AL29" s="234">
        <v>0</v>
      </c>
      <c r="AM29" s="224"/>
      <c r="AN29" s="234">
        <v>0</v>
      </c>
      <c r="AO29" s="234">
        <v>1</v>
      </c>
      <c r="AP29" s="234">
        <v>1</v>
      </c>
      <c r="AQ29" s="234">
        <v>1</v>
      </c>
      <c r="AR29" s="234">
        <v>-1</v>
      </c>
      <c r="AS29" s="234">
        <v>0</v>
      </c>
      <c r="AT29" s="234">
        <v>0</v>
      </c>
      <c r="AU29" s="234">
        <v>0</v>
      </c>
      <c r="AV29" s="234">
        <v>1</v>
      </c>
      <c r="AW29" s="234">
        <v>1</v>
      </c>
      <c r="AX29" s="234">
        <v>1</v>
      </c>
      <c r="AY29" s="234">
        <v>0</v>
      </c>
      <c r="AZ29" s="234">
        <v>0</v>
      </c>
      <c r="BA29" s="234">
        <v>0</v>
      </c>
      <c r="BB29" s="234">
        <v>0</v>
      </c>
      <c r="BC29" s="234">
        <v>0</v>
      </c>
      <c r="BD29" s="234">
        <v>0</v>
      </c>
      <c r="BE29" s="234">
        <v>0</v>
      </c>
      <c r="BF29" s="234">
        <v>-1</v>
      </c>
      <c r="BG29" s="234">
        <v>0</v>
      </c>
      <c r="BH29" s="234">
        <v>0</v>
      </c>
      <c r="BI29" s="234">
        <v>0</v>
      </c>
      <c r="BJ29" s="234">
        <v>0</v>
      </c>
      <c r="BK29" s="234">
        <v>0</v>
      </c>
      <c r="BL29" s="234">
        <v>0</v>
      </c>
      <c r="BM29" s="234">
        <v>0</v>
      </c>
      <c r="BN29" s="234">
        <v>0</v>
      </c>
      <c r="BO29" s="234">
        <v>0</v>
      </c>
      <c r="BP29" s="234"/>
      <c r="BQ29" s="234"/>
      <c r="BR29" s="237" t="s">
        <v>334</v>
      </c>
      <c r="BS29" s="238">
        <v>11</v>
      </c>
      <c r="BT29" s="239">
        <f t="shared" si="0"/>
        <v>2</v>
      </c>
      <c r="CN29" s="238">
        <f t="shared" si="1"/>
        <v>0</v>
      </c>
      <c r="CO29" s="238">
        <f t="shared" si="2"/>
        <v>0</v>
      </c>
    </row>
    <row r="30" spans="1:93" ht="13.95" customHeight="1" x14ac:dyDescent="0.2">
      <c r="A30" s="231">
        <v>7173</v>
      </c>
      <c r="B30" s="232" t="s">
        <v>314</v>
      </c>
      <c r="C30" s="232" t="s">
        <v>422</v>
      </c>
      <c r="D30" s="232" t="s">
        <v>423</v>
      </c>
      <c r="E30" s="232" t="s">
        <v>317</v>
      </c>
      <c r="F30" s="231">
        <v>527960</v>
      </c>
      <c r="G30" s="231">
        <v>175575</v>
      </c>
      <c r="H30" s="232" t="s">
        <v>167</v>
      </c>
      <c r="I30" s="233">
        <v>44287</v>
      </c>
      <c r="J30" s="233">
        <v>44790</v>
      </c>
      <c r="K30" s="231">
        <v>0</v>
      </c>
      <c r="L30" s="231">
        <v>3</v>
      </c>
      <c r="M30" s="231">
        <v>3</v>
      </c>
      <c r="N30" s="231">
        <v>3</v>
      </c>
      <c r="O30" s="231">
        <v>3</v>
      </c>
      <c r="P30" s="234"/>
      <c r="Q30" s="232" t="s">
        <v>424</v>
      </c>
      <c r="R30" s="234" t="s">
        <v>332</v>
      </c>
      <c r="S30" s="235">
        <v>43567</v>
      </c>
      <c r="T30" s="235">
        <v>43622</v>
      </c>
      <c r="U30" s="234"/>
      <c r="V30" s="232" t="s">
        <v>321</v>
      </c>
      <c r="W30" s="231"/>
      <c r="X30" s="232" t="s">
        <v>322</v>
      </c>
      <c r="Y30" s="232" t="s">
        <v>338</v>
      </c>
      <c r="Z30" s="232" t="s">
        <v>324</v>
      </c>
      <c r="AA30" s="232" t="s">
        <v>354</v>
      </c>
      <c r="AB30" s="236">
        <v>8.0000000000000002E-3</v>
      </c>
      <c r="AC30" s="235">
        <v>44287</v>
      </c>
      <c r="AD30" s="234"/>
      <c r="AE30" s="235">
        <v>44790</v>
      </c>
      <c r="AF30" s="232" t="s">
        <v>77</v>
      </c>
      <c r="AG30" s="232" t="s">
        <v>350</v>
      </c>
      <c r="AH30" s="234" t="s">
        <v>317</v>
      </c>
      <c r="AI30" s="250"/>
      <c r="AJ30" s="234">
        <v>0</v>
      </c>
      <c r="AK30" s="224"/>
      <c r="AL30" s="234">
        <v>0</v>
      </c>
      <c r="AM30" s="224"/>
      <c r="AN30" s="234">
        <v>0</v>
      </c>
      <c r="AO30" s="234">
        <v>1</v>
      </c>
      <c r="AP30" s="234">
        <v>2</v>
      </c>
      <c r="AQ30" s="234">
        <v>0</v>
      </c>
      <c r="AR30" s="234">
        <v>0</v>
      </c>
      <c r="AS30" s="234">
        <v>0</v>
      </c>
      <c r="AT30" s="234">
        <v>0</v>
      </c>
      <c r="AU30" s="234">
        <v>0</v>
      </c>
      <c r="AV30" s="234">
        <v>1</v>
      </c>
      <c r="AW30" s="234">
        <v>2</v>
      </c>
      <c r="AX30" s="234">
        <v>0</v>
      </c>
      <c r="AY30" s="234">
        <v>0</v>
      </c>
      <c r="AZ30" s="234">
        <v>0</v>
      </c>
      <c r="BA30" s="234">
        <v>0</v>
      </c>
      <c r="BB30" s="234">
        <v>0</v>
      </c>
      <c r="BC30" s="234">
        <v>0</v>
      </c>
      <c r="BD30" s="234">
        <v>0</v>
      </c>
      <c r="BE30" s="234">
        <v>0</v>
      </c>
      <c r="BF30" s="234">
        <v>0</v>
      </c>
      <c r="BG30" s="234">
        <v>0</v>
      </c>
      <c r="BH30" s="234">
        <v>0</v>
      </c>
      <c r="BI30" s="234">
        <v>0</v>
      </c>
      <c r="BJ30" s="234">
        <v>0</v>
      </c>
      <c r="BK30" s="234">
        <v>0</v>
      </c>
      <c r="BL30" s="234">
        <v>0</v>
      </c>
      <c r="BM30" s="234">
        <v>0</v>
      </c>
      <c r="BN30" s="234">
        <v>0</v>
      </c>
      <c r="BO30" s="234">
        <v>0</v>
      </c>
      <c r="BP30" s="234"/>
      <c r="BQ30" s="234"/>
      <c r="BR30" s="237" t="s">
        <v>150</v>
      </c>
      <c r="BS30" s="238">
        <v>11</v>
      </c>
      <c r="BT30" s="239">
        <f t="shared" si="0"/>
        <v>3</v>
      </c>
      <c r="CN30" s="238">
        <f t="shared" si="1"/>
        <v>0</v>
      </c>
      <c r="CO30" s="238">
        <f t="shared" si="2"/>
        <v>0</v>
      </c>
    </row>
    <row r="31" spans="1:93" ht="13.95" customHeight="1" x14ac:dyDescent="0.2">
      <c r="A31" s="231">
        <v>6809</v>
      </c>
      <c r="B31" s="232" t="s">
        <v>314</v>
      </c>
      <c r="C31" s="232" t="s">
        <v>425</v>
      </c>
      <c r="D31" s="232" t="s">
        <v>426</v>
      </c>
      <c r="E31" s="232" t="s">
        <v>317</v>
      </c>
      <c r="F31" s="231">
        <v>529284</v>
      </c>
      <c r="G31" s="231">
        <v>171134</v>
      </c>
      <c r="H31" s="232" t="s">
        <v>166</v>
      </c>
      <c r="I31" s="233">
        <v>44287</v>
      </c>
      <c r="J31" s="233">
        <v>44876</v>
      </c>
      <c r="K31" s="231">
        <v>0</v>
      </c>
      <c r="L31" s="231">
        <v>3</v>
      </c>
      <c r="M31" s="231">
        <v>3</v>
      </c>
      <c r="N31" s="231">
        <v>3</v>
      </c>
      <c r="O31" s="231">
        <v>3</v>
      </c>
      <c r="P31" s="234"/>
      <c r="Q31" s="232" t="s">
        <v>427</v>
      </c>
      <c r="R31" s="234" t="s">
        <v>428</v>
      </c>
      <c r="S31" s="235">
        <v>43782</v>
      </c>
      <c r="T31" s="235">
        <v>43832</v>
      </c>
      <c r="U31" s="234"/>
      <c r="V31" s="232" t="s">
        <v>321</v>
      </c>
      <c r="W31" s="231"/>
      <c r="X31" s="232" t="s">
        <v>322</v>
      </c>
      <c r="Y31" s="232" t="s">
        <v>378</v>
      </c>
      <c r="Z31" s="232" t="s">
        <v>324</v>
      </c>
      <c r="AA31" s="232" t="s">
        <v>25</v>
      </c>
      <c r="AB31" s="236">
        <v>1.0999999999999999E-2</v>
      </c>
      <c r="AC31" s="235">
        <v>44287</v>
      </c>
      <c r="AD31" s="234"/>
      <c r="AE31" s="235">
        <v>44876</v>
      </c>
      <c r="AF31" s="232" t="s">
        <v>77</v>
      </c>
      <c r="AG31" s="232" t="s">
        <v>350</v>
      </c>
      <c r="AH31" s="234" t="s">
        <v>317</v>
      </c>
      <c r="AI31" s="250"/>
      <c r="AJ31" s="234">
        <v>0</v>
      </c>
      <c r="AK31" s="224"/>
      <c r="AL31" s="234">
        <v>0</v>
      </c>
      <c r="AM31" s="224"/>
      <c r="AN31" s="234">
        <v>0</v>
      </c>
      <c r="AO31" s="234">
        <v>1</v>
      </c>
      <c r="AP31" s="234">
        <v>2</v>
      </c>
      <c r="AQ31" s="234">
        <v>0</v>
      </c>
      <c r="AR31" s="234">
        <v>0</v>
      </c>
      <c r="AS31" s="234">
        <v>0</v>
      </c>
      <c r="AT31" s="234">
        <v>0</v>
      </c>
      <c r="AU31" s="234">
        <v>0</v>
      </c>
      <c r="AV31" s="234">
        <v>1</v>
      </c>
      <c r="AW31" s="234">
        <v>2</v>
      </c>
      <c r="AX31" s="234">
        <v>0</v>
      </c>
      <c r="AY31" s="234">
        <v>0</v>
      </c>
      <c r="AZ31" s="234">
        <v>0</v>
      </c>
      <c r="BA31" s="234">
        <v>0</v>
      </c>
      <c r="BB31" s="234">
        <v>0</v>
      </c>
      <c r="BC31" s="234">
        <v>0</v>
      </c>
      <c r="BD31" s="234">
        <v>0</v>
      </c>
      <c r="BE31" s="234">
        <v>0</v>
      </c>
      <c r="BF31" s="234">
        <v>0</v>
      </c>
      <c r="BG31" s="234">
        <v>0</v>
      </c>
      <c r="BH31" s="234">
        <v>0</v>
      </c>
      <c r="BI31" s="234">
        <v>0</v>
      </c>
      <c r="BJ31" s="234">
        <v>0</v>
      </c>
      <c r="BK31" s="234">
        <v>0</v>
      </c>
      <c r="BL31" s="234">
        <v>0</v>
      </c>
      <c r="BM31" s="234">
        <v>0</v>
      </c>
      <c r="BN31" s="234">
        <v>0</v>
      </c>
      <c r="BO31" s="234">
        <v>0</v>
      </c>
      <c r="BP31" s="234"/>
      <c r="BQ31" s="234"/>
      <c r="BR31" s="237" t="s">
        <v>334</v>
      </c>
      <c r="BS31" s="238">
        <v>11</v>
      </c>
      <c r="BT31" s="239">
        <f t="shared" si="0"/>
        <v>3</v>
      </c>
      <c r="CN31" s="238">
        <f t="shared" si="1"/>
        <v>0</v>
      </c>
      <c r="CO31" s="238">
        <f t="shared" si="2"/>
        <v>0</v>
      </c>
    </row>
    <row r="32" spans="1:93" ht="13.95" customHeight="1" x14ac:dyDescent="0.2">
      <c r="A32" s="231">
        <v>7408</v>
      </c>
      <c r="B32" s="232" t="s">
        <v>314</v>
      </c>
      <c r="C32" s="232" t="s">
        <v>429</v>
      </c>
      <c r="D32" s="232" t="s">
        <v>430</v>
      </c>
      <c r="E32" s="232" t="s">
        <v>317</v>
      </c>
      <c r="F32" s="231">
        <v>525222</v>
      </c>
      <c r="G32" s="231">
        <v>173872</v>
      </c>
      <c r="H32" s="232" t="s">
        <v>164</v>
      </c>
      <c r="I32" s="233">
        <v>44202</v>
      </c>
      <c r="J32" s="233">
        <v>44949</v>
      </c>
      <c r="K32" s="231">
        <v>1</v>
      </c>
      <c r="L32" s="231">
        <v>3</v>
      </c>
      <c r="M32" s="231">
        <v>2</v>
      </c>
      <c r="N32" s="231">
        <v>3</v>
      </c>
      <c r="O32" s="231">
        <v>2</v>
      </c>
      <c r="P32" s="234"/>
      <c r="Q32" s="232" t="s">
        <v>431</v>
      </c>
      <c r="R32" s="234" t="s">
        <v>332</v>
      </c>
      <c r="S32" s="235">
        <v>43861</v>
      </c>
      <c r="T32" s="235">
        <v>43986</v>
      </c>
      <c r="U32" s="234"/>
      <c r="V32" s="232" t="s">
        <v>321</v>
      </c>
      <c r="W32" s="231"/>
      <c r="X32" s="232" t="s">
        <v>322</v>
      </c>
      <c r="Y32" s="232" t="s">
        <v>338</v>
      </c>
      <c r="Z32" s="232" t="s">
        <v>324</v>
      </c>
      <c r="AA32" s="232" t="s">
        <v>411</v>
      </c>
      <c r="AB32" s="236">
        <v>8.9999999999999993E-3</v>
      </c>
      <c r="AC32" s="235">
        <v>44202</v>
      </c>
      <c r="AD32" s="234"/>
      <c r="AE32" s="235">
        <v>44949</v>
      </c>
      <c r="AF32" s="232" t="s">
        <v>77</v>
      </c>
      <c r="AG32" s="232" t="s">
        <v>350</v>
      </c>
      <c r="AH32" s="234" t="s">
        <v>317</v>
      </c>
      <c r="AI32" s="250"/>
      <c r="AJ32" s="234">
        <v>0</v>
      </c>
      <c r="AK32" s="224"/>
      <c r="AL32" s="234">
        <v>0</v>
      </c>
      <c r="AM32" s="224"/>
      <c r="AN32" s="234">
        <v>0</v>
      </c>
      <c r="AO32" s="234">
        <v>3</v>
      </c>
      <c r="AP32" s="234">
        <v>-1</v>
      </c>
      <c r="AQ32" s="234">
        <v>0</v>
      </c>
      <c r="AR32" s="234">
        <v>0</v>
      </c>
      <c r="AS32" s="234">
        <v>0</v>
      </c>
      <c r="AT32" s="234">
        <v>0</v>
      </c>
      <c r="AU32" s="234">
        <v>0</v>
      </c>
      <c r="AV32" s="234">
        <v>3</v>
      </c>
      <c r="AW32" s="234">
        <v>-1</v>
      </c>
      <c r="AX32" s="234">
        <v>0</v>
      </c>
      <c r="AY32" s="234">
        <v>0</v>
      </c>
      <c r="AZ32" s="234">
        <v>0</v>
      </c>
      <c r="BA32" s="234">
        <v>0</v>
      </c>
      <c r="BB32" s="234">
        <v>0</v>
      </c>
      <c r="BC32" s="234">
        <v>0</v>
      </c>
      <c r="BD32" s="234">
        <v>0</v>
      </c>
      <c r="BE32" s="234">
        <v>0</v>
      </c>
      <c r="BF32" s="234">
        <v>0</v>
      </c>
      <c r="BG32" s="234">
        <v>0</v>
      </c>
      <c r="BH32" s="234">
        <v>0</v>
      </c>
      <c r="BI32" s="234">
        <v>0</v>
      </c>
      <c r="BJ32" s="234">
        <v>0</v>
      </c>
      <c r="BK32" s="234">
        <v>0</v>
      </c>
      <c r="BL32" s="234">
        <v>0</v>
      </c>
      <c r="BM32" s="234">
        <v>0</v>
      </c>
      <c r="BN32" s="234">
        <v>0</v>
      </c>
      <c r="BO32" s="234">
        <v>0</v>
      </c>
      <c r="BP32" s="234"/>
      <c r="BQ32" s="234"/>
      <c r="BR32" s="237" t="s">
        <v>154</v>
      </c>
      <c r="BS32" s="238">
        <v>11</v>
      </c>
      <c r="BT32" s="239">
        <f t="shared" si="0"/>
        <v>2</v>
      </c>
      <c r="CN32" s="238">
        <f t="shared" si="1"/>
        <v>0</v>
      </c>
      <c r="CO32" s="238">
        <f t="shared" si="2"/>
        <v>0</v>
      </c>
    </row>
    <row r="33" spans="1:93" ht="13.95" customHeight="1" x14ac:dyDescent="0.2">
      <c r="A33" s="231">
        <v>7645</v>
      </c>
      <c r="B33" s="232" t="s">
        <v>314</v>
      </c>
      <c r="C33" s="232" t="s">
        <v>432</v>
      </c>
      <c r="D33" s="232" t="s">
        <v>433</v>
      </c>
      <c r="E33" s="232" t="s">
        <v>317</v>
      </c>
      <c r="F33" s="231">
        <v>527230</v>
      </c>
      <c r="G33" s="231">
        <v>171110</v>
      </c>
      <c r="H33" s="232" t="s">
        <v>177</v>
      </c>
      <c r="I33" s="233">
        <v>44476</v>
      </c>
      <c r="J33" s="233">
        <v>44815</v>
      </c>
      <c r="K33" s="231">
        <v>2</v>
      </c>
      <c r="L33" s="231">
        <v>3</v>
      </c>
      <c r="M33" s="231">
        <v>1</v>
      </c>
      <c r="N33" s="231">
        <v>3</v>
      </c>
      <c r="O33" s="231">
        <v>1</v>
      </c>
      <c r="P33" s="234"/>
      <c r="Q33" s="232" t="s">
        <v>434</v>
      </c>
      <c r="R33" s="234" t="s">
        <v>332</v>
      </c>
      <c r="S33" s="235">
        <v>44363</v>
      </c>
      <c r="T33" s="235">
        <v>44418</v>
      </c>
      <c r="U33" s="234"/>
      <c r="V33" s="232" t="s">
        <v>321</v>
      </c>
      <c r="W33" s="231"/>
      <c r="X33" s="232" t="s">
        <v>322</v>
      </c>
      <c r="Y33" s="232" t="s">
        <v>339</v>
      </c>
      <c r="Z33" s="232" t="s">
        <v>324</v>
      </c>
      <c r="AA33" s="232" t="s">
        <v>354</v>
      </c>
      <c r="AB33" s="236">
        <v>4.0000000000000001E-3</v>
      </c>
      <c r="AC33" s="235">
        <v>44476</v>
      </c>
      <c r="AD33" s="234"/>
      <c r="AE33" s="235">
        <v>44815</v>
      </c>
      <c r="AF33" s="232" t="s">
        <v>77</v>
      </c>
      <c r="AG33" s="232" t="s">
        <v>350</v>
      </c>
      <c r="AH33" s="234" t="s">
        <v>317</v>
      </c>
      <c r="AI33" s="250"/>
      <c r="AJ33" s="234">
        <v>0</v>
      </c>
      <c r="AK33" s="224"/>
      <c r="AL33" s="234">
        <v>0</v>
      </c>
      <c r="AM33" s="224"/>
      <c r="AN33" s="234">
        <v>1</v>
      </c>
      <c r="AO33" s="234">
        <v>0</v>
      </c>
      <c r="AP33" s="234">
        <v>0</v>
      </c>
      <c r="AQ33" s="234">
        <v>0</v>
      </c>
      <c r="AR33" s="234">
        <v>0</v>
      </c>
      <c r="AS33" s="234">
        <v>0</v>
      </c>
      <c r="AT33" s="234">
        <v>0</v>
      </c>
      <c r="AU33" s="234">
        <v>1</v>
      </c>
      <c r="AV33" s="234">
        <v>0</v>
      </c>
      <c r="AW33" s="234">
        <v>0</v>
      </c>
      <c r="AX33" s="234">
        <v>0</v>
      </c>
      <c r="AY33" s="234">
        <v>0</v>
      </c>
      <c r="AZ33" s="234">
        <v>0</v>
      </c>
      <c r="BA33" s="234">
        <v>0</v>
      </c>
      <c r="BB33" s="234">
        <v>0</v>
      </c>
      <c r="BC33" s="234">
        <v>0</v>
      </c>
      <c r="BD33" s="234">
        <v>0</v>
      </c>
      <c r="BE33" s="234">
        <v>0</v>
      </c>
      <c r="BF33" s="234">
        <v>0</v>
      </c>
      <c r="BG33" s="234">
        <v>0</v>
      </c>
      <c r="BH33" s="234">
        <v>0</v>
      </c>
      <c r="BI33" s="234">
        <v>0</v>
      </c>
      <c r="BJ33" s="234">
        <v>0</v>
      </c>
      <c r="BK33" s="234">
        <v>0</v>
      </c>
      <c r="BL33" s="234">
        <v>0</v>
      </c>
      <c r="BM33" s="234">
        <v>0</v>
      </c>
      <c r="BN33" s="234">
        <v>0</v>
      </c>
      <c r="BO33" s="234">
        <v>0</v>
      </c>
      <c r="BP33" s="234"/>
      <c r="BQ33" s="234"/>
      <c r="BR33" s="237" t="s">
        <v>144</v>
      </c>
      <c r="BS33" s="238">
        <v>11</v>
      </c>
      <c r="BT33" s="239">
        <f t="shared" si="0"/>
        <v>1</v>
      </c>
      <c r="CN33" s="238">
        <f t="shared" si="1"/>
        <v>0</v>
      </c>
      <c r="CO33" s="238">
        <f t="shared" si="2"/>
        <v>0</v>
      </c>
    </row>
    <row r="34" spans="1:93" ht="13.95" customHeight="1" x14ac:dyDescent="0.2">
      <c r="A34" s="231">
        <v>7649</v>
      </c>
      <c r="B34" s="232" t="s">
        <v>314</v>
      </c>
      <c r="C34" s="232" t="s">
        <v>435</v>
      </c>
      <c r="D34" s="232" t="s">
        <v>436</v>
      </c>
      <c r="E34" s="232" t="s">
        <v>317</v>
      </c>
      <c r="F34" s="231">
        <v>525941</v>
      </c>
      <c r="G34" s="231">
        <v>173431</v>
      </c>
      <c r="H34" s="232" t="s">
        <v>179</v>
      </c>
      <c r="I34" s="233">
        <v>44523</v>
      </c>
      <c r="J34" s="233">
        <v>44718</v>
      </c>
      <c r="K34" s="231">
        <v>2</v>
      </c>
      <c r="L34" s="231">
        <v>3</v>
      </c>
      <c r="M34" s="231">
        <v>1</v>
      </c>
      <c r="N34" s="231">
        <v>3</v>
      </c>
      <c r="O34" s="231">
        <v>1</v>
      </c>
      <c r="P34" s="234"/>
      <c r="Q34" s="232" t="s">
        <v>437</v>
      </c>
      <c r="R34" s="234" t="s">
        <v>332</v>
      </c>
      <c r="S34" s="235">
        <v>44305</v>
      </c>
      <c r="T34" s="235">
        <v>44361</v>
      </c>
      <c r="U34" s="234"/>
      <c r="V34" s="232" t="s">
        <v>321</v>
      </c>
      <c r="W34" s="231"/>
      <c r="X34" s="232" t="s">
        <v>322</v>
      </c>
      <c r="Y34" s="232" t="s">
        <v>338</v>
      </c>
      <c r="Z34" s="232" t="s">
        <v>324</v>
      </c>
      <c r="AA34" s="232" t="s">
        <v>354</v>
      </c>
      <c r="AB34" s="236">
        <v>6.0000000000000001E-3</v>
      </c>
      <c r="AC34" s="235">
        <v>44523</v>
      </c>
      <c r="AD34" s="234"/>
      <c r="AE34" s="235">
        <v>44718</v>
      </c>
      <c r="AF34" s="232" t="s">
        <v>77</v>
      </c>
      <c r="AG34" s="232" t="s">
        <v>350</v>
      </c>
      <c r="AH34" s="234" t="s">
        <v>317</v>
      </c>
      <c r="AI34" s="250"/>
      <c r="AJ34" s="234">
        <v>0</v>
      </c>
      <c r="AK34" s="224"/>
      <c r="AL34" s="234">
        <v>0</v>
      </c>
      <c r="AM34" s="224"/>
      <c r="AN34" s="234">
        <v>-1</v>
      </c>
      <c r="AO34" s="234">
        <v>2</v>
      </c>
      <c r="AP34" s="234">
        <v>1</v>
      </c>
      <c r="AQ34" s="234">
        <v>0</v>
      </c>
      <c r="AR34" s="234">
        <v>-1</v>
      </c>
      <c r="AS34" s="234">
        <v>0</v>
      </c>
      <c r="AT34" s="234">
        <v>0</v>
      </c>
      <c r="AU34" s="234">
        <v>-1</v>
      </c>
      <c r="AV34" s="234">
        <v>2</v>
      </c>
      <c r="AW34" s="234">
        <v>1</v>
      </c>
      <c r="AX34" s="234">
        <v>0</v>
      </c>
      <c r="AY34" s="234">
        <v>-1</v>
      </c>
      <c r="AZ34" s="234">
        <v>0</v>
      </c>
      <c r="BA34" s="234">
        <v>0</v>
      </c>
      <c r="BB34" s="234">
        <v>0</v>
      </c>
      <c r="BC34" s="234">
        <v>0</v>
      </c>
      <c r="BD34" s="234">
        <v>0</v>
      </c>
      <c r="BE34" s="234">
        <v>0</v>
      </c>
      <c r="BF34" s="234">
        <v>0</v>
      </c>
      <c r="BG34" s="234">
        <v>0</v>
      </c>
      <c r="BH34" s="234">
        <v>0</v>
      </c>
      <c r="BI34" s="234">
        <v>0</v>
      </c>
      <c r="BJ34" s="234">
        <v>0</v>
      </c>
      <c r="BK34" s="234">
        <v>0</v>
      </c>
      <c r="BL34" s="234">
        <v>0</v>
      </c>
      <c r="BM34" s="234">
        <v>0</v>
      </c>
      <c r="BN34" s="234">
        <v>0</v>
      </c>
      <c r="BO34" s="234">
        <v>0</v>
      </c>
      <c r="BP34" s="234"/>
      <c r="BQ34" s="234"/>
      <c r="BR34" s="237" t="s">
        <v>154</v>
      </c>
      <c r="BS34" s="238">
        <v>11</v>
      </c>
      <c r="BT34" s="239">
        <f t="shared" ref="BT34:BT65" si="3">M34</f>
        <v>1</v>
      </c>
      <c r="CN34" s="238">
        <f t="shared" si="1"/>
        <v>0</v>
      </c>
      <c r="CO34" s="238">
        <f t="shared" si="2"/>
        <v>0</v>
      </c>
    </row>
    <row r="35" spans="1:93" ht="13.95" customHeight="1" x14ac:dyDescent="0.2">
      <c r="A35" s="231">
        <v>7675</v>
      </c>
      <c r="B35" s="232" t="s">
        <v>314</v>
      </c>
      <c r="C35" s="232" t="s">
        <v>438</v>
      </c>
      <c r="D35" s="232" t="s">
        <v>439</v>
      </c>
      <c r="E35" s="232" t="s">
        <v>317</v>
      </c>
      <c r="F35" s="231">
        <v>528999</v>
      </c>
      <c r="G35" s="231">
        <v>171043</v>
      </c>
      <c r="H35" s="232" t="s">
        <v>166</v>
      </c>
      <c r="I35" s="233">
        <v>44379</v>
      </c>
      <c r="J35" s="233">
        <v>44754</v>
      </c>
      <c r="K35" s="231">
        <v>2</v>
      </c>
      <c r="L35" s="231">
        <v>3</v>
      </c>
      <c r="M35" s="231">
        <v>1</v>
      </c>
      <c r="N35" s="231">
        <v>3</v>
      </c>
      <c r="O35" s="231">
        <v>1</v>
      </c>
      <c r="P35" s="234"/>
      <c r="Q35" s="232" t="s">
        <v>440</v>
      </c>
      <c r="R35" s="234" t="s">
        <v>332</v>
      </c>
      <c r="S35" s="235">
        <v>44468</v>
      </c>
      <c r="T35" s="235">
        <v>44524</v>
      </c>
      <c r="U35" s="234"/>
      <c r="V35" s="232" t="s">
        <v>321</v>
      </c>
      <c r="W35" s="231"/>
      <c r="X35" s="232" t="s">
        <v>322</v>
      </c>
      <c r="Y35" s="232" t="s">
        <v>339</v>
      </c>
      <c r="Z35" s="232" t="s">
        <v>324</v>
      </c>
      <c r="AA35" s="232" t="s">
        <v>354</v>
      </c>
      <c r="AB35" s="236">
        <v>5.0000000000000001E-3</v>
      </c>
      <c r="AC35" s="235">
        <v>44379</v>
      </c>
      <c r="AD35" s="234"/>
      <c r="AE35" s="235">
        <v>44754</v>
      </c>
      <c r="AF35" s="232" t="s">
        <v>77</v>
      </c>
      <c r="AG35" s="232" t="s">
        <v>350</v>
      </c>
      <c r="AH35" s="234" t="s">
        <v>317</v>
      </c>
      <c r="AI35" s="250"/>
      <c r="AJ35" s="234">
        <v>0</v>
      </c>
      <c r="AK35" s="224"/>
      <c r="AL35" s="234">
        <v>0</v>
      </c>
      <c r="AM35" s="224"/>
      <c r="AN35" s="234">
        <v>0</v>
      </c>
      <c r="AO35" s="234">
        <v>0</v>
      </c>
      <c r="AP35" s="234">
        <v>0</v>
      </c>
      <c r="AQ35" s="234">
        <v>1</v>
      </c>
      <c r="AR35" s="234">
        <v>0</v>
      </c>
      <c r="AS35" s="234">
        <v>0</v>
      </c>
      <c r="AT35" s="234">
        <v>0</v>
      </c>
      <c r="AU35" s="234">
        <v>0</v>
      </c>
      <c r="AV35" s="234">
        <v>0</v>
      </c>
      <c r="AW35" s="234">
        <v>0</v>
      </c>
      <c r="AX35" s="234">
        <v>1</v>
      </c>
      <c r="AY35" s="234">
        <v>0</v>
      </c>
      <c r="AZ35" s="234">
        <v>0</v>
      </c>
      <c r="BA35" s="234">
        <v>0</v>
      </c>
      <c r="BB35" s="234">
        <v>0</v>
      </c>
      <c r="BC35" s="234">
        <v>0</v>
      </c>
      <c r="BD35" s="234">
        <v>0</v>
      </c>
      <c r="BE35" s="234">
        <v>0</v>
      </c>
      <c r="BF35" s="234">
        <v>0</v>
      </c>
      <c r="BG35" s="234">
        <v>0</v>
      </c>
      <c r="BH35" s="234">
        <v>0</v>
      </c>
      <c r="BI35" s="234">
        <v>0</v>
      </c>
      <c r="BJ35" s="234">
        <v>0</v>
      </c>
      <c r="BK35" s="234">
        <v>0</v>
      </c>
      <c r="BL35" s="234">
        <v>0</v>
      </c>
      <c r="BM35" s="234">
        <v>0</v>
      </c>
      <c r="BN35" s="234">
        <v>0</v>
      </c>
      <c r="BO35" s="234">
        <v>0</v>
      </c>
      <c r="BP35" s="234"/>
      <c r="BQ35" s="234"/>
      <c r="BR35" s="237" t="s">
        <v>334</v>
      </c>
      <c r="BS35" s="238">
        <v>11</v>
      </c>
      <c r="BT35" s="239">
        <f t="shared" si="3"/>
        <v>1</v>
      </c>
      <c r="CN35" s="238">
        <f t="shared" si="1"/>
        <v>0</v>
      </c>
      <c r="CO35" s="238">
        <f t="shared" si="2"/>
        <v>0</v>
      </c>
    </row>
    <row r="36" spans="1:93" ht="13.95" customHeight="1" x14ac:dyDescent="0.2">
      <c r="A36" s="231">
        <v>7668</v>
      </c>
      <c r="B36" s="232" t="s">
        <v>314</v>
      </c>
      <c r="C36" s="232" t="s">
        <v>441</v>
      </c>
      <c r="D36" s="232" t="s">
        <v>442</v>
      </c>
      <c r="E36" s="232" t="s">
        <v>317</v>
      </c>
      <c r="F36" s="231">
        <v>527959</v>
      </c>
      <c r="G36" s="231">
        <v>172410</v>
      </c>
      <c r="H36" s="232" t="s">
        <v>178</v>
      </c>
      <c r="I36" s="233">
        <v>44651</v>
      </c>
      <c r="J36" s="233">
        <v>44871</v>
      </c>
      <c r="K36" s="231">
        <v>1</v>
      </c>
      <c r="L36" s="231">
        <v>3</v>
      </c>
      <c r="M36" s="231">
        <v>2</v>
      </c>
      <c r="N36" s="231">
        <v>3</v>
      </c>
      <c r="O36" s="231">
        <v>2</v>
      </c>
      <c r="P36" s="234"/>
      <c r="Q36" s="232" t="s">
        <v>443</v>
      </c>
      <c r="R36" s="234" t="s">
        <v>332</v>
      </c>
      <c r="S36" s="235">
        <v>44446</v>
      </c>
      <c r="T36" s="235">
        <v>44553</v>
      </c>
      <c r="U36" s="234"/>
      <c r="V36" s="232" t="s">
        <v>321</v>
      </c>
      <c r="W36" s="231"/>
      <c r="X36" s="232" t="s">
        <v>322</v>
      </c>
      <c r="Y36" s="232" t="s">
        <v>338</v>
      </c>
      <c r="Z36" s="232" t="s">
        <v>324</v>
      </c>
      <c r="AA36" s="232" t="s">
        <v>25</v>
      </c>
      <c r="AB36" s="236">
        <v>6.4599999999999996E-3</v>
      </c>
      <c r="AC36" s="235">
        <v>44651</v>
      </c>
      <c r="AD36" s="234"/>
      <c r="AE36" s="235">
        <v>44871</v>
      </c>
      <c r="AF36" s="232" t="s">
        <v>77</v>
      </c>
      <c r="AG36" s="232" t="s">
        <v>350</v>
      </c>
      <c r="AH36" s="234" t="s">
        <v>317</v>
      </c>
      <c r="AI36" s="250"/>
      <c r="AJ36" s="234">
        <v>0</v>
      </c>
      <c r="AK36" s="224"/>
      <c r="AL36" s="234">
        <v>0</v>
      </c>
      <c r="AM36" s="224"/>
      <c r="AN36" s="234">
        <v>0</v>
      </c>
      <c r="AO36" s="234">
        <v>2</v>
      </c>
      <c r="AP36" s="234">
        <v>0</v>
      </c>
      <c r="AQ36" s="234">
        <v>0</v>
      </c>
      <c r="AR36" s="234">
        <v>0</v>
      </c>
      <c r="AS36" s="234">
        <v>0</v>
      </c>
      <c r="AT36" s="234">
        <v>0</v>
      </c>
      <c r="AU36" s="234">
        <v>0</v>
      </c>
      <c r="AV36" s="234">
        <v>2</v>
      </c>
      <c r="AW36" s="234">
        <v>0</v>
      </c>
      <c r="AX36" s="234">
        <v>0</v>
      </c>
      <c r="AY36" s="234">
        <v>0</v>
      </c>
      <c r="AZ36" s="234">
        <v>0</v>
      </c>
      <c r="BA36" s="234">
        <v>0</v>
      </c>
      <c r="BB36" s="234">
        <v>0</v>
      </c>
      <c r="BC36" s="234">
        <v>0</v>
      </c>
      <c r="BD36" s="234">
        <v>0</v>
      </c>
      <c r="BE36" s="234">
        <v>0</v>
      </c>
      <c r="BF36" s="234">
        <v>0</v>
      </c>
      <c r="BG36" s="234">
        <v>0</v>
      </c>
      <c r="BH36" s="234">
        <v>0</v>
      </c>
      <c r="BI36" s="234">
        <v>0</v>
      </c>
      <c r="BJ36" s="234">
        <v>0</v>
      </c>
      <c r="BK36" s="234">
        <v>0</v>
      </c>
      <c r="BL36" s="234">
        <v>0</v>
      </c>
      <c r="BM36" s="234">
        <v>0</v>
      </c>
      <c r="BN36" s="234">
        <v>0</v>
      </c>
      <c r="BO36" s="234">
        <v>0</v>
      </c>
      <c r="BP36" s="234"/>
      <c r="BQ36" s="234"/>
      <c r="BR36" s="237" t="s">
        <v>334</v>
      </c>
      <c r="BS36" s="238">
        <v>11</v>
      </c>
      <c r="BT36" s="239">
        <f t="shared" si="3"/>
        <v>2</v>
      </c>
      <c r="CN36" s="238">
        <f t="shared" si="1"/>
        <v>0</v>
      </c>
      <c r="CO36" s="238">
        <f t="shared" si="2"/>
        <v>0</v>
      </c>
    </row>
    <row r="37" spans="1:93" ht="13.95" customHeight="1" x14ac:dyDescent="0.2">
      <c r="A37" s="231">
        <v>7651</v>
      </c>
      <c r="B37" s="232" t="s">
        <v>314</v>
      </c>
      <c r="C37" s="232" t="s">
        <v>444</v>
      </c>
      <c r="D37" s="232" t="s">
        <v>445</v>
      </c>
      <c r="E37" s="232" t="s">
        <v>317</v>
      </c>
      <c r="F37" s="231">
        <v>527647</v>
      </c>
      <c r="G37" s="231">
        <v>172914</v>
      </c>
      <c r="H37" s="232" t="s">
        <v>178</v>
      </c>
      <c r="I37" s="233">
        <v>44651</v>
      </c>
      <c r="J37" s="233">
        <v>45016</v>
      </c>
      <c r="K37" s="231">
        <v>1</v>
      </c>
      <c r="L37" s="231">
        <v>3</v>
      </c>
      <c r="M37" s="231">
        <v>2</v>
      </c>
      <c r="N37" s="231">
        <v>3</v>
      </c>
      <c r="O37" s="231">
        <v>2</v>
      </c>
      <c r="P37" s="234"/>
      <c r="Q37" s="232" t="s">
        <v>446</v>
      </c>
      <c r="R37" s="234" t="s">
        <v>332</v>
      </c>
      <c r="S37" s="235">
        <v>44491</v>
      </c>
      <c r="T37" s="235">
        <v>44545</v>
      </c>
      <c r="U37" s="234"/>
      <c r="V37" s="232" t="s">
        <v>321</v>
      </c>
      <c r="W37" s="231"/>
      <c r="X37" s="232" t="s">
        <v>322</v>
      </c>
      <c r="Y37" s="232" t="s">
        <v>365</v>
      </c>
      <c r="Z37" s="232" t="s">
        <v>324</v>
      </c>
      <c r="AA37" s="232" t="s">
        <v>15</v>
      </c>
      <c r="AB37" s="236">
        <v>6.0000000000000001E-3</v>
      </c>
      <c r="AC37" s="235">
        <v>44651</v>
      </c>
      <c r="AD37" s="234"/>
      <c r="AE37" s="235">
        <v>45016</v>
      </c>
      <c r="AF37" s="232" t="s">
        <v>77</v>
      </c>
      <c r="AG37" s="232" t="s">
        <v>350</v>
      </c>
      <c r="AH37" s="234" t="s">
        <v>317</v>
      </c>
      <c r="AI37" s="250"/>
      <c r="AJ37" s="234">
        <v>0</v>
      </c>
      <c r="AK37" s="224"/>
      <c r="AL37" s="234">
        <v>0</v>
      </c>
      <c r="AM37" s="224"/>
      <c r="AN37" s="234">
        <v>0</v>
      </c>
      <c r="AO37" s="234">
        <v>1</v>
      </c>
      <c r="AP37" s="234">
        <v>1</v>
      </c>
      <c r="AQ37" s="234">
        <v>1</v>
      </c>
      <c r="AR37" s="234">
        <v>0</v>
      </c>
      <c r="AS37" s="234">
        <v>-1</v>
      </c>
      <c r="AT37" s="234">
        <v>0</v>
      </c>
      <c r="AU37" s="234">
        <v>0</v>
      </c>
      <c r="AV37" s="234">
        <v>1</v>
      </c>
      <c r="AW37" s="234">
        <v>1</v>
      </c>
      <c r="AX37" s="234">
        <v>1</v>
      </c>
      <c r="AY37" s="234">
        <v>0</v>
      </c>
      <c r="AZ37" s="234">
        <v>0</v>
      </c>
      <c r="BA37" s="234">
        <v>0</v>
      </c>
      <c r="BB37" s="234">
        <v>0</v>
      </c>
      <c r="BC37" s="234">
        <v>0</v>
      </c>
      <c r="BD37" s="234">
        <v>0</v>
      </c>
      <c r="BE37" s="234">
        <v>0</v>
      </c>
      <c r="BF37" s="234">
        <v>0</v>
      </c>
      <c r="BG37" s="234">
        <v>-1</v>
      </c>
      <c r="BH37" s="234">
        <v>0</v>
      </c>
      <c r="BI37" s="234">
        <v>0</v>
      </c>
      <c r="BJ37" s="234">
        <v>0</v>
      </c>
      <c r="BK37" s="234">
        <v>0</v>
      </c>
      <c r="BL37" s="234">
        <v>0</v>
      </c>
      <c r="BM37" s="234">
        <v>0</v>
      </c>
      <c r="BN37" s="234">
        <v>0</v>
      </c>
      <c r="BO37" s="234">
        <v>0</v>
      </c>
      <c r="BP37" s="234"/>
      <c r="BQ37" s="234"/>
      <c r="BR37" s="237" t="s">
        <v>334</v>
      </c>
      <c r="BS37" s="238">
        <v>11</v>
      </c>
      <c r="BT37" s="239">
        <f t="shared" si="3"/>
        <v>2</v>
      </c>
      <c r="CN37" s="238">
        <f t="shared" si="1"/>
        <v>0</v>
      </c>
      <c r="CO37" s="238">
        <f t="shared" si="2"/>
        <v>0</v>
      </c>
    </row>
    <row r="38" spans="1:93" ht="13.95" customHeight="1" x14ac:dyDescent="0.2">
      <c r="A38" s="231">
        <v>6392</v>
      </c>
      <c r="B38" s="232" t="s">
        <v>314</v>
      </c>
      <c r="C38" s="232" t="s">
        <v>447</v>
      </c>
      <c r="D38" s="232" t="s">
        <v>448</v>
      </c>
      <c r="E38" s="232" t="s">
        <v>317</v>
      </c>
      <c r="F38" s="231">
        <v>528007</v>
      </c>
      <c r="G38" s="231">
        <v>175012</v>
      </c>
      <c r="H38" s="232" t="s">
        <v>169</v>
      </c>
      <c r="I38" s="233">
        <v>44592</v>
      </c>
      <c r="J38" s="233">
        <v>44852</v>
      </c>
      <c r="K38" s="231">
        <v>2</v>
      </c>
      <c r="L38" s="231">
        <v>2</v>
      </c>
      <c r="M38" s="231">
        <v>0</v>
      </c>
      <c r="N38" s="231">
        <v>2</v>
      </c>
      <c r="O38" s="231">
        <v>0</v>
      </c>
      <c r="P38" s="234"/>
      <c r="Q38" s="232" t="s">
        <v>449</v>
      </c>
      <c r="R38" s="234" t="s">
        <v>332</v>
      </c>
      <c r="S38" s="235">
        <v>42674</v>
      </c>
      <c r="T38" s="235">
        <v>42726</v>
      </c>
      <c r="U38" s="234"/>
      <c r="V38" s="232" t="s">
        <v>321</v>
      </c>
      <c r="W38" s="231"/>
      <c r="X38" s="232" t="s">
        <v>322</v>
      </c>
      <c r="Y38" s="232" t="s">
        <v>338</v>
      </c>
      <c r="Z38" s="232" t="s">
        <v>324</v>
      </c>
      <c r="AA38" s="232" t="s">
        <v>15</v>
      </c>
      <c r="AB38" s="236">
        <v>0.02</v>
      </c>
      <c r="AC38" s="235">
        <v>44592</v>
      </c>
      <c r="AD38" s="234"/>
      <c r="AE38" s="235">
        <v>44852</v>
      </c>
      <c r="AF38" s="232" t="s">
        <v>77</v>
      </c>
      <c r="AG38" s="232" t="s">
        <v>350</v>
      </c>
      <c r="AH38" s="234" t="s">
        <v>317</v>
      </c>
      <c r="AI38" s="250"/>
      <c r="AJ38" s="234">
        <v>0</v>
      </c>
      <c r="AK38" s="224"/>
      <c r="AL38" s="234">
        <v>0</v>
      </c>
      <c r="AM38" s="224"/>
      <c r="AN38" s="234">
        <v>-1</v>
      </c>
      <c r="AO38" s="234">
        <v>0</v>
      </c>
      <c r="AP38" s="234">
        <v>0</v>
      </c>
      <c r="AQ38" s="234">
        <v>2</v>
      </c>
      <c r="AR38" s="234">
        <v>-1</v>
      </c>
      <c r="AS38" s="234">
        <v>0</v>
      </c>
      <c r="AT38" s="234">
        <v>0</v>
      </c>
      <c r="AU38" s="234">
        <v>-1</v>
      </c>
      <c r="AV38" s="234">
        <v>0</v>
      </c>
      <c r="AW38" s="234">
        <v>0</v>
      </c>
      <c r="AX38" s="234">
        <v>2</v>
      </c>
      <c r="AY38" s="234">
        <v>0</v>
      </c>
      <c r="AZ38" s="234">
        <v>0</v>
      </c>
      <c r="BA38" s="234">
        <v>0</v>
      </c>
      <c r="BB38" s="234">
        <v>0</v>
      </c>
      <c r="BC38" s="234">
        <v>0</v>
      </c>
      <c r="BD38" s="234">
        <v>0</v>
      </c>
      <c r="BE38" s="234">
        <v>0</v>
      </c>
      <c r="BF38" s="234">
        <v>-1</v>
      </c>
      <c r="BG38" s="234">
        <v>0</v>
      </c>
      <c r="BH38" s="234">
        <v>0</v>
      </c>
      <c r="BI38" s="234">
        <v>0</v>
      </c>
      <c r="BJ38" s="234">
        <v>0</v>
      </c>
      <c r="BK38" s="234">
        <v>0</v>
      </c>
      <c r="BL38" s="234">
        <v>0</v>
      </c>
      <c r="BM38" s="234">
        <v>0</v>
      </c>
      <c r="BN38" s="234">
        <v>0</v>
      </c>
      <c r="BO38" s="234">
        <v>0</v>
      </c>
      <c r="BP38" s="234"/>
      <c r="BQ38" s="234"/>
      <c r="BR38" s="237" t="s">
        <v>334</v>
      </c>
      <c r="BS38" s="238">
        <v>11</v>
      </c>
      <c r="BT38" s="239">
        <f t="shared" si="3"/>
        <v>0</v>
      </c>
      <c r="CN38" s="238">
        <f t="shared" si="1"/>
        <v>0</v>
      </c>
      <c r="CO38" s="238">
        <f t="shared" si="2"/>
        <v>0</v>
      </c>
    </row>
    <row r="39" spans="1:93" ht="13.95" customHeight="1" x14ac:dyDescent="0.2">
      <c r="A39" s="231">
        <v>5682</v>
      </c>
      <c r="B39" s="232" t="s">
        <v>314</v>
      </c>
      <c r="C39" s="232" t="s">
        <v>450</v>
      </c>
      <c r="D39" s="232" t="s">
        <v>451</v>
      </c>
      <c r="E39" s="232" t="s">
        <v>317</v>
      </c>
      <c r="F39" s="231">
        <v>528537</v>
      </c>
      <c r="G39" s="231">
        <v>175740</v>
      </c>
      <c r="H39" s="232" t="s">
        <v>167</v>
      </c>
      <c r="I39" s="233">
        <v>43555</v>
      </c>
      <c r="J39" s="233">
        <v>45016</v>
      </c>
      <c r="K39" s="231">
        <v>1</v>
      </c>
      <c r="L39" s="231">
        <v>2</v>
      </c>
      <c r="M39" s="231">
        <v>1</v>
      </c>
      <c r="N39" s="231">
        <v>3</v>
      </c>
      <c r="O39" s="231">
        <v>2</v>
      </c>
      <c r="P39" s="234"/>
      <c r="Q39" s="232" t="s">
        <v>452</v>
      </c>
      <c r="R39" s="234" t="s">
        <v>332</v>
      </c>
      <c r="S39" s="235">
        <v>42838</v>
      </c>
      <c r="T39" s="235">
        <v>42997</v>
      </c>
      <c r="U39" s="234"/>
      <c r="V39" s="232" t="s">
        <v>321</v>
      </c>
      <c r="W39" s="231"/>
      <c r="X39" s="232" t="s">
        <v>322</v>
      </c>
      <c r="Y39" s="232" t="s">
        <v>338</v>
      </c>
      <c r="Z39" s="232" t="s">
        <v>324</v>
      </c>
      <c r="AA39" s="232" t="s">
        <v>411</v>
      </c>
      <c r="AB39" s="236">
        <v>4.0000000000000001E-3</v>
      </c>
      <c r="AC39" s="235">
        <v>43555</v>
      </c>
      <c r="AD39" s="234"/>
      <c r="AE39" s="235">
        <v>45016</v>
      </c>
      <c r="AF39" s="232" t="s">
        <v>77</v>
      </c>
      <c r="AG39" s="232" t="s">
        <v>350</v>
      </c>
      <c r="AH39" s="234" t="s">
        <v>317</v>
      </c>
      <c r="AI39" s="250"/>
      <c r="AJ39" s="234">
        <v>0</v>
      </c>
      <c r="AK39" s="224"/>
      <c r="AL39" s="234">
        <v>0</v>
      </c>
      <c r="AM39" s="224"/>
      <c r="AN39" s="234">
        <v>0</v>
      </c>
      <c r="AO39" s="234">
        <v>2</v>
      </c>
      <c r="AP39" s="234">
        <v>0</v>
      </c>
      <c r="AQ39" s="234">
        <v>0</v>
      </c>
      <c r="AR39" s="234">
        <v>-1</v>
      </c>
      <c r="AS39" s="234">
        <v>0</v>
      </c>
      <c r="AT39" s="234">
        <v>0</v>
      </c>
      <c r="AU39" s="234">
        <v>0</v>
      </c>
      <c r="AV39" s="234">
        <v>2</v>
      </c>
      <c r="AW39" s="234">
        <v>0</v>
      </c>
      <c r="AX39" s="234">
        <v>0</v>
      </c>
      <c r="AY39" s="234">
        <v>-1</v>
      </c>
      <c r="AZ39" s="234">
        <v>0</v>
      </c>
      <c r="BA39" s="234">
        <v>0</v>
      </c>
      <c r="BB39" s="234">
        <v>0</v>
      </c>
      <c r="BC39" s="234">
        <v>0</v>
      </c>
      <c r="BD39" s="234">
        <v>0</v>
      </c>
      <c r="BE39" s="234">
        <v>0</v>
      </c>
      <c r="BF39" s="234">
        <v>0</v>
      </c>
      <c r="BG39" s="234">
        <v>0</v>
      </c>
      <c r="BH39" s="234">
        <v>0</v>
      </c>
      <c r="BI39" s="234">
        <v>0</v>
      </c>
      <c r="BJ39" s="234">
        <v>0</v>
      </c>
      <c r="BK39" s="234">
        <v>0</v>
      </c>
      <c r="BL39" s="234">
        <v>0</v>
      </c>
      <c r="BM39" s="234">
        <v>0</v>
      </c>
      <c r="BN39" s="234">
        <v>0</v>
      </c>
      <c r="BO39" s="234">
        <v>0</v>
      </c>
      <c r="BP39" s="234"/>
      <c r="BQ39" s="234"/>
      <c r="BR39" s="237" t="s">
        <v>334</v>
      </c>
      <c r="BS39" s="238">
        <v>11</v>
      </c>
      <c r="BT39" s="239">
        <f t="shared" si="3"/>
        <v>1</v>
      </c>
      <c r="CN39" s="238">
        <f t="shared" si="1"/>
        <v>0</v>
      </c>
      <c r="CO39" s="238">
        <f t="shared" si="2"/>
        <v>0</v>
      </c>
    </row>
    <row r="40" spans="1:93" ht="13.95" customHeight="1" x14ac:dyDescent="0.2">
      <c r="A40" s="231">
        <v>4438</v>
      </c>
      <c r="B40" s="232" t="s">
        <v>314</v>
      </c>
      <c r="C40" s="232" t="s">
        <v>453</v>
      </c>
      <c r="D40" s="232" t="s">
        <v>454</v>
      </c>
      <c r="E40" s="232" t="s">
        <v>317</v>
      </c>
      <c r="F40" s="231">
        <v>524309</v>
      </c>
      <c r="G40" s="231">
        <v>174961</v>
      </c>
      <c r="H40" s="232" t="s">
        <v>164</v>
      </c>
      <c r="I40" s="233">
        <v>44105</v>
      </c>
      <c r="J40" s="233">
        <v>45007</v>
      </c>
      <c r="K40" s="231">
        <v>1</v>
      </c>
      <c r="L40" s="231">
        <v>2</v>
      </c>
      <c r="M40" s="231">
        <v>1</v>
      </c>
      <c r="N40" s="231">
        <v>3</v>
      </c>
      <c r="O40" s="231">
        <v>2</v>
      </c>
      <c r="P40" s="234"/>
      <c r="Q40" s="232" t="s">
        <v>455</v>
      </c>
      <c r="R40" s="234" t="s">
        <v>332</v>
      </c>
      <c r="S40" s="235">
        <v>42804</v>
      </c>
      <c r="T40" s="235">
        <v>42912</v>
      </c>
      <c r="U40" s="234"/>
      <c r="V40" s="232" t="s">
        <v>321</v>
      </c>
      <c r="W40" s="231"/>
      <c r="X40" s="232" t="s">
        <v>322</v>
      </c>
      <c r="Y40" s="232" t="s">
        <v>339</v>
      </c>
      <c r="Z40" s="232" t="s">
        <v>324</v>
      </c>
      <c r="AA40" s="232" t="s">
        <v>411</v>
      </c>
      <c r="AB40" s="236">
        <v>5.0000000000000001E-3</v>
      </c>
      <c r="AC40" s="235">
        <v>44105</v>
      </c>
      <c r="AD40" s="234"/>
      <c r="AE40" s="235">
        <v>45007</v>
      </c>
      <c r="AF40" s="232" t="s">
        <v>77</v>
      </c>
      <c r="AG40" s="232" t="s">
        <v>350</v>
      </c>
      <c r="AH40" s="234" t="s">
        <v>317</v>
      </c>
      <c r="AI40" s="250"/>
      <c r="AJ40" s="234">
        <v>0</v>
      </c>
      <c r="AK40" s="224"/>
      <c r="AL40" s="234">
        <v>0</v>
      </c>
      <c r="AM40" s="224"/>
      <c r="AN40" s="234">
        <v>0</v>
      </c>
      <c r="AO40" s="234">
        <v>2</v>
      </c>
      <c r="AP40" s="234">
        <v>-1</v>
      </c>
      <c r="AQ40" s="234">
        <v>0</v>
      </c>
      <c r="AR40" s="234">
        <v>0</v>
      </c>
      <c r="AS40" s="234">
        <v>0</v>
      </c>
      <c r="AT40" s="234">
        <v>0</v>
      </c>
      <c r="AU40" s="234">
        <v>0</v>
      </c>
      <c r="AV40" s="234">
        <v>2</v>
      </c>
      <c r="AW40" s="234">
        <v>-1</v>
      </c>
      <c r="AX40" s="234">
        <v>0</v>
      </c>
      <c r="AY40" s="234">
        <v>0</v>
      </c>
      <c r="AZ40" s="234">
        <v>0</v>
      </c>
      <c r="BA40" s="234">
        <v>0</v>
      </c>
      <c r="BB40" s="234">
        <v>0</v>
      </c>
      <c r="BC40" s="234">
        <v>0</v>
      </c>
      <c r="BD40" s="234">
        <v>0</v>
      </c>
      <c r="BE40" s="234">
        <v>0</v>
      </c>
      <c r="BF40" s="234">
        <v>0</v>
      </c>
      <c r="BG40" s="234">
        <v>0</v>
      </c>
      <c r="BH40" s="234">
        <v>0</v>
      </c>
      <c r="BI40" s="234">
        <v>0</v>
      </c>
      <c r="BJ40" s="234">
        <v>0</v>
      </c>
      <c r="BK40" s="234">
        <v>0</v>
      </c>
      <c r="BL40" s="234">
        <v>0</v>
      </c>
      <c r="BM40" s="234">
        <v>0</v>
      </c>
      <c r="BN40" s="234">
        <v>0</v>
      </c>
      <c r="BO40" s="234">
        <v>0</v>
      </c>
      <c r="BP40" s="234" t="s">
        <v>143</v>
      </c>
      <c r="BQ40" s="234"/>
      <c r="BR40" s="237" t="s">
        <v>152</v>
      </c>
      <c r="BS40" s="238">
        <v>11</v>
      </c>
      <c r="BT40" s="239">
        <f t="shared" si="3"/>
        <v>1</v>
      </c>
      <c r="CN40" s="238">
        <f t="shared" si="1"/>
        <v>0</v>
      </c>
      <c r="CO40" s="238">
        <f t="shared" si="2"/>
        <v>0</v>
      </c>
    </row>
    <row r="41" spans="1:93" ht="13.95" customHeight="1" x14ac:dyDescent="0.2">
      <c r="A41" s="231">
        <v>7166</v>
      </c>
      <c r="B41" s="232" t="s">
        <v>314</v>
      </c>
      <c r="C41" s="232" t="s">
        <v>456</v>
      </c>
      <c r="D41" s="232" t="s">
        <v>457</v>
      </c>
      <c r="E41" s="232" t="s">
        <v>317</v>
      </c>
      <c r="F41" s="231">
        <v>528340</v>
      </c>
      <c r="G41" s="231">
        <v>172918</v>
      </c>
      <c r="H41" s="232" t="s">
        <v>172</v>
      </c>
      <c r="I41" s="233">
        <v>44651</v>
      </c>
      <c r="J41" s="233">
        <v>44773</v>
      </c>
      <c r="K41" s="231">
        <v>0</v>
      </c>
      <c r="L41" s="231">
        <v>2</v>
      </c>
      <c r="M41" s="231">
        <v>2</v>
      </c>
      <c r="N41" s="231">
        <v>2</v>
      </c>
      <c r="O41" s="231">
        <v>2</v>
      </c>
      <c r="P41" s="234"/>
      <c r="Q41" s="232" t="s">
        <v>458</v>
      </c>
      <c r="R41" s="234" t="s">
        <v>332</v>
      </c>
      <c r="S41" s="235">
        <v>43558</v>
      </c>
      <c r="T41" s="235">
        <v>43614</v>
      </c>
      <c r="U41" s="234"/>
      <c r="V41" s="232" t="s">
        <v>321</v>
      </c>
      <c r="W41" s="231"/>
      <c r="X41" s="232" t="s">
        <v>322</v>
      </c>
      <c r="Y41" s="232" t="s">
        <v>339</v>
      </c>
      <c r="Z41" s="232" t="s">
        <v>324</v>
      </c>
      <c r="AA41" s="232" t="s">
        <v>354</v>
      </c>
      <c r="AB41" s="236">
        <v>7.0000000000000001E-3</v>
      </c>
      <c r="AC41" s="235">
        <v>44651</v>
      </c>
      <c r="AD41" s="234"/>
      <c r="AE41" s="235">
        <v>44773</v>
      </c>
      <c r="AF41" s="232" t="s">
        <v>77</v>
      </c>
      <c r="AG41" s="232" t="s">
        <v>350</v>
      </c>
      <c r="AH41" s="234" t="s">
        <v>317</v>
      </c>
      <c r="AI41" s="250"/>
      <c r="AJ41" s="234">
        <v>0</v>
      </c>
      <c r="AK41" s="224"/>
      <c r="AL41" s="234">
        <v>0</v>
      </c>
      <c r="AM41" s="224"/>
      <c r="AN41" s="234">
        <v>0</v>
      </c>
      <c r="AO41" s="234">
        <v>1</v>
      </c>
      <c r="AP41" s="234">
        <v>1</v>
      </c>
      <c r="AQ41" s="234">
        <v>0</v>
      </c>
      <c r="AR41" s="234">
        <v>0</v>
      </c>
      <c r="AS41" s="234">
        <v>0</v>
      </c>
      <c r="AT41" s="234">
        <v>0</v>
      </c>
      <c r="AU41" s="234">
        <v>0</v>
      </c>
      <c r="AV41" s="234">
        <v>1</v>
      </c>
      <c r="AW41" s="234">
        <v>1</v>
      </c>
      <c r="AX41" s="234">
        <v>0</v>
      </c>
      <c r="AY41" s="234">
        <v>0</v>
      </c>
      <c r="AZ41" s="234">
        <v>0</v>
      </c>
      <c r="BA41" s="234">
        <v>0</v>
      </c>
      <c r="BB41" s="234">
        <v>0</v>
      </c>
      <c r="BC41" s="234">
        <v>0</v>
      </c>
      <c r="BD41" s="234">
        <v>0</v>
      </c>
      <c r="BE41" s="234">
        <v>0</v>
      </c>
      <c r="BF41" s="234">
        <v>0</v>
      </c>
      <c r="BG41" s="234">
        <v>0</v>
      </c>
      <c r="BH41" s="234">
        <v>0</v>
      </c>
      <c r="BI41" s="234">
        <v>0</v>
      </c>
      <c r="BJ41" s="234">
        <v>0</v>
      </c>
      <c r="BK41" s="234">
        <v>0</v>
      </c>
      <c r="BL41" s="234">
        <v>0</v>
      </c>
      <c r="BM41" s="234">
        <v>0</v>
      </c>
      <c r="BN41" s="234">
        <v>0</v>
      </c>
      <c r="BO41" s="234">
        <v>0</v>
      </c>
      <c r="BP41" s="234"/>
      <c r="BQ41" s="234"/>
      <c r="BR41" s="237" t="s">
        <v>334</v>
      </c>
      <c r="BS41" s="238">
        <v>11</v>
      </c>
      <c r="BT41" s="239">
        <f t="shared" si="3"/>
        <v>2</v>
      </c>
      <c r="CN41" s="238">
        <f t="shared" si="1"/>
        <v>0</v>
      </c>
      <c r="CO41" s="238">
        <f t="shared" si="2"/>
        <v>0</v>
      </c>
    </row>
    <row r="42" spans="1:93" ht="13.95" customHeight="1" x14ac:dyDescent="0.2">
      <c r="A42" s="231">
        <v>6860</v>
      </c>
      <c r="B42" s="232" t="s">
        <v>314</v>
      </c>
      <c r="C42" s="232" t="s">
        <v>459</v>
      </c>
      <c r="D42" s="232" t="s">
        <v>460</v>
      </c>
      <c r="E42" s="232" t="s">
        <v>317</v>
      </c>
      <c r="F42" s="231">
        <v>527312</v>
      </c>
      <c r="G42" s="231">
        <v>171270</v>
      </c>
      <c r="H42" s="232" t="s">
        <v>177</v>
      </c>
      <c r="I42" s="233">
        <v>43921</v>
      </c>
      <c r="J42" s="233">
        <v>44654</v>
      </c>
      <c r="K42" s="231">
        <v>1</v>
      </c>
      <c r="L42" s="231">
        <v>2</v>
      </c>
      <c r="M42" s="231">
        <v>1</v>
      </c>
      <c r="N42" s="231">
        <v>2</v>
      </c>
      <c r="O42" s="231">
        <v>1</v>
      </c>
      <c r="P42" s="234"/>
      <c r="Q42" s="232" t="s">
        <v>461</v>
      </c>
      <c r="R42" s="234" t="s">
        <v>332</v>
      </c>
      <c r="S42" s="235">
        <v>43697</v>
      </c>
      <c r="T42" s="235">
        <v>43735</v>
      </c>
      <c r="U42" s="234"/>
      <c r="V42" s="232" t="s">
        <v>321</v>
      </c>
      <c r="W42" s="231"/>
      <c r="X42" s="232" t="s">
        <v>322</v>
      </c>
      <c r="Y42" s="232" t="s">
        <v>365</v>
      </c>
      <c r="Z42" s="232" t="s">
        <v>324</v>
      </c>
      <c r="AA42" s="232" t="s">
        <v>411</v>
      </c>
      <c r="AB42" s="236">
        <v>8.9999999999999993E-3</v>
      </c>
      <c r="AC42" s="235">
        <v>43921</v>
      </c>
      <c r="AD42" s="234"/>
      <c r="AE42" s="235">
        <v>44654</v>
      </c>
      <c r="AF42" s="232" t="s">
        <v>77</v>
      </c>
      <c r="AG42" s="232" t="s">
        <v>350</v>
      </c>
      <c r="AH42" s="234" t="s">
        <v>317</v>
      </c>
      <c r="AI42" s="250"/>
      <c r="AJ42" s="234">
        <v>0</v>
      </c>
      <c r="AK42" s="224"/>
      <c r="AL42" s="234">
        <v>0</v>
      </c>
      <c r="AM42" s="224"/>
      <c r="AN42" s="234">
        <v>0</v>
      </c>
      <c r="AO42" s="234">
        <v>1</v>
      </c>
      <c r="AP42" s="234">
        <v>1</v>
      </c>
      <c r="AQ42" s="234">
        <v>-1</v>
      </c>
      <c r="AR42" s="234">
        <v>0</v>
      </c>
      <c r="AS42" s="234">
        <v>0</v>
      </c>
      <c r="AT42" s="234">
        <v>0</v>
      </c>
      <c r="AU42" s="234">
        <v>0</v>
      </c>
      <c r="AV42" s="234">
        <v>1</v>
      </c>
      <c r="AW42" s="234">
        <v>1</v>
      </c>
      <c r="AX42" s="234">
        <v>-1</v>
      </c>
      <c r="AY42" s="234">
        <v>0</v>
      </c>
      <c r="AZ42" s="234">
        <v>0</v>
      </c>
      <c r="BA42" s="234">
        <v>0</v>
      </c>
      <c r="BB42" s="234">
        <v>0</v>
      </c>
      <c r="BC42" s="234">
        <v>0</v>
      </c>
      <c r="BD42" s="234">
        <v>0</v>
      </c>
      <c r="BE42" s="234">
        <v>0</v>
      </c>
      <c r="BF42" s="234">
        <v>0</v>
      </c>
      <c r="BG42" s="234">
        <v>0</v>
      </c>
      <c r="BH42" s="234">
        <v>0</v>
      </c>
      <c r="BI42" s="234">
        <v>0</v>
      </c>
      <c r="BJ42" s="234">
        <v>0</v>
      </c>
      <c r="BK42" s="234">
        <v>0</v>
      </c>
      <c r="BL42" s="234">
        <v>0</v>
      </c>
      <c r="BM42" s="234">
        <v>0</v>
      </c>
      <c r="BN42" s="234">
        <v>0</v>
      </c>
      <c r="BO42" s="234">
        <v>0</v>
      </c>
      <c r="BP42" s="234"/>
      <c r="BQ42" s="234"/>
      <c r="BR42" s="237" t="s">
        <v>144</v>
      </c>
      <c r="BS42" s="238">
        <v>11</v>
      </c>
      <c r="BT42" s="239">
        <f t="shared" si="3"/>
        <v>1</v>
      </c>
      <c r="CN42" s="238">
        <f t="shared" si="1"/>
        <v>0</v>
      </c>
      <c r="CO42" s="238">
        <f t="shared" si="2"/>
        <v>0</v>
      </c>
    </row>
    <row r="43" spans="1:93" ht="13.95" customHeight="1" x14ac:dyDescent="0.2">
      <c r="A43" s="231">
        <v>7086</v>
      </c>
      <c r="B43" s="232" t="s">
        <v>314</v>
      </c>
      <c r="C43" s="232" t="s">
        <v>462</v>
      </c>
      <c r="D43" s="232" t="s">
        <v>463</v>
      </c>
      <c r="E43" s="232" t="s">
        <v>317</v>
      </c>
      <c r="F43" s="231">
        <v>527983</v>
      </c>
      <c r="G43" s="231">
        <v>172402</v>
      </c>
      <c r="H43" s="232" t="s">
        <v>178</v>
      </c>
      <c r="I43" s="233">
        <v>44494</v>
      </c>
      <c r="J43" s="233">
        <v>45001</v>
      </c>
      <c r="K43" s="231">
        <v>0</v>
      </c>
      <c r="L43" s="231">
        <v>2</v>
      </c>
      <c r="M43" s="231">
        <v>2</v>
      </c>
      <c r="N43" s="231">
        <v>2</v>
      </c>
      <c r="O43" s="231">
        <v>2</v>
      </c>
      <c r="P43" s="234"/>
      <c r="Q43" s="232" t="s">
        <v>464</v>
      </c>
      <c r="R43" s="234" t="s">
        <v>320</v>
      </c>
      <c r="S43" s="235">
        <v>43804</v>
      </c>
      <c r="T43" s="235">
        <v>43949</v>
      </c>
      <c r="U43" s="234"/>
      <c r="V43" s="232" t="s">
        <v>321</v>
      </c>
      <c r="W43" s="231"/>
      <c r="X43" s="232" t="s">
        <v>322</v>
      </c>
      <c r="Y43" s="232" t="s">
        <v>323</v>
      </c>
      <c r="Z43" s="232" t="s">
        <v>324</v>
      </c>
      <c r="AA43" s="232" t="s">
        <v>349</v>
      </c>
      <c r="AB43" s="236">
        <v>8.9999999999999993E-3</v>
      </c>
      <c r="AC43" s="235">
        <v>44494</v>
      </c>
      <c r="AD43" s="234"/>
      <c r="AE43" s="235">
        <v>45001</v>
      </c>
      <c r="AF43" s="232" t="s">
        <v>77</v>
      </c>
      <c r="AG43" s="232" t="s">
        <v>350</v>
      </c>
      <c r="AH43" s="234" t="s">
        <v>317</v>
      </c>
      <c r="AI43" s="250"/>
      <c r="AJ43" s="234">
        <v>0</v>
      </c>
      <c r="AK43" s="224"/>
      <c r="AL43" s="234">
        <v>0</v>
      </c>
      <c r="AM43" s="224"/>
      <c r="AN43" s="234">
        <v>0</v>
      </c>
      <c r="AO43" s="234">
        <v>0</v>
      </c>
      <c r="AP43" s="234">
        <v>2</v>
      </c>
      <c r="AQ43" s="234">
        <v>0</v>
      </c>
      <c r="AR43" s="234">
        <v>0</v>
      </c>
      <c r="AS43" s="234">
        <v>0</v>
      </c>
      <c r="AT43" s="234">
        <v>0</v>
      </c>
      <c r="AU43" s="234">
        <v>0</v>
      </c>
      <c r="AV43" s="234">
        <v>0</v>
      </c>
      <c r="AW43" s="234">
        <v>2</v>
      </c>
      <c r="AX43" s="234">
        <v>0</v>
      </c>
      <c r="AY43" s="234">
        <v>0</v>
      </c>
      <c r="AZ43" s="234">
        <v>0</v>
      </c>
      <c r="BA43" s="234">
        <v>0</v>
      </c>
      <c r="BB43" s="234">
        <v>0</v>
      </c>
      <c r="BC43" s="234">
        <v>0</v>
      </c>
      <c r="BD43" s="234">
        <v>0</v>
      </c>
      <c r="BE43" s="234">
        <v>0</v>
      </c>
      <c r="BF43" s="234">
        <v>0</v>
      </c>
      <c r="BG43" s="234">
        <v>0</v>
      </c>
      <c r="BH43" s="234">
        <v>0</v>
      </c>
      <c r="BI43" s="234">
        <v>0</v>
      </c>
      <c r="BJ43" s="234">
        <v>0</v>
      </c>
      <c r="BK43" s="234">
        <v>0</v>
      </c>
      <c r="BL43" s="234">
        <v>0</v>
      </c>
      <c r="BM43" s="234">
        <v>0</v>
      </c>
      <c r="BN43" s="234">
        <v>0</v>
      </c>
      <c r="BO43" s="234">
        <v>0</v>
      </c>
      <c r="BP43" s="234"/>
      <c r="BQ43" s="234"/>
      <c r="BR43" s="237" t="s">
        <v>334</v>
      </c>
      <c r="BS43" s="238">
        <v>1</v>
      </c>
      <c r="BT43" s="239">
        <f t="shared" si="3"/>
        <v>2</v>
      </c>
      <c r="CN43" s="238">
        <f t="shared" si="1"/>
        <v>0</v>
      </c>
      <c r="CO43" s="238">
        <f t="shared" si="2"/>
        <v>0</v>
      </c>
    </row>
    <row r="44" spans="1:93" ht="13.95" customHeight="1" x14ac:dyDescent="0.2">
      <c r="A44" s="231">
        <v>3943</v>
      </c>
      <c r="B44" s="232" t="s">
        <v>314</v>
      </c>
      <c r="C44" s="232" t="s">
        <v>465</v>
      </c>
      <c r="D44" s="232" t="s">
        <v>466</v>
      </c>
      <c r="E44" s="232" t="s">
        <v>467</v>
      </c>
      <c r="F44" s="231">
        <v>529575</v>
      </c>
      <c r="G44" s="231">
        <v>177401</v>
      </c>
      <c r="H44" s="232" t="s">
        <v>168</v>
      </c>
      <c r="I44" s="233">
        <v>43798</v>
      </c>
      <c r="J44" s="233">
        <v>44820</v>
      </c>
      <c r="K44" s="231">
        <v>0</v>
      </c>
      <c r="L44" s="231">
        <v>40</v>
      </c>
      <c r="M44" s="231">
        <v>40</v>
      </c>
      <c r="N44" s="231">
        <v>261</v>
      </c>
      <c r="O44" s="231">
        <v>261</v>
      </c>
      <c r="P44" s="234" t="s">
        <v>318</v>
      </c>
      <c r="Q44" s="232" t="s">
        <v>468</v>
      </c>
      <c r="R44" s="234" t="s">
        <v>469</v>
      </c>
      <c r="S44" s="235">
        <v>43917</v>
      </c>
      <c r="T44" s="235">
        <v>43936</v>
      </c>
      <c r="U44" s="234"/>
      <c r="V44" s="232" t="s">
        <v>321</v>
      </c>
      <c r="W44" s="231"/>
      <c r="X44" s="232" t="s">
        <v>322</v>
      </c>
      <c r="Y44" s="232" t="s">
        <v>323</v>
      </c>
      <c r="Z44" s="232" t="s">
        <v>323</v>
      </c>
      <c r="AA44" s="232" t="s">
        <v>324</v>
      </c>
      <c r="AB44" s="236">
        <v>4.2999999999999997E-2</v>
      </c>
      <c r="AC44" s="235">
        <v>43921</v>
      </c>
      <c r="AD44" s="234"/>
      <c r="AE44" s="235">
        <v>44813</v>
      </c>
      <c r="AF44" s="232" t="s">
        <v>57</v>
      </c>
      <c r="AG44" s="232" t="s">
        <v>470</v>
      </c>
      <c r="AH44" s="234" t="s">
        <v>471</v>
      </c>
      <c r="AI44" s="250"/>
      <c r="AJ44" s="234">
        <v>0</v>
      </c>
      <c r="AK44" s="234">
        <v>36</v>
      </c>
      <c r="AL44" s="234">
        <v>0</v>
      </c>
      <c r="AM44" s="234">
        <v>4</v>
      </c>
      <c r="AN44" s="234">
        <v>0</v>
      </c>
      <c r="AO44" s="234">
        <v>10</v>
      </c>
      <c r="AP44" s="234">
        <v>17</v>
      </c>
      <c r="AQ44" s="234">
        <v>12</v>
      </c>
      <c r="AR44" s="234">
        <v>1</v>
      </c>
      <c r="AS44" s="234">
        <v>0</v>
      </c>
      <c r="AT44" s="234">
        <v>0</v>
      </c>
      <c r="AU44" s="234">
        <v>0</v>
      </c>
      <c r="AV44" s="234">
        <v>10</v>
      </c>
      <c r="AW44" s="234">
        <v>17</v>
      </c>
      <c r="AX44" s="234">
        <v>12</v>
      </c>
      <c r="AY44" s="234">
        <v>1</v>
      </c>
      <c r="AZ44" s="234">
        <v>0</v>
      </c>
      <c r="BA44" s="234">
        <v>0</v>
      </c>
      <c r="BB44" s="234">
        <v>0</v>
      </c>
      <c r="BC44" s="234">
        <v>0</v>
      </c>
      <c r="BD44" s="234">
        <v>0</v>
      </c>
      <c r="BE44" s="234">
        <v>0</v>
      </c>
      <c r="BF44" s="234">
        <v>0</v>
      </c>
      <c r="BG44" s="234">
        <v>0</v>
      </c>
      <c r="BH44" s="234">
        <v>0</v>
      </c>
      <c r="BI44" s="234">
        <v>0</v>
      </c>
      <c r="BJ44" s="234">
        <v>0</v>
      </c>
      <c r="BK44" s="234">
        <v>0</v>
      </c>
      <c r="BL44" s="234">
        <v>0</v>
      </c>
      <c r="BM44" s="234">
        <v>0</v>
      </c>
      <c r="BN44" s="234">
        <v>0</v>
      </c>
      <c r="BO44" s="234">
        <v>0</v>
      </c>
      <c r="BP44" s="234"/>
      <c r="BQ44" s="234" t="s">
        <v>318</v>
      </c>
      <c r="BR44" s="237" t="s">
        <v>151</v>
      </c>
      <c r="BS44" s="238">
        <v>1</v>
      </c>
      <c r="BT44" s="239">
        <f t="shared" si="3"/>
        <v>40</v>
      </c>
      <c r="CN44" s="238">
        <f t="shared" si="1"/>
        <v>0</v>
      </c>
      <c r="CO44" s="238">
        <f t="shared" si="2"/>
        <v>0</v>
      </c>
    </row>
    <row r="45" spans="1:93" ht="13.95" customHeight="1" x14ac:dyDescent="0.2">
      <c r="A45" s="231">
        <v>5215</v>
      </c>
      <c r="B45" s="232" t="s">
        <v>314</v>
      </c>
      <c r="C45" s="232" t="s">
        <v>472</v>
      </c>
      <c r="D45" s="232" t="s">
        <v>473</v>
      </c>
      <c r="E45" s="232" t="s">
        <v>317</v>
      </c>
      <c r="F45" s="231">
        <v>528754</v>
      </c>
      <c r="G45" s="231">
        <v>173676</v>
      </c>
      <c r="H45" s="232" t="s">
        <v>141</v>
      </c>
      <c r="I45" s="233">
        <v>44489</v>
      </c>
      <c r="J45" s="233">
        <v>44652</v>
      </c>
      <c r="K45" s="231">
        <v>0</v>
      </c>
      <c r="L45" s="231">
        <v>2</v>
      </c>
      <c r="M45" s="231">
        <v>2</v>
      </c>
      <c r="N45" s="231">
        <v>2</v>
      </c>
      <c r="O45" s="231">
        <v>2</v>
      </c>
      <c r="P45" s="234"/>
      <c r="Q45" s="232" t="s">
        <v>474</v>
      </c>
      <c r="R45" s="234" t="s">
        <v>332</v>
      </c>
      <c r="S45" s="235">
        <v>44254</v>
      </c>
      <c r="T45" s="235">
        <v>44335</v>
      </c>
      <c r="U45" s="234"/>
      <c r="V45" s="232" t="s">
        <v>321</v>
      </c>
      <c r="W45" s="231"/>
      <c r="X45" s="232" t="s">
        <v>322</v>
      </c>
      <c r="Y45" s="232" t="s">
        <v>339</v>
      </c>
      <c r="Z45" s="232" t="s">
        <v>324</v>
      </c>
      <c r="AA45" s="232" t="s">
        <v>354</v>
      </c>
      <c r="AB45" s="236">
        <v>0.01</v>
      </c>
      <c r="AC45" s="235">
        <v>44520</v>
      </c>
      <c r="AD45" s="234"/>
      <c r="AE45" s="235">
        <v>44652</v>
      </c>
      <c r="AF45" s="232" t="s">
        <v>77</v>
      </c>
      <c r="AG45" s="232" t="s">
        <v>350</v>
      </c>
      <c r="AH45" s="234" t="s">
        <v>317</v>
      </c>
      <c r="AI45" s="250"/>
      <c r="AJ45" s="234">
        <v>0</v>
      </c>
      <c r="AK45" s="224"/>
      <c r="AL45" s="234">
        <v>0</v>
      </c>
      <c r="AM45" s="224"/>
      <c r="AN45" s="234">
        <v>0</v>
      </c>
      <c r="AO45" s="234">
        <v>1</v>
      </c>
      <c r="AP45" s="234">
        <v>1</v>
      </c>
      <c r="AQ45" s="234">
        <v>0</v>
      </c>
      <c r="AR45" s="234">
        <v>0</v>
      </c>
      <c r="AS45" s="234">
        <v>0</v>
      </c>
      <c r="AT45" s="234">
        <v>0</v>
      </c>
      <c r="AU45" s="234">
        <v>0</v>
      </c>
      <c r="AV45" s="234">
        <v>1</v>
      </c>
      <c r="AW45" s="234">
        <v>1</v>
      </c>
      <c r="AX45" s="234">
        <v>0</v>
      </c>
      <c r="AY45" s="234">
        <v>0</v>
      </c>
      <c r="AZ45" s="234">
        <v>0</v>
      </c>
      <c r="BA45" s="234">
        <v>0</v>
      </c>
      <c r="BB45" s="234">
        <v>0</v>
      </c>
      <c r="BC45" s="234">
        <v>0</v>
      </c>
      <c r="BD45" s="234">
        <v>0</v>
      </c>
      <c r="BE45" s="234">
        <v>0</v>
      </c>
      <c r="BF45" s="234">
        <v>0</v>
      </c>
      <c r="BG45" s="234">
        <v>0</v>
      </c>
      <c r="BH45" s="234">
        <v>0</v>
      </c>
      <c r="BI45" s="234">
        <v>0</v>
      </c>
      <c r="BJ45" s="234">
        <v>0</v>
      </c>
      <c r="BK45" s="234">
        <v>0</v>
      </c>
      <c r="BL45" s="234">
        <v>0</v>
      </c>
      <c r="BM45" s="234">
        <v>0</v>
      </c>
      <c r="BN45" s="234">
        <v>0</v>
      </c>
      <c r="BO45" s="234">
        <v>0</v>
      </c>
      <c r="BP45" s="234" t="s">
        <v>141</v>
      </c>
      <c r="BQ45" s="234"/>
      <c r="BR45" s="237" t="s">
        <v>141</v>
      </c>
      <c r="BS45" s="238">
        <v>11</v>
      </c>
      <c r="BT45" s="239">
        <f t="shared" si="3"/>
        <v>2</v>
      </c>
      <c r="CN45" s="238">
        <f t="shared" si="1"/>
        <v>0</v>
      </c>
      <c r="CO45" s="238">
        <f t="shared" si="2"/>
        <v>0</v>
      </c>
    </row>
    <row r="46" spans="1:93" ht="13.95" customHeight="1" x14ac:dyDescent="0.2">
      <c r="A46" s="231">
        <v>7450</v>
      </c>
      <c r="B46" s="232" t="s">
        <v>314</v>
      </c>
      <c r="C46" s="232" t="s">
        <v>475</v>
      </c>
      <c r="D46" s="232" t="s">
        <v>476</v>
      </c>
      <c r="E46" s="232" t="s">
        <v>317</v>
      </c>
      <c r="F46" s="231">
        <v>524894</v>
      </c>
      <c r="G46" s="231">
        <v>174072</v>
      </c>
      <c r="H46" s="232" t="s">
        <v>164</v>
      </c>
      <c r="I46" s="233">
        <v>44629</v>
      </c>
      <c r="J46" s="233">
        <v>44944</v>
      </c>
      <c r="K46" s="231">
        <v>1</v>
      </c>
      <c r="L46" s="231">
        <v>2</v>
      </c>
      <c r="M46" s="231">
        <v>1</v>
      </c>
      <c r="N46" s="231">
        <v>2</v>
      </c>
      <c r="O46" s="231">
        <v>1</v>
      </c>
      <c r="P46" s="234"/>
      <c r="Q46" s="232" t="s">
        <v>477</v>
      </c>
      <c r="R46" s="234" t="s">
        <v>332</v>
      </c>
      <c r="S46" s="235">
        <v>44281</v>
      </c>
      <c r="T46" s="235">
        <v>44404</v>
      </c>
      <c r="U46" s="234"/>
      <c r="V46" s="232" t="s">
        <v>321</v>
      </c>
      <c r="W46" s="231"/>
      <c r="X46" s="232" t="s">
        <v>322</v>
      </c>
      <c r="Y46" s="232" t="s">
        <v>338</v>
      </c>
      <c r="Z46" s="232" t="s">
        <v>324</v>
      </c>
      <c r="AA46" s="232" t="s">
        <v>354</v>
      </c>
      <c r="AB46" s="236">
        <v>5.5999999999999999E-3</v>
      </c>
      <c r="AC46" s="235">
        <v>44629</v>
      </c>
      <c r="AD46" s="234"/>
      <c r="AE46" s="235">
        <v>44944</v>
      </c>
      <c r="AF46" s="232" t="s">
        <v>77</v>
      </c>
      <c r="AG46" s="232" t="s">
        <v>350</v>
      </c>
      <c r="AH46" s="234" t="s">
        <v>317</v>
      </c>
      <c r="AI46" s="250"/>
      <c r="AJ46" s="234">
        <v>0</v>
      </c>
      <c r="AK46" s="224"/>
      <c r="AL46" s="234">
        <v>0</v>
      </c>
      <c r="AM46" s="224"/>
      <c r="AN46" s="234">
        <v>0</v>
      </c>
      <c r="AO46" s="234">
        <v>1</v>
      </c>
      <c r="AP46" s="234">
        <v>0</v>
      </c>
      <c r="AQ46" s="234">
        <v>0</v>
      </c>
      <c r="AR46" s="234">
        <v>0</v>
      </c>
      <c r="AS46" s="234">
        <v>0</v>
      </c>
      <c r="AT46" s="234">
        <v>0</v>
      </c>
      <c r="AU46" s="234">
        <v>0</v>
      </c>
      <c r="AV46" s="234">
        <v>1</v>
      </c>
      <c r="AW46" s="234">
        <v>0</v>
      </c>
      <c r="AX46" s="234">
        <v>0</v>
      </c>
      <c r="AY46" s="234">
        <v>0</v>
      </c>
      <c r="AZ46" s="234">
        <v>0</v>
      </c>
      <c r="BA46" s="234">
        <v>0</v>
      </c>
      <c r="BB46" s="234">
        <v>0</v>
      </c>
      <c r="BC46" s="234">
        <v>0</v>
      </c>
      <c r="BD46" s="234">
        <v>0</v>
      </c>
      <c r="BE46" s="234">
        <v>0</v>
      </c>
      <c r="BF46" s="234">
        <v>0</v>
      </c>
      <c r="BG46" s="234">
        <v>0</v>
      </c>
      <c r="BH46" s="234">
        <v>0</v>
      </c>
      <c r="BI46" s="234">
        <v>0</v>
      </c>
      <c r="BJ46" s="234">
        <v>0</v>
      </c>
      <c r="BK46" s="234">
        <v>0</v>
      </c>
      <c r="BL46" s="234">
        <v>0</v>
      </c>
      <c r="BM46" s="234">
        <v>0</v>
      </c>
      <c r="BN46" s="234">
        <v>0</v>
      </c>
      <c r="BO46" s="234">
        <v>0</v>
      </c>
      <c r="BP46" s="234"/>
      <c r="BQ46" s="234"/>
      <c r="BR46" s="237" t="s">
        <v>334</v>
      </c>
      <c r="BS46" s="238">
        <v>11</v>
      </c>
      <c r="BT46" s="239">
        <f t="shared" si="3"/>
        <v>1</v>
      </c>
      <c r="CN46" s="238">
        <f t="shared" si="1"/>
        <v>0</v>
      </c>
      <c r="CO46" s="238">
        <f t="shared" si="2"/>
        <v>0</v>
      </c>
    </row>
    <row r="47" spans="1:93" ht="13.95" customHeight="1" x14ac:dyDescent="0.2">
      <c r="A47" s="231">
        <v>7635</v>
      </c>
      <c r="B47" s="232" t="s">
        <v>314</v>
      </c>
      <c r="C47" s="232" t="s">
        <v>478</v>
      </c>
      <c r="D47" s="232" t="s">
        <v>479</v>
      </c>
      <c r="E47" s="232" t="s">
        <v>317</v>
      </c>
      <c r="F47" s="231">
        <v>523534</v>
      </c>
      <c r="G47" s="231">
        <v>176043</v>
      </c>
      <c r="H47" s="232" t="s">
        <v>175</v>
      </c>
      <c r="I47" s="233">
        <v>44531</v>
      </c>
      <c r="J47" s="233">
        <v>44907</v>
      </c>
      <c r="K47" s="231">
        <v>2</v>
      </c>
      <c r="L47" s="231">
        <v>2</v>
      </c>
      <c r="M47" s="231">
        <v>0</v>
      </c>
      <c r="N47" s="231">
        <v>2</v>
      </c>
      <c r="O47" s="231">
        <v>0</v>
      </c>
      <c r="P47" s="234"/>
      <c r="Q47" s="232" t="s">
        <v>480</v>
      </c>
      <c r="R47" s="234" t="s">
        <v>332</v>
      </c>
      <c r="S47" s="235">
        <v>44335</v>
      </c>
      <c r="T47" s="235">
        <v>44392</v>
      </c>
      <c r="U47" s="234"/>
      <c r="V47" s="232" t="s">
        <v>321</v>
      </c>
      <c r="W47" s="231"/>
      <c r="X47" s="232" t="s">
        <v>322</v>
      </c>
      <c r="Y47" s="232" t="s">
        <v>338</v>
      </c>
      <c r="Z47" s="232" t="s">
        <v>324</v>
      </c>
      <c r="AA47" s="232" t="s">
        <v>17</v>
      </c>
      <c r="AB47" s="236">
        <v>8.0999999999999996E-3</v>
      </c>
      <c r="AC47" s="235">
        <v>44531</v>
      </c>
      <c r="AD47" s="234"/>
      <c r="AE47" s="235">
        <v>44907</v>
      </c>
      <c r="AF47" s="232" t="s">
        <v>77</v>
      </c>
      <c r="AG47" s="232" t="s">
        <v>350</v>
      </c>
      <c r="AH47" s="234" t="s">
        <v>317</v>
      </c>
      <c r="AI47" s="250"/>
      <c r="AJ47" s="234">
        <v>0</v>
      </c>
      <c r="AK47" s="224"/>
      <c r="AL47" s="234">
        <v>0</v>
      </c>
      <c r="AM47" s="224"/>
      <c r="AN47" s="234">
        <v>0</v>
      </c>
      <c r="AO47" s="234">
        <v>0</v>
      </c>
      <c r="AP47" s="234">
        <v>-2</v>
      </c>
      <c r="AQ47" s="234">
        <v>2</v>
      </c>
      <c r="AR47" s="234">
        <v>0</v>
      </c>
      <c r="AS47" s="234">
        <v>0</v>
      </c>
      <c r="AT47" s="234">
        <v>0</v>
      </c>
      <c r="AU47" s="234">
        <v>0</v>
      </c>
      <c r="AV47" s="234">
        <v>0</v>
      </c>
      <c r="AW47" s="234">
        <v>-2</v>
      </c>
      <c r="AX47" s="234">
        <v>0</v>
      </c>
      <c r="AY47" s="234">
        <v>0</v>
      </c>
      <c r="AZ47" s="234">
        <v>0</v>
      </c>
      <c r="BA47" s="234">
        <v>0</v>
      </c>
      <c r="BB47" s="234">
        <v>0</v>
      </c>
      <c r="BC47" s="234">
        <v>0</v>
      </c>
      <c r="BD47" s="234">
        <v>0</v>
      </c>
      <c r="BE47" s="234">
        <v>2</v>
      </c>
      <c r="BF47" s="234">
        <v>0</v>
      </c>
      <c r="BG47" s="234">
        <v>0</v>
      </c>
      <c r="BH47" s="234">
        <v>0</v>
      </c>
      <c r="BI47" s="234">
        <v>0</v>
      </c>
      <c r="BJ47" s="234">
        <v>0</v>
      </c>
      <c r="BK47" s="234">
        <v>0</v>
      </c>
      <c r="BL47" s="234">
        <v>0</v>
      </c>
      <c r="BM47" s="234">
        <v>0</v>
      </c>
      <c r="BN47" s="234">
        <v>0</v>
      </c>
      <c r="BO47" s="234">
        <v>0</v>
      </c>
      <c r="BP47" s="234"/>
      <c r="BQ47" s="234"/>
      <c r="BR47" s="237" t="s">
        <v>481</v>
      </c>
      <c r="BS47" s="238">
        <v>11</v>
      </c>
      <c r="BT47" s="239">
        <f t="shared" si="3"/>
        <v>0</v>
      </c>
      <c r="CN47" s="238">
        <f t="shared" si="1"/>
        <v>0</v>
      </c>
      <c r="CO47" s="238">
        <f t="shared" si="2"/>
        <v>0</v>
      </c>
    </row>
    <row r="48" spans="1:93" ht="13.95" customHeight="1" x14ac:dyDescent="0.2">
      <c r="A48" s="231">
        <v>1836</v>
      </c>
      <c r="B48" s="232" t="s">
        <v>314</v>
      </c>
      <c r="C48" s="232" t="s">
        <v>482</v>
      </c>
      <c r="D48" s="232" t="s">
        <v>483</v>
      </c>
      <c r="E48" s="232" t="s">
        <v>317</v>
      </c>
      <c r="F48" s="231">
        <v>525361</v>
      </c>
      <c r="G48" s="231">
        <v>174644</v>
      </c>
      <c r="H48" s="232" t="s">
        <v>181</v>
      </c>
      <c r="I48" s="233">
        <v>44543</v>
      </c>
      <c r="J48" s="233">
        <v>44952</v>
      </c>
      <c r="K48" s="231">
        <v>0</v>
      </c>
      <c r="L48" s="231">
        <v>2</v>
      </c>
      <c r="M48" s="231">
        <v>2</v>
      </c>
      <c r="N48" s="231">
        <v>2</v>
      </c>
      <c r="O48" s="231">
        <v>2</v>
      </c>
      <c r="P48" s="234"/>
      <c r="Q48" s="232" t="s">
        <v>484</v>
      </c>
      <c r="R48" s="234" t="s">
        <v>332</v>
      </c>
      <c r="S48" s="235">
        <v>44390</v>
      </c>
      <c r="T48" s="235">
        <v>44447</v>
      </c>
      <c r="U48" s="234"/>
      <c r="V48" s="232" t="s">
        <v>321</v>
      </c>
      <c r="W48" s="231"/>
      <c r="X48" s="232" t="s">
        <v>322</v>
      </c>
      <c r="Y48" s="232" t="s">
        <v>365</v>
      </c>
      <c r="Z48" s="232" t="s">
        <v>324</v>
      </c>
      <c r="AA48" s="232" t="s">
        <v>31</v>
      </c>
      <c r="AB48" s="236">
        <v>1.21E-2</v>
      </c>
      <c r="AC48" s="235">
        <v>44543</v>
      </c>
      <c r="AD48" s="234"/>
      <c r="AE48" s="235">
        <v>44952</v>
      </c>
      <c r="AF48" s="232" t="s">
        <v>77</v>
      </c>
      <c r="AG48" s="232" t="s">
        <v>350</v>
      </c>
      <c r="AH48" s="234" t="s">
        <v>317</v>
      </c>
      <c r="AI48" s="250"/>
      <c r="AJ48" s="234">
        <v>0</v>
      </c>
      <c r="AK48" s="224"/>
      <c r="AL48" s="234">
        <v>0</v>
      </c>
      <c r="AM48" s="224"/>
      <c r="AN48" s="234">
        <v>1</v>
      </c>
      <c r="AO48" s="234">
        <v>1</v>
      </c>
      <c r="AP48" s="234">
        <v>0</v>
      </c>
      <c r="AQ48" s="234">
        <v>0</v>
      </c>
      <c r="AR48" s="234">
        <v>0</v>
      </c>
      <c r="AS48" s="234">
        <v>0</v>
      </c>
      <c r="AT48" s="234">
        <v>0</v>
      </c>
      <c r="AU48" s="234">
        <v>1</v>
      </c>
      <c r="AV48" s="234">
        <v>1</v>
      </c>
      <c r="AW48" s="234">
        <v>0</v>
      </c>
      <c r="AX48" s="234">
        <v>0</v>
      </c>
      <c r="AY48" s="234">
        <v>0</v>
      </c>
      <c r="AZ48" s="234">
        <v>0</v>
      </c>
      <c r="BA48" s="234">
        <v>0</v>
      </c>
      <c r="BB48" s="234">
        <v>0</v>
      </c>
      <c r="BC48" s="234">
        <v>0</v>
      </c>
      <c r="BD48" s="234">
        <v>0</v>
      </c>
      <c r="BE48" s="234">
        <v>0</v>
      </c>
      <c r="BF48" s="234">
        <v>0</v>
      </c>
      <c r="BG48" s="234">
        <v>0</v>
      </c>
      <c r="BH48" s="234">
        <v>0</v>
      </c>
      <c r="BI48" s="234">
        <v>0</v>
      </c>
      <c r="BJ48" s="234">
        <v>0</v>
      </c>
      <c r="BK48" s="234">
        <v>0</v>
      </c>
      <c r="BL48" s="234">
        <v>0</v>
      </c>
      <c r="BM48" s="234">
        <v>0</v>
      </c>
      <c r="BN48" s="234">
        <v>0</v>
      </c>
      <c r="BO48" s="234">
        <v>0</v>
      </c>
      <c r="BP48" s="234" t="s">
        <v>145</v>
      </c>
      <c r="BQ48" s="234"/>
      <c r="BR48" s="237" t="s">
        <v>327</v>
      </c>
      <c r="BS48" s="238">
        <v>11</v>
      </c>
      <c r="BT48" s="239">
        <f t="shared" si="3"/>
        <v>2</v>
      </c>
      <c r="CN48" s="238">
        <f t="shared" si="1"/>
        <v>0</v>
      </c>
      <c r="CO48" s="238">
        <f t="shared" si="2"/>
        <v>0</v>
      </c>
    </row>
    <row r="49" spans="1:93" ht="13.95" customHeight="1" x14ac:dyDescent="0.2">
      <c r="A49" s="231">
        <v>7681</v>
      </c>
      <c r="B49" s="232" t="s">
        <v>314</v>
      </c>
      <c r="C49" s="232" t="s">
        <v>485</v>
      </c>
      <c r="D49" s="232" t="s">
        <v>486</v>
      </c>
      <c r="E49" s="232" t="s">
        <v>317</v>
      </c>
      <c r="F49" s="231">
        <v>528394</v>
      </c>
      <c r="G49" s="231">
        <v>171693</v>
      </c>
      <c r="H49" s="232" t="s">
        <v>176</v>
      </c>
      <c r="I49" s="233">
        <v>44595</v>
      </c>
      <c r="J49" s="233">
        <v>44951</v>
      </c>
      <c r="K49" s="231">
        <v>1</v>
      </c>
      <c r="L49" s="231">
        <v>2</v>
      </c>
      <c r="M49" s="231">
        <v>1</v>
      </c>
      <c r="N49" s="231">
        <v>2</v>
      </c>
      <c r="O49" s="231">
        <v>1</v>
      </c>
      <c r="P49" s="234"/>
      <c r="Q49" s="232" t="s">
        <v>487</v>
      </c>
      <c r="R49" s="234" t="s">
        <v>332</v>
      </c>
      <c r="S49" s="235">
        <v>44396</v>
      </c>
      <c r="T49" s="235">
        <v>44530</v>
      </c>
      <c r="U49" s="234"/>
      <c r="V49" s="232" t="s">
        <v>321</v>
      </c>
      <c r="W49" s="231"/>
      <c r="X49" s="232" t="s">
        <v>322</v>
      </c>
      <c r="Y49" s="232" t="s">
        <v>339</v>
      </c>
      <c r="Z49" s="232" t="s">
        <v>324</v>
      </c>
      <c r="AA49" s="232" t="s">
        <v>354</v>
      </c>
      <c r="AB49" s="236">
        <v>7.0000000000000001E-3</v>
      </c>
      <c r="AC49" s="235">
        <v>44595</v>
      </c>
      <c r="AD49" s="234"/>
      <c r="AE49" s="235">
        <v>44951</v>
      </c>
      <c r="AF49" s="232" t="s">
        <v>77</v>
      </c>
      <c r="AG49" s="232" t="s">
        <v>350</v>
      </c>
      <c r="AH49" s="234" t="s">
        <v>317</v>
      </c>
      <c r="AI49" s="250"/>
      <c r="AJ49" s="234">
        <v>0</v>
      </c>
      <c r="AK49" s="224"/>
      <c r="AL49" s="234">
        <v>0</v>
      </c>
      <c r="AM49" s="224"/>
      <c r="AN49" s="234">
        <v>0</v>
      </c>
      <c r="AO49" s="234">
        <v>1</v>
      </c>
      <c r="AP49" s="234">
        <v>-1</v>
      </c>
      <c r="AQ49" s="234">
        <v>1</v>
      </c>
      <c r="AR49" s="234">
        <v>0</v>
      </c>
      <c r="AS49" s="234">
        <v>0</v>
      </c>
      <c r="AT49" s="234">
        <v>0</v>
      </c>
      <c r="AU49" s="234">
        <v>0</v>
      </c>
      <c r="AV49" s="234">
        <v>1</v>
      </c>
      <c r="AW49" s="234">
        <v>-1</v>
      </c>
      <c r="AX49" s="234">
        <v>1</v>
      </c>
      <c r="AY49" s="234">
        <v>0</v>
      </c>
      <c r="AZ49" s="234">
        <v>0</v>
      </c>
      <c r="BA49" s="234">
        <v>0</v>
      </c>
      <c r="BB49" s="234">
        <v>0</v>
      </c>
      <c r="BC49" s="234">
        <v>0</v>
      </c>
      <c r="BD49" s="234">
        <v>0</v>
      </c>
      <c r="BE49" s="234">
        <v>0</v>
      </c>
      <c r="BF49" s="234">
        <v>0</v>
      </c>
      <c r="BG49" s="234">
        <v>0</v>
      </c>
      <c r="BH49" s="234">
        <v>0</v>
      </c>
      <c r="BI49" s="234">
        <v>0</v>
      </c>
      <c r="BJ49" s="234">
        <v>0</v>
      </c>
      <c r="BK49" s="234">
        <v>0</v>
      </c>
      <c r="BL49" s="234">
        <v>0</v>
      </c>
      <c r="BM49" s="234">
        <v>0</v>
      </c>
      <c r="BN49" s="234">
        <v>0</v>
      </c>
      <c r="BO49" s="234">
        <v>0</v>
      </c>
      <c r="BP49" s="234"/>
      <c r="BQ49" s="234"/>
      <c r="BR49" s="237" t="s">
        <v>334</v>
      </c>
      <c r="BS49" s="238">
        <v>11</v>
      </c>
      <c r="BT49" s="239">
        <f t="shared" si="3"/>
        <v>1</v>
      </c>
      <c r="CN49" s="238">
        <f t="shared" si="1"/>
        <v>0</v>
      </c>
      <c r="CO49" s="238">
        <f t="shared" si="2"/>
        <v>0</v>
      </c>
    </row>
    <row r="50" spans="1:93" ht="13.95" customHeight="1" x14ac:dyDescent="0.2">
      <c r="A50" s="231">
        <v>7687</v>
      </c>
      <c r="B50" s="232" t="s">
        <v>314</v>
      </c>
      <c r="C50" s="232" t="s">
        <v>488</v>
      </c>
      <c r="D50" s="232" t="s">
        <v>489</v>
      </c>
      <c r="E50" s="232" t="s">
        <v>317</v>
      </c>
      <c r="F50" s="231">
        <v>528315</v>
      </c>
      <c r="G50" s="231">
        <v>171540</v>
      </c>
      <c r="H50" s="232" t="s">
        <v>176</v>
      </c>
      <c r="I50" s="233">
        <v>44643</v>
      </c>
      <c r="J50" s="233">
        <v>44910</v>
      </c>
      <c r="K50" s="231">
        <v>1</v>
      </c>
      <c r="L50" s="231">
        <v>2</v>
      </c>
      <c r="M50" s="231">
        <v>1</v>
      </c>
      <c r="N50" s="231">
        <v>2</v>
      </c>
      <c r="O50" s="231">
        <v>1</v>
      </c>
      <c r="P50" s="234"/>
      <c r="Q50" s="232" t="s">
        <v>490</v>
      </c>
      <c r="R50" s="234" t="s">
        <v>332</v>
      </c>
      <c r="S50" s="235">
        <v>44483</v>
      </c>
      <c r="T50" s="235">
        <v>44580</v>
      </c>
      <c r="U50" s="234"/>
      <c r="V50" s="232" t="s">
        <v>321</v>
      </c>
      <c r="W50" s="231"/>
      <c r="X50" s="232" t="s">
        <v>322</v>
      </c>
      <c r="Y50" s="232" t="s">
        <v>365</v>
      </c>
      <c r="Z50" s="232" t="s">
        <v>324</v>
      </c>
      <c r="AA50" s="232" t="s">
        <v>354</v>
      </c>
      <c r="AB50" s="236">
        <v>7.0000000000000001E-3</v>
      </c>
      <c r="AC50" s="235">
        <v>44643</v>
      </c>
      <c r="AD50" s="234"/>
      <c r="AE50" s="235">
        <v>44910</v>
      </c>
      <c r="AF50" s="232" t="s">
        <v>77</v>
      </c>
      <c r="AG50" s="232" t="s">
        <v>350</v>
      </c>
      <c r="AH50" s="234" t="s">
        <v>317</v>
      </c>
      <c r="AI50" s="250"/>
      <c r="AJ50" s="234">
        <v>0</v>
      </c>
      <c r="AK50" s="224"/>
      <c r="AL50" s="234">
        <v>0</v>
      </c>
      <c r="AM50" s="224"/>
      <c r="AN50" s="234">
        <v>0</v>
      </c>
      <c r="AO50" s="234">
        <v>1</v>
      </c>
      <c r="AP50" s="234">
        <v>1</v>
      </c>
      <c r="AQ50" s="234">
        <v>-1</v>
      </c>
      <c r="AR50" s="234">
        <v>0</v>
      </c>
      <c r="AS50" s="234">
        <v>0</v>
      </c>
      <c r="AT50" s="234">
        <v>0</v>
      </c>
      <c r="AU50" s="234">
        <v>0</v>
      </c>
      <c r="AV50" s="234">
        <v>1</v>
      </c>
      <c r="AW50" s="234">
        <v>1</v>
      </c>
      <c r="AX50" s="234">
        <v>0</v>
      </c>
      <c r="AY50" s="234">
        <v>0</v>
      </c>
      <c r="AZ50" s="234">
        <v>0</v>
      </c>
      <c r="BA50" s="234">
        <v>0</v>
      </c>
      <c r="BB50" s="234">
        <v>0</v>
      </c>
      <c r="BC50" s="234">
        <v>0</v>
      </c>
      <c r="BD50" s="234">
        <v>0</v>
      </c>
      <c r="BE50" s="234">
        <v>-1</v>
      </c>
      <c r="BF50" s="234">
        <v>0</v>
      </c>
      <c r="BG50" s="234">
        <v>0</v>
      </c>
      <c r="BH50" s="234">
        <v>0</v>
      </c>
      <c r="BI50" s="234">
        <v>0</v>
      </c>
      <c r="BJ50" s="234">
        <v>0</v>
      </c>
      <c r="BK50" s="234">
        <v>0</v>
      </c>
      <c r="BL50" s="234">
        <v>0</v>
      </c>
      <c r="BM50" s="234">
        <v>0</v>
      </c>
      <c r="BN50" s="234">
        <v>0</v>
      </c>
      <c r="BO50" s="234">
        <v>0</v>
      </c>
      <c r="BP50" s="234"/>
      <c r="BQ50" s="234"/>
      <c r="BR50" s="237" t="s">
        <v>334</v>
      </c>
      <c r="BS50" s="238">
        <v>11</v>
      </c>
      <c r="BT50" s="239">
        <f t="shared" si="3"/>
        <v>1</v>
      </c>
      <c r="CN50" s="238">
        <f t="shared" si="1"/>
        <v>0</v>
      </c>
      <c r="CO50" s="238">
        <f t="shared" si="2"/>
        <v>0</v>
      </c>
    </row>
    <row r="51" spans="1:93" ht="13.95" customHeight="1" x14ac:dyDescent="0.2">
      <c r="A51" s="231">
        <v>6063</v>
      </c>
      <c r="B51" s="232" t="s">
        <v>314</v>
      </c>
      <c r="C51" s="232" t="s">
        <v>491</v>
      </c>
      <c r="D51" s="232" t="s">
        <v>492</v>
      </c>
      <c r="E51" s="232" t="s">
        <v>317</v>
      </c>
      <c r="F51" s="231">
        <v>527408</v>
      </c>
      <c r="G51" s="231">
        <v>176440</v>
      </c>
      <c r="H51" s="232" t="s">
        <v>174</v>
      </c>
      <c r="I51" s="233">
        <v>43801</v>
      </c>
      <c r="J51" s="233">
        <v>44946</v>
      </c>
      <c r="K51" s="231">
        <v>0</v>
      </c>
      <c r="L51" s="231">
        <v>1</v>
      </c>
      <c r="M51" s="231">
        <v>1</v>
      </c>
      <c r="N51" s="231">
        <v>1</v>
      </c>
      <c r="O51" s="231">
        <v>1</v>
      </c>
      <c r="P51" s="234"/>
      <c r="Q51" s="232" t="s">
        <v>493</v>
      </c>
      <c r="R51" s="234" t="s">
        <v>332</v>
      </c>
      <c r="S51" s="235">
        <v>42257</v>
      </c>
      <c r="T51" s="235">
        <v>42580</v>
      </c>
      <c r="U51" s="234"/>
      <c r="V51" s="232" t="s">
        <v>321</v>
      </c>
      <c r="W51" s="231"/>
      <c r="X51" s="232" t="s">
        <v>322</v>
      </c>
      <c r="Y51" s="232" t="s">
        <v>323</v>
      </c>
      <c r="Z51" s="232" t="s">
        <v>324</v>
      </c>
      <c r="AA51" s="232" t="s">
        <v>349</v>
      </c>
      <c r="AB51" s="236">
        <v>1.7999999999999999E-2</v>
      </c>
      <c r="AC51" s="235">
        <v>43801</v>
      </c>
      <c r="AD51" s="234"/>
      <c r="AE51" s="235">
        <v>44946</v>
      </c>
      <c r="AF51" s="232" t="s">
        <v>77</v>
      </c>
      <c r="AG51" s="232" t="s">
        <v>350</v>
      </c>
      <c r="AH51" s="234" t="s">
        <v>317</v>
      </c>
      <c r="AI51" s="250"/>
      <c r="AJ51" s="234">
        <v>1</v>
      </c>
      <c r="AK51" s="224"/>
      <c r="AL51" s="234">
        <v>0</v>
      </c>
      <c r="AM51" s="224"/>
      <c r="AN51" s="234">
        <v>0</v>
      </c>
      <c r="AO51" s="234">
        <v>0</v>
      </c>
      <c r="AP51" s="234">
        <v>1</v>
      </c>
      <c r="AQ51" s="234">
        <v>0</v>
      </c>
      <c r="AR51" s="234">
        <v>0</v>
      </c>
      <c r="AS51" s="234">
        <v>0</v>
      </c>
      <c r="AT51" s="234">
        <v>0</v>
      </c>
      <c r="AU51" s="234">
        <v>0</v>
      </c>
      <c r="AV51" s="234">
        <v>0</v>
      </c>
      <c r="AW51" s="234">
        <v>0</v>
      </c>
      <c r="AX51" s="234">
        <v>0</v>
      </c>
      <c r="AY51" s="234">
        <v>0</v>
      </c>
      <c r="AZ51" s="234">
        <v>0</v>
      </c>
      <c r="BA51" s="234">
        <v>0</v>
      </c>
      <c r="BB51" s="234">
        <v>0</v>
      </c>
      <c r="BC51" s="234">
        <v>0</v>
      </c>
      <c r="BD51" s="234">
        <v>1</v>
      </c>
      <c r="BE51" s="234">
        <v>0</v>
      </c>
      <c r="BF51" s="234">
        <v>0</v>
      </c>
      <c r="BG51" s="234">
        <v>0</v>
      </c>
      <c r="BH51" s="234">
        <v>0</v>
      </c>
      <c r="BI51" s="234">
        <v>0</v>
      </c>
      <c r="BJ51" s="234">
        <v>0</v>
      </c>
      <c r="BK51" s="234">
        <v>0</v>
      </c>
      <c r="BL51" s="234">
        <v>0</v>
      </c>
      <c r="BM51" s="234">
        <v>0</v>
      </c>
      <c r="BN51" s="234">
        <v>0</v>
      </c>
      <c r="BO51" s="234">
        <v>0</v>
      </c>
      <c r="BP51" s="234"/>
      <c r="BQ51" s="234"/>
      <c r="BR51" s="237" t="s">
        <v>334</v>
      </c>
      <c r="BS51" s="238">
        <v>1</v>
      </c>
      <c r="BT51" s="239">
        <f t="shared" si="3"/>
        <v>1</v>
      </c>
      <c r="CN51" s="238">
        <f t="shared" si="1"/>
        <v>0</v>
      </c>
      <c r="CO51" s="238">
        <f t="shared" si="2"/>
        <v>0</v>
      </c>
    </row>
    <row r="52" spans="1:93" ht="13.95" customHeight="1" x14ac:dyDescent="0.2">
      <c r="A52" s="231">
        <v>5682</v>
      </c>
      <c r="B52" s="232" t="s">
        <v>314</v>
      </c>
      <c r="C52" s="232" t="s">
        <v>494</v>
      </c>
      <c r="D52" s="232" t="s">
        <v>451</v>
      </c>
      <c r="E52" s="232" t="s">
        <v>317</v>
      </c>
      <c r="F52" s="231">
        <v>528537</v>
      </c>
      <c r="G52" s="231">
        <v>175740</v>
      </c>
      <c r="H52" s="232" t="s">
        <v>167</v>
      </c>
      <c r="I52" s="233">
        <v>43555</v>
      </c>
      <c r="J52" s="233">
        <v>45016</v>
      </c>
      <c r="K52" s="231">
        <v>0</v>
      </c>
      <c r="L52" s="231">
        <v>1</v>
      </c>
      <c r="M52" s="231">
        <v>1</v>
      </c>
      <c r="N52" s="231">
        <v>1</v>
      </c>
      <c r="O52" s="231">
        <v>1</v>
      </c>
      <c r="P52" s="234"/>
      <c r="Q52" s="232" t="s">
        <v>495</v>
      </c>
      <c r="R52" s="234" t="s">
        <v>332</v>
      </c>
      <c r="S52" s="235">
        <v>42493</v>
      </c>
      <c r="T52" s="235">
        <v>42549</v>
      </c>
      <c r="U52" s="234"/>
      <c r="V52" s="232" t="s">
        <v>321</v>
      </c>
      <c r="W52" s="231"/>
      <c r="X52" s="232" t="s">
        <v>322</v>
      </c>
      <c r="Y52" s="232" t="s">
        <v>338</v>
      </c>
      <c r="Z52" s="232" t="s">
        <v>324</v>
      </c>
      <c r="AA52" s="232" t="s">
        <v>25</v>
      </c>
      <c r="AB52" s="236">
        <v>4.0000000000000001E-3</v>
      </c>
      <c r="AC52" s="235">
        <v>43555</v>
      </c>
      <c r="AD52" s="234"/>
      <c r="AE52" s="235">
        <v>45016</v>
      </c>
      <c r="AF52" s="232" t="s">
        <v>77</v>
      </c>
      <c r="AG52" s="232" t="s">
        <v>350</v>
      </c>
      <c r="AH52" s="234" t="s">
        <v>317</v>
      </c>
      <c r="AI52" s="250"/>
      <c r="AJ52" s="234">
        <v>0</v>
      </c>
      <c r="AK52" s="224"/>
      <c r="AL52" s="234">
        <v>0</v>
      </c>
      <c r="AM52" s="224"/>
      <c r="AN52" s="234">
        <v>0</v>
      </c>
      <c r="AO52" s="234">
        <v>1</v>
      </c>
      <c r="AP52" s="234">
        <v>0</v>
      </c>
      <c r="AQ52" s="234">
        <v>0</v>
      </c>
      <c r="AR52" s="234">
        <v>0</v>
      </c>
      <c r="AS52" s="234">
        <v>0</v>
      </c>
      <c r="AT52" s="234">
        <v>0</v>
      </c>
      <c r="AU52" s="234">
        <v>0</v>
      </c>
      <c r="AV52" s="234">
        <v>1</v>
      </c>
      <c r="AW52" s="234">
        <v>0</v>
      </c>
      <c r="AX52" s="234">
        <v>0</v>
      </c>
      <c r="AY52" s="234">
        <v>0</v>
      </c>
      <c r="AZ52" s="234">
        <v>0</v>
      </c>
      <c r="BA52" s="234">
        <v>0</v>
      </c>
      <c r="BB52" s="234">
        <v>0</v>
      </c>
      <c r="BC52" s="234">
        <v>0</v>
      </c>
      <c r="BD52" s="234">
        <v>0</v>
      </c>
      <c r="BE52" s="234">
        <v>0</v>
      </c>
      <c r="BF52" s="234">
        <v>0</v>
      </c>
      <c r="BG52" s="234">
        <v>0</v>
      </c>
      <c r="BH52" s="234">
        <v>0</v>
      </c>
      <c r="BI52" s="234">
        <v>0</v>
      </c>
      <c r="BJ52" s="234">
        <v>0</v>
      </c>
      <c r="BK52" s="234">
        <v>0</v>
      </c>
      <c r="BL52" s="234">
        <v>0</v>
      </c>
      <c r="BM52" s="234">
        <v>0</v>
      </c>
      <c r="BN52" s="234">
        <v>0</v>
      </c>
      <c r="BO52" s="234">
        <v>0</v>
      </c>
      <c r="BP52" s="234"/>
      <c r="BQ52" s="234"/>
      <c r="BR52" s="237" t="s">
        <v>334</v>
      </c>
      <c r="BS52" s="238">
        <v>11</v>
      </c>
      <c r="BT52" s="239">
        <f t="shared" si="3"/>
        <v>1</v>
      </c>
      <c r="CN52" s="238">
        <f t="shared" si="1"/>
        <v>0</v>
      </c>
      <c r="CO52" s="238">
        <f t="shared" si="2"/>
        <v>0</v>
      </c>
    </row>
    <row r="53" spans="1:93" ht="13.95" customHeight="1" x14ac:dyDescent="0.2">
      <c r="A53" s="231">
        <v>1924</v>
      </c>
      <c r="B53" s="232" t="s">
        <v>314</v>
      </c>
      <c r="C53" s="232" t="s">
        <v>496</v>
      </c>
      <c r="D53" s="232" t="s">
        <v>497</v>
      </c>
      <c r="E53" s="232" t="s">
        <v>317</v>
      </c>
      <c r="F53" s="231">
        <v>521176</v>
      </c>
      <c r="G53" s="231">
        <v>174253</v>
      </c>
      <c r="H53" s="232" t="s">
        <v>170</v>
      </c>
      <c r="I53" s="233">
        <v>42825</v>
      </c>
      <c r="J53" s="233">
        <v>44860</v>
      </c>
      <c r="K53" s="231">
        <v>1</v>
      </c>
      <c r="L53" s="231">
        <v>1</v>
      </c>
      <c r="M53" s="231">
        <v>0</v>
      </c>
      <c r="N53" s="231">
        <v>1</v>
      </c>
      <c r="O53" s="231">
        <v>0</v>
      </c>
      <c r="P53" s="234"/>
      <c r="Q53" s="232" t="s">
        <v>498</v>
      </c>
      <c r="R53" s="234" t="s">
        <v>332</v>
      </c>
      <c r="S53" s="235">
        <v>42557</v>
      </c>
      <c r="T53" s="235">
        <v>42613</v>
      </c>
      <c r="U53" s="234"/>
      <c r="V53" s="232" t="s">
        <v>321</v>
      </c>
      <c r="W53" s="231"/>
      <c r="X53" s="232" t="s">
        <v>322</v>
      </c>
      <c r="Y53" s="232" t="s">
        <v>323</v>
      </c>
      <c r="Z53" s="232" t="s">
        <v>324</v>
      </c>
      <c r="AA53" s="232" t="s">
        <v>349</v>
      </c>
      <c r="AB53" s="236">
        <v>0.123</v>
      </c>
      <c r="AC53" s="235">
        <v>42825</v>
      </c>
      <c r="AD53" s="234"/>
      <c r="AE53" s="235">
        <v>44860</v>
      </c>
      <c r="AF53" s="232" t="s">
        <v>77</v>
      </c>
      <c r="AG53" s="232" t="s">
        <v>350</v>
      </c>
      <c r="AH53" s="234" t="s">
        <v>317</v>
      </c>
      <c r="AI53" s="250"/>
      <c r="AJ53" s="234">
        <v>0</v>
      </c>
      <c r="AK53" s="224"/>
      <c r="AL53" s="234">
        <v>0</v>
      </c>
      <c r="AM53" s="224"/>
      <c r="AN53" s="234">
        <v>0</v>
      </c>
      <c r="AO53" s="234">
        <v>0</v>
      </c>
      <c r="AP53" s="234">
        <v>0</v>
      </c>
      <c r="AQ53" s="234">
        <v>0</v>
      </c>
      <c r="AR53" s="234">
        <v>-1</v>
      </c>
      <c r="AS53" s="234">
        <v>1</v>
      </c>
      <c r="AT53" s="234">
        <v>0</v>
      </c>
      <c r="AU53" s="234">
        <v>0</v>
      </c>
      <c r="AV53" s="234">
        <v>0</v>
      </c>
      <c r="AW53" s="234">
        <v>0</v>
      </c>
      <c r="AX53" s="234">
        <v>0</v>
      </c>
      <c r="AY53" s="234">
        <v>0</v>
      </c>
      <c r="AZ53" s="234">
        <v>0</v>
      </c>
      <c r="BA53" s="234">
        <v>0</v>
      </c>
      <c r="BB53" s="234">
        <v>0</v>
      </c>
      <c r="BC53" s="234">
        <v>0</v>
      </c>
      <c r="BD53" s="234">
        <v>0</v>
      </c>
      <c r="BE53" s="234">
        <v>0</v>
      </c>
      <c r="BF53" s="234">
        <v>-1</v>
      </c>
      <c r="BG53" s="234">
        <v>1</v>
      </c>
      <c r="BH53" s="234">
        <v>0</v>
      </c>
      <c r="BI53" s="234">
        <v>0</v>
      </c>
      <c r="BJ53" s="234">
        <v>0</v>
      </c>
      <c r="BK53" s="234">
        <v>0</v>
      </c>
      <c r="BL53" s="234">
        <v>0</v>
      </c>
      <c r="BM53" s="234">
        <v>0</v>
      </c>
      <c r="BN53" s="234">
        <v>0</v>
      </c>
      <c r="BO53" s="234">
        <v>0</v>
      </c>
      <c r="BP53" s="234"/>
      <c r="BQ53" s="234"/>
      <c r="BR53" s="237" t="s">
        <v>153</v>
      </c>
      <c r="BS53" s="238">
        <v>1</v>
      </c>
      <c r="BT53" s="239">
        <f t="shared" si="3"/>
        <v>0</v>
      </c>
      <c r="CN53" s="238">
        <f t="shared" si="1"/>
        <v>0</v>
      </c>
      <c r="CO53" s="238">
        <f t="shared" si="2"/>
        <v>0</v>
      </c>
    </row>
    <row r="54" spans="1:93" ht="13.95" customHeight="1" x14ac:dyDescent="0.2">
      <c r="A54" s="231">
        <v>2978</v>
      </c>
      <c r="B54" s="232" t="s">
        <v>314</v>
      </c>
      <c r="C54" s="232" t="s">
        <v>499</v>
      </c>
      <c r="D54" s="232" t="s">
        <v>500</v>
      </c>
      <c r="E54" s="232" t="s">
        <v>317</v>
      </c>
      <c r="F54" s="231">
        <v>527727</v>
      </c>
      <c r="G54" s="231">
        <v>172703</v>
      </c>
      <c r="H54" s="232" t="s">
        <v>178</v>
      </c>
      <c r="I54" s="233">
        <v>43555</v>
      </c>
      <c r="J54" s="233">
        <v>44743</v>
      </c>
      <c r="K54" s="231">
        <v>1</v>
      </c>
      <c r="L54" s="231">
        <v>1</v>
      </c>
      <c r="M54" s="231">
        <v>0</v>
      </c>
      <c r="N54" s="231">
        <v>1</v>
      </c>
      <c r="O54" s="231">
        <v>0</v>
      </c>
      <c r="P54" s="234"/>
      <c r="Q54" s="232" t="s">
        <v>501</v>
      </c>
      <c r="R54" s="234" t="s">
        <v>332</v>
      </c>
      <c r="S54" s="235">
        <v>42790</v>
      </c>
      <c r="T54" s="235">
        <v>42846</v>
      </c>
      <c r="U54" s="234"/>
      <c r="V54" s="232" t="s">
        <v>321</v>
      </c>
      <c r="W54" s="231"/>
      <c r="X54" s="232" t="s">
        <v>322</v>
      </c>
      <c r="Y54" s="232" t="s">
        <v>323</v>
      </c>
      <c r="Z54" s="232" t="s">
        <v>324</v>
      </c>
      <c r="AA54" s="232" t="s">
        <v>349</v>
      </c>
      <c r="AB54" s="236">
        <v>3.6999999999999998E-2</v>
      </c>
      <c r="AC54" s="235">
        <v>43555</v>
      </c>
      <c r="AD54" s="234"/>
      <c r="AE54" s="235">
        <v>44743</v>
      </c>
      <c r="AF54" s="232" t="s">
        <v>77</v>
      </c>
      <c r="AG54" s="232" t="s">
        <v>350</v>
      </c>
      <c r="AH54" s="234" t="s">
        <v>317</v>
      </c>
      <c r="AI54" s="250"/>
      <c r="AJ54" s="234">
        <v>0</v>
      </c>
      <c r="AK54" s="224"/>
      <c r="AL54" s="234">
        <v>0</v>
      </c>
      <c r="AM54" s="224"/>
      <c r="AN54" s="234">
        <v>0</v>
      </c>
      <c r="AO54" s="234">
        <v>-1</v>
      </c>
      <c r="AP54" s="234">
        <v>0</v>
      </c>
      <c r="AQ54" s="234">
        <v>1</v>
      </c>
      <c r="AR54" s="234">
        <v>0</v>
      </c>
      <c r="AS54" s="234">
        <v>0</v>
      </c>
      <c r="AT54" s="234">
        <v>0</v>
      </c>
      <c r="AU54" s="234">
        <v>0</v>
      </c>
      <c r="AV54" s="234">
        <v>0</v>
      </c>
      <c r="AW54" s="234">
        <v>0</v>
      </c>
      <c r="AX54" s="234">
        <v>0</v>
      </c>
      <c r="AY54" s="234">
        <v>0</v>
      </c>
      <c r="AZ54" s="234">
        <v>0</v>
      </c>
      <c r="BA54" s="234">
        <v>0</v>
      </c>
      <c r="BB54" s="234">
        <v>0</v>
      </c>
      <c r="BC54" s="234">
        <v>-1</v>
      </c>
      <c r="BD54" s="234">
        <v>0</v>
      </c>
      <c r="BE54" s="234">
        <v>1</v>
      </c>
      <c r="BF54" s="234">
        <v>0</v>
      </c>
      <c r="BG54" s="234">
        <v>0</v>
      </c>
      <c r="BH54" s="234">
        <v>0</v>
      </c>
      <c r="BI54" s="234">
        <v>0</v>
      </c>
      <c r="BJ54" s="234">
        <v>0</v>
      </c>
      <c r="BK54" s="234">
        <v>0</v>
      </c>
      <c r="BL54" s="234">
        <v>0</v>
      </c>
      <c r="BM54" s="234">
        <v>0</v>
      </c>
      <c r="BN54" s="234">
        <v>0</v>
      </c>
      <c r="BO54" s="234">
        <v>0</v>
      </c>
      <c r="BP54" s="234"/>
      <c r="BQ54" s="234"/>
      <c r="BR54" s="237" t="s">
        <v>334</v>
      </c>
      <c r="BS54" s="238">
        <v>1</v>
      </c>
      <c r="BT54" s="239">
        <f t="shared" si="3"/>
        <v>0</v>
      </c>
      <c r="CN54" s="238">
        <f t="shared" si="1"/>
        <v>0</v>
      </c>
      <c r="CO54" s="238">
        <f t="shared" si="2"/>
        <v>0</v>
      </c>
    </row>
    <row r="55" spans="1:93" ht="13.95" customHeight="1" x14ac:dyDescent="0.2">
      <c r="A55" s="231">
        <v>5682</v>
      </c>
      <c r="B55" s="232" t="s">
        <v>314</v>
      </c>
      <c r="C55" s="232" t="s">
        <v>450</v>
      </c>
      <c r="D55" s="232" t="s">
        <v>451</v>
      </c>
      <c r="E55" s="232" t="s">
        <v>317</v>
      </c>
      <c r="F55" s="231">
        <v>528537</v>
      </c>
      <c r="G55" s="231">
        <v>175740</v>
      </c>
      <c r="H55" s="232" t="s">
        <v>167</v>
      </c>
      <c r="I55" s="233">
        <v>43555</v>
      </c>
      <c r="J55" s="233">
        <v>45016</v>
      </c>
      <c r="K55" s="231">
        <v>0</v>
      </c>
      <c r="L55" s="231">
        <v>1</v>
      </c>
      <c r="M55" s="231">
        <v>1</v>
      </c>
      <c r="N55" s="231">
        <v>3</v>
      </c>
      <c r="O55" s="231">
        <v>2</v>
      </c>
      <c r="P55" s="234"/>
      <c r="Q55" s="232" t="s">
        <v>452</v>
      </c>
      <c r="R55" s="234" t="s">
        <v>332</v>
      </c>
      <c r="S55" s="235">
        <v>42838</v>
      </c>
      <c r="T55" s="235">
        <v>42997</v>
      </c>
      <c r="U55" s="234"/>
      <c r="V55" s="232" t="s">
        <v>321</v>
      </c>
      <c r="W55" s="231"/>
      <c r="X55" s="232" t="s">
        <v>322</v>
      </c>
      <c r="Y55" s="232" t="s">
        <v>338</v>
      </c>
      <c r="Z55" s="232" t="s">
        <v>324</v>
      </c>
      <c r="AA55" s="232" t="s">
        <v>349</v>
      </c>
      <c r="AB55" s="236">
        <v>3.0000000000000001E-3</v>
      </c>
      <c r="AC55" s="235">
        <v>43555</v>
      </c>
      <c r="AD55" s="234"/>
      <c r="AE55" s="235">
        <v>45016</v>
      </c>
      <c r="AF55" s="232" t="s">
        <v>77</v>
      </c>
      <c r="AG55" s="232" t="s">
        <v>350</v>
      </c>
      <c r="AH55" s="234" t="s">
        <v>317</v>
      </c>
      <c r="AI55" s="250"/>
      <c r="AJ55" s="234">
        <v>0</v>
      </c>
      <c r="AK55" s="224"/>
      <c r="AL55" s="234">
        <v>0</v>
      </c>
      <c r="AM55" s="224"/>
      <c r="AN55" s="234">
        <v>0</v>
      </c>
      <c r="AO55" s="234">
        <v>1</v>
      </c>
      <c r="AP55" s="234">
        <v>0</v>
      </c>
      <c r="AQ55" s="234">
        <v>0</v>
      </c>
      <c r="AR55" s="234">
        <v>0</v>
      </c>
      <c r="AS55" s="234">
        <v>0</v>
      </c>
      <c r="AT55" s="234">
        <v>0</v>
      </c>
      <c r="AU55" s="234">
        <v>0</v>
      </c>
      <c r="AV55" s="234">
        <v>1</v>
      </c>
      <c r="AW55" s="234">
        <v>0</v>
      </c>
      <c r="AX55" s="234">
        <v>0</v>
      </c>
      <c r="AY55" s="234">
        <v>0</v>
      </c>
      <c r="AZ55" s="234">
        <v>0</v>
      </c>
      <c r="BA55" s="234">
        <v>0</v>
      </c>
      <c r="BB55" s="234">
        <v>0</v>
      </c>
      <c r="BC55" s="234">
        <v>0</v>
      </c>
      <c r="BD55" s="234">
        <v>0</v>
      </c>
      <c r="BE55" s="234">
        <v>0</v>
      </c>
      <c r="BF55" s="234">
        <v>0</v>
      </c>
      <c r="BG55" s="234">
        <v>0</v>
      </c>
      <c r="BH55" s="234">
        <v>0</v>
      </c>
      <c r="BI55" s="234">
        <v>0</v>
      </c>
      <c r="BJ55" s="234">
        <v>0</v>
      </c>
      <c r="BK55" s="234">
        <v>0</v>
      </c>
      <c r="BL55" s="234">
        <v>0</v>
      </c>
      <c r="BM55" s="234">
        <v>0</v>
      </c>
      <c r="BN55" s="234">
        <v>0</v>
      </c>
      <c r="BO55" s="234">
        <v>0</v>
      </c>
      <c r="BP55" s="234"/>
      <c r="BQ55" s="234"/>
      <c r="BR55" s="237" t="s">
        <v>334</v>
      </c>
      <c r="BS55" s="238">
        <v>11</v>
      </c>
      <c r="BT55" s="239">
        <f t="shared" si="3"/>
        <v>1</v>
      </c>
      <c r="CN55" s="238">
        <f t="shared" si="1"/>
        <v>0</v>
      </c>
      <c r="CO55" s="238">
        <f t="shared" si="2"/>
        <v>0</v>
      </c>
    </row>
    <row r="56" spans="1:93" ht="13.95" customHeight="1" x14ac:dyDescent="0.2">
      <c r="A56" s="231">
        <v>4438</v>
      </c>
      <c r="B56" s="232" t="s">
        <v>314</v>
      </c>
      <c r="C56" s="232" t="s">
        <v>453</v>
      </c>
      <c r="D56" s="232" t="s">
        <v>454</v>
      </c>
      <c r="E56" s="232" t="s">
        <v>317</v>
      </c>
      <c r="F56" s="231">
        <v>524309</v>
      </c>
      <c r="G56" s="231">
        <v>174961</v>
      </c>
      <c r="H56" s="232" t="s">
        <v>164</v>
      </c>
      <c r="I56" s="233">
        <v>44105</v>
      </c>
      <c r="J56" s="233">
        <v>45007</v>
      </c>
      <c r="K56" s="231">
        <v>0</v>
      </c>
      <c r="L56" s="231">
        <v>1</v>
      </c>
      <c r="M56" s="231">
        <v>1</v>
      </c>
      <c r="N56" s="231">
        <v>3</v>
      </c>
      <c r="O56" s="231">
        <v>2</v>
      </c>
      <c r="P56" s="234"/>
      <c r="Q56" s="232" t="s">
        <v>455</v>
      </c>
      <c r="R56" s="234" t="s">
        <v>332</v>
      </c>
      <c r="S56" s="235">
        <v>42804</v>
      </c>
      <c r="T56" s="235">
        <v>42912</v>
      </c>
      <c r="U56" s="234"/>
      <c r="V56" s="232" t="s">
        <v>321</v>
      </c>
      <c r="W56" s="231"/>
      <c r="X56" s="232" t="s">
        <v>322</v>
      </c>
      <c r="Y56" s="232" t="s">
        <v>339</v>
      </c>
      <c r="Z56" s="232" t="s">
        <v>324</v>
      </c>
      <c r="AA56" s="232" t="s">
        <v>354</v>
      </c>
      <c r="AB56" s="236">
        <v>6.0000000000000001E-3</v>
      </c>
      <c r="AC56" s="235">
        <v>44105</v>
      </c>
      <c r="AD56" s="234"/>
      <c r="AE56" s="235">
        <v>45007</v>
      </c>
      <c r="AF56" s="232" t="s">
        <v>77</v>
      </c>
      <c r="AG56" s="232" t="s">
        <v>350</v>
      </c>
      <c r="AH56" s="234" t="s">
        <v>317</v>
      </c>
      <c r="AI56" s="250"/>
      <c r="AJ56" s="234">
        <v>0</v>
      </c>
      <c r="AK56" s="224"/>
      <c r="AL56" s="234">
        <v>0</v>
      </c>
      <c r="AM56" s="224"/>
      <c r="AN56" s="234">
        <v>0</v>
      </c>
      <c r="AO56" s="234">
        <v>0</v>
      </c>
      <c r="AP56" s="234">
        <v>1</v>
      </c>
      <c r="AQ56" s="234">
        <v>0</v>
      </c>
      <c r="AR56" s="234">
        <v>0</v>
      </c>
      <c r="AS56" s="234">
        <v>0</v>
      </c>
      <c r="AT56" s="234">
        <v>0</v>
      </c>
      <c r="AU56" s="234">
        <v>0</v>
      </c>
      <c r="AV56" s="234">
        <v>0</v>
      </c>
      <c r="AW56" s="234">
        <v>1</v>
      </c>
      <c r="AX56" s="234">
        <v>0</v>
      </c>
      <c r="AY56" s="234">
        <v>0</v>
      </c>
      <c r="AZ56" s="234">
        <v>0</v>
      </c>
      <c r="BA56" s="234">
        <v>0</v>
      </c>
      <c r="BB56" s="234">
        <v>0</v>
      </c>
      <c r="BC56" s="234">
        <v>0</v>
      </c>
      <c r="BD56" s="234">
        <v>0</v>
      </c>
      <c r="BE56" s="234">
        <v>0</v>
      </c>
      <c r="BF56" s="234">
        <v>0</v>
      </c>
      <c r="BG56" s="234">
        <v>0</v>
      </c>
      <c r="BH56" s="234">
        <v>0</v>
      </c>
      <c r="BI56" s="234">
        <v>0</v>
      </c>
      <c r="BJ56" s="234">
        <v>0</v>
      </c>
      <c r="BK56" s="234">
        <v>0</v>
      </c>
      <c r="BL56" s="234">
        <v>0</v>
      </c>
      <c r="BM56" s="234">
        <v>0</v>
      </c>
      <c r="BN56" s="234">
        <v>0</v>
      </c>
      <c r="BO56" s="234">
        <v>0</v>
      </c>
      <c r="BP56" s="234" t="s">
        <v>143</v>
      </c>
      <c r="BQ56" s="234"/>
      <c r="BR56" s="237" t="s">
        <v>152</v>
      </c>
      <c r="BS56" s="238">
        <v>11</v>
      </c>
      <c r="BT56" s="239">
        <f t="shared" si="3"/>
        <v>1</v>
      </c>
      <c r="CN56" s="238">
        <f t="shared" si="1"/>
        <v>0</v>
      </c>
      <c r="CO56" s="238">
        <f t="shared" si="2"/>
        <v>0</v>
      </c>
    </row>
    <row r="57" spans="1:93" ht="13.95" customHeight="1" x14ac:dyDescent="0.2">
      <c r="A57" s="231">
        <v>615</v>
      </c>
      <c r="B57" s="232" t="s">
        <v>314</v>
      </c>
      <c r="C57" s="232" t="s">
        <v>502</v>
      </c>
      <c r="D57" s="232" t="s">
        <v>503</v>
      </c>
      <c r="E57" s="232" t="s">
        <v>317</v>
      </c>
      <c r="F57" s="231">
        <v>528241</v>
      </c>
      <c r="G57" s="231">
        <v>172875</v>
      </c>
      <c r="H57" s="232" t="s">
        <v>178</v>
      </c>
      <c r="I57" s="233">
        <v>44287</v>
      </c>
      <c r="J57" s="233">
        <v>45016</v>
      </c>
      <c r="K57" s="231">
        <v>0</v>
      </c>
      <c r="L57" s="231">
        <v>1</v>
      </c>
      <c r="M57" s="231">
        <v>1</v>
      </c>
      <c r="N57" s="231">
        <v>1</v>
      </c>
      <c r="O57" s="231">
        <v>1</v>
      </c>
      <c r="P57" s="234"/>
      <c r="Q57" s="232" t="s">
        <v>504</v>
      </c>
      <c r="R57" s="234" t="s">
        <v>332</v>
      </c>
      <c r="S57" s="235">
        <v>42851</v>
      </c>
      <c r="T57" s="235">
        <v>43003</v>
      </c>
      <c r="U57" s="234"/>
      <c r="V57" s="232" t="s">
        <v>321</v>
      </c>
      <c r="W57" s="231"/>
      <c r="X57" s="232" t="s">
        <v>322</v>
      </c>
      <c r="Y57" s="232" t="s">
        <v>339</v>
      </c>
      <c r="Z57" s="232" t="s">
        <v>324</v>
      </c>
      <c r="AA57" s="232" t="s">
        <v>354</v>
      </c>
      <c r="AB57" s="236">
        <v>7.0000000000000001E-3</v>
      </c>
      <c r="AC57" s="235">
        <v>44287</v>
      </c>
      <c r="AD57" s="234"/>
      <c r="AE57" s="235">
        <v>45016</v>
      </c>
      <c r="AF57" s="232" t="s">
        <v>77</v>
      </c>
      <c r="AG57" s="232" t="s">
        <v>350</v>
      </c>
      <c r="AH57" s="234" t="s">
        <v>317</v>
      </c>
      <c r="AI57" s="250"/>
      <c r="AJ57" s="234">
        <v>0</v>
      </c>
      <c r="AK57" s="224"/>
      <c r="AL57" s="234">
        <v>0</v>
      </c>
      <c r="AM57" s="224"/>
      <c r="AN57" s="234">
        <v>0</v>
      </c>
      <c r="AO57" s="234">
        <v>0</v>
      </c>
      <c r="AP57" s="234">
        <v>1</v>
      </c>
      <c r="AQ57" s="234">
        <v>0</v>
      </c>
      <c r="AR57" s="234">
        <v>0</v>
      </c>
      <c r="AS57" s="234">
        <v>0</v>
      </c>
      <c r="AT57" s="234">
        <v>0</v>
      </c>
      <c r="AU57" s="234">
        <v>0</v>
      </c>
      <c r="AV57" s="234">
        <v>0</v>
      </c>
      <c r="AW57" s="234">
        <v>1</v>
      </c>
      <c r="AX57" s="234">
        <v>0</v>
      </c>
      <c r="AY57" s="234">
        <v>0</v>
      </c>
      <c r="AZ57" s="234">
        <v>0</v>
      </c>
      <c r="BA57" s="234">
        <v>0</v>
      </c>
      <c r="BB57" s="234">
        <v>0</v>
      </c>
      <c r="BC57" s="234">
        <v>0</v>
      </c>
      <c r="BD57" s="234">
        <v>0</v>
      </c>
      <c r="BE57" s="234">
        <v>0</v>
      </c>
      <c r="BF57" s="234">
        <v>0</v>
      </c>
      <c r="BG57" s="234">
        <v>0</v>
      </c>
      <c r="BH57" s="234">
        <v>0</v>
      </c>
      <c r="BI57" s="234">
        <v>0</v>
      </c>
      <c r="BJ57" s="234">
        <v>0</v>
      </c>
      <c r="BK57" s="234">
        <v>0</v>
      </c>
      <c r="BL57" s="234">
        <v>0</v>
      </c>
      <c r="BM57" s="234">
        <v>0</v>
      </c>
      <c r="BN57" s="234">
        <v>0</v>
      </c>
      <c r="BO57" s="234">
        <v>0</v>
      </c>
      <c r="BP57" s="234"/>
      <c r="BQ57" s="234"/>
      <c r="BR57" s="237" t="s">
        <v>334</v>
      </c>
      <c r="BS57" s="238">
        <v>11</v>
      </c>
      <c r="BT57" s="239">
        <f t="shared" si="3"/>
        <v>1</v>
      </c>
      <c r="CN57" s="238">
        <f t="shared" si="1"/>
        <v>0</v>
      </c>
      <c r="CO57" s="238">
        <f t="shared" si="2"/>
        <v>0</v>
      </c>
    </row>
    <row r="58" spans="1:93" ht="13.95" customHeight="1" x14ac:dyDescent="0.2">
      <c r="A58" s="231">
        <v>6703</v>
      </c>
      <c r="B58" s="232" t="s">
        <v>314</v>
      </c>
      <c r="C58" s="232" t="s">
        <v>505</v>
      </c>
      <c r="D58" s="232" t="s">
        <v>506</v>
      </c>
      <c r="E58" s="232" t="s">
        <v>317</v>
      </c>
      <c r="F58" s="231">
        <v>527632</v>
      </c>
      <c r="G58" s="231">
        <v>170817</v>
      </c>
      <c r="H58" s="232" t="s">
        <v>177</v>
      </c>
      <c r="I58" s="233">
        <v>43066</v>
      </c>
      <c r="J58" s="233">
        <v>44987</v>
      </c>
      <c r="K58" s="231">
        <v>2</v>
      </c>
      <c r="L58" s="231">
        <v>1</v>
      </c>
      <c r="M58" s="231">
        <v>-1</v>
      </c>
      <c r="N58" s="231">
        <v>1</v>
      </c>
      <c r="O58" s="231">
        <v>-1</v>
      </c>
      <c r="P58" s="234"/>
      <c r="Q58" s="232" t="s">
        <v>507</v>
      </c>
      <c r="R58" s="234" t="s">
        <v>332</v>
      </c>
      <c r="S58" s="235">
        <v>42951</v>
      </c>
      <c r="T58" s="235">
        <v>43006</v>
      </c>
      <c r="U58" s="234"/>
      <c r="V58" s="232" t="s">
        <v>321</v>
      </c>
      <c r="W58" s="231"/>
      <c r="X58" s="232" t="s">
        <v>322</v>
      </c>
      <c r="Y58" s="232" t="s">
        <v>365</v>
      </c>
      <c r="Z58" s="232" t="s">
        <v>324</v>
      </c>
      <c r="AA58" s="232" t="s">
        <v>17</v>
      </c>
      <c r="AB58" s="236">
        <v>1.7000000000000001E-2</v>
      </c>
      <c r="AC58" s="235">
        <v>43066</v>
      </c>
      <c r="AD58" s="234"/>
      <c r="AE58" s="235">
        <v>44987</v>
      </c>
      <c r="AF58" s="232" t="s">
        <v>77</v>
      </c>
      <c r="AG58" s="232" t="s">
        <v>350</v>
      </c>
      <c r="AH58" s="234" t="s">
        <v>317</v>
      </c>
      <c r="AI58" s="250"/>
      <c r="AJ58" s="234">
        <v>0</v>
      </c>
      <c r="AK58" s="224"/>
      <c r="AL58" s="234">
        <v>0</v>
      </c>
      <c r="AM58" s="224"/>
      <c r="AN58" s="234">
        <v>0</v>
      </c>
      <c r="AO58" s="234">
        <v>-2</v>
      </c>
      <c r="AP58" s="234">
        <v>0</v>
      </c>
      <c r="AQ58" s="234">
        <v>0</v>
      </c>
      <c r="AR58" s="234">
        <v>0</v>
      </c>
      <c r="AS58" s="234">
        <v>1</v>
      </c>
      <c r="AT58" s="234">
        <v>0</v>
      </c>
      <c r="AU58" s="234">
        <v>0</v>
      </c>
      <c r="AV58" s="234">
        <v>-2</v>
      </c>
      <c r="AW58" s="234">
        <v>0</v>
      </c>
      <c r="AX58" s="234">
        <v>0</v>
      </c>
      <c r="AY58" s="234">
        <v>0</v>
      </c>
      <c r="AZ58" s="234">
        <v>0</v>
      </c>
      <c r="BA58" s="234">
        <v>0</v>
      </c>
      <c r="BB58" s="234">
        <v>0</v>
      </c>
      <c r="BC58" s="234">
        <v>0</v>
      </c>
      <c r="BD58" s="234">
        <v>0</v>
      </c>
      <c r="BE58" s="234">
        <v>0</v>
      </c>
      <c r="BF58" s="234">
        <v>0</v>
      </c>
      <c r="BG58" s="234">
        <v>1</v>
      </c>
      <c r="BH58" s="234">
        <v>0</v>
      </c>
      <c r="BI58" s="234">
        <v>0</v>
      </c>
      <c r="BJ58" s="234">
        <v>0</v>
      </c>
      <c r="BK58" s="234">
        <v>0</v>
      </c>
      <c r="BL58" s="234">
        <v>0</v>
      </c>
      <c r="BM58" s="234">
        <v>0</v>
      </c>
      <c r="BN58" s="234">
        <v>0</v>
      </c>
      <c r="BO58" s="234">
        <v>0</v>
      </c>
      <c r="BP58" s="234"/>
      <c r="BQ58" s="234"/>
      <c r="BR58" s="237" t="s">
        <v>334</v>
      </c>
      <c r="BS58" s="238">
        <v>11</v>
      </c>
      <c r="BT58" s="239">
        <f t="shared" si="3"/>
        <v>-1</v>
      </c>
      <c r="CN58" s="238">
        <f t="shared" si="1"/>
        <v>0</v>
      </c>
      <c r="CO58" s="238">
        <f t="shared" si="2"/>
        <v>0</v>
      </c>
    </row>
    <row r="59" spans="1:93" ht="13.95" customHeight="1" x14ac:dyDescent="0.2">
      <c r="A59" s="231">
        <v>6753</v>
      </c>
      <c r="B59" s="232" t="s">
        <v>314</v>
      </c>
      <c r="C59" s="232" t="s">
        <v>508</v>
      </c>
      <c r="D59" s="232" t="s">
        <v>509</v>
      </c>
      <c r="E59" s="232" t="s">
        <v>317</v>
      </c>
      <c r="F59" s="231">
        <v>525803</v>
      </c>
      <c r="G59" s="231">
        <v>174168</v>
      </c>
      <c r="H59" s="232" t="s">
        <v>181</v>
      </c>
      <c r="I59" s="233">
        <v>44409</v>
      </c>
      <c r="J59" s="233">
        <v>44652</v>
      </c>
      <c r="K59" s="231">
        <v>0</v>
      </c>
      <c r="L59" s="231">
        <v>1</v>
      </c>
      <c r="M59" s="231">
        <v>1</v>
      </c>
      <c r="N59" s="231">
        <v>1</v>
      </c>
      <c r="O59" s="231">
        <v>1</v>
      </c>
      <c r="P59" s="234"/>
      <c r="Q59" s="232" t="s">
        <v>510</v>
      </c>
      <c r="R59" s="234" t="s">
        <v>332</v>
      </c>
      <c r="S59" s="235">
        <v>43066</v>
      </c>
      <c r="T59" s="235">
        <v>43122</v>
      </c>
      <c r="U59" s="234"/>
      <c r="V59" s="232" t="s">
        <v>321</v>
      </c>
      <c r="W59" s="231"/>
      <c r="X59" s="232" t="s">
        <v>322</v>
      </c>
      <c r="Y59" s="232" t="s">
        <v>323</v>
      </c>
      <c r="Z59" s="232" t="s">
        <v>324</v>
      </c>
      <c r="AA59" s="232" t="s">
        <v>349</v>
      </c>
      <c r="AB59" s="236">
        <v>8.9999999999999993E-3</v>
      </c>
      <c r="AC59" s="235">
        <v>44409</v>
      </c>
      <c r="AD59" s="234"/>
      <c r="AE59" s="235">
        <v>44652</v>
      </c>
      <c r="AF59" s="232" t="s">
        <v>77</v>
      </c>
      <c r="AG59" s="232" t="s">
        <v>350</v>
      </c>
      <c r="AH59" s="234" t="s">
        <v>317</v>
      </c>
      <c r="AI59" s="250"/>
      <c r="AJ59" s="234">
        <v>0</v>
      </c>
      <c r="AK59" s="224"/>
      <c r="AL59" s="234">
        <v>0</v>
      </c>
      <c r="AM59" s="224"/>
      <c r="AN59" s="234">
        <v>0</v>
      </c>
      <c r="AO59" s="234">
        <v>0</v>
      </c>
      <c r="AP59" s="234">
        <v>0</v>
      </c>
      <c r="AQ59" s="234">
        <v>1</v>
      </c>
      <c r="AR59" s="234">
        <v>0</v>
      </c>
      <c r="AS59" s="234">
        <v>0</v>
      </c>
      <c r="AT59" s="234">
        <v>0</v>
      </c>
      <c r="AU59" s="234">
        <v>0</v>
      </c>
      <c r="AV59" s="234">
        <v>0</v>
      </c>
      <c r="AW59" s="234">
        <v>0</v>
      </c>
      <c r="AX59" s="234">
        <v>0</v>
      </c>
      <c r="AY59" s="234">
        <v>0</v>
      </c>
      <c r="AZ59" s="234">
        <v>0</v>
      </c>
      <c r="BA59" s="234">
        <v>0</v>
      </c>
      <c r="BB59" s="234">
        <v>0</v>
      </c>
      <c r="BC59" s="234">
        <v>0</v>
      </c>
      <c r="BD59" s="234">
        <v>0</v>
      </c>
      <c r="BE59" s="234">
        <v>1</v>
      </c>
      <c r="BF59" s="234">
        <v>0</v>
      </c>
      <c r="BG59" s="234">
        <v>0</v>
      </c>
      <c r="BH59" s="234">
        <v>0</v>
      </c>
      <c r="BI59" s="234">
        <v>0</v>
      </c>
      <c r="BJ59" s="234">
        <v>0</v>
      </c>
      <c r="BK59" s="234">
        <v>0</v>
      </c>
      <c r="BL59" s="234">
        <v>0</v>
      </c>
      <c r="BM59" s="234">
        <v>0</v>
      </c>
      <c r="BN59" s="234">
        <v>0</v>
      </c>
      <c r="BO59" s="234">
        <v>0</v>
      </c>
      <c r="BP59" s="234"/>
      <c r="BQ59" s="234"/>
      <c r="BR59" s="237" t="s">
        <v>327</v>
      </c>
      <c r="BS59" s="238">
        <v>1</v>
      </c>
      <c r="BT59" s="239">
        <f t="shared" si="3"/>
        <v>1</v>
      </c>
      <c r="CN59" s="238">
        <f t="shared" si="1"/>
        <v>0</v>
      </c>
      <c r="CO59" s="238">
        <f t="shared" si="2"/>
        <v>0</v>
      </c>
    </row>
    <row r="60" spans="1:93" ht="13.95" customHeight="1" x14ac:dyDescent="0.2">
      <c r="A60" s="231">
        <v>2504</v>
      </c>
      <c r="B60" s="232" t="s">
        <v>314</v>
      </c>
      <c r="C60" s="232" t="s">
        <v>511</v>
      </c>
      <c r="D60" s="232" t="s">
        <v>512</v>
      </c>
      <c r="E60" s="232" t="s">
        <v>317</v>
      </c>
      <c r="F60" s="231">
        <v>524835</v>
      </c>
      <c r="G60" s="231">
        <v>173907</v>
      </c>
      <c r="H60" s="232" t="s">
        <v>164</v>
      </c>
      <c r="I60" s="233">
        <v>44411</v>
      </c>
      <c r="J60" s="233">
        <v>45016</v>
      </c>
      <c r="K60" s="231">
        <v>0</v>
      </c>
      <c r="L60" s="231">
        <v>1</v>
      </c>
      <c r="M60" s="231">
        <v>1</v>
      </c>
      <c r="N60" s="231">
        <v>1</v>
      </c>
      <c r="O60" s="231">
        <v>1</v>
      </c>
      <c r="P60" s="234"/>
      <c r="Q60" s="232" t="s">
        <v>513</v>
      </c>
      <c r="R60" s="234" t="s">
        <v>332</v>
      </c>
      <c r="S60" s="235">
        <v>43670</v>
      </c>
      <c r="T60" s="235">
        <v>43700</v>
      </c>
      <c r="U60" s="234"/>
      <c r="V60" s="232" t="s">
        <v>321</v>
      </c>
      <c r="W60" s="231"/>
      <c r="X60" s="232" t="s">
        <v>322</v>
      </c>
      <c r="Y60" s="232" t="s">
        <v>323</v>
      </c>
      <c r="Z60" s="232" t="s">
        <v>324</v>
      </c>
      <c r="AA60" s="232" t="s">
        <v>349</v>
      </c>
      <c r="AB60" s="236">
        <v>5.0000000000000001E-3</v>
      </c>
      <c r="AC60" s="235">
        <v>44411</v>
      </c>
      <c r="AD60" s="234"/>
      <c r="AE60" s="235">
        <v>45016</v>
      </c>
      <c r="AF60" s="232" t="s">
        <v>77</v>
      </c>
      <c r="AG60" s="232" t="s">
        <v>350</v>
      </c>
      <c r="AH60" s="234" t="s">
        <v>317</v>
      </c>
      <c r="AI60" s="250"/>
      <c r="AJ60" s="234">
        <v>0</v>
      </c>
      <c r="AK60" s="224"/>
      <c r="AL60" s="234">
        <v>0</v>
      </c>
      <c r="AM60" s="224"/>
      <c r="AN60" s="234">
        <v>0</v>
      </c>
      <c r="AO60" s="234">
        <v>1</v>
      </c>
      <c r="AP60" s="234">
        <v>0</v>
      </c>
      <c r="AQ60" s="234">
        <v>0</v>
      </c>
      <c r="AR60" s="234">
        <v>0</v>
      </c>
      <c r="AS60" s="234">
        <v>0</v>
      </c>
      <c r="AT60" s="234">
        <v>0</v>
      </c>
      <c r="AU60" s="234">
        <v>0</v>
      </c>
      <c r="AV60" s="234">
        <v>0</v>
      </c>
      <c r="AW60" s="234">
        <v>0</v>
      </c>
      <c r="AX60" s="234">
        <v>0</v>
      </c>
      <c r="AY60" s="234">
        <v>0</v>
      </c>
      <c r="AZ60" s="234">
        <v>0</v>
      </c>
      <c r="BA60" s="234">
        <v>0</v>
      </c>
      <c r="BB60" s="234">
        <v>0</v>
      </c>
      <c r="BC60" s="234">
        <v>1</v>
      </c>
      <c r="BD60" s="234">
        <v>0</v>
      </c>
      <c r="BE60" s="234">
        <v>0</v>
      </c>
      <c r="BF60" s="234">
        <v>0</v>
      </c>
      <c r="BG60" s="234">
        <v>0</v>
      </c>
      <c r="BH60" s="234">
        <v>0</v>
      </c>
      <c r="BI60" s="234">
        <v>0</v>
      </c>
      <c r="BJ60" s="234">
        <v>0</v>
      </c>
      <c r="BK60" s="234">
        <v>0</v>
      </c>
      <c r="BL60" s="234">
        <v>0</v>
      </c>
      <c r="BM60" s="234">
        <v>0</v>
      </c>
      <c r="BN60" s="234">
        <v>0</v>
      </c>
      <c r="BO60" s="234">
        <v>0</v>
      </c>
      <c r="BP60" s="234"/>
      <c r="BQ60" s="234"/>
      <c r="BR60" s="237" t="s">
        <v>334</v>
      </c>
      <c r="BS60" s="238">
        <v>1</v>
      </c>
      <c r="BT60" s="239">
        <f t="shared" si="3"/>
        <v>1</v>
      </c>
      <c r="CN60" s="238">
        <f t="shared" si="1"/>
        <v>0</v>
      </c>
      <c r="CO60" s="238">
        <f t="shared" si="2"/>
        <v>0</v>
      </c>
    </row>
    <row r="61" spans="1:93" ht="13.95" customHeight="1" x14ac:dyDescent="0.2">
      <c r="A61" s="231">
        <v>3943</v>
      </c>
      <c r="B61" s="232" t="s">
        <v>314</v>
      </c>
      <c r="C61" s="232" t="s">
        <v>514</v>
      </c>
      <c r="D61" s="232" t="s">
        <v>466</v>
      </c>
      <c r="E61" s="232" t="s">
        <v>515</v>
      </c>
      <c r="F61" s="231">
        <v>529575</v>
      </c>
      <c r="G61" s="231">
        <v>177401</v>
      </c>
      <c r="H61" s="232" t="s">
        <v>168</v>
      </c>
      <c r="I61" s="233">
        <v>43711</v>
      </c>
      <c r="J61" s="231"/>
      <c r="K61" s="231">
        <v>0</v>
      </c>
      <c r="L61" s="231">
        <v>30</v>
      </c>
      <c r="M61" s="231">
        <v>30</v>
      </c>
      <c r="N61" s="231">
        <v>894</v>
      </c>
      <c r="O61" s="231">
        <v>894</v>
      </c>
      <c r="P61" s="234" t="s">
        <v>318</v>
      </c>
      <c r="Q61" s="232" t="s">
        <v>516</v>
      </c>
      <c r="R61" s="234" t="s">
        <v>517</v>
      </c>
      <c r="S61" s="235">
        <v>43081</v>
      </c>
      <c r="T61" s="235">
        <v>43553</v>
      </c>
      <c r="U61" s="234"/>
      <c r="V61" s="232" t="s">
        <v>321</v>
      </c>
      <c r="W61" s="231"/>
      <c r="X61" s="232" t="s">
        <v>322</v>
      </c>
      <c r="Y61" s="232" t="s">
        <v>323</v>
      </c>
      <c r="Z61" s="232" t="s">
        <v>323</v>
      </c>
      <c r="AA61" s="232" t="s">
        <v>324</v>
      </c>
      <c r="AB61" s="236">
        <v>2.9000000000000001E-2</v>
      </c>
      <c r="AC61" s="235">
        <v>43711</v>
      </c>
      <c r="AD61" s="234"/>
      <c r="AE61" s="235">
        <v>44932</v>
      </c>
      <c r="AF61" s="232" t="s">
        <v>56</v>
      </c>
      <c r="AG61" s="232" t="s">
        <v>518</v>
      </c>
      <c r="AH61" s="234" t="s">
        <v>471</v>
      </c>
      <c r="AI61" s="250"/>
      <c r="AJ61" s="234">
        <v>0</v>
      </c>
      <c r="AK61" s="234">
        <v>27</v>
      </c>
      <c r="AL61" s="234">
        <v>0</v>
      </c>
      <c r="AM61" s="234">
        <v>3</v>
      </c>
      <c r="AN61" s="234">
        <v>0</v>
      </c>
      <c r="AO61" s="234">
        <v>20</v>
      </c>
      <c r="AP61" s="234">
        <v>6</v>
      </c>
      <c r="AQ61" s="234">
        <v>4</v>
      </c>
      <c r="AR61" s="234">
        <v>0</v>
      </c>
      <c r="AS61" s="234">
        <v>0</v>
      </c>
      <c r="AT61" s="234">
        <v>0</v>
      </c>
      <c r="AU61" s="234">
        <v>0</v>
      </c>
      <c r="AV61" s="234">
        <v>20</v>
      </c>
      <c r="AW61" s="234">
        <v>6</v>
      </c>
      <c r="AX61" s="234">
        <v>4</v>
      </c>
      <c r="AY61" s="234">
        <v>0</v>
      </c>
      <c r="AZ61" s="234">
        <v>0</v>
      </c>
      <c r="BA61" s="234">
        <v>0</v>
      </c>
      <c r="BB61" s="234">
        <v>0</v>
      </c>
      <c r="BC61" s="234">
        <v>0</v>
      </c>
      <c r="BD61" s="234">
        <v>0</v>
      </c>
      <c r="BE61" s="234">
        <v>0</v>
      </c>
      <c r="BF61" s="234">
        <v>0</v>
      </c>
      <c r="BG61" s="234">
        <v>0</v>
      </c>
      <c r="BH61" s="234">
        <v>0</v>
      </c>
      <c r="BI61" s="234">
        <v>0</v>
      </c>
      <c r="BJ61" s="234">
        <v>0</v>
      </c>
      <c r="BK61" s="234">
        <v>0</v>
      </c>
      <c r="BL61" s="234">
        <v>0</v>
      </c>
      <c r="BM61" s="234">
        <v>0</v>
      </c>
      <c r="BN61" s="234">
        <v>0</v>
      </c>
      <c r="BO61" s="234">
        <v>0</v>
      </c>
      <c r="BP61" s="234"/>
      <c r="BQ61" s="234" t="s">
        <v>318</v>
      </c>
      <c r="BR61" s="237" t="s">
        <v>151</v>
      </c>
      <c r="BS61" s="238">
        <v>1</v>
      </c>
      <c r="BT61" s="239">
        <f t="shared" si="3"/>
        <v>30</v>
      </c>
      <c r="CN61" s="238">
        <f t="shared" si="1"/>
        <v>0</v>
      </c>
      <c r="CO61" s="238">
        <f t="shared" si="2"/>
        <v>0</v>
      </c>
    </row>
    <row r="62" spans="1:93" ht="13.95" customHeight="1" x14ac:dyDescent="0.2">
      <c r="A62" s="231">
        <v>6938</v>
      </c>
      <c r="B62" s="232" t="s">
        <v>314</v>
      </c>
      <c r="C62" s="232" t="s">
        <v>519</v>
      </c>
      <c r="D62" s="232" t="s">
        <v>520</v>
      </c>
      <c r="E62" s="232" t="s">
        <v>317</v>
      </c>
      <c r="F62" s="231">
        <v>527400</v>
      </c>
      <c r="G62" s="231">
        <v>177117</v>
      </c>
      <c r="H62" s="232" t="s">
        <v>163</v>
      </c>
      <c r="I62" s="233">
        <v>44008</v>
      </c>
      <c r="J62" s="233">
        <v>44774</v>
      </c>
      <c r="K62" s="231">
        <v>2</v>
      </c>
      <c r="L62" s="231">
        <v>1</v>
      </c>
      <c r="M62" s="231">
        <v>-1</v>
      </c>
      <c r="N62" s="231">
        <v>1</v>
      </c>
      <c r="O62" s="231">
        <v>-1</v>
      </c>
      <c r="P62" s="234"/>
      <c r="Q62" s="232" t="s">
        <v>521</v>
      </c>
      <c r="R62" s="234" t="s">
        <v>332</v>
      </c>
      <c r="S62" s="235">
        <v>43196</v>
      </c>
      <c r="T62" s="235">
        <v>43251</v>
      </c>
      <c r="U62" s="234"/>
      <c r="V62" s="232" t="s">
        <v>321</v>
      </c>
      <c r="W62" s="231"/>
      <c r="X62" s="232" t="s">
        <v>322</v>
      </c>
      <c r="Y62" s="232" t="s">
        <v>365</v>
      </c>
      <c r="Z62" s="232" t="s">
        <v>324</v>
      </c>
      <c r="AA62" s="232" t="s">
        <v>17</v>
      </c>
      <c r="AB62" s="236">
        <v>1.2E-2</v>
      </c>
      <c r="AC62" s="235">
        <v>44008</v>
      </c>
      <c r="AD62" s="234"/>
      <c r="AE62" s="235">
        <v>44774</v>
      </c>
      <c r="AF62" s="232" t="s">
        <v>77</v>
      </c>
      <c r="AG62" s="232" t="s">
        <v>350</v>
      </c>
      <c r="AH62" s="234" t="s">
        <v>317</v>
      </c>
      <c r="AI62" s="250"/>
      <c r="AJ62" s="234">
        <v>0</v>
      </c>
      <c r="AK62" s="224"/>
      <c r="AL62" s="234">
        <v>0</v>
      </c>
      <c r="AM62" s="224"/>
      <c r="AN62" s="234">
        <v>0</v>
      </c>
      <c r="AO62" s="234">
        <v>0</v>
      </c>
      <c r="AP62" s="234">
        <v>-2</v>
      </c>
      <c r="AQ62" s="234">
        <v>0</v>
      </c>
      <c r="AR62" s="234">
        <v>1</v>
      </c>
      <c r="AS62" s="234">
        <v>0</v>
      </c>
      <c r="AT62" s="234">
        <v>0</v>
      </c>
      <c r="AU62" s="234">
        <v>0</v>
      </c>
      <c r="AV62" s="234">
        <v>0</v>
      </c>
      <c r="AW62" s="234">
        <v>-2</v>
      </c>
      <c r="AX62" s="234">
        <v>0</v>
      </c>
      <c r="AY62" s="234">
        <v>0</v>
      </c>
      <c r="AZ62" s="234">
        <v>0</v>
      </c>
      <c r="BA62" s="234">
        <v>0</v>
      </c>
      <c r="BB62" s="234">
        <v>0</v>
      </c>
      <c r="BC62" s="234">
        <v>0</v>
      </c>
      <c r="BD62" s="234">
        <v>0</v>
      </c>
      <c r="BE62" s="234">
        <v>0</v>
      </c>
      <c r="BF62" s="234">
        <v>1</v>
      </c>
      <c r="BG62" s="234">
        <v>0</v>
      </c>
      <c r="BH62" s="234">
        <v>0</v>
      </c>
      <c r="BI62" s="234">
        <v>0</v>
      </c>
      <c r="BJ62" s="234">
        <v>0</v>
      </c>
      <c r="BK62" s="234">
        <v>0</v>
      </c>
      <c r="BL62" s="234">
        <v>0</v>
      </c>
      <c r="BM62" s="234">
        <v>0</v>
      </c>
      <c r="BN62" s="234">
        <v>0</v>
      </c>
      <c r="BO62" s="234">
        <v>0</v>
      </c>
      <c r="BP62" s="234"/>
      <c r="BQ62" s="234"/>
      <c r="BR62" s="237" t="s">
        <v>334</v>
      </c>
      <c r="BS62" s="238">
        <v>11</v>
      </c>
      <c r="BT62" s="239">
        <f t="shared" si="3"/>
        <v>-1</v>
      </c>
      <c r="CN62" s="238">
        <f t="shared" si="1"/>
        <v>0</v>
      </c>
      <c r="CO62" s="238">
        <f t="shared" si="2"/>
        <v>0</v>
      </c>
    </row>
    <row r="63" spans="1:93" ht="13.95" customHeight="1" x14ac:dyDescent="0.2">
      <c r="A63" s="231">
        <v>7013</v>
      </c>
      <c r="B63" s="232" t="s">
        <v>314</v>
      </c>
      <c r="C63" s="232" t="s">
        <v>522</v>
      </c>
      <c r="D63" s="232" t="s">
        <v>523</v>
      </c>
      <c r="E63" s="232" t="s">
        <v>317</v>
      </c>
      <c r="F63" s="231">
        <v>527613</v>
      </c>
      <c r="G63" s="231">
        <v>170775</v>
      </c>
      <c r="H63" s="232" t="s">
        <v>177</v>
      </c>
      <c r="I63" s="233">
        <v>44075</v>
      </c>
      <c r="J63" s="233">
        <v>44700</v>
      </c>
      <c r="K63" s="231">
        <v>1</v>
      </c>
      <c r="L63" s="231">
        <v>1</v>
      </c>
      <c r="M63" s="231">
        <v>0</v>
      </c>
      <c r="N63" s="231">
        <v>1</v>
      </c>
      <c r="O63" s="231">
        <v>0</v>
      </c>
      <c r="P63" s="234"/>
      <c r="Q63" s="232" t="s">
        <v>524</v>
      </c>
      <c r="R63" s="234" t="s">
        <v>332</v>
      </c>
      <c r="S63" s="235">
        <v>43334</v>
      </c>
      <c r="T63" s="235">
        <v>43392</v>
      </c>
      <c r="U63" s="234"/>
      <c r="V63" s="232" t="s">
        <v>321</v>
      </c>
      <c r="W63" s="231"/>
      <c r="X63" s="232" t="s">
        <v>322</v>
      </c>
      <c r="Y63" s="232" t="s">
        <v>323</v>
      </c>
      <c r="Z63" s="232" t="s">
        <v>324</v>
      </c>
      <c r="AA63" s="232" t="s">
        <v>349</v>
      </c>
      <c r="AB63" s="236">
        <v>2.7E-2</v>
      </c>
      <c r="AC63" s="235">
        <v>44075</v>
      </c>
      <c r="AD63" s="234"/>
      <c r="AE63" s="235">
        <v>44700</v>
      </c>
      <c r="AF63" s="232" t="s">
        <v>77</v>
      </c>
      <c r="AG63" s="232" t="s">
        <v>350</v>
      </c>
      <c r="AH63" s="234" t="s">
        <v>317</v>
      </c>
      <c r="AI63" s="250"/>
      <c r="AJ63" s="234">
        <v>0</v>
      </c>
      <c r="AK63" s="224"/>
      <c r="AL63" s="234">
        <v>0</v>
      </c>
      <c r="AM63" s="224"/>
      <c r="AN63" s="234">
        <v>0</v>
      </c>
      <c r="AO63" s="234">
        <v>0</v>
      </c>
      <c r="AP63" s="234">
        <v>0</v>
      </c>
      <c r="AQ63" s="234">
        <v>0</v>
      </c>
      <c r="AR63" s="234">
        <v>-1</v>
      </c>
      <c r="AS63" s="234">
        <v>1</v>
      </c>
      <c r="AT63" s="234">
        <v>0</v>
      </c>
      <c r="AU63" s="234">
        <v>0</v>
      </c>
      <c r="AV63" s="234">
        <v>0</v>
      </c>
      <c r="AW63" s="234">
        <v>0</v>
      </c>
      <c r="AX63" s="234">
        <v>0</v>
      </c>
      <c r="AY63" s="234">
        <v>0</v>
      </c>
      <c r="AZ63" s="234">
        <v>0</v>
      </c>
      <c r="BA63" s="234">
        <v>0</v>
      </c>
      <c r="BB63" s="234">
        <v>0</v>
      </c>
      <c r="BC63" s="234">
        <v>0</v>
      </c>
      <c r="BD63" s="234">
        <v>0</v>
      </c>
      <c r="BE63" s="234">
        <v>0</v>
      </c>
      <c r="BF63" s="234">
        <v>-1</v>
      </c>
      <c r="BG63" s="234">
        <v>1</v>
      </c>
      <c r="BH63" s="234">
        <v>0</v>
      </c>
      <c r="BI63" s="234">
        <v>0</v>
      </c>
      <c r="BJ63" s="234">
        <v>0</v>
      </c>
      <c r="BK63" s="234">
        <v>0</v>
      </c>
      <c r="BL63" s="234">
        <v>0</v>
      </c>
      <c r="BM63" s="234">
        <v>0</v>
      </c>
      <c r="BN63" s="234">
        <v>0</v>
      </c>
      <c r="BO63" s="234">
        <v>0</v>
      </c>
      <c r="BP63" s="234"/>
      <c r="BQ63" s="234"/>
      <c r="BR63" s="237" t="s">
        <v>334</v>
      </c>
      <c r="BS63" s="238">
        <v>1</v>
      </c>
      <c r="BT63" s="239">
        <f t="shared" si="3"/>
        <v>0</v>
      </c>
      <c r="CN63" s="238">
        <f t="shared" si="1"/>
        <v>0</v>
      </c>
      <c r="CO63" s="238">
        <f t="shared" si="2"/>
        <v>0</v>
      </c>
    </row>
    <row r="64" spans="1:93" ht="13.95" customHeight="1" x14ac:dyDescent="0.2">
      <c r="A64" s="231">
        <v>6858</v>
      </c>
      <c r="B64" s="232" t="s">
        <v>314</v>
      </c>
      <c r="C64" s="232" t="s">
        <v>525</v>
      </c>
      <c r="D64" s="232" t="s">
        <v>526</v>
      </c>
      <c r="E64" s="232" t="s">
        <v>317</v>
      </c>
      <c r="F64" s="231">
        <v>528202</v>
      </c>
      <c r="G64" s="231">
        <v>172108</v>
      </c>
      <c r="H64" s="232" t="s">
        <v>176</v>
      </c>
      <c r="I64" s="233">
        <v>44221</v>
      </c>
      <c r="J64" s="233">
        <v>45016</v>
      </c>
      <c r="K64" s="231">
        <v>0</v>
      </c>
      <c r="L64" s="231">
        <v>1</v>
      </c>
      <c r="M64" s="231">
        <v>1</v>
      </c>
      <c r="N64" s="231">
        <v>1</v>
      </c>
      <c r="O64" s="231">
        <v>1</v>
      </c>
      <c r="P64" s="234"/>
      <c r="Q64" s="232" t="s">
        <v>527</v>
      </c>
      <c r="R64" s="234" t="s">
        <v>332</v>
      </c>
      <c r="S64" s="235">
        <v>43698</v>
      </c>
      <c r="T64" s="235">
        <v>43740</v>
      </c>
      <c r="U64" s="234"/>
      <c r="V64" s="232" t="s">
        <v>321</v>
      </c>
      <c r="W64" s="231"/>
      <c r="X64" s="232" t="s">
        <v>322</v>
      </c>
      <c r="Y64" s="232" t="s">
        <v>323</v>
      </c>
      <c r="Z64" s="232" t="s">
        <v>324</v>
      </c>
      <c r="AA64" s="232" t="s">
        <v>349</v>
      </c>
      <c r="AB64" s="236">
        <v>3.0000000000000001E-3</v>
      </c>
      <c r="AC64" s="235">
        <v>44221</v>
      </c>
      <c r="AD64" s="234"/>
      <c r="AE64" s="235">
        <v>45016</v>
      </c>
      <c r="AF64" s="232" t="s">
        <v>77</v>
      </c>
      <c r="AG64" s="232" t="s">
        <v>350</v>
      </c>
      <c r="AH64" s="234" t="s">
        <v>317</v>
      </c>
      <c r="AI64" s="250"/>
      <c r="AJ64" s="234">
        <v>0</v>
      </c>
      <c r="AK64" s="224"/>
      <c r="AL64" s="234">
        <v>0</v>
      </c>
      <c r="AM64" s="224"/>
      <c r="AN64" s="234">
        <v>0</v>
      </c>
      <c r="AO64" s="234">
        <v>1</v>
      </c>
      <c r="AP64" s="234">
        <v>0</v>
      </c>
      <c r="AQ64" s="234">
        <v>0</v>
      </c>
      <c r="AR64" s="234">
        <v>0</v>
      </c>
      <c r="AS64" s="234">
        <v>0</v>
      </c>
      <c r="AT64" s="234">
        <v>0</v>
      </c>
      <c r="AU64" s="234">
        <v>0</v>
      </c>
      <c r="AV64" s="234">
        <v>0</v>
      </c>
      <c r="AW64" s="234">
        <v>0</v>
      </c>
      <c r="AX64" s="234">
        <v>0</v>
      </c>
      <c r="AY64" s="234">
        <v>0</v>
      </c>
      <c r="AZ64" s="234">
        <v>0</v>
      </c>
      <c r="BA64" s="234">
        <v>0</v>
      </c>
      <c r="BB64" s="234">
        <v>0</v>
      </c>
      <c r="BC64" s="234">
        <v>1</v>
      </c>
      <c r="BD64" s="234">
        <v>0</v>
      </c>
      <c r="BE64" s="234">
        <v>0</v>
      </c>
      <c r="BF64" s="234">
        <v>0</v>
      </c>
      <c r="BG64" s="234">
        <v>0</v>
      </c>
      <c r="BH64" s="234">
        <v>0</v>
      </c>
      <c r="BI64" s="234">
        <v>0</v>
      </c>
      <c r="BJ64" s="234">
        <v>0</v>
      </c>
      <c r="BK64" s="234">
        <v>0</v>
      </c>
      <c r="BL64" s="234">
        <v>0</v>
      </c>
      <c r="BM64" s="234">
        <v>0</v>
      </c>
      <c r="BN64" s="234">
        <v>0</v>
      </c>
      <c r="BO64" s="234">
        <v>0</v>
      </c>
      <c r="BP64" s="234"/>
      <c r="BQ64" s="234"/>
      <c r="BR64" s="237" t="s">
        <v>334</v>
      </c>
      <c r="BS64" s="238">
        <v>1</v>
      </c>
      <c r="BT64" s="239">
        <f t="shared" si="3"/>
        <v>1</v>
      </c>
      <c r="CN64" s="238">
        <f t="shared" si="1"/>
        <v>0</v>
      </c>
      <c r="CO64" s="238">
        <f t="shared" si="2"/>
        <v>0</v>
      </c>
    </row>
    <row r="65" spans="1:93" ht="13.95" customHeight="1" x14ac:dyDescent="0.2">
      <c r="A65" s="231">
        <v>1147</v>
      </c>
      <c r="B65" s="232" t="s">
        <v>314</v>
      </c>
      <c r="C65" s="232" t="s">
        <v>528</v>
      </c>
      <c r="D65" s="232" t="s">
        <v>529</v>
      </c>
      <c r="E65" s="232" t="s">
        <v>317</v>
      </c>
      <c r="F65" s="231">
        <v>527527</v>
      </c>
      <c r="G65" s="231">
        <v>173093</v>
      </c>
      <c r="H65" s="232" t="s">
        <v>178</v>
      </c>
      <c r="I65" s="233">
        <v>44651</v>
      </c>
      <c r="J65" s="233">
        <v>44949</v>
      </c>
      <c r="K65" s="231">
        <v>0</v>
      </c>
      <c r="L65" s="231">
        <v>1</v>
      </c>
      <c r="M65" s="231">
        <v>1</v>
      </c>
      <c r="N65" s="231">
        <v>1</v>
      </c>
      <c r="O65" s="231">
        <v>1</v>
      </c>
      <c r="P65" s="234"/>
      <c r="Q65" s="232" t="s">
        <v>530</v>
      </c>
      <c r="R65" s="234" t="s">
        <v>332</v>
      </c>
      <c r="S65" s="235">
        <v>43725</v>
      </c>
      <c r="T65" s="235">
        <v>43784</v>
      </c>
      <c r="U65" s="234"/>
      <c r="V65" s="232" t="s">
        <v>321</v>
      </c>
      <c r="W65" s="231"/>
      <c r="X65" s="232" t="s">
        <v>322</v>
      </c>
      <c r="Y65" s="232" t="s">
        <v>378</v>
      </c>
      <c r="Z65" s="232" t="s">
        <v>324</v>
      </c>
      <c r="AA65" s="232" t="s">
        <v>25</v>
      </c>
      <c r="AB65" s="236">
        <v>5.0000000000000001E-3</v>
      </c>
      <c r="AC65" s="235">
        <v>44651</v>
      </c>
      <c r="AD65" s="234"/>
      <c r="AE65" s="235">
        <v>44949</v>
      </c>
      <c r="AF65" s="232" t="s">
        <v>77</v>
      </c>
      <c r="AG65" s="232" t="s">
        <v>350</v>
      </c>
      <c r="AH65" s="234" t="s">
        <v>317</v>
      </c>
      <c r="AI65" s="250"/>
      <c r="AJ65" s="234">
        <v>0</v>
      </c>
      <c r="AK65" s="224"/>
      <c r="AL65" s="234">
        <v>0</v>
      </c>
      <c r="AM65" s="224"/>
      <c r="AN65" s="234">
        <v>0</v>
      </c>
      <c r="AO65" s="234">
        <v>1</v>
      </c>
      <c r="AP65" s="234">
        <v>0</v>
      </c>
      <c r="AQ65" s="234">
        <v>0</v>
      </c>
      <c r="AR65" s="234">
        <v>0</v>
      </c>
      <c r="AS65" s="234">
        <v>0</v>
      </c>
      <c r="AT65" s="234">
        <v>0</v>
      </c>
      <c r="AU65" s="234">
        <v>0</v>
      </c>
      <c r="AV65" s="234">
        <v>1</v>
      </c>
      <c r="AW65" s="234">
        <v>0</v>
      </c>
      <c r="AX65" s="234">
        <v>0</v>
      </c>
      <c r="AY65" s="234">
        <v>0</v>
      </c>
      <c r="AZ65" s="234">
        <v>0</v>
      </c>
      <c r="BA65" s="234">
        <v>0</v>
      </c>
      <c r="BB65" s="234">
        <v>0</v>
      </c>
      <c r="BC65" s="234">
        <v>0</v>
      </c>
      <c r="BD65" s="234">
        <v>0</v>
      </c>
      <c r="BE65" s="234">
        <v>0</v>
      </c>
      <c r="BF65" s="234">
        <v>0</v>
      </c>
      <c r="BG65" s="234">
        <v>0</v>
      </c>
      <c r="BH65" s="234">
        <v>0</v>
      </c>
      <c r="BI65" s="234">
        <v>0</v>
      </c>
      <c r="BJ65" s="234">
        <v>0</v>
      </c>
      <c r="BK65" s="234">
        <v>0</v>
      </c>
      <c r="BL65" s="234">
        <v>0</v>
      </c>
      <c r="BM65" s="234">
        <v>0</v>
      </c>
      <c r="BN65" s="234">
        <v>0</v>
      </c>
      <c r="BO65" s="234">
        <v>0</v>
      </c>
      <c r="BP65" s="234"/>
      <c r="BQ65" s="234"/>
      <c r="BR65" s="237" t="s">
        <v>334</v>
      </c>
      <c r="BS65" s="238">
        <v>11</v>
      </c>
      <c r="BT65" s="239">
        <f t="shared" si="3"/>
        <v>1</v>
      </c>
      <c r="CN65" s="238">
        <f t="shared" si="1"/>
        <v>0</v>
      </c>
      <c r="CO65" s="238">
        <f t="shared" si="2"/>
        <v>0</v>
      </c>
    </row>
    <row r="66" spans="1:93" ht="13.95" customHeight="1" x14ac:dyDescent="0.2">
      <c r="A66" s="231">
        <v>6809</v>
      </c>
      <c r="B66" s="232" t="s">
        <v>314</v>
      </c>
      <c r="C66" s="232" t="s">
        <v>531</v>
      </c>
      <c r="D66" s="232" t="s">
        <v>426</v>
      </c>
      <c r="E66" s="232" t="s">
        <v>317</v>
      </c>
      <c r="F66" s="231">
        <v>529284</v>
      </c>
      <c r="G66" s="231">
        <v>171134</v>
      </c>
      <c r="H66" s="232" t="s">
        <v>166</v>
      </c>
      <c r="I66" s="233">
        <v>44287</v>
      </c>
      <c r="J66" s="233">
        <v>44876</v>
      </c>
      <c r="K66" s="231">
        <v>0</v>
      </c>
      <c r="L66" s="231">
        <v>1</v>
      </c>
      <c r="M66" s="231">
        <v>1</v>
      </c>
      <c r="N66" s="231">
        <v>1</v>
      </c>
      <c r="O66" s="231">
        <v>1</v>
      </c>
      <c r="P66" s="234"/>
      <c r="Q66" s="232" t="s">
        <v>532</v>
      </c>
      <c r="R66" s="234" t="s">
        <v>332</v>
      </c>
      <c r="S66" s="235">
        <v>43697</v>
      </c>
      <c r="T66" s="235">
        <v>43740</v>
      </c>
      <c r="U66" s="234"/>
      <c r="V66" s="232" t="s">
        <v>321</v>
      </c>
      <c r="W66" s="231"/>
      <c r="X66" s="232" t="s">
        <v>322</v>
      </c>
      <c r="Y66" s="232" t="s">
        <v>339</v>
      </c>
      <c r="Z66" s="232" t="s">
        <v>324</v>
      </c>
      <c r="AA66" s="232" t="s">
        <v>354</v>
      </c>
      <c r="AB66" s="236">
        <v>3.0000000000000001E-3</v>
      </c>
      <c r="AC66" s="235">
        <v>44287</v>
      </c>
      <c r="AD66" s="234"/>
      <c r="AE66" s="235">
        <v>44876</v>
      </c>
      <c r="AF66" s="232" t="s">
        <v>77</v>
      </c>
      <c r="AG66" s="232" t="s">
        <v>350</v>
      </c>
      <c r="AH66" s="234" t="s">
        <v>317</v>
      </c>
      <c r="AI66" s="250"/>
      <c r="AJ66" s="234">
        <v>0</v>
      </c>
      <c r="AK66" s="224"/>
      <c r="AL66" s="234">
        <v>0</v>
      </c>
      <c r="AM66" s="224"/>
      <c r="AN66" s="234">
        <v>0</v>
      </c>
      <c r="AO66" s="234">
        <v>1</v>
      </c>
      <c r="AP66" s="234">
        <v>0</v>
      </c>
      <c r="AQ66" s="234">
        <v>0</v>
      </c>
      <c r="AR66" s="234">
        <v>0</v>
      </c>
      <c r="AS66" s="234">
        <v>0</v>
      </c>
      <c r="AT66" s="234">
        <v>0</v>
      </c>
      <c r="AU66" s="234">
        <v>0</v>
      </c>
      <c r="AV66" s="234">
        <v>1</v>
      </c>
      <c r="AW66" s="234">
        <v>0</v>
      </c>
      <c r="AX66" s="234">
        <v>0</v>
      </c>
      <c r="AY66" s="234">
        <v>0</v>
      </c>
      <c r="AZ66" s="234">
        <v>0</v>
      </c>
      <c r="BA66" s="234">
        <v>0</v>
      </c>
      <c r="BB66" s="234">
        <v>0</v>
      </c>
      <c r="BC66" s="234">
        <v>0</v>
      </c>
      <c r="BD66" s="234">
        <v>0</v>
      </c>
      <c r="BE66" s="234">
        <v>0</v>
      </c>
      <c r="BF66" s="234">
        <v>0</v>
      </c>
      <c r="BG66" s="234">
        <v>0</v>
      </c>
      <c r="BH66" s="234">
        <v>0</v>
      </c>
      <c r="BI66" s="234">
        <v>0</v>
      </c>
      <c r="BJ66" s="234">
        <v>0</v>
      </c>
      <c r="BK66" s="234">
        <v>0</v>
      </c>
      <c r="BL66" s="234">
        <v>0</v>
      </c>
      <c r="BM66" s="234">
        <v>0</v>
      </c>
      <c r="BN66" s="234">
        <v>0</v>
      </c>
      <c r="BO66" s="234">
        <v>0</v>
      </c>
      <c r="BP66" s="234"/>
      <c r="BQ66" s="234"/>
      <c r="BR66" s="237" t="s">
        <v>334</v>
      </c>
      <c r="BS66" s="238">
        <v>11</v>
      </c>
      <c r="BT66" s="239">
        <f t="shared" ref="BT66:BT97" si="4">M66</f>
        <v>1</v>
      </c>
      <c r="CN66" s="238">
        <f t="shared" ref="CN66:CN129" si="5">SUM(BU66:BY66)</f>
        <v>0</v>
      </c>
      <c r="CO66" s="238">
        <f t="shared" ref="CO66:CO129" si="6">SUM(BU66:CD66)</f>
        <v>0</v>
      </c>
    </row>
    <row r="67" spans="1:93" ht="13.95" customHeight="1" x14ac:dyDescent="0.2">
      <c r="A67" s="231">
        <v>5232</v>
      </c>
      <c r="B67" s="232" t="s">
        <v>314</v>
      </c>
      <c r="C67" s="232" t="s">
        <v>359</v>
      </c>
      <c r="D67" s="232" t="s">
        <v>360</v>
      </c>
      <c r="E67" s="232" t="s">
        <v>317</v>
      </c>
      <c r="F67" s="231">
        <v>527007</v>
      </c>
      <c r="G67" s="231">
        <v>176205</v>
      </c>
      <c r="H67" s="232" t="s">
        <v>174</v>
      </c>
      <c r="I67" s="233">
        <v>44025</v>
      </c>
      <c r="J67" s="233">
        <v>44840</v>
      </c>
      <c r="K67" s="231">
        <v>0</v>
      </c>
      <c r="L67" s="231">
        <v>1</v>
      </c>
      <c r="M67" s="231">
        <v>1</v>
      </c>
      <c r="N67" s="231">
        <v>9</v>
      </c>
      <c r="O67" s="231">
        <v>8</v>
      </c>
      <c r="P67" s="234"/>
      <c r="Q67" s="232" t="s">
        <v>361</v>
      </c>
      <c r="R67" s="234" t="s">
        <v>332</v>
      </c>
      <c r="S67" s="235">
        <v>43761</v>
      </c>
      <c r="T67" s="235">
        <v>43885</v>
      </c>
      <c r="U67" s="234"/>
      <c r="V67" s="232" t="s">
        <v>321</v>
      </c>
      <c r="W67" s="231"/>
      <c r="X67" s="232" t="s">
        <v>322</v>
      </c>
      <c r="Y67" s="232" t="s">
        <v>323</v>
      </c>
      <c r="Z67" s="232" t="s">
        <v>324</v>
      </c>
      <c r="AA67" s="232" t="s">
        <v>349</v>
      </c>
      <c r="AB67" s="236">
        <v>4.0000000000000001E-3</v>
      </c>
      <c r="AC67" s="235">
        <v>44025</v>
      </c>
      <c r="AD67" s="234"/>
      <c r="AE67" s="235">
        <v>44840</v>
      </c>
      <c r="AF67" s="232" t="s">
        <v>77</v>
      </c>
      <c r="AG67" s="232" t="s">
        <v>350</v>
      </c>
      <c r="AH67" s="234" t="s">
        <v>317</v>
      </c>
      <c r="AI67" s="250"/>
      <c r="AJ67" s="234">
        <v>0</v>
      </c>
      <c r="AK67" s="224"/>
      <c r="AL67" s="234">
        <v>0</v>
      </c>
      <c r="AM67" s="224"/>
      <c r="AN67" s="234">
        <v>0</v>
      </c>
      <c r="AO67" s="234">
        <v>0</v>
      </c>
      <c r="AP67" s="234">
        <v>1</v>
      </c>
      <c r="AQ67" s="234">
        <v>0</v>
      </c>
      <c r="AR67" s="234">
        <v>0</v>
      </c>
      <c r="AS67" s="234">
        <v>0</v>
      </c>
      <c r="AT67" s="234">
        <v>0</v>
      </c>
      <c r="AU67" s="234">
        <v>0</v>
      </c>
      <c r="AV67" s="234">
        <v>0</v>
      </c>
      <c r="AW67" s="234">
        <v>0</v>
      </c>
      <c r="AX67" s="234">
        <v>0</v>
      </c>
      <c r="AY67" s="234">
        <v>0</v>
      </c>
      <c r="AZ67" s="234">
        <v>0</v>
      </c>
      <c r="BA67" s="234">
        <v>0</v>
      </c>
      <c r="BB67" s="234">
        <v>0</v>
      </c>
      <c r="BC67" s="234">
        <v>0</v>
      </c>
      <c r="BD67" s="234">
        <v>1</v>
      </c>
      <c r="BE67" s="234">
        <v>0</v>
      </c>
      <c r="BF67" s="234">
        <v>0</v>
      </c>
      <c r="BG67" s="234">
        <v>0</v>
      </c>
      <c r="BH67" s="234">
        <v>0</v>
      </c>
      <c r="BI67" s="234">
        <v>0</v>
      </c>
      <c r="BJ67" s="234">
        <v>0</v>
      </c>
      <c r="BK67" s="234">
        <v>0</v>
      </c>
      <c r="BL67" s="234">
        <v>0</v>
      </c>
      <c r="BM67" s="234">
        <v>0</v>
      </c>
      <c r="BN67" s="234">
        <v>0</v>
      </c>
      <c r="BO67" s="234">
        <v>0</v>
      </c>
      <c r="BP67" s="234"/>
      <c r="BQ67" s="234"/>
      <c r="BR67" s="237" t="s">
        <v>334</v>
      </c>
      <c r="BS67" s="238">
        <v>1</v>
      </c>
      <c r="BT67" s="239">
        <f t="shared" si="4"/>
        <v>1</v>
      </c>
      <c r="CN67" s="238">
        <f t="shared" si="5"/>
        <v>0</v>
      </c>
      <c r="CO67" s="238">
        <f t="shared" si="6"/>
        <v>0</v>
      </c>
    </row>
    <row r="68" spans="1:93" ht="13.95" customHeight="1" x14ac:dyDescent="0.2">
      <c r="A68" s="231">
        <v>2411</v>
      </c>
      <c r="B68" s="232" t="s">
        <v>314</v>
      </c>
      <c r="C68" s="232" t="s">
        <v>533</v>
      </c>
      <c r="D68" s="232" t="s">
        <v>534</v>
      </c>
      <c r="E68" s="232" t="s">
        <v>535</v>
      </c>
      <c r="F68" s="231">
        <v>528934</v>
      </c>
      <c r="G68" s="231">
        <v>177496</v>
      </c>
      <c r="H68" s="232" t="s">
        <v>168</v>
      </c>
      <c r="I68" s="233">
        <v>42506</v>
      </c>
      <c r="J68" s="231"/>
      <c r="K68" s="231">
        <v>0</v>
      </c>
      <c r="L68" s="231">
        <v>13</v>
      </c>
      <c r="M68" s="231">
        <v>13</v>
      </c>
      <c r="N68" s="231">
        <v>2027</v>
      </c>
      <c r="O68" s="231">
        <v>2027</v>
      </c>
      <c r="P68" s="234" t="s">
        <v>318</v>
      </c>
      <c r="Q68" s="232" t="s">
        <v>536</v>
      </c>
      <c r="R68" s="234" t="s">
        <v>469</v>
      </c>
      <c r="S68" s="235">
        <v>44210</v>
      </c>
      <c r="T68" s="235">
        <v>44264</v>
      </c>
      <c r="U68" s="234"/>
      <c r="V68" s="232" t="s">
        <v>321</v>
      </c>
      <c r="W68" s="231"/>
      <c r="X68" s="232" t="s">
        <v>322</v>
      </c>
      <c r="Y68" s="232" t="s">
        <v>323</v>
      </c>
      <c r="Z68" s="232" t="s">
        <v>323</v>
      </c>
      <c r="AA68" s="232" t="s">
        <v>324</v>
      </c>
      <c r="AB68" s="236">
        <v>1.2999999999999999E-2</v>
      </c>
      <c r="AC68" s="235">
        <v>42506</v>
      </c>
      <c r="AD68" s="234"/>
      <c r="AE68" s="235">
        <v>44652</v>
      </c>
      <c r="AF68" s="232" t="s">
        <v>77</v>
      </c>
      <c r="AG68" s="232" t="s">
        <v>350</v>
      </c>
      <c r="AH68" s="234" t="s">
        <v>537</v>
      </c>
      <c r="AI68" s="250"/>
      <c r="AJ68" s="234">
        <v>13</v>
      </c>
      <c r="AK68" s="224"/>
      <c r="AL68" s="234">
        <v>1</v>
      </c>
      <c r="AM68" s="224"/>
      <c r="AN68" s="234">
        <v>0</v>
      </c>
      <c r="AO68" s="234">
        <v>0</v>
      </c>
      <c r="AP68" s="234">
        <v>0</v>
      </c>
      <c r="AQ68" s="234">
        <v>0</v>
      </c>
      <c r="AR68" s="234">
        <v>3</v>
      </c>
      <c r="AS68" s="234">
        <v>10</v>
      </c>
      <c r="AT68" s="234">
        <v>0</v>
      </c>
      <c r="AU68" s="234">
        <v>0</v>
      </c>
      <c r="AV68" s="234">
        <v>0</v>
      </c>
      <c r="AW68" s="234">
        <v>0</v>
      </c>
      <c r="AX68" s="234">
        <v>0</v>
      </c>
      <c r="AY68" s="234">
        <v>3</v>
      </c>
      <c r="AZ68" s="234">
        <v>10</v>
      </c>
      <c r="BA68" s="234">
        <v>0</v>
      </c>
      <c r="BB68" s="234">
        <v>0</v>
      </c>
      <c r="BC68" s="234">
        <v>0</v>
      </c>
      <c r="BD68" s="234">
        <v>0</v>
      </c>
      <c r="BE68" s="234">
        <v>0</v>
      </c>
      <c r="BF68" s="234">
        <v>0</v>
      </c>
      <c r="BG68" s="234">
        <v>0</v>
      </c>
      <c r="BH68" s="234">
        <v>0</v>
      </c>
      <c r="BI68" s="234">
        <v>0</v>
      </c>
      <c r="BJ68" s="234">
        <v>0</v>
      </c>
      <c r="BK68" s="234">
        <v>0</v>
      </c>
      <c r="BL68" s="234">
        <v>0</v>
      </c>
      <c r="BM68" s="234">
        <v>0</v>
      </c>
      <c r="BN68" s="234">
        <v>0</v>
      </c>
      <c r="BO68" s="234">
        <v>0</v>
      </c>
      <c r="BP68" s="234"/>
      <c r="BQ68" s="234" t="s">
        <v>318</v>
      </c>
      <c r="BR68" s="237" t="s">
        <v>151</v>
      </c>
      <c r="BS68" s="238">
        <v>1</v>
      </c>
      <c r="BT68" s="239">
        <f t="shared" si="4"/>
        <v>13</v>
      </c>
      <c r="CN68" s="238">
        <f t="shared" si="5"/>
        <v>0</v>
      </c>
      <c r="CO68" s="238">
        <f t="shared" si="6"/>
        <v>0</v>
      </c>
    </row>
    <row r="69" spans="1:93" ht="13.95" customHeight="1" x14ac:dyDescent="0.2">
      <c r="A69" s="231">
        <v>3704</v>
      </c>
      <c r="B69" s="232" t="s">
        <v>314</v>
      </c>
      <c r="C69" s="232" t="s">
        <v>538</v>
      </c>
      <c r="D69" s="232" t="s">
        <v>539</v>
      </c>
      <c r="E69" s="232" t="s">
        <v>317</v>
      </c>
      <c r="F69" s="231">
        <v>527795</v>
      </c>
      <c r="G69" s="231">
        <v>171699</v>
      </c>
      <c r="H69" s="232" t="s">
        <v>176</v>
      </c>
      <c r="I69" s="233">
        <v>43011</v>
      </c>
      <c r="J69" s="233">
        <v>44932</v>
      </c>
      <c r="K69" s="231">
        <v>0</v>
      </c>
      <c r="L69" s="231">
        <v>1</v>
      </c>
      <c r="M69" s="231">
        <v>1</v>
      </c>
      <c r="N69" s="231">
        <v>1</v>
      </c>
      <c r="O69" s="231">
        <v>1</v>
      </c>
      <c r="P69" s="234"/>
      <c r="Q69" s="232" t="s">
        <v>540</v>
      </c>
      <c r="R69" s="234" t="s">
        <v>332</v>
      </c>
      <c r="S69" s="235">
        <v>43809</v>
      </c>
      <c r="T69" s="235">
        <v>43872</v>
      </c>
      <c r="U69" s="234"/>
      <c r="V69" s="232" t="s">
        <v>321</v>
      </c>
      <c r="W69" s="231"/>
      <c r="X69" s="232" t="s">
        <v>322</v>
      </c>
      <c r="Y69" s="232" t="s">
        <v>323</v>
      </c>
      <c r="Z69" s="232" t="s">
        <v>324</v>
      </c>
      <c r="AA69" s="232" t="s">
        <v>349</v>
      </c>
      <c r="AB69" s="236">
        <v>4.0000000000000001E-3</v>
      </c>
      <c r="AC69" s="235">
        <v>43011</v>
      </c>
      <c r="AD69" s="234"/>
      <c r="AE69" s="235">
        <v>44932</v>
      </c>
      <c r="AF69" s="232" t="s">
        <v>77</v>
      </c>
      <c r="AG69" s="232" t="s">
        <v>350</v>
      </c>
      <c r="AH69" s="234" t="s">
        <v>317</v>
      </c>
      <c r="AI69" s="250"/>
      <c r="AJ69" s="234">
        <v>0</v>
      </c>
      <c r="AK69" s="224"/>
      <c r="AL69" s="234">
        <v>0</v>
      </c>
      <c r="AM69" s="224"/>
      <c r="AN69" s="234">
        <v>0</v>
      </c>
      <c r="AO69" s="234">
        <v>0</v>
      </c>
      <c r="AP69" s="234">
        <v>1</v>
      </c>
      <c r="AQ69" s="234">
        <v>0</v>
      </c>
      <c r="AR69" s="234">
        <v>0</v>
      </c>
      <c r="AS69" s="234">
        <v>0</v>
      </c>
      <c r="AT69" s="234">
        <v>0</v>
      </c>
      <c r="AU69" s="234">
        <v>0</v>
      </c>
      <c r="AV69" s="234">
        <v>0</v>
      </c>
      <c r="AW69" s="234">
        <v>0</v>
      </c>
      <c r="AX69" s="234">
        <v>0</v>
      </c>
      <c r="AY69" s="234">
        <v>0</v>
      </c>
      <c r="AZ69" s="234">
        <v>0</v>
      </c>
      <c r="BA69" s="234">
        <v>0</v>
      </c>
      <c r="BB69" s="234">
        <v>0</v>
      </c>
      <c r="BC69" s="234">
        <v>0</v>
      </c>
      <c r="BD69" s="234">
        <v>1</v>
      </c>
      <c r="BE69" s="234">
        <v>0</v>
      </c>
      <c r="BF69" s="234">
        <v>0</v>
      </c>
      <c r="BG69" s="234">
        <v>0</v>
      </c>
      <c r="BH69" s="234">
        <v>0</v>
      </c>
      <c r="BI69" s="234">
        <v>0</v>
      </c>
      <c r="BJ69" s="234">
        <v>0</v>
      </c>
      <c r="BK69" s="234">
        <v>0</v>
      </c>
      <c r="BL69" s="234">
        <v>0</v>
      </c>
      <c r="BM69" s="234">
        <v>0</v>
      </c>
      <c r="BN69" s="234">
        <v>0</v>
      </c>
      <c r="BO69" s="234">
        <v>0</v>
      </c>
      <c r="BP69" s="234"/>
      <c r="BQ69" s="234"/>
      <c r="BR69" s="237" t="s">
        <v>334</v>
      </c>
      <c r="BS69" s="238">
        <v>1</v>
      </c>
      <c r="BT69" s="239">
        <f t="shared" si="4"/>
        <v>1</v>
      </c>
      <c r="CN69" s="238">
        <f t="shared" si="5"/>
        <v>0</v>
      </c>
      <c r="CO69" s="238">
        <f t="shared" si="6"/>
        <v>0</v>
      </c>
    </row>
    <row r="70" spans="1:93" ht="13.95" customHeight="1" x14ac:dyDescent="0.2">
      <c r="A70" s="231">
        <v>6743</v>
      </c>
      <c r="B70" s="232" t="s">
        <v>314</v>
      </c>
      <c r="C70" s="232" t="s">
        <v>541</v>
      </c>
      <c r="D70" s="232" t="s">
        <v>542</v>
      </c>
      <c r="E70" s="232" t="s">
        <v>317</v>
      </c>
      <c r="F70" s="231">
        <v>528375</v>
      </c>
      <c r="G70" s="231">
        <v>171419</v>
      </c>
      <c r="H70" s="232" t="s">
        <v>176</v>
      </c>
      <c r="I70" s="233">
        <v>43922</v>
      </c>
      <c r="J70" s="233">
        <v>44914</v>
      </c>
      <c r="K70" s="231">
        <v>0</v>
      </c>
      <c r="L70" s="231">
        <v>1</v>
      </c>
      <c r="M70" s="231">
        <v>1</v>
      </c>
      <c r="N70" s="231">
        <v>1</v>
      </c>
      <c r="O70" s="231">
        <v>1</v>
      </c>
      <c r="P70" s="234"/>
      <c r="Q70" s="232" t="s">
        <v>543</v>
      </c>
      <c r="R70" s="234" t="s">
        <v>332</v>
      </c>
      <c r="S70" s="235">
        <v>43808</v>
      </c>
      <c r="T70" s="235">
        <v>43833</v>
      </c>
      <c r="U70" s="234"/>
      <c r="V70" s="232" t="s">
        <v>321</v>
      </c>
      <c r="W70" s="231"/>
      <c r="X70" s="232" t="s">
        <v>322</v>
      </c>
      <c r="Y70" s="232" t="s">
        <v>323</v>
      </c>
      <c r="Z70" s="232" t="s">
        <v>324</v>
      </c>
      <c r="AA70" s="232" t="s">
        <v>349</v>
      </c>
      <c r="AB70" s="236">
        <v>7.0000000000000001E-3</v>
      </c>
      <c r="AC70" s="235">
        <v>43922</v>
      </c>
      <c r="AD70" s="234"/>
      <c r="AE70" s="235">
        <v>44914</v>
      </c>
      <c r="AF70" s="232" t="s">
        <v>77</v>
      </c>
      <c r="AG70" s="232" t="s">
        <v>350</v>
      </c>
      <c r="AH70" s="234" t="s">
        <v>317</v>
      </c>
      <c r="AI70" s="250"/>
      <c r="AJ70" s="234">
        <v>0</v>
      </c>
      <c r="AK70" s="224"/>
      <c r="AL70" s="234">
        <v>0</v>
      </c>
      <c r="AM70" s="224"/>
      <c r="AN70" s="234">
        <v>0</v>
      </c>
      <c r="AO70" s="234">
        <v>1</v>
      </c>
      <c r="AP70" s="234">
        <v>0</v>
      </c>
      <c r="AQ70" s="234">
        <v>0</v>
      </c>
      <c r="AR70" s="234">
        <v>0</v>
      </c>
      <c r="AS70" s="234">
        <v>0</v>
      </c>
      <c r="AT70" s="234">
        <v>0</v>
      </c>
      <c r="AU70" s="234">
        <v>0</v>
      </c>
      <c r="AV70" s="234">
        <v>0</v>
      </c>
      <c r="AW70" s="234">
        <v>0</v>
      </c>
      <c r="AX70" s="234">
        <v>0</v>
      </c>
      <c r="AY70" s="234">
        <v>0</v>
      </c>
      <c r="AZ70" s="234">
        <v>0</v>
      </c>
      <c r="BA70" s="234">
        <v>0</v>
      </c>
      <c r="BB70" s="234">
        <v>0</v>
      </c>
      <c r="BC70" s="234">
        <v>1</v>
      </c>
      <c r="BD70" s="234">
        <v>0</v>
      </c>
      <c r="BE70" s="234">
        <v>0</v>
      </c>
      <c r="BF70" s="234">
        <v>0</v>
      </c>
      <c r="BG70" s="234">
        <v>0</v>
      </c>
      <c r="BH70" s="234">
        <v>0</v>
      </c>
      <c r="BI70" s="234">
        <v>0</v>
      </c>
      <c r="BJ70" s="234">
        <v>0</v>
      </c>
      <c r="BK70" s="234">
        <v>0</v>
      </c>
      <c r="BL70" s="234">
        <v>0</v>
      </c>
      <c r="BM70" s="234">
        <v>0</v>
      </c>
      <c r="BN70" s="234">
        <v>0</v>
      </c>
      <c r="BO70" s="234">
        <v>0</v>
      </c>
      <c r="BP70" s="234"/>
      <c r="BQ70" s="234"/>
      <c r="BR70" s="237" t="s">
        <v>334</v>
      </c>
      <c r="BS70" s="238">
        <v>1</v>
      </c>
      <c r="BT70" s="239">
        <f t="shared" si="4"/>
        <v>1</v>
      </c>
      <c r="CN70" s="238">
        <f t="shared" si="5"/>
        <v>0</v>
      </c>
      <c r="CO70" s="238">
        <f t="shared" si="6"/>
        <v>0</v>
      </c>
    </row>
    <row r="71" spans="1:93" ht="13.95" customHeight="1" x14ac:dyDescent="0.2">
      <c r="A71" s="231">
        <v>2776</v>
      </c>
      <c r="B71" s="232" t="s">
        <v>314</v>
      </c>
      <c r="C71" s="232" t="s">
        <v>544</v>
      </c>
      <c r="D71" s="232" t="s">
        <v>545</v>
      </c>
      <c r="E71" s="232" t="s">
        <v>317</v>
      </c>
      <c r="F71" s="231">
        <v>521212</v>
      </c>
      <c r="G71" s="231">
        <v>174400</v>
      </c>
      <c r="H71" s="232" t="s">
        <v>170</v>
      </c>
      <c r="I71" s="233">
        <v>44256</v>
      </c>
      <c r="J71" s="233">
        <v>44988</v>
      </c>
      <c r="K71" s="231">
        <v>1</v>
      </c>
      <c r="L71" s="231">
        <v>1</v>
      </c>
      <c r="M71" s="231">
        <v>0</v>
      </c>
      <c r="N71" s="231">
        <v>1</v>
      </c>
      <c r="O71" s="231">
        <v>0</v>
      </c>
      <c r="P71" s="234"/>
      <c r="Q71" s="232" t="s">
        <v>546</v>
      </c>
      <c r="R71" s="234" t="s">
        <v>332</v>
      </c>
      <c r="S71" s="235">
        <v>43809</v>
      </c>
      <c r="T71" s="235">
        <v>43847</v>
      </c>
      <c r="U71" s="234"/>
      <c r="V71" s="232" t="s">
        <v>321</v>
      </c>
      <c r="W71" s="231"/>
      <c r="X71" s="232" t="s">
        <v>322</v>
      </c>
      <c r="Y71" s="232" t="s">
        <v>323</v>
      </c>
      <c r="Z71" s="232" t="s">
        <v>324</v>
      </c>
      <c r="AA71" s="232" t="s">
        <v>349</v>
      </c>
      <c r="AB71" s="236">
        <v>6.6000000000000003E-2</v>
      </c>
      <c r="AC71" s="235">
        <v>44256</v>
      </c>
      <c r="AD71" s="234"/>
      <c r="AE71" s="235">
        <v>44988</v>
      </c>
      <c r="AF71" s="232" t="s">
        <v>77</v>
      </c>
      <c r="AG71" s="232" t="s">
        <v>350</v>
      </c>
      <c r="AH71" s="234" t="s">
        <v>317</v>
      </c>
      <c r="AI71" s="250"/>
      <c r="AJ71" s="234">
        <v>0</v>
      </c>
      <c r="AK71" s="224"/>
      <c r="AL71" s="234">
        <v>0</v>
      </c>
      <c r="AM71" s="224"/>
      <c r="AN71" s="234">
        <v>0</v>
      </c>
      <c r="AO71" s="234">
        <v>0</v>
      </c>
      <c r="AP71" s="234">
        <v>0</v>
      </c>
      <c r="AQ71" s="234">
        <v>0</v>
      </c>
      <c r="AR71" s="234">
        <v>1</v>
      </c>
      <c r="AS71" s="234">
        <v>-1</v>
      </c>
      <c r="AT71" s="234">
        <v>0</v>
      </c>
      <c r="AU71" s="234">
        <v>0</v>
      </c>
      <c r="AV71" s="234">
        <v>0</v>
      </c>
      <c r="AW71" s="234">
        <v>0</v>
      </c>
      <c r="AX71" s="234">
        <v>0</v>
      </c>
      <c r="AY71" s="234">
        <v>0</v>
      </c>
      <c r="AZ71" s="234">
        <v>0</v>
      </c>
      <c r="BA71" s="234">
        <v>0</v>
      </c>
      <c r="BB71" s="234">
        <v>0</v>
      </c>
      <c r="BC71" s="234">
        <v>0</v>
      </c>
      <c r="BD71" s="234">
        <v>0</v>
      </c>
      <c r="BE71" s="234">
        <v>0</v>
      </c>
      <c r="BF71" s="234">
        <v>1</v>
      </c>
      <c r="BG71" s="234">
        <v>-1</v>
      </c>
      <c r="BH71" s="234">
        <v>0</v>
      </c>
      <c r="BI71" s="234">
        <v>0</v>
      </c>
      <c r="BJ71" s="234">
        <v>0</v>
      </c>
      <c r="BK71" s="234">
        <v>0</v>
      </c>
      <c r="BL71" s="234">
        <v>0</v>
      </c>
      <c r="BM71" s="234">
        <v>0</v>
      </c>
      <c r="BN71" s="234">
        <v>0</v>
      </c>
      <c r="BO71" s="234">
        <v>0</v>
      </c>
      <c r="BP71" s="234"/>
      <c r="BQ71" s="234"/>
      <c r="BR71" s="237" t="s">
        <v>334</v>
      </c>
      <c r="BS71" s="238">
        <v>1</v>
      </c>
      <c r="BT71" s="239">
        <f t="shared" si="4"/>
        <v>0</v>
      </c>
      <c r="CN71" s="238">
        <f t="shared" si="5"/>
        <v>0</v>
      </c>
      <c r="CO71" s="238">
        <f t="shared" si="6"/>
        <v>0</v>
      </c>
    </row>
    <row r="72" spans="1:93" ht="13.95" customHeight="1" x14ac:dyDescent="0.2">
      <c r="A72" s="231">
        <v>7406</v>
      </c>
      <c r="B72" s="232" t="s">
        <v>314</v>
      </c>
      <c r="C72" s="232" t="s">
        <v>547</v>
      </c>
      <c r="D72" s="232" t="s">
        <v>548</v>
      </c>
      <c r="E72" s="232" t="s">
        <v>317</v>
      </c>
      <c r="F72" s="231">
        <v>522257</v>
      </c>
      <c r="G72" s="231">
        <v>175281</v>
      </c>
      <c r="H72" s="232" t="s">
        <v>170</v>
      </c>
      <c r="I72" s="233">
        <v>44075</v>
      </c>
      <c r="J72" s="233">
        <v>44684</v>
      </c>
      <c r="K72" s="231">
        <v>3</v>
      </c>
      <c r="L72" s="231">
        <v>1</v>
      </c>
      <c r="M72" s="231">
        <v>-2</v>
      </c>
      <c r="N72" s="231">
        <v>1</v>
      </c>
      <c r="O72" s="231">
        <v>-2</v>
      </c>
      <c r="P72" s="234"/>
      <c r="Q72" s="232" t="s">
        <v>549</v>
      </c>
      <c r="R72" s="234" t="s">
        <v>332</v>
      </c>
      <c r="S72" s="235">
        <v>43888</v>
      </c>
      <c r="T72" s="235">
        <v>43944</v>
      </c>
      <c r="U72" s="234"/>
      <c r="V72" s="232" t="s">
        <v>321</v>
      </c>
      <c r="W72" s="231"/>
      <c r="X72" s="232" t="s">
        <v>322</v>
      </c>
      <c r="Y72" s="232" t="s">
        <v>365</v>
      </c>
      <c r="Z72" s="232" t="s">
        <v>324</v>
      </c>
      <c r="AA72" s="232" t="s">
        <v>17</v>
      </c>
      <c r="AB72" s="236">
        <v>4.4999999999999998E-2</v>
      </c>
      <c r="AC72" s="235">
        <v>44075</v>
      </c>
      <c r="AD72" s="234"/>
      <c r="AE72" s="235">
        <v>44684</v>
      </c>
      <c r="AF72" s="232" t="s">
        <v>77</v>
      </c>
      <c r="AG72" s="232" t="s">
        <v>350</v>
      </c>
      <c r="AH72" s="234" t="s">
        <v>317</v>
      </c>
      <c r="AI72" s="250"/>
      <c r="AJ72" s="234">
        <v>0</v>
      </c>
      <c r="AK72" s="224"/>
      <c r="AL72" s="234">
        <v>0</v>
      </c>
      <c r="AM72" s="224"/>
      <c r="AN72" s="234">
        <v>0</v>
      </c>
      <c r="AO72" s="234">
        <v>0</v>
      </c>
      <c r="AP72" s="234">
        <v>-3</v>
      </c>
      <c r="AQ72" s="234">
        <v>0</v>
      </c>
      <c r="AR72" s="234">
        <v>0</v>
      </c>
      <c r="AS72" s="234">
        <v>1</v>
      </c>
      <c r="AT72" s="234">
        <v>0</v>
      </c>
      <c r="AU72" s="234">
        <v>0</v>
      </c>
      <c r="AV72" s="234">
        <v>0</v>
      </c>
      <c r="AW72" s="234">
        <v>-3</v>
      </c>
      <c r="AX72" s="234">
        <v>0</v>
      </c>
      <c r="AY72" s="234">
        <v>0</v>
      </c>
      <c r="AZ72" s="234">
        <v>0</v>
      </c>
      <c r="BA72" s="234">
        <v>0</v>
      </c>
      <c r="BB72" s="234">
        <v>0</v>
      </c>
      <c r="BC72" s="234">
        <v>0</v>
      </c>
      <c r="BD72" s="234">
        <v>0</v>
      </c>
      <c r="BE72" s="234">
        <v>0</v>
      </c>
      <c r="BF72" s="234">
        <v>0</v>
      </c>
      <c r="BG72" s="234">
        <v>1</v>
      </c>
      <c r="BH72" s="234">
        <v>0</v>
      </c>
      <c r="BI72" s="234">
        <v>0</v>
      </c>
      <c r="BJ72" s="234">
        <v>0</v>
      </c>
      <c r="BK72" s="234">
        <v>0</v>
      </c>
      <c r="BL72" s="234">
        <v>0</v>
      </c>
      <c r="BM72" s="234">
        <v>0</v>
      </c>
      <c r="BN72" s="234">
        <v>0</v>
      </c>
      <c r="BO72" s="234">
        <v>0</v>
      </c>
      <c r="BP72" s="234"/>
      <c r="BQ72" s="234"/>
      <c r="BR72" s="237" t="s">
        <v>334</v>
      </c>
      <c r="BS72" s="238">
        <v>11</v>
      </c>
      <c r="BT72" s="239">
        <f t="shared" si="4"/>
        <v>-2</v>
      </c>
      <c r="CN72" s="238">
        <f t="shared" si="5"/>
        <v>0</v>
      </c>
      <c r="CO72" s="238">
        <f t="shared" si="6"/>
        <v>0</v>
      </c>
    </row>
    <row r="73" spans="1:93" ht="13.95" customHeight="1" x14ac:dyDescent="0.2">
      <c r="A73" s="231">
        <v>7329</v>
      </c>
      <c r="B73" s="232" t="s">
        <v>314</v>
      </c>
      <c r="C73" s="232" t="s">
        <v>550</v>
      </c>
      <c r="D73" s="232" t="s">
        <v>551</v>
      </c>
      <c r="E73" s="232" t="s">
        <v>317</v>
      </c>
      <c r="F73" s="231">
        <v>528208</v>
      </c>
      <c r="G73" s="231">
        <v>173978</v>
      </c>
      <c r="H73" s="232" t="s">
        <v>141</v>
      </c>
      <c r="I73" s="233">
        <v>44287</v>
      </c>
      <c r="J73" s="233">
        <v>44701</v>
      </c>
      <c r="K73" s="231">
        <v>2</v>
      </c>
      <c r="L73" s="231">
        <v>1</v>
      </c>
      <c r="M73" s="231">
        <v>-1</v>
      </c>
      <c r="N73" s="231">
        <v>1</v>
      </c>
      <c r="O73" s="231">
        <v>-1</v>
      </c>
      <c r="P73" s="234"/>
      <c r="Q73" s="232" t="s">
        <v>552</v>
      </c>
      <c r="R73" s="234" t="s">
        <v>332</v>
      </c>
      <c r="S73" s="235">
        <v>43859</v>
      </c>
      <c r="T73" s="235">
        <v>43910</v>
      </c>
      <c r="U73" s="234"/>
      <c r="V73" s="232" t="s">
        <v>321</v>
      </c>
      <c r="W73" s="231"/>
      <c r="X73" s="232" t="s">
        <v>322</v>
      </c>
      <c r="Y73" s="232" t="s">
        <v>365</v>
      </c>
      <c r="Z73" s="232" t="s">
        <v>324</v>
      </c>
      <c r="AA73" s="232" t="s">
        <v>553</v>
      </c>
      <c r="AB73" s="236">
        <v>1.9E-2</v>
      </c>
      <c r="AC73" s="235">
        <v>44287</v>
      </c>
      <c r="AD73" s="234"/>
      <c r="AE73" s="235">
        <v>44701</v>
      </c>
      <c r="AF73" s="232" t="s">
        <v>77</v>
      </c>
      <c r="AG73" s="232" t="s">
        <v>350</v>
      </c>
      <c r="AH73" s="234" t="s">
        <v>317</v>
      </c>
      <c r="AI73" s="250"/>
      <c r="AJ73" s="234">
        <v>0</v>
      </c>
      <c r="AK73" s="224"/>
      <c r="AL73" s="234">
        <v>0</v>
      </c>
      <c r="AM73" s="224"/>
      <c r="AN73" s="234">
        <v>0</v>
      </c>
      <c r="AO73" s="234">
        <v>-1</v>
      </c>
      <c r="AP73" s="234">
        <v>-1</v>
      </c>
      <c r="AQ73" s="234">
        <v>1</v>
      </c>
      <c r="AR73" s="234">
        <v>0</v>
      </c>
      <c r="AS73" s="234">
        <v>0</v>
      </c>
      <c r="AT73" s="234">
        <v>0</v>
      </c>
      <c r="AU73" s="234">
        <v>0</v>
      </c>
      <c r="AV73" s="234">
        <v>-1</v>
      </c>
      <c r="AW73" s="234">
        <v>-1</v>
      </c>
      <c r="AX73" s="234">
        <v>1</v>
      </c>
      <c r="AY73" s="234">
        <v>0</v>
      </c>
      <c r="AZ73" s="234">
        <v>0</v>
      </c>
      <c r="BA73" s="234">
        <v>0</v>
      </c>
      <c r="BB73" s="234">
        <v>0</v>
      </c>
      <c r="BC73" s="234">
        <v>0</v>
      </c>
      <c r="BD73" s="234">
        <v>0</v>
      </c>
      <c r="BE73" s="234">
        <v>0</v>
      </c>
      <c r="BF73" s="234">
        <v>0</v>
      </c>
      <c r="BG73" s="234">
        <v>0</v>
      </c>
      <c r="BH73" s="234">
        <v>0</v>
      </c>
      <c r="BI73" s="234">
        <v>0</v>
      </c>
      <c r="BJ73" s="234">
        <v>0</v>
      </c>
      <c r="BK73" s="234">
        <v>0</v>
      </c>
      <c r="BL73" s="234">
        <v>0</v>
      </c>
      <c r="BM73" s="234">
        <v>0</v>
      </c>
      <c r="BN73" s="234">
        <v>0</v>
      </c>
      <c r="BO73" s="234">
        <v>0</v>
      </c>
      <c r="BP73" s="234"/>
      <c r="BQ73" s="234"/>
      <c r="BR73" s="237" t="s">
        <v>334</v>
      </c>
      <c r="BS73" s="238">
        <v>11</v>
      </c>
      <c r="BT73" s="239">
        <f t="shared" si="4"/>
        <v>-1</v>
      </c>
      <c r="CN73" s="238">
        <f t="shared" si="5"/>
        <v>0</v>
      </c>
      <c r="CO73" s="238">
        <f t="shared" si="6"/>
        <v>0</v>
      </c>
    </row>
    <row r="74" spans="1:93" ht="13.95" customHeight="1" x14ac:dyDescent="0.2">
      <c r="A74" s="231">
        <v>330</v>
      </c>
      <c r="B74" s="232" t="s">
        <v>314</v>
      </c>
      <c r="C74" s="232" t="s">
        <v>554</v>
      </c>
      <c r="D74" s="232" t="s">
        <v>555</v>
      </c>
      <c r="E74" s="232" t="s">
        <v>317</v>
      </c>
      <c r="F74" s="231">
        <v>523924</v>
      </c>
      <c r="G74" s="231">
        <v>175043</v>
      </c>
      <c r="H74" s="232" t="s">
        <v>183</v>
      </c>
      <c r="I74" s="233">
        <v>44287</v>
      </c>
      <c r="J74" s="233">
        <v>44936</v>
      </c>
      <c r="K74" s="231">
        <v>0</v>
      </c>
      <c r="L74" s="231">
        <v>1</v>
      </c>
      <c r="M74" s="231">
        <v>1</v>
      </c>
      <c r="N74" s="231">
        <v>2</v>
      </c>
      <c r="O74" s="231">
        <v>1</v>
      </c>
      <c r="P74" s="234"/>
      <c r="Q74" s="232" t="s">
        <v>556</v>
      </c>
      <c r="R74" s="234" t="s">
        <v>332</v>
      </c>
      <c r="S74" s="235">
        <v>43872</v>
      </c>
      <c r="T74" s="235">
        <v>44022</v>
      </c>
      <c r="U74" s="234"/>
      <c r="V74" s="232" t="s">
        <v>321</v>
      </c>
      <c r="W74" s="231"/>
      <c r="X74" s="232" t="s">
        <v>322</v>
      </c>
      <c r="Y74" s="232" t="s">
        <v>338</v>
      </c>
      <c r="Z74" s="232" t="s">
        <v>324</v>
      </c>
      <c r="AA74" s="232" t="s">
        <v>354</v>
      </c>
      <c r="AB74" s="236">
        <v>5.0000000000000001E-3</v>
      </c>
      <c r="AC74" s="235">
        <v>44287</v>
      </c>
      <c r="AD74" s="234"/>
      <c r="AE74" s="235">
        <v>44936</v>
      </c>
      <c r="AF74" s="232" t="s">
        <v>77</v>
      </c>
      <c r="AG74" s="232" t="s">
        <v>350</v>
      </c>
      <c r="AH74" s="234" t="s">
        <v>317</v>
      </c>
      <c r="AI74" s="250"/>
      <c r="AJ74" s="234">
        <v>0</v>
      </c>
      <c r="AK74" s="224"/>
      <c r="AL74" s="234">
        <v>0</v>
      </c>
      <c r="AM74" s="224"/>
      <c r="AN74" s="234">
        <v>0</v>
      </c>
      <c r="AO74" s="234">
        <v>0</v>
      </c>
      <c r="AP74" s="234">
        <v>1</v>
      </c>
      <c r="AQ74" s="234">
        <v>0</v>
      </c>
      <c r="AR74" s="234">
        <v>0</v>
      </c>
      <c r="AS74" s="234">
        <v>0</v>
      </c>
      <c r="AT74" s="234">
        <v>0</v>
      </c>
      <c r="AU74" s="234">
        <v>0</v>
      </c>
      <c r="AV74" s="234">
        <v>0</v>
      </c>
      <c r="AW74" s="234">
        <v>1</v>
      </c>
      <c r="AX74" s="234">
        <v>0</v>
      </c>
      <c r="AY74" s="234">
        <v>0</v>
      </c>
      <c r="AZ74" s="234">
        <v>0</v>
      </c>
      <c r="BA74" s="234">
        <v>0</v>
      </c>
      <c r="BB74" s="234">
        <v>0</v>
      </c>
      <c r="BC74" s="234">
        <v>0</v>
      </c>
      <c r="BD74" s="234">
        <v>0</v>
      </c>
      <c r="BE74" s="234">
        <v>0</v>
      </c>
      <c r="BF74" s="234">
        <v>0</v>
      </c>
      <c r="BG74" s="234">
        <v>0</v>
      </c>
      <c r="BH74" s="234">
        <v>0</v>
      </c>
      <c r="BI74" s="234">
        <v>0</v>
      </c>
      <c r="BJ74" s="234">
        <v>0</v>
      </c>
      <c r="BK74" s="234">
        <v>0</v>
      </c>
      <c r="BL74" s="234">
        <v>0</v>
      </c>
      <c r="BM74" s="234">
        <v>0</v>
      </c>
      <c r="BN74" s="234">
        <v>0</v>
      </c>
      <c r="BO74" s="234">
        <v>0</v>
      </c>
      <c r="BP74" s="234" t="s">
        <v>143</v>
      </c>
      <c r="BQ74" s="234"/>
      <c r="BR74" s="237" t="s">
        <v>152</v>
      </c>
      <c r="BS74" s="238">
        <v>11</v>
      </c>
      <c r="BT74" s="239">
        <f t="shared" si="4"/>
        <v>1</v>
      </c>
      <c r="CN74" s="238">
        <f t="shared" si="5"/>
        <v>0</v>
      </c>
      <c r="CO74" s="238">
        <f t="shared" si="6"/>
        <v>0</v>
      </c>
    </row>
    <row r="75" spans="1:93" ht="13.95" customHeight="1" x14ac:dyDescent="0.2">
      <c r="A75" s="231">
        <v>330</v>
      </c>
      <c r="B75" s="232" t="s">
        <v>314</v>
      </c>
      <c r="C75" s="232" t="s">
        <v>554</v>
      </c>
      <c r="D75" s="232" t="s">
        <v>555</v>
      </c>
      <c r="E75" s="232" t="s">
        <v>317</v>
      </c>
      <c r="F75" s="231">
        <v>523924</v>
      </c>
      <c r="G75" s="231">
        <v>175043</v>
      </c>
      <c r="H75" s="232" t="s">
        <v>183</v>
      </c>
      <c r="I75" s="233">
        <v>44287</v>
      </c>
      <c r="J75" s="233">
        <v>44936</v>
      </c>
      <c r="K75" s="231">
        <v>1</v>
      </c>
      <c r="L75" s="231">
        <v>1</v>
      </c>
      <c r="M75" s="231">
        <v>0</v>
      </c>
      <c r="N75" s="231">
        <v>2</v>
      </c>
      <c r="O75" s="231">
        <v>1</v>
      </c>
      <c r="P75" s="234"/>
      <c r="Q75" s="232" t="s">
        <v>556</v>
      </c>
      <c r="R75" s="234" t="s">
        <v>332</v>
      </c>
      <c r="S75" s="235">
        <v>43872</v>
      </c>
      <c r="T75" s="235">
        <v>44022</v>
      </c>
      <c r="U75" s="234"/>
      <c r="V75" s="232" t="s">
        <v>321</v>
      </c>
      <c r="W75" s="231"/>
      <c r="X75" s="232" t="s">
        <v>322</v>
      </c>
      <c r="Y75" s="232" t="s">
        <v>338</v>
      </c>
      <c r="Z75" s="232" t="s">
        <v>324</v>
      </c>
      <c r="AA75" s="232" t="s">
        <v>411</v>
      </c>
      <c r="AB75" s="236">
        <v>4.0000000000000001E-3</v>
      </c>
      <c r="AC75" s="235">
        <v>44287</v>
      </c>
      <c r="AD75" s="234"/>
      <c r="AE75" s="235">
        <v>44936</v>
      </c>
      <c r="AF75" s="232" t="s">
        <v>77</v>
      </c>
      <c r="AG75" s="232" t="s">
        <v>350</v>
      </c>
      <c r="AH75" s="234" t="s">
        <v>317</v>
      </c>
      <c r="AI75" s="250"/>
      <c r="AJ75" s="234">
        <v>0</v>
      </c>
      <c r="AK75" s="224"/>
      <c r="AL75" s="234">
        <v>0</v>
      </c>
      <c r="AM75" s="224"/>
      <c r="AN75" s="234">
        <v>0</v>
      </c>
      <c r="AO75" s="234">
        <v>1</v>
      </c>
      <c r="AP75" s="234">
        <v>0</v>
      </c>
      <c r="AQ75" s="234">
        <v>-1</v>
      </c>
      <c r="AR75" s="234">
        <v>0</v>
      </c>
      <c r="AS75" s="234">
        <v>0</v>
      </c>
      <c r="AT75" s="234">
        <v>0</v>
      </c>
      <c r="AU75" s="234">
        <v>0</v>
      </c>
      <c r="AV75" s="234">
        <v>1</v>
      </c>
      <c r="AW75" s="234">
        <v>0</v>
      </c>
      <c r="AX75" s="234">
        <v>-1</v>
      </c>
      <c r="AY75" s="234">
        <v>0</v>
      </c>
      <c r="AZ75" s="234">
        <v>0</v>
      </c>
      <c r="BA75" s="234">
        <v>0</v>
      </c>
      <c r="BB75" s="234">
        <v>0</v>
      </c>
      <c r="BC75" s="234">
        <v>0</v>
      </c>
      <c r="BD75" s="234">
        <v>0</v>
      </c>
      <c r="BE75" s="234">
        <v>0</v>
      </c>
      <c r="BF75" s="234">
        <v>0</v>
      </c>
      <c r="BG75" s="234">
        <v>0</v>
      </c>
      <c r="BH75" s="234">
        <v>0</v>
      </c>
      <c r="BI75" s="234">
        <v>0</v>
      </c>
      <c r="BJ75" s="234">
        <v>0</v>
      </c>
      <c r="BK75" s="234">
        <v>0</v>
      </c>
      <c r="BL75" s="234">
        <v>0</v>
      </c>
      <c r="BM75" s="234">
        <v>0</v>
      </c>
      <c r="BN75" s="234">
        <v>0</v>
      </c>
      <c r="BO75" s="234">
        <v>0</v>
      </c>
      <c r="BP75" s="234" t="s">
        <v>143</v>
      </c>
      <c r="BQ75" s="234"/>
      <c r="BR75" s="237" t="s">
        <v>152</v>
      </c>
      <c r="BS75" s="238">
        <v>11</v>
      </c>
      <c r="BT75" s="239">
        <f t="shared" si="4"/>
        <v>0</v>
      </c>
      <c r="CN75" s="238">
        <f t="shared" si="5"/>
        <v>0</v>
      </c>
      <c r="CO75" s="238">
        <f t="shared" si="6"/>
        <v>0</v>
      </c>
    </row>
    <row r="76" spans="1:93" ht="13.95" customHeight="1" x14ac:dyDescent="0.2">
      <c r="A76" s="231">
        <v>7339</v>
      </c>
      <c r="B76" s="232" t="s">
        <v>314</v>
      </c>
      <c r="C76" s="232" t="s">
        <v>557</v>
      </c>
      <c r="D76" s="232" t="s">
        <v>558</v>
      </c>
      <c r="E76" s="232" t="s">
        <v>317</v>
      </c>
      <c r="F76" s="231">
        <v>527876</v>
      </c>
      <c r="G76" s="231">
        <v>174963</v>
      </c>
      <c r="H76" s="232" t="s">
        <v>169</v>
      </c>
      <c r="I76" s="233">
        <v>44287</v>
      </c>
      <c r="J76" s="233">
        <v>44883</v>
      </c>
      <c r="K76" s="231">
        <v>2</v>
      </c>
      <c r="L76" s="231">
        <v>1</v>
      </c>
      <c r="M76" s="231">
        <v>-1</v>
      </c>
      <c r="N76" s="231">
        <v>1</v>
      </c>
      <c r="O76" s="231">
        <v>-1</v>
      </c>
      <c r="P76" s="234"/>
      <c r="Q76" s="232" t="s">
        <v>559</v>
      </c>
      <c r="R76" s="234" t="s">
        <v>332</v>
      </c>
      <c r="S76" s="235">
        <v>43875</v>
      </c>
      <c r="T76" s="235">
        <v>44165</v>
      </c>
      <c r="U76" s="234"/>
      <c r="V76" s="232" t="s">
        <v>321</v>
      </c>
      <c r="W76" s="231"/>
      <c r="X76" s="232" t="s">
        <v>322</v>
      </c>
      <c r="Y76" s="232" t="s">
        <v>365</v>
      </c>
      <c r="Z76" s="232" t="s">
        <v>324</v>
      </c>
      <c r="AA76" s="232" t="s">
        <v>17</v>
      </c>
      <c r="AB76" s="236">
        <v>1.4999999999999999E-2</v>
      </c>
      <c r="AC76" s="235">
        <v>44287</v>
      </c>
      <c r="AD76" s="234"/>
      <c r="AE76" s="235">
        <v>44883</v>
      </c>
      <c r="AF76" s="232" t="s">
        <v>77</v>
      </c>
      <c r="AG76" s="232" t="s">
        <v>350</v>
      </c>
      <c r="AH76" s="234" t="s">
        <v>317</v>
      </c>
      <c r="AI76" s="250"/>
      <c r="AJ76" s="234">
        <v>0</v>
      </c>
      <c r="AK76" s="224"/>
      <c r="AL76" s="234">
        <v>0</v>
      </c>
      <c r="AM76" s="224"/>
      <c r="AN76" s="234">
        <v>0</v>
      </c>
      <c r="AO76" s="234">
        <v>-1</v>
      </c>
      <c r="AP76" s="234">
        <v>-1</v>
      </c>
      <c r="AQ76" s="234">
        <v>0</v>
      </c>
      <c r="AR76" s="234">
        <v>1</v>
      </c>
      <c r="AS76" s="234">
        <v>0</v>
      </c>
      <c r="AT76" s="234">
        <v>0</v>
      </c>
      <c r="AU76" s="234">
        <v>0</v>
      </c>
      <c r="AV76" s="234">
        <v>-1</v>
      </c>
      <c r="AW76" s="234">
        <v>-1</v>
      </c>
      <c r="AX76" s="234">
        <v>0</v>
      </c>
      <c r="AY76" s="234">
        <v>0</v>
      </c>
      <c r="AZ76" s="234">
        <v>0</v>
      </c>
      <c r="BA76" s="234">
        <v>0</v>
      </c>
      <c r="BB76" s="234">
        <v>0</v>
      </c>
      <c r="BC76" s="234">
        <v>0</v>
      </c>
      <c r="BD76" s="234">
        <v>0</v>
      </c>
      <c r="BE76" s="234">
        <v>0</v>
      </c>
      <c r="BF76" s="234">
        <v>1</v>
      </c>
      <c r="BG76" s="234">
        <v>0</v>
      </c>
      <c r="BH76" s="234">
        <v>0</v>
      </c>
      <c r="BI76" s="234">
        <v>0</v>
      </c>
      <c r="BJ76" s="234">
        <v>0</v>
      </c>
      <c r="BK76" s="234">
        <v>0</v>
      </c>
      <c r="BL76" s="234">
        <v>0</v>
      </c>
      <c r="BM76" s="234">
        <v>0</v>
      </c>
      <c r="BN76" s="234">
        <v>0</v>
      </c>
      <c r="BO76" s="234">
        <v>0</v>
      </c>
      <c r="BP76" s="234"/>
      <c r="BQ76" s="234"/>
      <c r="BR76" s="237" t="s">
        <v>334</v>
      </c>
      <c r="BS76" s="238">
        <v>11</v>
      </c>
      <c r="BT76" s="239">
        <f t="shared" si="4"/>
        <v>-1</v>
      </c>
      <c r="CN76" s="238">
        <f t="shared" si="5"/>
        <v>0</v>
      </c>
      <c r="CO76" s="238">
        <f t="shared" si="6"/>
        <v>0</v>
      </c>
    </row>
    <row r="77" spans="1:93" ht="13.95" customHeight="1" x14ac:dyDescent="0.2">
      <c r="A77" s="231">
        <v>6106</v>
      </c>
      <c r="B77" s="232" t="s">
        <v>314</v>
      </c>
      <c r="C77" s="232" t="s">
        <v>560</v>
      </c>
      <c r="D77" s="232" t="s">
        <v>561</v>
      </c>
      <c r="E77" s="232" t="s">
        <v>317</v>
      </c>
      <c r="F77" s="231">
        <v>527089</v>
      </c>
      <c r="G77" s="231">
        <v>173917</v>
      </c>
      <c r="H77" s="232" t="s">
        <v>180</v>
      </c>
      <c r="I77" s="233">
        <v>44082</v>
      </c>
      <c r="J77" s="233">
        <v>44998</v>
      </c>
      <c r="K77" s="231">
        <v>2</v>
      </c>
      <c r="L77" s="231">
        <v>1</v>
      </c>
      <c r="M77" s="231">
        <v>-1</v>
      </c>
      <c r="N77" s="231">
        <v>1</v>
      </c>
      <c r="O77" s="231">
        <v>-1</v>
      </c>
      <c r="P77" s="234"/>
      <c r="Q77" s="232" t="s">
        <v>562</v>
      </c>
      <c r="R77" s="234" t="s">
        <v>332</v>
      </c>
      <c r="S77" s="235">
        <v>43894</v>
      </c>
      <c r="T77" s="235">
        <v>43977</v>
      </c>
      <c r="U77" s="234"/>
      <c r="V77" s="232" t="s">
        <v>321</v>
      </c>
      <c r="W77" s="231"/>
      <c r="X77" s="232" t="s">
        <v>322</v>
      </c>
      <c r="Y77" s="232" t="s">
        <v>365</v>
      </c>
      <c r="Z77" s="232" t="s">
        <v>324</v>
      </c>
      <c r="AA77" s="232" t="s">
        <v>17</v>
      </c>
      <c r="AB77" s="236">
        <v>3.2000000000000001E-2</v>
      </c>
      <c r="AC77" s="235">
        <v>44082</v>
      </c>
      <c r="AD77" s="234"/>
      <c r="AE77" s="235">
        <v>44998</v>
      </c>
      <c r="AF77" s="232" t="s">
        <v>77</v>
      </c>
      <c r="AG77" s="232" t="s">
        <v>350</v>
      </c>
      <c r="AH77" s="234" t="s">
        <v>317</v>
      </c>
      <c r="AI77" s="250"/>
      <c r="AJ77" s="234">
        <v>0</v>
      </c>
      <c r="AK77" s="224"/>
      <c r="AL77" s="234">
        <v>0</v>
      </c>
      <c r="AM77" s="224"/>
      <c r="AN77" s="234">
        <v>0</v>
      </c>
      <c r="AO77" s="234">
        <v>-1</v>
      </c>
      <c r="AP77" s="234">
        <v>-1</v>
      </c>
      <c r="AQ77" s="234">
        <v>0</v>
      </c>
      <c r="AR77" s="234">
        <v>0</v>
      </c>
      <c r="AS77" s="234">
        <v>1</v>
      </c>
      <c r="AT77" s="234">
        <v>0</v>
      </c>
      <c r="AU77" s="234">
        <v>0</v>
      </c>
      <c r="AV77" s="234">
        <v>-1</v>
      </c>
      <c r="AW77" s="234">
        <v>-1</v>
      </c>
      <c r="AX77" s="234">
        <v>0</v>
      </c>
      <c r="AY77" s="234">
        <v>0</v>
      </c>
      <c r="AZ77" s="234">
        <v>0</v>
      </c>
      <c r="BA77" s="234">
        <v>0</v>
      </c>
      <c r="BB77" s="234">
        <v>0</v>
      </c>
      <c r="BC77" s="234">
        <v>0</v>
      </c>
      <c r="BD77" s="234">
        <v>0</v>
      </c>
      <c r="BE77" s="234">
        <v>0</v>
      </c>
      <c r="BF77" s="234">
        <v>0</v>
      </c>
      <c r="BG77" s="234">
        <v>1</v>
      </c>
      <c r="BH77" s="234">
        <v>0</v>
      </c>
      <c r="BI77" s="234">
        <v>0</v>
      </c>
      <c r="BJ77" s="234">
        <v>0</v>
      </c>
      <c r="BK77" s="234">
        <v>0</v>
      </c>
      <c r="BL77" s="234">
        <v>0</v>
      </c>
      <c r="BM77" s="234">
        <v>0</v>
      </c>
      <c r="BN77" s="234">
        <v>0</v>
      </c>
      <c r="BO77" s="234">
        <v>0</v>
      </c>
      <c r="BP77" s="234"/>
      <c r="BQ77" s="234"/>
      <c r="BR77" s="237" t="s">
        <v>334</v>
      </c>
      <c r="BS77" s="238">
        <v>11</v>
      </c>
      <c r="BT77" s="239">
        <f t="shared" si="4"/>
        <v>-1</v>
      </c>
      <c r="CN77" s="238">
        <f t="shared" si="5"/>
        <v>0</v>
      </c>
      <c r="CO77" s="238">
        <f t="shared" si="6"/>
        <v>0</v>
      </c>
    </row>
    <row r="78" spans="1:93" ht="13.95" customHeight="1" x14ac:dyDescent="0.2">
      <c r="A78" s="231">
        <v>7405</v>
      </c>
      <c r="B78" s="232" t="s">
        <v>314</v>
      </c>
      <c r="C78" s="232" t="s">
        <v>563</v>
      </c>
      <c r="D78" s="232" t="s">
        <v>564</v>
      </c>
      <c r="E78" s="232" t="s">
        <v>317</v>
      </c>
      <c r="F78" s="231">
        <v>527642</v>
      </c>
      <c r="G78" s="231">
        <v>173034</v>
      </c>
      <c r="H78" s="232" t="s">
        <v>178</v>
      </c>
      <c r="I78" s="233">
        <v>44160</v>
      </c>
      <c r="J78" s="233">
        <v>44818</v>
      </c>
      <c r="K78" s="231">
        <v>3</v>
      </c>
      <c r="L78" s="231">
        <v>1</v>
      </c>
      <c r="M78" s="231">
        <v>-2</v>
      </c>
      <c r="N78" s="231">
        <v>1</v>
      </c>
      <c r="O78" s="231">
        <v>-2</v>
      </c>
      <c r="P78" s="234"/>
      <c r="Q78" s="232" t="s">
        <v>565</v>
      </c>
      <c r="R78" s="234" t="s">
        <v>332</v>
      </c>
      <c r="S78" s="235">
        <v>43892</v>
      </c>
      <c r="T78" s="235">
        <v>43945</v>
      </c>
      <c r="U78" s="234"/>
      <c r="V78" s="232" t="s">
        <v>321</v>
      </c>
      <c r="W78" s="231"/>
      <c r="X78" s="232" t="s">
        <v>322</v>
      </c>
      <c r="Y78" s="232" t="s">
        <v>365</v>
      </c>
      <c r="Z78" s="232" t="s">
        <v>324</v>
      </c>
      <c r="AA78" s="232" t="s">
        <v>17</v>
      </c>
      <c r="AB78" s="236">
        <v>7.2999999999999995E-2</v>
      </c>
      <c r="AC78" s="235">
        <v>44160</v>
      </c>
      <c r="AD78" s="234"/>
      <c r="AE78" s="235">
        <v>44818</v>
      </c>
      <c r="AF78" s="232" t="s">
        <v>77</v>
      </c>
      <c r="AG78" s="232" t="s">
        <v>350</v>
      </c>
      <c r="AH78" s="234" t="s">
        <v>317</v>
      </c>
      <c r="AI78" s="250"/>
      <c r="AJ78" s="234">
        <v>0</v>
      </c>
      <c r="AK78" s="224"/>
      <c r="AL78" s="234">
        <v>0</v>
      </c>
      <c r="AM78" s="224"/>
      <c r="AN78" s="234">
        <v>0</v>
      </c>
      <c r="AO78" s="234">
        <v>-2</v>
      </c>
      <c r="AP78" s="234">
        <v>0</v>
      </c>
      <c r="AQ78" s="234">
        <v>0</v>
      </c>
      <c r="AR78" s="234">
        <v>-1</v>
      </c>
      <c r="AS78" s="234">
        <v>1</v>
      </c>
      <c r="AT78" s="234">
        <v>0</v>
      </c>
      <c r="AU78" s="234">
        <v>0</v>
      </c>
      <c r="AV78" s="234">
        <v>-2</v>
      </c>
      <c r="AW78" s="234">
        <v>0</v>
      </c>
      <c r="AX78" s="234">
        <v>0</v>
      </c>
      <c r="AY78" s="234">
        <v>-1</v>
      </c>
      <c r="AZ78" s="234">
        <v>0</v>
      </c>
      <c r="BA78" s="234">
        <v>0</v>
      </c>
      <c r="BB78" s="234">
        <v>0</v>
      </c>
      <c r="BC78" s="234">
        <v>0</v>
      </c>
      <c r="BD78" s="234">
        <v>0</v>
      </c>
      <c r="BE78" s="234">
        <v>0</v>
      </c>
      <c r="BF78" s="234">
        <v>0</v>
      </c>
      <c r="BG78" s="234">
        <v>1</v>
      </c>
      <c r="BH78" s="234">
        <v>0</v>
      </c>
      <c r="BI78" s="234">
        <v>0</v>
      </c>
      <c r="BJ78" s="234">
        <v>0</v>
      </c>
      <c r="BK78" s="234">
        <v>0</v>
      </c>
      <c r="BL78" s="234">
        <v>0</v>
      </c>
      <c r="BM78" s="234">
        <v>0</v>
      </c>
      <c r="BN78" s="234">
        <v>0</v>
      </c>
      <c r="BO78" s="234">
        <v>0</v>
      </c>
      <c r="BP78" s="234"/>
      <c r="BQ78" s="234"/>
      <c r="BR78" s="237" t="s">
        <v>334</v>
      </c>
      <c r="BS78" s="238">
        <v>11</v>
      </c>
      <c r="BT78" s="239">
        <f t="shared" si="4"/>
        <v>-2</v>
      </c>
      <c r="CN78" s="238">
        <f t="shared" si="5"/>
        <v>0</v>
      </c>
      <c r="CO78" s="238">
        <f t="shared" si="6"/>
        <v>0</v>
      </c>
    </row>
    <row r="79" spans="1:93" ht="13.95" customHeight="1" x14ac:dyDescent="0.2">
      <c r="A79" s="231">
        <v>7389</v>
      </c>
      <c r="B79" s="232" t="s">
        <v>314</v>
      </c>
      <c r="C79" s="232" t="s">
        <v>566</v>
      </c>
      <c r="D79" s="232" t="s">
        <v>567</v>
      </c>
      <c r="E79" s="232" t="s">
        <v>317</v>
      </c>
      <c r="F79" s="231">
        <v>525894</v>
      </c>
      <c r="G79" s="231">
        <v>174375</v>
      </c>
      <c r="H79" s="232" t="s">
        <v>181</v>
      </c>
      <c r="I79" s="233">
        <v>44620</v>
      </c>
      <c r="J79" s="233">
        <v>44827</v>
      </c>
      <c r="K79" s="231">
        <v>0</v>
      </c>
      <c r="L79" s="231">
        <v>1</v>
      </c>
      <c r="M79" s="231">
        <v>1</v>
      </c>
      <c r="N79" s="231">
        <v>1</v>
      </c>
      <c r="O79" s="231">
        <v>1</v>
      </c>
      <c r="P79" s="234"/>
      <c r="Q79" s="232" t="s">
        <v>568</v>
      </c>
      <c r="R79" s="234" t="s">
        <v>332</v>
      </c>
      <c r="S79" s="235">
        <v>43936</v>
      </c>
      <c r="T79" s="235">
        <v>44035</v>
      </c>
      <c r="U79" s="234"/>
      <c r="V79" s="232" t="s">
        <v>321</v>
      </c>
      <c r="W79" s="231"/>
      <c r="X79" s="232" t="s">
        <v>322</v>
      </c>
      <c r="Y79" s="232" t="s">
        <v>339</v>
      </c>
      <c r="Z79" s="232" t="s">
        <v>324</v>
      </c>
      <c r="AA79" s="232" t="s">
        <v>354</v>
      </c>
      <c r="AB79" s="236">
        <v>3.0000000000000001E-3</v>
      </c>
      <c r="AC79" s="235">
        <v>44620</v>
      </c>
      <c r="AD79" s="234"/>
      <c r="AE79" s="235">
        <v>44827</v>
      </c>
      <c r="AF79" s="232" t="s">
        <v>77</v>
      </c>
      <c r="AG79" s="232" t="s">
        <v>350</v>
      </c>
      <c r="AH79" s="234" t="s">
        <v>317</v>
      </c>
      <c r="AI79" s="250"/>
      <c r="AJ79" s="234">
        <v>0</v>
      </c>
      <c r="AK79" s="224"/>
      <c r="AL79" s="234">
        <v>0</v>
      </c>
      <c r="AM79" s="224"/>
      <c r="AN79" s="234">
        <v>0</v>
      </c>
      <c r="AO79" s="234">
        <v>0</v>
      </c>
      <c r="AP79" s="234">
        <v>1</v>
      </c>
      <c r="AQ79" s="234">
        <v>0</v>
      </c>
      <c r="AR79" s="234">
        <v>0</v>
      </c>
      <c r="AS79" s="234">
        <v>0</v>
      </c>
      <c r="AT79" s="234">
        <v>0</v>
      </c>
      <c r="AU79" s="234">
        <v>0</v>
      </c>
      <c r="AV79" s="234">
        <v>0</v>
      </c>
      <c r="AW79" s="234">
        <v>1</v>
      </c>
      <c r="AX79" s="234">
        <v>0</v>
      </c>
      <c r="AY79" s="234">
        <v>0</v>
      </c>
      <c r="AZ79" s="234">
        <v>0</v>
      </c>
      <c r="BA79" s="234">
        <v>0</v>
      </c>
      <c r="BB79" s="234">
        <v>0</v>
      </c>
      <c r="BC79" s="234">
        <v>0</v>
      </c>
      <c r="BD79" s="234">
        <v>0</v>
      </c>
      <c r="BE79" s="234">
        <v>0</v>
      </c>
      <c r="BF79" s="234">
        <v>0</v>
      </c>
      <c r="BG79" s="234">
        <v>0</v>
      </c>
      <c r="BH79" s="234">
        <v>0</v>
      </c>
      <c r="BI79" s="234">
        <v>0</v>
      </c>
      <c r="BJ79" s="234">
        <v>0</v>
      </c>
      <c r="BK79" s="234">
        <v>0</v>
      </c>
      <c r="BL79" s="234">
        <v>0</v>
      </c>
      <c r="BM79" s="234">
        <v>0</v>
      </c>
      <c r="BN79" s="234">
        <v>0</v>
      </c>
      <c r="BO79" s="234">
        <v>0</v>
      </c>
      <c r="BP79" s="234"/>
      <c r="BQ79" s="234"/>
      <c r="BR79" s="237" t="s">
        <v>327</v>
      </c>
      <c r="BS79" s="238">
        <v>11</v>
      </c>
      <c r="BT79" s="239">
        <f t="shared" si="4"/>
        <v>1</v>
      </c>
      <c r="CN79" s="238">
        <f t="shared" si="5"/>
        <v>0</v>
      </c>
      <c r="CO79" s="238">
        <f t="shared" si="6"/>
        <v>0</v>
      </c>
    </row>
    <row r="80" spans="1:93" ht="13.95" customHeight="1" x14ac:dyDescent="0.2">
      <c r="A80" s="231">
        <v>6860</v>
      </c>
      <c r="B80" s="232" t="s">
        <v>314</v>
      </c>
      <c r="C80" s="232" t="s">
        <v>569</v>
      </c>
      <c r="D80" s="232" t="s">
        <v>460</v>
      </c>
      <c r="E80" s="232" t="s">
        <v>317</v>
      </c>
      <c r="F80" s="231">
        <v>527312</v>
      </c>
      <c r="G80" s="231">
        <v>171270</v>
      </c>
      <c r="H80" s="232" t="s">
        <v>177</v>
      </c>
      <c r="I80" s="233">
        <v>44075</v>
      </c>
      <c r="J80" s="233"/>
      <c r="K80" s="231">
        <v>0</v>
      </c>
      <c r="L80" s="231">
        <v>1</v>
      </c>
      <c r="M80" s="231">
        <v>1</v>
      </c>
      <c r="N80" s="231">
        <v>1</v>
      </c>
      <c r="O80" s="231">
        <v>1</v>
      </c>
      <c r="P80" s="234"/>
      <c r="Q80" s="232" t="s">
        <v>570</v>
      </c>
      <c r="R80" s="234" t="s">
        <v>332</v>
      </c>
      <c r="S80" s="235">
        <v>44146</v>
      </c>
      <c r="T80" s="235">
        <v>44202</v>
      </c>
      <c r="U80" s="234"/>
      <c r="V80" s="232" t="s">
        <v>321</v>
      </c>
      <c r="W80" s="231"/>
      <c r="X80" s="232" t="s">
        <v>322</v>
      </c>
      <c r="Y80" s="232" t="s">
        <v>378</v>
      </c>
      <c r="Z80" s="232" t="s">
        <v>324</v>
      </c>
      <c r="AA80" s="232" t="s">
        <v>31</v>
      </c>
      <c r="AB80" s="236">
        <v>2E-3</v>
      </c>
      <c r="AC80" s="235">
        <v>44075</v>
      </c>
      <c r="AD80" s="234"/>
      <c r="AE80" s="235">
        <v>44654</v>
      </c>
      <c r="AF80" s="232" t="s">
        <v>77</v>
      </c>
      <c r="AG80" s="232" t="s">
        <v>350</v>
      </c>
      <c r="AH80" s="234" t="s">
        <v>317</v>
      </c>
      <c r="AI80" s="250"/>
      <c r="AJ80" s="234">
        <v>0</v>
      </c>
      <c r="AK80" s="224"/>
      <c r="AL80" s="234">
        <v>0</v>
      </c>
      <c r="AM80" s="224"/>
      <c r="AN80" s="234">
        <v>1</v>
      </c>
      <c r="AO80" s="234">
        <v>0</v>
      </c>
      <c r="AP80" s="234">
        <v>0</v>
      </c>
      <c r="AQ80" s="234">
        <v>0</v>
      </c>
      <c r="AR80" s="234">
        <v>0</v>
      </c>
      <c r="AS80" s="234">
        <v>0</v>
      </c>
      <c r="AT80" s="234">
        <v>0</v>
      </c>
      <c r="AU80" s="234">
        <v>1</v>
      </c>
      <c r="AV80" s="234">
        <v>0</v>
      </c>
      <c r="AW80" s="234">
        <v>0</v>
      </c>
      <c r="AX80" s="234">
        <v>0</v>
      </c>
      <c r="AY80" s="234">
        <v>0</v>
      </c>
      <c r="AZ80" s="234">
        <v>0</v>
      </c>
      <c r="BA80" s="234">
        <v>0</v>
      </c>
      <c r="BB80" s="234">
        <v>0</v>
      </c>
      <c r="BC80" s="234">
        <v>0</v>
      </c>
      <c r="BD80" s="234">
        <v>0</v>
      </c>
      <c r="BE80" s="234">
        <v>0</v>
      </c>
      <c r="BF80" s="234">
        <v>0</v>
      </c>
      <c r="BG80" s="234">
        <v>0</v>
      </c>
      <c r="BH80" s="234">
        <v>0</v>
      </c>
      <c r="BI80" s="234">
        <v>0</v>
      </c>
      <c r="BJ80" s="234">
        <v>0</v>
      </c>
      <c r="BK80" s="234">
        <v>0</v>
      </c>
      <c r="BL80" s="234">
        <v>0</v>
      </c>
      <c r="BM80" s="234">
        <v>0</v>
      </c>
      <c r="BN80" s="234">
        <v>0</v>
      </c>
      <c r="BO80" s="234">
        <v>0</v>
      </c>
      <c r="BP80" s="234"/>
      <c r="BQ80" s="234"/>
      <c r="BR80" s="237" t="s">
        <v>144</v>
      </c>
      <c r="BS80" s="238">
        <v>11</v>
      </c>
      <c r="BT80" s="239">
        <f t="shared" si="4"/>
        <v>1</v>
      </c>
      <c r="CN80" s="238">
        <f t="shared" si="5"/>
        <v>0</v>
      </c>
      <c r="CO80" s="238">
        <f t="shared" si="6"/>
        <v>0</v>
      </c>
    </row>
    <row r="81" spans="1:93" ht="13.95" customHeight="1" x14ac:dyDescent="0.2">
      <c r="A81" s="231">
        <v>6684</v>
      </c>
      <c r="B81" s="232" t="s">
        <v>314</v>
      </c>
      <c r="C81" s="232" t="s">
        <v>571</v>
      </c>
      <c r="D81" s="232" t="s">
        <v>572</v>
      </c>
      <c r="E81" s="232" t="s">
        <v>317</v>
      </c>
      <c r="F81" s="231">
        <v>528833</v>
      </c>
      <c r="G81" s="231">
        <v>172628</v>
      </c>
      <c r="H81" s="232" t="s">
        <v>172</v>
      </c>
      <c r="I81" s="233">
        <v>44085</v>
      </c>
      <c r="J81" s="233">
        <v>44652</v>
      </c>
      <c r="K81" s="231">
        <v>0</v>
      </c>
      <c r="L81" s="231">
        <v>1</v>
      </c>
      <c r="M81" s="231">
        <v>1</v>
      </c>
      <c r="N81" s="231">
        <v>1</v>
      </c>
      <c r="O81" s="231">
        <v>1</v>
      </c>
      <c r="P81" s="234"/>
      <c r="Q81" s="232" t="s">
        <v>573</v>
      </c>
      <c r="R81" s="234" t="s">
        <v>332</v>
      </c>
      <c r="S81" s="235">
        <v>44022</v>
      </c>
      <c r="T81" s="235">
        <v>44085</v>
      </c>
      <c r="U81" s="234"/>
      <c r="V81" s="232" t="s">
        <v>321</v>
      </c>
      <c r="W81" s="231"/>
      <c r="X81" s="232" t="s">
        <v>322</v>
      </c>
      <c r="Y81" s="232" t="s">
        <v>323</v>
      </c>
      <c r="Z81" s="232" t="s">
        <v>324</v>
      </c>
      <c r="AA81" s="232" t="s">
        <v>349</v>
      </c>
      <c r="AB81" s="236">
        <v>5.0000000000000001E-3</v>
      </c>
      <c r="AC81" s="235">
        <v>44085</v>
      </c>
      <c r="AD81" s="234"/>
      <c r="AE81" s="235">
        <v>44652</v>
      </c>
      <c r="AF81" s="232" t="s">
        <v>77</v>
      </c>
      <c r="AG81" s="232" t="s">
        <v>350</v>
      </c>
      <c r="AH81" s="234" t="s">
        <v>317</v>
      </c>
      <c r="AI81" s="250"/>
      <c r="AJ81" s="234">
        <v>0</v>
      </c>
      <c r="AK81" s="224"/>
      <c r="AL81" s="234">
        <v>0</v>
      </c>
      <c r="AM81" s="224"/>
      <c r="AN81" s="234">
        <v>0</v>
      </c>
      <c r="AO81" s="234">
        <v>1</v>
      </c>
      <c r="AP81" s="234">
        <v>0</v>
      </c>
      <c r="AQ81" s="234">
        <v>0</v>
      </c>
      <c r="AR81" s="234">
        <v>0</v>
      </c>
      <c r="AS81" s="234">
        <v>0</v>
      </c>
      <c r="AT81" s="234">
        <v>0</v>
      </c>
      <c r="AU81" s="234">
        <v>0</v>
      </c>
      <c r="AV81" s="234">
        <v>0</v>
      </c>
      <c r="AW81" s="234">
        <v>0</v>
      </c>
      <c r="AX81" s="234">
        <v>0</v>
      </c>
      <c r="AY81" s="234">
        <v>0</v>
      </c>
      <c r="AZ81" s="234">
        <v>0</v>
      </c>
      <c r="BA81" s="234">
        <v>0</v>
      </c>
      <c r="BB81" s="234">
        <v>0</v>
      </c>
      <c r="BC81" s="234">
        <v>1</v>
      </c>
      <c r="BD81" s="234">
        <v>0</v>
      </c>
      <c r="BE81" s="234">
        <v>0</v>
      </c>
      <c r="BF81" s="234">
        <v>0</v>
      </c>
      <c r="BG81" s="234">
        <v>0</v>
      </c>
      <c r="BH81" s="234">
        <v>0</v>
      </c>
      <c r="BI81" s="234">
        <v>0</v>
      </c>
      <c r="BJ81" s="234">
        <v>0</v>
      </c>
      <c r="BK81" s="234">
        <v>0</v>
      </c>
      <c r="BL81" s="234">
        <v>0</v>
      </c>
      <c r="BM81" s="234">
        <v>0</v>
      </c>
      <c r="BN81" s="234">
        <v>0</v>
      </c>
      <c r="BO81" s="234">
        <v>0</v>
      </c>
      <c r="BP81" s="234"/>
      <c r="BQ81" s="234"/>
      <c r="BR81" s="237" t="s">
        <v>334</v>
      </c>
      <c r="BS81" s="238">
        <v>1</v>
      </c>
      <c r="BT81" s="239">
        <f t="shared" si="4"/>
        <v>1</v>
      </c>
      <c r="CN81" s="238">
        <f t="shared" si="5"/>
        <v>0</v>
      </c>
      <c r="CO81" s="238">
        <f t="shared" si="6"/>
        <v>0</v>
      </c>
    </row>
    <row r="82" spans="1:93" ht="13.95" customHeight="1" x14ac:dyDescent="0.2">
      <c r="A82" s="231">
        <v>7444</v>
      </c>
      <c r="B82" s="232" t="s">
        <v>314</v>
      </c>
      <c r="C82" s="232" t="s">
        <v>574</v>
      </c>
      <c r="D82" s="232" t="s">
        <v>575</v>
      </c>
      <c r="E82" s="232" t="s">
        <v>317</v>
      </c>
      <c r="F82" s="231">
        <v>526343</v>
      </c>
      <c r="G82" s="231">
        <v>172064</v>
      </c>
      <c r="H82" s="232" t="s">
        <v>180</v>
      </c>
      <c r="I82" s="233">
        <v>44594</v>
      </c>
      <c r="J82" s="233">
        <v>44929</v>
      </c>
      <c r="K82" s="231">
        <v>0</v>
      </c>
      <c r="L82" s="231">
        <v>1</v>
      </c>
      <c r="M82" s="231">
        <v>1</v>
      </c>
      <c r="N82" s="231">
        <v>1</v>
      </c>
      <c r="O82" s="231">
        <v>1</v>
      </c>
      <c r="P82" s="234"/>
      <c r="Q82" s="232" t="s">
        <v>576</v>
      </c>
      <c r="R82" s="234" t="s">
        <v>332</v>
      </c>
      <c r="S82" s="235">
        <v>44036</v>
      </c>
      <c r="T82" s="235">
        <v>44153</v>
      </c>
      <c r="U82" s="234"/>
      <c r="V82" s="232" t="s">
        <v>321</v>
      </c>
      <c r="W82" s="231"/>
      <c r="X82" s="232" t="s">
        <v>322</v>
      </c>
      <c r="Y82" s="232" t="s">
        <v>323</v>
      </c>
      <c r="Z82" s="232" t="s">
        <v>324</v>
      </c>
      <c r="AA82" s="232" t="s">
        <v>349</v>
      </c>
      <c r="AB82" s="236">
        <v>2E-3</v>
      </c>
      <c r="AC82" s="235">
        <v>44594</v>
      </c>
      <c r="AD82" s="234"/>
      <c r="AE82" s="235">
        <v>44929</v>
      </c>
      <c r="AF82" s="232" t="s">
        <v>77</v>
      </c>
      <c r="AG82" s="232" t="s">
        <v>350</v>
      </c>
      <c r="AH82" s="234" t="s">
        <v>317</v>
      </c>
      <c r="AI82" s="250"/>
      <c r="AJ82" s="234">
        <v>0</v>
      </c>
      <c r="AK82" s="224"/>
      <c r="AL82" s="234">
        <v>0</v>
      </c>
      <c r="AM82" s="224"/>
      <c r="AN82" s="234">
        <v>0</v>
      </c>
      <c r="AO82" s="234">
        <v>0</v>
      </c>
      <c r="AP82" s="234">
        <v>1</v>
      </c>
      <c r="AQ82" s="234">
        <v>0</v>
      </c>
      <c r="AR82" s="234">
        <v>0</v>
      </c>
      <c r="AS82" s="234">
        <v>0</v>
      </c>
      <c r="AT82" s="234">
        <v>0</v>
      </c>
      <c r="AU82" s="234">
        <v>0</v>
      </c>
      <c r="AV82" s="234">
        <v>0</v>
      </c>
      <c r="AW82" s="234">
        <v>0</v>
      </c>
      <c r="AX82" s="234">
        <v>0</v>
      </c>
      <c r="AY82" s="234">
        <v>0</v>
      </c>
      <c r="AZ82" s="234">
        <v>0</v>
      </c>
      <c r="BA82" s="234">
        <v>0</v>
      </c>
      <c r="BB82" s="234">
        <v>0</v>
      </c>
      <c r="BC82" s="234">
        <v>0</v>
      </c>
      <c r="BD82" s="234">
        <v>1</v>
      </c>
      <c r="BE82" s="234">
        <v>0</v>
      </c>
      <c r="BF82" s="234">
        <v>0</v>
      </c>
      <c r="BG82" s="234">
        <v>0</v>
      </c>
      <c r="BH82" s="234">
        <v>0</v>
      </c>
      <c r="BI82" s="234">
        <v>0</v>
      </c>
      <c r="BJ82" s="234">
        <v>0</v>
      </c>
      <c r="BK82" s="234">
        <v>0</v>
      </c>
      <c r="BL82" s="234">
        <v>0</v>
      </c>
      <c r="BM82" s="234">
        <v>0</v>
      </c>
      <c r="BN82" s="234">
        <v>0</v>
      </c>
      <c r="BO82" s="234">
        <v>0</v>
      </c>
      <c r="BP82" s="234"/>
      <c r="BQ82" s="234"/>
      <c r="BR82" s="237" t="s">
        <v>334</v>
      </c>
      <c r="BS82" s="238">
        <v>1</v>
      </c>
      <c r="BT82" s="239">
        <f t="shared" si="4"/>
        <v>1</v>
      </c>
      <c r="CN82" s="238">
        <f t="shared" si="5"/>
        <v>0</v>
      </c>
      <c r="CO82" s="238">
        <f t="shared" si="6"/>
        <v>0</v>
      </c>
    </row>
    <row r="83" spans="1:93" ht="13.95" customHeight="1" x14ac:dyDescent="0.2">
      <c r="A83" s="231">
        <v>7446</v>
      </c>
      <c r="B83" s="232" t="s">
        <v>314</v>
      </c>
      <c r="C83" s="232" t="s">
        <v>577</v>
      </c>
      <c r="D83" s="232" t="s">
        <v>578</v>
      </c>
      <c r="E83" s="232" t="s">
        <v>317</v>
      </c>
      <c r="F83" s="231">
        <v>527524</v>
      </c>
      <c r="G83" s="231">
        <v>171254</v>
      </c>
      <c r="H83" s="232" t="s">
        <v>177</v>
      </c>
      <c r="I83" s="233">
        <v>44263</v>
      </c>
      <c r="J83" s="233">
        <v>44810</v>
      </c>
      <c r="K83" s="231">
        <v>0</v>
      </c>
      <c r="L83" s="231">
        <v>1</v>
      </c>
      <c r="M83" s="231">
        <v>1</v>
      </c>
      <c r="N83" s="231">
        <v>1</v>
      </c>
      <c r="O83" s="231">
        <v>1</v>
      </c>
      <c r="P83" s="234"/>
      <c r="Q83" s="232" t="s">
        <v>579</v>
      </c>
      <c r="R83" s="234" t="s">
        <v>332</v>
      </c>
      <c r="S83" s="235">
        <v>44040</v>
      </c>
      <c r="T83" s="235">
        <v>44096</v>
      </c>
      <c r="U83" s="234"/>
      <c r="V83" s="232" t="s">
        <v>321</v>
      </c>
      <c r="W83" s="231"/>
      <c r="X83" s="232" t="s">
        <v>322</v>
      </c>
      <c r="Y83" s="232" t="s">
        <v>339</v>
      </c>
      <c r="Z83" s="232" t="s">
        <v>324</v>
      </c>
      <c r="AA83" s="232" t="s">
        <v>354</v>
      </c>
      <c r="AB83" s="236">
        <v>6.0000000000000001E-3</v>
      </c>
      <c r="AC83" s="235">
        <v>44263</v>
      </c>
      <c r="AD83" s="234"/>
      <c r="AE83" s="235">
        <v>44810</v>
      </c>
      <c r="AF83" s="232" t="s">
        <v>77</v>
      </c>
      <c r="AG83" s="232" t="s">
        <v>350</v>
      </c>
      <c r="AH83" s="234" t="s">
        <v>317</v>
      </c>
      <c r="AI83" s="250"/>
      <c r="AJ83" s="234">
        <v>0</v>
      </c>
      <c r="AK83" s="224"/>
      <c r="AL83" s="234">
        <v>0</v>
      </c>
      <c r="AM83" s="224"/>
      <c r="AN83" s="234">
        <v>0</v>
      </c>
      <c r="AO83" s="234">
        <v>1</v>
      </c>
      <c r="AP83" s="234">
        <v>0</v>
      </c>
      <c r="AQ83" s="234">
        <v>0</v>
      </c>
      <c r="AR83" s="234">
        <v>0</v>
      </c>
      <c r="AS83" s="234">
        <v>0</v>
      </c>
      <c r="AT83" s="234">
        <v>0</v>
      </c>
      <c r="AU83" s="234">
        <v>0</v>
      </c>
      <c r="AV83" s="234">
        <v>1</v>
      </c>
      <c r="AW83" s="234">
        <v>0</v>
      </c>
      <c r="AX83" s="234">
        <v>0</v>
      </c>
      <c r="AY83" s="234">
        <v>0</v>
      </c>
      <c r="AZ83" s="234">
        <v>0</v>
      </c>
      <c r="BA83" s="234">
        <v>0</v>
      </c>
      <c r="BB83" s="234">
        <v>0</v>
      </c>
      <c r="BC83" s="234">
        <v>0</v>
      </c>
      <c r="BD83" s="234">
        <v>0</v>
      </c>
      <c r="BE83" s="234">
        <v>0</v>
      </c>
      <c r="BF83" s="234">
        <v>0</v>
      </c>
      <c r="BG83" s="234">
        <v>0</v>
      </c>
      <c r="BH83" s="234">
        <v>0</v>
      </c>
      <c r="BI83" s="234">
        <v>0</v>
      </c>
      <c r="BJ83" s="234">
        <v>0</v>
      </c>
      <c r="BK83" s="234">
        <v>0</v>
      </c>
      <c r="BL83" s="234">
        <v>0</v>
      </c>
      <c r="BM83" s="234">
        <v>0</v>
      </c>
      <c r="BN83" s="234">
        <v>0</v>
      </c>
      <c r="BO83" s="234">
        <v>0</v>
      </c>
      <c r="BP83" s="234"/>
      <c r="BQ83" s="234"/>
      <c r="BR83" s="237" t="s">
        <v>144</v>
      </c>
      <c r="BS83" s="238">
        <v>11</v>
      </c>
      <c r="BT83" s="239">
        <f t="shared" si="4"/>
        <v>1</v>
      </c>
      <c r="CN83" s="238">
        <f t="shared" si="5"/>
        <v>0</v>
      </c>
      <c r="CO83" s="238">
        <f t="shared" si="6"/>
        <v>0</v>
      </c>
    </row>
    <row r="84" spans="1:93" ht="13.95" customHeight="1" x14ac:dyDescent="0.2">
      <c r="A84" s="231">
        <v>7425</v>
      </c>
      <c r="B84" s="232" t="s">
        <v>314</v>
      </c>
      <c r="C84" s="232" t="s">
        <v>580</v>
      </c>
      <c r="D84" s="232" t="s">
        <v>581</v>
      </c>
      <c r="E84" s="232" t="s">
        <v>317</v>
      </c>
      <c r="F84" s="231">
        <v>525886</v>
      </c>
      <c r="G84" s="231">
        <v>174370</v>
      </c>
      <c r="H84" s="232" t="s">
        <v>181</v>
      </c>
      <c r="I84" s="233">
        <v>44620</v>
      </c>
      <c r="J84" s="233">
        <v>44827</v>
      </c>
      <c r="K84" s="231">
        <v>0</v>
      </c>
      <c r="L84" s="231">
        <v>1</v>
      </c>
      <c r="M84" s="231">
        <v>1</v>
      </c>
      <c r="N84" s="231">
        <v>1</v>
      </c>
      <c r="O84" s="231">
        <v>1</v>
      </c>
      <c r="P84" s="234"/>
      <c r="Q84" s="232" t="s">
        <v>582</v>
      </c>
      <c r="R84" s="234" t="s">
        <v>332</v>
      </c>
      <c r="S84" s="235">
        <v>44041</v>
      </c>
      <c r="T84" s="235">
        <v>44097</v>
      </c>
      <c r="U84" s="234"/>
      <c r="V84" s="232" t="s">
        <v>321</v>
      </c>
      <c r="W84" s="231"/>
      <c r="X84" s="232" t="s">
        <v>322</v>
      </c>
      <c r="Y84" s="232" t="s">
        <v>339</v>
      </c>
      <c r="Z84" s="232" t="s">
        <v>324</v>
      </c>
      <c r="AA84" s="232" t="s">
        <v>354</v>
      </c>
      <c r="AB84" s="236">
        <v>3.0000000000000001E-3</v>
      </c>
      <c r="AC84" s="235">
        <v>44620</v>
      </c>
      <c r="AD84" s="234"/>
      <c r="AE84" s="235">
        <v>44827</v>
      </c>
      <c r="AF84" s="232" t="s">
        <v>77</v>
      </c>
      <c r="AG84" s="232" t="s">
        <v>350</v>
      </c>
      <c r="AH84" s="234" t="s">
        <v>317</v>
      </c>
      <c r="AI84" s="250"/>
      <c r="AJ84" s="234">
        <v>0</v>
      </c>
      <c r="AK84" s="224"/>
      <c r="AL84" s="234">
        <v>0</v>
      </c>
      <c r="AM84" s="224"/>
      <c r="AN84" s="234">
        <v>0</v>
      </c>
      <c r="AO84" s="234">
        <v>0</v>
      </c>
      <c r="AP84" s="234">
        <v>1</v>
      </c>
      <c r="AQ84" s="234">
        <v>0</v>
      </c>
      <c r="AR84" s="234">
        <v>0</v>
      </c>
      <c r="AS84" s="234">
        <v>0</v>
      </c>
      <c r="AT84" s="234">
        <v>0</v>
      </c>
      <c r="AU84" s="234">
        <v>0</v>
      </c>
      <c r="AV84" s="234">
        <v>0</v>
      </c>
      <c r="AW84" s="234">
        <v>1</v>
      </c>
      <c r="AX84" s="234">
        <v>0</v>
      </c>
      <c r="AY84" s="234">
        <v>0</v>
      </c>
      <c r="AZ84" s="234">
        <v>0</v>
      </c>
      <c r="BA84" s="234">
        <v>0</v>
      </c>
      <c r="BB84" s="234">
        <v>0</v>
      </c>
      <c r="BC84" s="234">
        <v>0</v>
      </c>
      <c r="BD84" s="234">
        <v>0</v>
      </c>
      <c r="BE84" s="234">
        <v>0</v>
      </c>
      <c r="BF84" s="234">
        <v>0</v>
      </c>
      <c r="BG84" s="234">
        <v>0</v>
      </c>
      <c r="BH84" s="234">
        <v>0</v>
      </c>
      <c r="BI84" s="234">
        <v>0</v>
      </c>
      <c r="BJ84" s="234">
        <v>0</v>
      </c>
      <c r="BK84" s="234">
        <v>0</v>
      </c>
      <c r="BL84" s="234">
        <v>0</v>
      </c>
      <c r="BM84" s="234">
        <v>0</v>
      </c>
      <c r="BN84" s="234">
        <v>0</v>
      </c>
      <c r="BO84" s="234">
        <v>0</v>
      </c>
      <c r="BP84" s="234"/>
      <c r="BQ84" s="234"/>
      <c r="BR84" s="237" t="s">
        <v>327</v>
      </c>
      <c r="BS84" s="238">
        <v>11</v>
      </c>
      <c r="BT84" s="239">
        <f t="shared" si="4"/>
        <v>1</v>
      </c>
      <c r="CN84" s="238">
        <f t="shared" si="5"/>
        <v>0</v>
      </c>
      <c r="CO84" s="238">
        <f t="shared" si="6"/>
        <v>0</v>
      </c>
    </row>
    <row r="85" spans="1:93" ht="13.95" customHeight="1" x14ac:dyDescent="0.2">
      <c r="A85" s="231">
        <v>7430</v>
      </c>
      <c r="B85" s="232" t="s">
        <v>314</v>
      </c>
      <c r="C85" s="232" t="s">
        <v>583</v>
      </c>
      <c r="D85" s="232" t="s">
        <v>584</v>
      </c>
      <c r="E85" s="232" t="s">
        <v>317</v>
      </c>
      <c r="F85" s="231">
        <v>528521</v>
      </c>
      <c r="G85" s="231">
        <v>173085</v>
      </c>
      <c r="H85" s="232" t="s">
        <v>172</v>
      </c>
      <c r="I85" s="233">
        <v>44594</v>
      </c>
      <c r="J85" s="233">
        <v>45007</v>
      </c>
      <c r="K85" s="231">
        <v>0</v>
      </c>
      <c r="L85" s="231">
        <v>1</v>
      </c>
      <c r="M85" s="231">
        <v>1</v>
      </c>
      <c r="N85" s="231">
        <v>1</v>
      </c>
      <c r="O85" s="231">
        <v>1</v>
      </c>
      <c r="P85" s="234"/>
      <c r="Q85" s="232" t="s">
        <v>585</v>
      </c>
      <c r="R85" s="234" t="s">
        <v>332</v>
      </c>
      <c r="S85" s="235">
        <v>44043</v>
      </c>
      <c r="T85" s="235">
        <v>44131</v>
      </c>
      <c r="U85" s="234"/>
      <c r="V85" s="232" t="s">
        <v>321</v>
      </c>
      <c r="W85" s="231"/>
      <c r="X85" s="232" t="s">
        <v>322</v>
      </c>
      <c r="Y85" s="232" t="s">
        <v>339</v>
      </c>
      <c r="Z85" s="232" t="s">
        <v>324</v>
      </c>
      <c r="AA85" s="232" t="s">
        <v>354</v>
      </c>
      <c r="AB85" s="236">
        <v>4.0000000000000001E-3</v>
      </c>
      <c r="AC85" s="235">
        <v>44594</v>
      </c>
      <c r="AD85" s="234"/>
      <c r="AE85" s="235">
        <v>45007</v>
      </c>
      <c r="AF85" s="232" t="s">
        <v>77</v>
      </c>
      <c r="AG85" s="232" t="s">
        <v>350</v>
      </c>
      <c r="AH85" s="234" t="s">
        <v>317</v>
      </c>
      <c r="AI85" s="250"/>
      <c r="AJ85" s="234">
        <v>0</v>
      </c>
      <c r="AK85" s="224"/>
      <c r="AL85" s="234">
        <v>0</v>
      </c>
      <c r="AM85" s="224"/>
      <c r="AN85" s="234">
        <v>0</v>
      </c>
      <c r="AO85" s="234">
        <v>1</v>
      </c>
      <c r="AP85" s="234">
        <v>0</v>
      </c>
      <c r="AQ85" s="234">
        <v>0</v>
      </c>
      <c r="AR85" s="234">
        <v>0</v>
      </c>
      <c r="AS85" s="234">
        <v>0</v>
      </c>
      <c r="AT85" s="234">
        <v>0</v>
      </c>
      <c r="AU85" s="234">
        <v>0</v>
      </c>
      <c r="AV85" s="234">
        <v>1</v>
      </c>
      <c r="AW85" s="234">
        <v>0</v>
      </c>
      <c r="AX85" s="234">
        <v>0</v>
      </c>
      <c r="AY85" s="234">
        <v>0</v>
      </c>
      <c r="AZ85" s="234">
        <v>0</v>
      </c>
      <c r="BA85" s="234">
        <v>0</v>
      </c>
      <c r="BB85" s="234">
        <v>0</v>
      </c>
      <c r="BC85" s="234">
        <v>0</v>
      </c>
      <c r="BD85" s="234">
        <v>0</v>
      </c>
      <c r="BE85" s="234">
        <v>0</v>
      </c>
      <c r="BF85" s="234">
        <v>0</v>
      </c>
      <c r="BG85" s="234">
        <v>0</v>
      </c>
      <c r="BH85" s="234">
        <v>0</v>
      </c>
      <c r="BI85" s="234">
        <v>0</v>
      </c>
      <c r="BJ85" s="234">
        <v>0</v>
      </c>
      <c r="BK85" s="234">
        <v>0</v>
      </c>
      <c r="BL85" s="234">
        <v>0</v>
      </c>
      <c r="BM85" s="234">
        <v>0</v>
      </c>
      <c r="BN85" s="234">
        <v>0</v>
      </c>
      <c r="BO85" s="234">
        <v>0</v>
      </c>
      <c r="BP85" s="234"/>
      <c r="BQ85" s="234"/>
      <c r="BR85" s="237" t="s">
        <v>334</v>
      </c>
      <c r="BS85" s="238">
        <v>11</v>
      </c>
      <c r="BT85" s="239">
        <f t="shared" si="4"/>
        <v>1</v>
      </c>
      <c r="CN85" s="238">
        <f t="shared" si="5"/>
        <v>0</v>
      </c>
      <c r="CO85" s="238">
        <f t="shared" si="6"/>
        <v>0</v>
      </c>
    </row>
    <row r="86" spans="1:93" ht="13.95" customHeight="1" x14ac:dyDescent="0.2">
      <c r="A86" s="231">
        <v>7473</v>
      </c>
      <c r="B86" s="232" t="s">
        <v>314</v>
      </c>
      <c r="C86" s="232" t="s">
        <v>586</v>
      </c>
      <c r="D86" s="232" t="s">
        <v>587</v>
      </c>
      <c r="E86" s="232" t="s">
        <v>317</v>
      </c>
      <c r="F86" s="231">
        <v>526733</v>
      </c>
      <c r="G86" s="231">
        <v>173319</v>
      </c>
      <c r="H86" s="232" t="s">
        <v>180</v>
      </c>
      <c r="I86" s="233">
        <v>44158</v>
      </c>
      <c r="J86" s="233">
        <v>44652</v>
      </c>
      <c r="K86" s="231">
        <v>1</v>
      </c>
      <c r="L86" s="231">
        <v>1</v>
      </c>
      <c r="M86" s="231">
        <v>0</v>
      </c>
      <c r="N86" s="231">
        <v>1</v>
      </c>
      <c r="O86" s="231">
        <v>0</v>
      </c>
      <c r="P86" s="234"/>
      <c r="Q86" s="232" t="s">
        <v>588</v>
      </c>
      <c r="R86" s="234" t="s">
        <v>332</v>
      </c>
      <c r="S86" s="235">
        <v>44096</v>
      </c>
      <c r="T86" s="235">
        <v>44153</v>
      </c>
      <c r="U86" s="234"/>
      <c r="V86" s="232" t="s">
        <v>321</v>
      </c>
      <c r="W86" s="231"/>
      <c r="X86" s="232" t="s">
        <v>322</v>
      </c>
      <c r="Y86" s="232" t="s">
        <v>323</v>
      </c>
      <c r="Z86" s="232" t="s">
        <v>324</v>
      </c>
      <c r="AA86" s="232" t="s">
        <v>349</v>
      </c>
      <c r="AB86" s="236">
        <v>4.2999999999999997E-2</v>
      </c>
      <c r="AC86" s="235">
        <v>44158</v>
      </c>
      <c r="AD86" s="234"/>
      <c r="AE86" s="235">
        <v>44652</v>
      </c>
      <c r="AF86" s="232" t="s">
        <v>77</v>
      </c>
      <c r="AG86" s="232" t="s">
        <v>350</v>
      </c>
      <c r="AH86" s="234" t="s">
        <v>317</v>
      </c>
      <c r="AI86" s="250"/>
      <c r="AJ86" s="234">
        <v>0</v>
      </c>
      <c r="AK86" s="224"/>
      <c r="AL86" s="234">
        <v>0</v>
      </c>
      <c r="AM86" s="224"/>
      <c r="AN86" s="234">
        <v>0</v>
      </c>
      <c r="AO86" s="234">
        <v>0</v>
      </c>
      <c r="AP86" s="234">
        <v>0</v>
      </c>
      <c r="AQ86" s="234">
        <v>-1</v>
      </c>
      <c r="AR86" s="234">
        <v>1</v>
      </c>
      <c r="AS86" s="234">
        <v>0</v>
      </c>
      <c r="AT86" s="234">
        <v>0</v>
      </c>
      <c r="AU86" s="234">
        <v>0</v>
      </c>
      <c r="AV86" s="234">
        <v>0</v>
      </c>
      <c r="AW86" s="234">
        <v>0</v>
      </c>
      <c r="AX86" s="234">
        <v>0</v>
      </c>
      <c r="AY86" s="234">
        <v>0</v>
      </c>
      <c r="AZ86" s="234">
        <v>0</v>
      </c>
      <c r="BA86" s="234">
        <v>0</v>
      </c>
      <c r="BB86" s="234">
        <v>0</v>
      </c>
      <c r="BC86" s="234">
        <v>0</v>
      </c>
      <c r="BD86" s="234">
        <v>0</v>
      </c>
      <c r="BE86" s="234">
        <v>-1</v>
      </c>
      <c r="BF86" s="234">
        <v>1</v>
      </c>
      <c r="BG86" s="234">
        <v>0</v>
      </c>
      <c r="BH86" s="234">
        <v>0</v>
      </c>
      <c r="BI86" s="234">
        <v>0</v>
      </c>
      <c r="BJ86" s="234">
        <v>0</v>
      </c>
      <c r="BK86" s="234">
        <v>0</v>
      </c>
      <c r="BL86" s="234">
        <v>0</v>
      </c>
      <c r="BM86" s="234">
        <v>0</v>
      </c>
      <c r="BN86" s="234">
        <v>0</v>
      </c>
      <c r="BO86" s="234">
        <v>0</v>
      </c>
      <c r="BP86" s="234"/>
      <c r="BQ86" s="234"/>
      <c r="BR86" s="237" t="s">
        <v>334</v>
      </c>
      <c r="BS86" s="238">
        <v>1</v>
      </c>
      <c r="BT86" s="239">
        <f t="shared" si="4"/>
        <v>0</v>
      </c>
      <c r="CN86" s="238">
        <f t="shared" si="5"/>
        <v>0</v>
      </c>
      <c r="CO86" s="238">
        <f t="shared" si="6"/>
        <v>0</v>
      </c>
    </row>
    <row r="87" spans="1:93" ht="13.95" customHeight="1" x14ac:dyDescent="0.2">
      <c r="A87" s="231">
        <v>7475</v>
      </c>
      <c r="B87" s="232" t="s">
        <v>314</v>
      </c>
      <c r="C87" s="232" t="s">
        <v>589</v>
      </c>
      <c r="D87" s="232" t="s">
        <v>590</v>
      </c>
      <c r="E87" s="232" t="s">
        <v>317</v>
      </c>
      <c r="F87" s="231">
        <v>528243</v>
      </c>
      <c r="G87" s="231">
        <v>173440</v>
      </c>
      <c r="H87" s="232" t="s">
        <v>141</v>
      </c>
      <c r="I87" s="233">
        <v>44651</v>
      </c>
      <c r="J87" s="233">
        <v>44823</v>
      </c>
      <c r="K87" s="231">
        <v>2</v>
      </c>
      <c r="L87" s="231">
        <v>1</v>
      </c>
      <c r="M87" s="231">
        <v>-1</v>
      </c>
      <c r="N87" s="231">
        <v>1</v>
      </c>
      <c r="O87" s="231">
        <v>-1</v>
      </c>
      <c r="P87" s="234"/>
      <c r="Q87" s="232" t="s">
        <v>591</v>
      </c>
      <c r="R87" s="234" t="s">
        <v>332</v>
      </c>
      <c r="S87" s="235">
        <v>44092</v>
      </c>
      <c r="T87" s="235">
        <v>44148</v>
      </c>
      <c r="U87" s="234"/>
      <c r="V87" s="232" t="s">
        <v>321</v>
      </c>
      <c r="W87" s="231"/>
      <c r="X87" s="232" t="s">
        <v>322</v>
      </c>
      <c r="Y87" s="232" t="s">
        <v>365</v>
      </c>
      <c r="Z87" s="232" t="s">
        <v>324</v>
      </c>
      <c r="AA87" s="232" t="s">
        <v>17</v>
      </c>
      <c r="AB87" s="236">
        <v>1.4E-2</v>
      </c>
      <c r="AC87" s="235">
        <v>44651</v>
      </c>
      <c r="AD87" s="234"/>
      <c r="AE87" s="235">
        <v>44823</v>
      </c>
      <c r="AF87" s="232" t="s">
        <v>77</v>
      </c>
      <c r="AG87" s="232" t="s">
        <v>350</v>
      </c>
      <c r="AH87" s="234" t="s">
        <v>317</v>
      </c>
      <c r="AI87" s="250"/>
      <c r="AJ87" s="234">
        <v>0</v>
      </c>
      <c r="AK87" s="224"/>
      <c r="AL87" s="234">
        <v>0</v>
      </c>
      <c r="AM87" s="224"/>
      <c r="AN87" s="234">
        <v>0</v>
      </c>
      <c r="AO87" s="234">
        <v>-1</v>
      </c>
      <c r="AP87" s="234">
        <v>-1</v>
      </c>
      <c r="AQ87" s="234">
        <v>0</v>
      </c>
      <c r="AR87" s="234">
        <v>1</v>
      </c>
      <c r="AS87" s="234">
        <v>0</v>
      </c>
      <c r="AT87" s="234">
        <v>0</v>
      </c>
      <c r="AU87" s="234">
        <v>0</v>
      </c>
      <c r="AV87" s="234">
        <v>-1</v>
      </c>
      <c r="AW87" s="234">
        <v>-1</v>
      </c>
      <c r="AX87" s="234">
        <v>0</v>
      </c>
      <c r="AY87" s="234">
        <v>0</v>
      </c>
      <c r="AZ87" s="234">
        <v>0</v>
      </c>
      <c r="BA87" s="234">
        <v>0</v>
      </c>
      <c r="BB87" s="234">
        <v>0</v>
      </c>
      <c r="BC87" s="234">
        <v>0</v>
      </c>
      <c r="BD87" s="234">
        <v>0</v>
      </c>
      <c r="BE87" s="234">
        <v>0</v>
      </c>
      <c r="BF87" s="234">
        <v>1</v>
      </c>
      <c r="BG87" s="234">
        <v>0</v>
      </c>
      <c r="BH87" s="234">
        <v>0</v>
      </c>
      <c r="BI87" s="234">
        <v>0</v>
      </c>
      <c r="BJ87" s="234">
        <v>0</v>
      </c>
      <c r="BK87" s="234">
        <v>0</v>
      </c>
      <c r="BL87" s="234">
        <v>0</v>
      </c>
      <c r="BM87" s="234">
        <v>0</v>
      </c>
      <c r="BN87" s="234">
        <v>0</v>
      </c>
      <c r="BO87" s="234">
        <v>0</v>
      </c>
      <c r="BP87" s="234"/>
      <c r="BQ87" s="234"/>
      <c r="BR87" s="237" t="s">
        <v>334</v>
      </c>
      <c r="BS87" s="238">
        <v>11</v>
      </c>
      <c r="BT87" s="239">
        <f t="shared" si="4"/>
        <v>-1</v>
      </c>
      <c r="CN87" s="238">
        <f t="shared" si="5"/>
        <v>0</v>
      </c>
      <c r="CO87" s="238">
        <f t="shared" si="6"/>
        <v>0</v>
      </c>
    </row>
    <row r="88" spans="1:93" ht="13.95" customHeight="1" x14ac:dyDescent="0.2">
      <c r="A88" s="231">
        <v>5857</v>
      </c>
      <c r="B88" s="232" t="s">
        <v>314</v>
      </c>
      <c r="C88" s="232" t="s">
        <v>592</v>
      </c>
      <c r="D88" s="232" t="s">
        <v>593</v>
      </c>
      <c r="E88" s="232" t="s">
        <v>317</v>
      </c>
      <c r="F88" s="231">
        <v>521107</v>
      </c>
      <c r="G88" s="231">
        <v>174480</v>
      </c>
      <c r="H88" s="232" t="s">
        <v>170</v>
      </c>
      <c r="I88" s="233">
        <v>44313</v>
      </c>
      <c r="J88" s="233">
        <v>44842</v>
      </c>
      <c r="K88" s="231">
        <v>1</v>
      </c>
      <c r="L88" s="231">
        <v>1</v>
      </c>
      <c r="M88" s="231">
        <v>0</v>
      </c>
      <c r="N88" s="231">
        <v>1</v>
      </c>
      <c r="O88" s="231">
        <v>0</v>
      </c>
      <c r="P88" s="234"/>
      <c r="Q88" s="232" t="s">
        <v>594</v>
      </c>
      <c r="R88" s="234" t="s">
        <v>332</v>
      </c>
      <c r="S88" s="235">
        <v>44104</v>
      </c>
      <c r="T88" s="235">
        <v>44159</v>
      </c>
      <c r="U88" s="234"/>
      <c r="V88" s="232" t="s">
        <v>321</v>
      </c>
      <c r="W88" s="231"/>
      <c r="X88" s="232" t="s">
        <v>322</v>
      </c>
      <c r="Y88" s="232" t="s">
        <v>323</v>
      </c>
      <c r="Z88" s="232" t="s">
        <v>324</v>
      </c>
      <c r="AA88" s="232" t="s">
        <v>349</v>
      </c>
      <c r="AB88" s="236">
        <v>0.125</v>
      </c>
      <c r="AC88" s="235">
        <v>44313</v>
      </c>
      <c r="AD88" s="234"/>
      <c r="AE88" s="235">
        <v>44842</v>
      </c>
      <c r="AF88" s="232" t="s">
        <v>77</v>
      </c>
      <c r="AG88" s="232" t="s">
        <v>350</v>
      </c>
      <c r="AH88" s="234" t="s">
        <v>317</v>
      </c>
      <c r="AI88" s="250"/>
      <c r="AJ88" s="234">
        <v>0</v>
      </c>
      <c r="AK88" s="224"/>
      <c r="AL88" s="234">
        <v>0</v>
      </c>
      <c r="AM88" s="224"/>
      <c r="AN88" s="234">
        <v>0</v>
      </c>
      <c r="AO88" s="234">
        <v>0</v>
      </c>
      <c r="AP88" s="234">
        <v>0</v>
      </c>
      <c r="AQ88" s="234">
        <v>0</v>
      </c>
      <c r="AR88" s="234">
        <v>-1</v>
      </c>
      <c r="AS88" s="234">
        <v>1</v>
      </c>
      <c r="AT88" s="234">
        <v>0</v>
      </c>
      <c r="AU88" s="234">
        <v>0</v>
      </c>
      <c r="AV88" s="234">
        <v>0</v>
      </c>
      <c r="AW88" s="234">
        <v>0</v>
      </c>
      <c r="AX88" s="234">
        <v>0</v>
      </c>
      <c r="AY88" s="234">
        <v>0</v>
      </c>
      <c r="AZ88" s="234">
        <v>0</v>
      </c>
      <c r="BA88" s="234">
        <v>0</v>
      </c>
      <c r="BB88" s="234">
        <v>0</v>
      </c>
      <c r="BC88" s="234">
        <v>0</v>
      </c>
      <c r="BD88" s="234">
        <v>0</v>
      </c>
      <c r="BE88" s="234">
        <v>0</v>
      </c>
      <c r="BF88" s="234">
        <v>-1</v>
      </c>
      <c r="BG88" s="234">
        <v>1</v>
      </c>
      <c r="BH88" s="234">
        <v>0</v>
      </c>
      <c r="BI88" s="234">
        <v>0</v>
      </c>
      <c r="BJ88" s="234">
        <v>0</v>
      </c>
      <c r="BK88" s="234">
        <v>0</v>
      </c>
      <c r="BL88" s="234">
        <v>0</v>
      </c>
      <c r="BM88" s="234">
        <v>0</v>
      </c>
      <c r="BN88" s="234">
        <v>0</v>
      </c>
      <c r="BO88" s="234">
        <v>0</v>
      </c>
      <c r="BP88" s="234"/>
      <c r="BQ88" s="234"/>
      <c r="BR88" s="237" t="s">
        <v>334</v>
      </c>
      <c r="BS88" s="238">
        <v>1</v>
      </c>
      <c r="BT88" s="239">
        <f t="shared" si="4"/>
        <v>0</v>
      </c>
      <c r="CN88" s="238">
        <f t="shared" si="5"/>
        <v>0</v>
      </c>
      <c r="CO88" s="238">
        <f t="shared" si="6"/>
        <v>0</v>
      </c>
    </row>
    <row r="89" spans="1:93" ht="13.95" customHeight="1" x14ac:dyDescent="0.2">
      <c r="A89" s="231">
        <v>7214</v>
      </c>
      <c r="B89" s="232" t="s">
        <v>314</v>
      </c>
      <c r="C89" s="232" t="s">
        <v>595</v>
      </c>
      <c r="D89" s="232" t="s">
        <v>596</v>
      </c>
      <c r="E89" s="232" t="s">
        <v>317</v>
      </c>
      <c r="F89" s="231">
        <v>528816</v>
      </c>
      <c r="G89" s="231">
        <v>174167</v>
      </c>
      <c r="H89" s="232" t="s">
        <v>141</v>
      </c>
      <c r="I89" s="233">
        <v>44389</v>
      </c>
      <c r="J89" s="233">
        <v>45016</v>
      </c>
      <c r="K89" s="231">
        <v>0</v>
      </c>
      <c r="L89" s="231">
        <v>1</v>
      </c>
      <c r="M89" s="231">
        <v>1</v>
      </c>
      <c r="N89" s="231">
        <v>1</v>
      </c>
      <c r="O89" s="231">
        <v>1</v>
      </c>
      <c r="P89" s="234"/>
      <c r="Q89" s="232" t="s">
        <v>597</v>
      </c>
      <c r="R89" s="234" t="s">
        <v>332</v>
      </c>
      <c r="S89" s="235">
        <v>44274</v>
      </c>
      <c r="T89" s="235">
        <v>44328</v>
      </c>
      <c r="U89" s="234"/>
      <c r="V89" s="232" t="s">
        <v>321</v>
      </c>
      <c r="W89" s="231"/>
      <c r="X89" s="232" t="s">
        <v>322</v>
      </c>
      <c r="Y89" s="232" t="s">
        <v>339</v>
      </c>
      <c r="Z89" s="232" t="s">
        <v>324</v>
      </c>
      <c r="AA89" s="232" t="s">
        <v>354</v>
      </c>
      <c r="AB89" s="236">
        <v>2E-3</v>
      </c>
      <c r="AC89" s="235">
        <v>44389</v>
      </c>
      <c r="AD89" s="234"/>
      <c r="AE89" s="235">
        <v>45016</v>
      </c>
      <c r="AF89" s="232" t="s">
        <v>77</v>
      </c>
      <c r="AG89" s="232" t="s">
        <v>350</v>
      </c>
      <c r="AH89" s="234" t="s">
        <v>317</v>
      </c>
      <c r="AI89" s="250"/>
      <c r="AJ89" s="234">
        <v>0</v>
      </c>
      <c r="AK89" s="224"/>
      <c r="AL89" s="234">
        <v>0</v>
      </c>
      <c r="AM89" s="224"/>
      <c r="AN89" s="234">
        <v>1</v>
      </c>
      <c r="AO89" s="234">
        <v>0</v>
      </c>
      <c r="AP89" s="234">
        <v>0</v>
      </c>
      <c r="AQ89" s="234">
        <v>0</v>
      </c>
      <c r="AR89" s="234">
        <v>0</v>
      </c>
      <c r="AS89" s="234">
        <v>0</v>
      </c>
      <c r="AT89" s="234">
        <v>0</v>
      </c>
      <c r="AU89" s="234">
        <v>1</v>
      </c>
      <c r="AV89" s="234">
        <v>0</v>
      </c>
      <c r="AW89" s="234">
        <v>0</v>
      </c>
      <c r="AX89" s="234">
        <v>0</v>
      </c>
      <c r="AY89" s="234">
        <v>0</v>
      </c>
      <c r="AZ89" s="234">
        <v>0</v>
      </c>
      <c r="BA89" s="234">
        <v>0</v>
      </c>
      <c r="BB89" s="234">
        <v>0</v>
      </c>
      <c r="BC89" s="234">
        <v>0</v>
      </c>
      <c r="BD89" s="234">
        <v>0</v>
      </c>
      <c r="BE89" s="234">
        <v>0</v>
      </c>
      <c r="BF89" s="234">
        <v>0</v>
      </c>
      <c r="BG89" s="234">
        <v>0</v>
      </c>
      <c r="BH89" s="234">
        <v>0</v>
      </c>
      <c r="BI89" s="234">
        <v>0</v>
      </c>
      <c r="BJ89" s="234">
        <v>0</v>
      </c>
      <c r="BK89" s="234">
        <v>0</v>
      </c>
      <c r="BL89" s="234">
        <v>0</v>
      </c>
      <c r="BM89" s="234">
        <v>0</v>
      </c>
      <c r="BN89" s="234">
        <v>0</v>
      </c>
      <c r="BO89" s="234">
        <v>0</v>
      </c>
      <c r="BP89" s="234"/>
      <c r="BQ89" s="234"/>
      <c r="BR89" s="237" t="s">
        <v>334</v>
      </c>
      <c r="BS89" s="238">
        <v>11</v>
      </c>
      <c r="BT89" s="239">
        <f t="shared" si="4"/>
        <v>1</v>
      </c>
      <c r="CN89" s="238">
        <f t="shared" si="5"/>
        <v>0</v>
      </c>
      <c r="CO89" s="238">
        <f t="shared" si="6"/>
        <v>0</v>
      </c>
    </row>
    <row r="90" spans="1:93" ht="13.95" customHeight="1" x14ac:dyDescent="0.2">
      <c r="A90" s="231">
        <v>7481</v>
      </c>
      <c r="B90" s="232" t="s">
        <v>314</v>
      </c>
      <c r="C90" s="232" t="s">
        <v>598</v>
      </c>
      <c r="D90" s="232" t="s">
        <v>599</v>
      </c>
      <c r="E90" s="232" t="s">
        <v>317</v>
      </c>
      <c r="F90" s="231">
        <v>528564</v>
      </c>
      <c r="G90" s="231">
        <v>173815</v>
      </c>
      <c r="H90" s="232" t="s">
        <v>141</v>
      </c>
      <c r="I90" s="233">
        <v>44287</v>
      </c>
      <c r="J90" s="233">
        <v>44837</v>
      </c>
      <c r="K90" s="231">
        <v>1</v>
      </c>
      <c r="L90" s="231">
        <v>1</v>
      </c>
      <c r="M90" s="231">
        <v>0</v>
      </c>
      <c r="N90" s="231">
        <v>1</v>
      </c>
      <c r="O90" s="231">
        <v>0</v>
      </c>
      <c r="P90" s="234"/>
      <c r="Q90" s="232" t="s">
        <v>600</v>
      </c>
      <c r="R90" s="234" t="s">
        <v>332</v>
      </c>
      <c r="S90" s="235">
        <v>44127</v>
      </c>
      <c r="T90" s="235">
        <v>44256</v>
      </c>
      <c r="U90" s="234"/>
      <c r="V90" s="232" t="s">
        <v>321</v>
      </c>
      <c r="W90" s="231"/>
      <c r="X90" s="232" t="s">
        <v>322</v>
      </c>
      <c r="Y90" s="232" t="s">
        <v>323</v>
      </c>
      <c r="Z90" s="232" t="s">
        <v>324</v>
      </c>
      <c r="AA90" s="232" t="s">
        <v>349</v>
      </c>
      <c r="AB90" s="236">
        <v>1.9E-2</v>
      </c>
      <c r="AC90" s="235">
        <v>44287</v>
      </c>
      <c r="AD90" s="234"/>
      <c r="AE90" s="235">
        <v>44837</v>
      </c>
      <c r="AF90" s="232" t="s">
        <v>77</v>
      </c>
      <c r="AG90" s="232" t="s">
        <v>350</v>
      </c>
      <c r="AH90" s="234" t="s">
        <v>317</v>
      </c>
      <c r="AI90" s="250"/>
      <c r="AJ90" s="234">
        <v>0</v>
      </c>
      <c r="AK90" s="224"/>
      <c r="AL90" s="234">
        <v>0</v>
      </c>
      <c r="AM90" s="224"/>
      <c r="AN90" s="234">
        <v>0</v>
      </c>
      <c r="AO90" s="234">
        <v>0</v>
      </c>
      <c r="AP90" s="234">
        <v>0</v>
      </c>
      <c r="AQ90" s="234">
        <v>-1</v>
      </c>
      <c r="AR90" s="234">
        <v>1</v>
      </c>
      <c r="AS90" s="234">
        <v>0</v>
      </c>
      <c r="AT90" s="234">
        <v>0</v>
      </c>
      <c r="AU90" s="234">
        <v>0</v>
      </c>
      <c r="AV90" s="234">
        <v>0</v>
      </c>
      <c r="AW90" s="234">
        <v>0</v>
      </c>
      <c r="AX90" s="234">
        <v>0</v>
      </c>
      <c r="AY90" s="234">
        <v>0</v>
      </c>
      <c r="AZ90" s="234">
        <v>0</v>
      </c>
      <c r="BA90" s="234">
        <v>0</v>
      </c>
      <c r="BB90" s="234">
        <v>0</v>
      </c>
      <c r="BC90" s="234">
        <v>0</v>
      </c>
      <c r="BD90" s="234">
        <v>0</v>
      </c>
      <c r="BE90" s="234">
        <v>-1</v>
      </c>
      <c r="BF90" s="234">
        <v>1</v>
      </c>
      <c r="BG90" s="234">
        <v>0</v>
      </c>
      <c r="BH90" s="234">
        <v>0</v>
      </c>
      <c r="BI90" s="234">
        <v>0</v>
      </c>
      <c r="BJ90" s="234">
        <v>0</v>
      </c>
      <c r="BK90" s="234">
        <v>0</v>
      </c>
      <c r="BL90" s="234">
        <v>0</v>
      </c>
      <c r="BM90" s="234">
        <v>0</v>
      </c>
      <c r="BN90" s="234">
        <v>0</v>
      </c>
      <c r="BO90" s="234">
        <v>0</v>
      </c>
      <c r="BP90" s="234"/>
      <c r="BQ90" s="234"/>
      <c r="BR90" s="237" t="s">
        <v>334</v>
      </c>
      <c r="BS90" s="238">
        <v>1</v>
      </c>
      <c r="BT90" s="239">
        <f t="shared" si="4"/>
        <v>0</v>
      </c>
      <c r="CN90" s="238">
        <f t="shared" si="5"/>
        <v>0</v>
      </c>
      <c r="CO90" s="238">
        <f t="shared" si="6"/>
        <v>0</v>
      </c>
    </row>
    <row r="91" spans="1:93" ht="13.95" customHeight="1" x14ac:dyDescent="0.2">
      <c r="A91" s="231">
        <v>7500</v>
      </c>
      <c r="B91" s="232" t="s">
        <v>314</v>
      </c>
      <c r="C91" s="232" t="s">
        <v>601</v>
      </c>
      <c r="D91" s="232" t="s">
        <v>602</v>
      </c>
      <c r="E91" s="232" t="s">
        <v>317</v>
      </c>
      <c r="F91" s="231">
        <v>527951</v>
      </c>
      <c r="G91" s="231">
        <v>172380</v>
      </c>
      <c r="H91" s="232" t="s">
        <v>176</v>
      </c>
      <c r="I91" s="233">
        <v>44285</v>
      </c>
      <c r="J91" s="233">
        <v>45015</v>
      </c>
      <c r="K91" s="231">
        <v>0</v>
      </c>
      <c r="L91" s="231">
        <v>1</v>
      </c>
      <c r="M91" s="231">
        <v>1</v>
      </c>
      <c r="N91" s="231">
        <v>1</v>
      </c>
      <c r="O91" s="231">
        <v>1</v>
      </c>
      <c r="P91" s="234"/>
      <c r="Q91" s="232" t="s">
        <v>603</v>
      </c>
      <c r="R91" s="234" t="s">
        <v>332</v>
      </c>
      <c r="S91" s="235">
        <v>44146</v>
      </c>
      <c r="T91" s="235">
        <v>44204</v>
      </c>
      <c r="U91" s="234"/>
      <c r="V91" s="232" t="s">
        <v>321</v>
      </c>
      <c r="W91" s="231"/>
      <c r="X91" s="232" t="s">
        <v>322</v>
      </c>
      <c r="Y91" s="232" t="s">
        <v>339</v>
      </c>
      <c r="Z91" s="232" t="s">
        <v>324</v>
      </c>
      <c r="AA91" s="232" t="s">
        <v>354</v>
      </c>
      <c r="AB91" s="236">
        <v>4.0000000000000001E-3</v>
      </c>
      <c r="AC91" s="235">
        <v>44285</v>
      </c>
      <c r="AD91" s="234"/>
      <c r="AE91" s="235">
        <v>45015</v>
      </c>
      <c r="AF91" s="232" t="s">
        <v>77</v>
      </c>
      <c r="AG91" s="232" t="s">
        <v>350</v>
      </c>
      <c r="AH91" s="234" t="s">
        <v>317</v>
      </c>
      <c r="AI91" s="250"/>
      <c r="AJ91" s="234">
        <v>0</v>
      </c>
      <c r="AK91" s="224"/>
      <c r="AL91" s="234">
        <v>0</v>
      </c>
      <c r="AM91" s="224"/>
      <c r="AN91" s="234">
        <v>0</v>
      </c>
      <c r="AO91" s="234">
        <v>1</v>
      </c>
      <c r="AP91" s="234">
        <v>0</v>
      </c>
      <c r="AQ91" s="234">
        <v>0</v>
      </c>
      <c r="AR91" s="234">
        <v>0</v>
      </c>
      <c r="AS91" s="234">
        <v>0</v>
      </c>
      <c r="AT91" s="234">
        <v>0</v>
      </c>
      <c r="AU91" s="234">
        <v>0</v>
      </c>
      <c r="AV91" s="234">
        <v>1</v>
      </c>
      <c r="AW91" s="234">
        <v>0</v>
      </c>
      <c r="AX91" s="234">
        <v>0</v>
      </c>
      <c r="AY91" s="234">
        <v>0</v>
      </c>
      <c r="AZ91" s="234">
        <v>0</v>
      </c>
      <c r="BA91" s="234">
        <v>0</v>
      </c>
      <c r="BB91" s="234">
        <v>0</v>
      </c>
      <c r="BC91" s="234">
        <v>0</v>
      </c>
      <c r="BD91" s="234">
        <v>0</v>
      </c>
      <c r="BE91" s="234">
        <v>0</v>
      </c>
      <c r="BF91" s="234">
        <v>0</v>
      </c>
      <c r="BG91" s="234">
        <v>0</v>
      </c>
      <c r="BH91" s="234">
        <v>0</v>
      </c>
      <c r="BI91" s="234">
        <v>0</v>
      </c>
      <c r="BJ91" s="234">
        <v>0</v>
      </c>
      <c r="BK91" s="234">
        <v>0</v>
      </c>
      <c r="BL91" s="234">
        <v>0</v>
      </c>
      <c r="BM91" s="234">
        <v>0</v>
      </c>
      <c r="BN91" s="234">
        <v>0</v>
      </c>
      <c r="BO91" s="234">
        <v>0</v>
      </c>
      <c r="BP91" s="234"/>
      <c r="BQ91" s="234"/>
      <c r="BR91" s="237" t="s">
        <v>334</v>
      </c>
      <c r="BS91" s="238">
        <v>11</v>
      </c>
      <c r="BT91" s="239">
        <f t="shared" si="4"/>
        <v>1</v>
      </c>
      <c r="CN91" s="238">
        <f t="shared" si="5"/>
        <v>0</v>
      </c>
      <c r="CO91" s="238">
        <f t="shared" si="6"/>
        <v>0</v>
      </c>
    </row>
    <row r="92" spans="1:93" ht="13.95" customHeight="1" x14ac:dyDescent="0.2">
      <c r="A92" s="231">
        <v>7486</v>
      </c>
      <c r="B92" s="232" t="s">
        <v>314</v>
      </c>
      <c r="C92" s="232" t="s">
        <v>604</v>
      </c>
      <c r="D92" s="232" t="s">
        <v>605</v>
      </c>
      <c r="E92" s="232" t="s">
        <v>317</v>
      </c>
      <c r="F92" s="231">
        <v>529024</v>
      </c>
      <c r="G92" s="231">
        <v>173175</v>
      </c>
      <c r="H92" s="232" t="s">
        <v>141</v>
      </c>
      <c r="I92" s="233">
        <v>44651</v>
      </c>
      <c r="J92" s="233">
        <v>44652</v>
      </c>
      <c r="K92" s="231">
        <v>0</v>
      </c>
      <c r="L92" s="231">
        <v>1</v>
      </c>
      <c r="M92" s="231">
        <v>1</v>
      </c>
      <c r="N92" s="231">
        <v>1</v>
      </c>
      <c r="O92" s="231">
        <v>1</v>
      </c>
      <c r="P92" s="234"/>
      <c r="Q92" s="232" t="s">
        <v>606</v>
      </c>
      <c r="R92" s="234" t="s">
        <v>332</v>
      </c>
      <c r="S92" s="235">
        <v>44151</v>
      </c>
      <c r="T92" s="235">
        <v>44202</v>
      </c>
      <c r="U92" s="234"/>
      <c r="V92" s="232" t="s">
        <v>321</v>
      </c>
      <c r="W92" s="231"/>
      <c r="X92" s="232" t="s">
        <v>322</v>
      </c>
      <c r="Y92" s="232" t="s">
        <v>365</v>
      </c>
      <c r="Z92" s="232" t="s">
        <v>324</v>
      </c>
      <c r="AA92" s="232" t="s">
        <v>607</v>
      </c>
      <c r="AB92" s="236">
        <v>7.0000000000000001E-3</v>
      </c>
      <c r="AC92" s="235">
        <v>44651</v>
      </c>
      <c r="AD92" s="234"/>
      <c r="AE92" s="235">
        <v>44652</v>
      </c>
      <c r="AF92" s="232" t="s">
        <v>77</v>
      </c>
      <c r="AG92" s="232" t="s">
        <v>350</v>
      </c>
      <c r="AH92" s="234" t="s">
        <v>317</v>
      </c>
      <c r="AI92" s="250"/>
      <c r="AJ92" s="234">
        <v>0</v>
      </c>
      <c r="AK92" s="224"/>
      <c r="AL92" s="234">
        <v>0</v>
      </c>
      <c r="AM92" s="224"/>
      <c r="AN92" s="234">
        <v>0</v>
      </c>
      <c r="AO92" s="234">
        <v>1</v>
      </c>
      <c r="AP92" s="234">
        <v>0</v>
      </c>
      <c r="AQ92" s="234">
        <v>0</v>
      </c>
      <c r="AR92" s="234">
        <v>0</v>
      </c>
      <c r="AS92" s="234">
        <v>0</v>
      </c>
      <c r="AT92" s="234">
        <v>0</v>
      </c>
      <c r="AU92" s="234">
        <v>0</v>
      </c>
      <c r="AV92" s="234">
        <v>1</v>
      </c>
      <c r="AW92" s="234">
        <v>0</v>
      </c>
      <c r="AX92" s="234">
        <v>0</v>
      </c>
      <c r="AY92" s="234">
        <v>0</v>
      </c>
      <c r="AZ92" s="234">
        <v>0</v>
      </c>
      <c r="BA92" s="234">
        <v>0</v>
      </c>
      <c r="BB92" s="234">
        <v>0</v>
      </c>
      <c r="BC92" s="234">
        <v>0</v>
      </c>
      <c r="BD92" s="234">
        <v>0</v>
      </c>
      <c r="BE92" s="234">
        <v>0</v>
      </c>
      <c r="BF92" s="234">
        <v>0</v>
      </c>
      <c r="BG92" s="234">
        <v>0</v>
      </c>
      <c r="BH92" s="234">
        <v>0</v>
      </c>
      <c r="BI92" s="234">
        <v>0</v>
      </c>
      <c r="BJ92" s="234">
        <v>0</v>
      </c>
      <c r="BK92" s="234">
        <v>0</v>
      </c>
      <c r="BL92" s="234">
        <v>0</v>
      </c>
      <c r="BM92" s="234">
        <v>0</v>
      </c>
      <c r="BN92" s="234">
        <v>0</v>
      </c>
      <c r="BO92" s="234">
        <v>0</v>
      </c>
      <c r="BP92" s="234"/>
      <c r="BQ92" s="234"/>
      <c r="BR92" s="237" t="s">
        <v>334</v>
      </c>
      <c r="BS92" s="238">
        <v>11</v>
      </c>
      <c r="BT92" s="239">
        <f t="shared" si="4"/>
        <v>1</v>
      </c>
      <c r="CN92" s="238">
        <f t="shared" si="5"/>
        <v>0</v>
      </c>
      <c r="CO92" s="238">
        <f t="shared" si="6"/>
        <v>0</v>
      </c>
    </row>
    <row r="93" spans="1:93" ht="13.95" customHeight="1" x14ac:dyDescent="0.2">
      <c r="A93" s="231">
        <v>6568</v>
      </c>
      <c r="B93" s="232" t="s">
        <v>314</v>
      </c>
      <c r="C93" s="232" t="s">
        <v>608</v>
      </c>
      <c r="D93" s="232" t="s">
        <v>609</v>
      </c>
      <c r="E93" s="232" t="s">
        <v>317</v>
      </c>
      <c r="F93" s="231">
        <v>528547</v>
      </c>
      <c r="G93" s="231">
        <v>175730</v>
      </c>
      <c r="H93" s="232" t="s">
        <v>167</v>
      </c>
      <c r="I93" s="233">
        <v>44599</v>
      </c>
      <c r="J93" s="233">
        <v>44890</v>
      </c>
      <c r="K93" s="231">
        <v>0</v>
      </c>
      <c r="L93" s="231">
        <v>1</v>
      </c>
      <c r="M93" s="231">
        <v>1</v>
      </c>
      <c r="N93" s="231">
        <v>1</v>
      </c>
      <c r="O93" s="231">
        <v>1</v>
      </c>
      <c r="P93" s="234"/>
      <c r="Q93" s="232" t="s">
        <v>610</v>
      </c>
      <c r="R93" s="234" t="s">
        <v>332</v>
      </c>
      <c r="S93" s="235">
        <v>44153</v>
      </c>
      <c r="T93" s="235">
        <v>44279</v>
      </c>
      <c r="U93" s="234"/>
      <c r="V93" s="232" t="s">
        <v>321</v>
      </c>
      <c r="W93" s="231"/>
      <c r="X93" s="232" t="s">
        <v>322</v>
      </c>
      <c r="Y93" s="232" t="s">
        <v>365</v>
      </c>
      <c r="Z93" s="232" t="s">
        <v>324</v>
      </c>
      <c r="AA93" s="232" t="s">
        <v>22</v>
      </c>
      <c r="AB93" s="236">
        <v>3.7000000000000002E-3</v>
      </c>
      <c r="AC93" s="235">
        <v>44599</v>
      </c>
      <c r="AD93" s="234"/>
      <c r="AE93" s="235">
        <v>44890</v>
      </c>
      <c r="AF93" s="232" t="s">
        <v>77</v>
      </c>
      <c r="AG93" s="232" t="s">
        <v>350</v>
      </c>
      <c r="AH93" s="234" t="s">
        <v>317</v>
      </c>
      <c r="AI93" s="250"/>
      <c r="AJ93" s="234">
        <v>0</v>
      </c>
      <c r="AK93" s="224"/>
      <c r="AL93" s="234">
        <v>0</v>
      </c>
      <c r="AM93" s="224"/>
      <c r="AN93" s="234">
        <v>1</v>
      </c>
      <c r="AO93" s="234">
        <v>0</v>
      </c>
      <c r="AP93" s="234">
        <v>0</v>
      </c>
      <c r="AQ93" s="234">
        <v>0</v>
      </c>
      <c r="AR93" s="234">
        <v>0</v>
      </c>
      <c r="AS93" s="234">
        <v>0</v>
      </c>
      <c r="AT93" s="234">
        <v>0</v>
      </c>
      <c r="AU93" s="234">
        <v>1</v>
      </c>
      <c r="AV93" s="234">
        <v>0</v>
      </c>
      <c r="AW93" s="234">
        <v>0</v>
      </c>
      <c r="AX93" s="234">
        <v>0</v>
      </c>
      <c r="AY93" s="234">
        <v>0</v>
      </c>
      <c r="AZ93" s="234">
        <v>0</v>
      </c>
      <c r="BA93" s="234">
        <v>0</v>
      </c>
      <c r="BB93" s="234">
        <v>0</v>
      </c>
      <c r="BC93" s="234">
        <v>0</v>
      </c>
      <c r="BD93" s="234">
        <v>0</v>
      </c>
      <c r="BE93" s="234">
        <v>0</v>
      </c>
      <c r="BF93" s="234">
        <v>0</v>
      </c>
      <c r="BG93" s="234">
        <v>0</v>
      </c>
      <c r="BH93" s="234">
        <v>0</v>
      </c>
      <c r="BI93" s="234">
        <v>0</v>
      </c>
      <c r="BJ93" s="234">
        <v>0</v>
      </c>
      <c r="BK93" s="234">
        <v>0</v>
      </c>
      <c r="BL93" s="234">
        <v>0</v>
      </c>
      <c r="BM93" s="234">
        <v>0</v>
      </c>
      <c r="BN93" s="234">
        <v>0</v>
      </c>
      <c r="BO93" s="234">
        <v>0</v>
      </c>
      <c r="BP93" s="234"/>
      <c r="BQ93" s="234"/>
      <c r="BR93" s="237" t="s">
        <v>334</v>
      </c>
      <c r="BS93" s="238">
        <v>11</v>
      </c>
      <c r="BT93" s="239">
        <f t="shared" si="4"/>
        <v>1</v>
      </c>
      <c r="CN93" s="238">
        <f t="shared" si="5"/>
        <v>0</v>
      </c>
      <c r="CO93" s="238">
        <f t="shared" si="6"/>
        <v>0</v>
      </c>
    </row>
    <row r="94" spans="1:93" ht="13.95" customHeight="1" x14ac:dyDescent="0.2">
      <c r="A94" s="231">
        <v>7492</v>
      </c>
      <c r="B94" s="232" t="s">
        <v>314</v>
      </c>
      <c r="C94" s="232" t="s">
        <v>611</v>
      </c>
      <c r="D94" s="232" t="s">
        <v>612</v>
      </c>
      <c r="E94" s="232" t="s">
        <v>317</v>
      </c>
      <c r="F94" s="231">
        <v>528284</v>
      </c>
      <c r="G94" s="231">
        <v>174101</v>
      </c>
      <c r="H94" s="232" t="s">
        <v>141</v>
      </c>
      <c r="I94" s="233">
        <v>44643</v>
      </c>
      <c r="J94" s="233">
        <v>44974</v>
      </c>
      <c r="K94" s="231">
        <v>0</v>
      </c>
      <c r="L94" s="231">
        <v>1</v>
      </c>
      <c r="M94" s="231">
        <v>1</v>
      </c>
      <c r="N94" s="231">
        <v>1</v>
      </c>
      <c r="O94" s="231">
        <v>1</v>
      </c>
      <c r="P94" s="234"/>
      <c r="Q94" s="232" t="s">
        <v>613</v>
      </c>
      <c r="R94" s="234" t="s">
        <v>332</v>
      </c>
      <c r="S94" s="235">
        <v>44251</v>
      </c>
      <c r="T94" s="235">
        <v>44344</v>
      </c>
      <c r="U94" s="234"/>
      <c r="V94" s="232" t="s">
        <v>321</v>
      </c>
      <c r="W94" s="231"/>
      <c r="X94" s="232" t="s">
        <v>322</v>
      </c>
      <c r="Y94" s="232" t="s">
        <v>339</v>
      </c>
      <c r="Z94" s="232" t="s">
        <v>324</v>
      </c>
      <c r="AA94" s="232" t="s">
        <v>354</v>
      </c>
      <c r="AB94" s="236">
        <v>8.0000000000000002E-3</v>
      </c>
      <c r="AC94" s="235">
        <v>44643</v>
      </c>
      <c r="AD94" s="234"/>
      <c r="AE94" s="235">
        <v>44974</v>
      </c>
      <c r="AF94" s="232" t="s">
        <v>77</v>
      </c>
      <c r="AG94" s="232" t="s">
        <v>350</v>
      </c>
      <c r="AH94" s="234" t="s">
        <v>317</v>
      </c>
      <c r="AI94" s="250"/>
      <c r="AJ94" s="234">
        <v>0</v>
      </c>
      <c r="AK94" s="224"/>
      <c r="AL94" s="234">
        <v>0</v>
      </c>
      <c r="AM94" s="224"/>
      <c r="AN94" s="234">
        <v>0</v>
      </c>
      <c r="AO94" s="234">
        <v>1</v>
      </c>
      <c r="AP94" s="234">
        <v>0</v>
      </c>
      <c r="AQ94" s="234">
        <v>0</v>
      </c>
      <c r="AR94" s="234">
        <v>0</v>
      </c>
      <c r="AS94" s="234">
        <v>0</v>
      </c>
      <c r="AT94" s="234">
        <v>0</v>
      </c>
      <c r="AU94" s="234">
        <v>0</v>
      </c>
      <c r="AV94" s="234">
        <v>1</v>
      </c>
      <c r="AW94" s="234">
        <v>0</v>
      </c>
      <c r="AX94" s="234">
        <v>0</v>
      </c>
      <c r="AY94" s="234">
        <v>0</v>
      </c>
      <c r="AZ94" s="234">
        <v>0</v>
      </c>
      <c r="BA94" s="234">
        <v>0</v>
      </c>
      <c r="BB94" s="234">
        <v>0</v>
      </c>
      <c r="BC94" s="234">
        <v>0</v>
      </c>
      <c r="BD94" s="234">
        <v>0</v>
      </c>
      <c r="BE94" s="234">
        <v>0</v>
      </c>
      <c r="BF94" s="234">
        <v>0</v>
      </c>
      <c r="BG94" s="234">
        <v>0</v>
      </c>
      <c r="BH94" s="234">
        <v>0</v>
      </c>
      <c r="BI94" s="234">
        <v>0</v>
      </c>
      <c r="BJ94" s="234">
        <v>0</v>
      </c>
      <c r="BK94" s="234">
        <v>0</v>
      </c>
      <c r="BL94" s="234">
        <v>0</v>
      </c>
      <c r="BM94" s="234">
        <v>0</v>
      </c>
      <c r="BN94" s="234">
        <v>0</v>
      </c>
      <c r="BO94" s="234">
        <v>0</v>
      </c>
      <c r="BP94" s="234"/>
      <c r="BQ94" s="234"/>
      <c r="BR94" s="237" t="s">
        <v>334</v>
      </c>
      <c r="BS94" s="238">
        <v>11</v>
      </c>
      <c r="BT94" s="239">
        <f t="shared" si="4"/>
        <v>1</v>
      </c>
      <c r="CN94" s="238">
        <f t="shared" si="5"/>
        <v>0</v>
      </c>
      <c r="CO94" s="238">
        <f t="shared" si="6"/>
        <v>0</v>
      </c>
    </row>
    <row r="95" spans="1:93" ht="13.95" customHeight="1" x14ac:dyDescent="0.2">
      <c r="A95" s="231">
        <v>7517</v>
      </c>
      <c r="B95" s="232" t="s">
        <v>314</v>
      </c>
      <c r="C95" s="232" t="s">
        <v>614</v>
      </c>
      <c r="D95" s="232" t="s">
        <v>615</v>
      </c>
      <c r="E95" s="232" t="s">
        <v>317</v>
      </c>
      <c r="F95" s="231">
        <v>527906</v>
      </c>
      <c r="G95" s="231">
        <v>170675</v>
      </c>
      <c r="H95" s="232" t="s">
        <v>177</v>
      </c>
      <c r="I95" s="233">
        <v>44459</v>
      </c>
      <c r="J95" s="233">
        <v>45016</v>
      </c>
      <c r="K95" s="231">
        <v>0</v>
      </c>
      <c r="L95" s="231">
        <v>1</v>
      </c>
      <c r="M95" s="231">
        <v>1</v>
      </c>
      <c r="N95" s="231">
        <v>1</v>
      </c>
      <c r="O95" s="231">
        <v>1</v>
      </c>
      <c r="P95" s="234"/>
      <c r="Q95" s="232" t="s">
        <v>616</v>
      </c>
      <c r="R95" s="234" t="s">
        <v>332</v>
      </c>
      <c r="S95" s="235">
        <v>44263</v>
      </c>
      <c r="T95" s="235">
        <v>44333</v>
      </c>
      <c r="U95" s="234"/>
      <c r="V95" s="232" t="s">
        <v>321</v>
      </c>
      <c r="W95" s="231"/>
      <c r="X95" s="232" t="s">
        <v>322</v>
      </c>
      <c r="Y95" s="232" t="s">
        <v>339</v>
      </c>
      <c r="Z95" s="232" t="s">
        <v>324</v>
      </c>
      <c r="AA95" s="232" t="s">
        <v>354</v>
      </c>
      <c r="AB95" s="236">
        <v>5.0000000000000001E-3</v>
      </c>
      <c r="AC95" s="235">
        <v>44459</v>
      </c>
      <c r="AD95" s="234"/>
      <c r="AE95" s="235">
        <v>45016</v>
      </c>
      <c r="AF95" s="232" t="s">
        <v>77</v>
      </c>
      <c r="AG95" s="232" t="s">
        <v>350</v>
      </c>
      <c r="AH95" s="234" t="s">
        <v>317</v>
      </c>
      <c r="AI95" s="250"/>
      <c r="AJ95" s="234">
        <v>0</v>
      </c>
      <c r="AK95" s="224"/>
      <c r="AL95" s="234">
        <v>0</v>
      </c>
      <c r="AM95" s="224"/>
      <c r="AN95" s="234">
        <v>0</v>
      </c>
      <c r="AO95" s="234">
        <v>1</v>
      </c>
      <c r="AP95" s="234">
        <v>0</v>
      </c>
      <c r="AQ95" s="234">
        <v>0</v>
      </c>
      <c r="AR95" s="234">
        <v>0</v>
      </c>
      <c r="AS95" s="234">
        <v>0</v>
      </c>
      <c r="AT95" s="234">
        <v>0</v>
      </c>
      <c r="AU95" s="234">
        <v>0</v>
      </c>
      <c r="AV95" s="234">
        <v>1</v>
      </c>
      <c r="AW95" s="234">
        <v>0</v>
      </c>
      <c r="AX95" s="234">
        <v>0</v>
      </c>
      <c r="AY95" s="234">
        <v>0</v>
      </c>
      <c r="AZ95" s="234">
        <v>0</v>
      </c>
      <c r="BA95" s="234">
        <v>0</v>
      </c>
      <c r="BB95" s="234">
        <v>0</v>
      </c>
      <c r="BC95" s="234">
        <v>0</v>
      </c>
      <c r="BD95" s="234">
        <v>0</v>
      </c>
      <c r="BE95" s="234">
        <v>0</v>
      </c>
      <c r="BF95" s="234">
        <v>0</v>
      </c>
      <c r="BG95" s="234">
        <v>0</v>
      </c>
      <c r="BH95" s="234">
        <v>0</v>
      </c>
      <c r="BI95" s="234">
        <v>0</v>
      </c>
      <c r="BJ95" s="234">
        <v>0</v>
      </c>
      <c r="BK95" s="234">
        <v>0</v>
      </c>
      <c r="BL95" s="234">
        <v>0</v>
      </c>
      <c r="BM95" s="234">
        <v>0</v>
      </c>
      <c r="BN95" s="234">
        <v>0</v>
      </c>
      <c r="BO95" s="234">
        <v>0</v>
      </c>
      <c r="BP95" s="234"/>
      <c r="BQ95" s="234"/>
      <c r="BR95" s="237" t="s">
        <v>334</v>
      </c>
      <c r="BS95" s="238">
        <v>11</v>
      </c>
      <c r="BT95" s="239">
        <f t="shared" si="4"/>
        <v>1</v>
      </c>
      <c r="CN95" s="238">
        <f t="shared" si="5"/>
        <v>0</v>
      </c>
      <c r="CO95" s="238">
        <f t="shared" si="6"/>
        <v>0</v>
      </c>
    </row>
    <row r="96" spans="1:93" ht="13.95" customHeight="1" x14ac:dyDescent="0.2">
      <c r="A96" s="231">
        <v>4799</v>
      </c>
      <c r="B96" s="232" t="s">
        <v>314</v>
      </c>
      <c r="C96" s="232" t="s">
        <v>617</v>
      </c>
      <c r="D96" s="232" t="s">
        <v>618</v>
      </c>
      <c r="E96" s="232" t="s">
        <v>317</v>
      </c>
      <c r="F96" s="231">
        <v>524716</v>
      </c>
      <c r="G96" s="231">
        <v>173221</v>
      </c>
      <c r="H96" s="232" t="s">
        <v>182</v>
      </c>
      <c r="I96" s="233">
        <v>44651</v>
      </c>
      <c r="J96" s="233">
        <v>44815</v>
      </c>
      <c r="K96" s="231">
        <v>0</v>
      </c>
      <c r="L96" s="231">
        <v>1</v>
      </c>
      <c r="M96" s="231">
        <v>1</v>
      </c>
      <c r="N96" s="231">
        <v>1</v>
      </c>
      <c r="O96" s="231">
        <v>1</v>
      </c>
      <c r="P96" s="234"/>
      <c r="Q96" s="232" t="s">
        <v>619</v>
      </c>
      <c r="R96" s="234" t="s">
        <v>332</v>
      </c>
      <c r="S96" s="235">
        <v>44281</v>
      </c>
      <c r="T96" s="235">
        <v>44328</v>
      </c>
      <c r="U96" s="234"/>
      <c r="V96" s="232" t="s">
        <v>321</v>
      </c>
      <c r="W96" s="231"/>
      <c r="X96" s="232" t="s">
        <v>322</v>
      </c>
      <c r="Y96" s="232" t="s">
        <v>339</v>
      </c>
      <c r="Z96" s="232" t="s">
        <v>324</v>
      </c>
      <c r="AA96" s="232" t="s">
        <v>354</v>
      </c>
      <c r="AB96" s="236">
        <v>0.01</v>
      </c>
      <c r="AC96" s="235">
        <v>44651</v>
      </c>
      <c r="AD96" s="234"/>
      <c r="AE96" s="235">
        <v>44815</v>
      </c>
      <c r="AF96" s="232" t="s">
        <v>77</v>
      </c>
      <c r="AG96" s="232" t="s">
        <v>350</v>
      </c>
      <c r="AH96" s="234" t="s">
        <v>317</v>
      </c>
      <c r="AI96" s="250"/>
      <c r="AJ96" s="234">
        <v>0</v>
      </c>
      <c r="AK96" s="224"/>
      <c r="AL96" s="234">
        <v>0</v>
      </c>
      <c r="AM96" s="224"/>
      <c r="AN96" s="234">
        <v>0</v>
      </c>
      <c r="AO96" s="234">
        <v>1</v>
      </c>
      <c r="AP96" s="234">
        <v>0</v>
      </c>
      <c r="AQ96" s="234">
        <v>0</v>
      </c>
      <c r="AR96" s="234">
        <v>0</v>
      </c>
      <c r="AS96" s="234">
        <v>0</v>
      </c>
      <c r="AT96" s="234">
        <v>0</v>
      </c>
      <c r="AU96" s="234">
        <v>0</v>
      </c>
      <c r="AV96" s="234">
        <v>1</v>
      </c>
      <c r="AW96" s="234">
        <v>0</v>
      </c>
      <c r="AX96" s="234">
        <v>0</v>
      </c>
      <c r="AY96" s="234">
        <v>0</v>
      </c>
      <c r="AZ96" s="234">
        <v>0</v>
      </c>
      <c r="BA96" s="234">
        <v>0</v>
      </c>
      <c r="BB96" s="234">
        <v>0</v>
      </c>
      <c r="BC96" s="234">
        <v>0</v>
      </c>
      <c r="BD96" s="234">
        <v>0</v>
      </c>
      <c r="BE96" s="234">
        <v>0</v>
      </c>
      <c r="BF96" s="234">
        <v>0</v>
      </c>
      <c r="BG96" s="234">
        <v>0</v>
      </c>
      <c r="BH96" s="234">
        <v>0</v>
      </c>
      <c r="BI96" s="234">
        <v>0</v>
      </c>
      <c r="BJ96" s="234">
        <v>0</v>
      </c>
      <c r="BK96" s="234">
        <v>0</v>
      </c>
      <c r="BL96" s="234">
        <v>0</v>
      </c>
      <c r="BM96" s="234">
        <v>0</v>
      </c>
      <c r="BN96" s="234">
        <v>0</v>
      </c>
      <c r="BO96" s="234">
        <v>0</v>
      </c>
      <c r="BP96" s="234"/>
      <c r="BQ96" s="234"/>
      <c r="BR96" s="237" t="s">
        <v>334</v>
      </c>
      <c r="BS96" s="238">
        <v>11</v>
      </c>
      <c r="BT96" s="239">
        <f t="shared" si="4"/>
        <v>1</v>
      </c>
      <c r="CN96" s="238">
        <f t="shared" si="5"/>
        <v>0</v>
      </c>
      <c r="CO96" s="238">
        <f t="shared" si="6"/>
        <v>0</v>
      </c>
    </row>
    <row r="97" spans="1:93" ht="13.95" customHeight="1" x14ac:dyDescent="0.2">
      <c r="A97" s="231">
        <v>5877</v>
      </c>
      <c r="B97" s="232" t="s">
        <v>314</v>
      </c>
      <c r="C97" s="232" t="s">
        <v>620</v>
      </c>
      <c r="D97" s="232" t="s">
        <v>621</v>
      </c>
      <c r="E97" s="232" t="s">
        <v>317</v>
      </c>
      <c r="F97" s="231">
        <v>529014</v>
      </c>
      <c r="G97" s="231">
        <v>172572</v>
      </c>
      <c r="H97" s="232" t="s">
        <v>172</v>
      </c>
      <c r="I97" s="233">
        <v>43190</v>
      </c>
      <c r="J97" s="233">
        <v>44796</v>
      </c>
      <c r="K97" s="231">
        <v>0</v>
      </c>
      <c r="L97" s="231">
        <v>1</v>
      </c>
      <c r="M97" s="231">
        <v>1</v>
      </c>
      <c r="N97" s="231">
        <v>1</v>
      </c>
      <c r="O97" s="231">
        <v>1</v>
      </c>
      <c r="P97" s="234"/>
      <c r="Q97" s="232" t="s">
        <v>622</v>
      </c>
      <c r="R97" s="234" t="s">
        <v>332</v>
      </c>
      <c r="S97" s="235">
        <v>44329</v>
      </c>
      <c r="T97" s="235">
        <v>44364</v>
      </c>
      <c r="U97" s="234"/>
      <c r="V97" s="232" t="s">
        <v>321</v>
      </c>
      <c r="W97" s="231"/>
      <c r="X97" s="232" t="s">
        <v>322</v>
      </c>
      <c r="Y97" s="232" t="s">
        <v>323</v>
      </c>
      <c r="Z97" s="232" t="s">
        <v>324</v>
      </c>
      <c r="AA97" s="232" t="s">
        <v>349</v>
      </c>
      <c r="AB97" s="236">
        <v>7.0000000000000001E-3</v>
      </c>
      <c r="AC97" s="235">
        <v>43190</v>
      </c>
      <c r="AD97" s="234"/>
      <c r="AE97" s="235">
        <v>44796</v>
      </c>
      <c r="AF97" s="232" t="s">
        <v>77</v>
      </c>
      <c r="AG97" s="232" t="s">
        <v>350</v>
      </c>
      <c r="AH97" s="234" t="s">
        <v>317</v>
      </c>
      <c r="AI97" s="250"/>
      <c r="AJ97" s="234">
        <v>0</v>
      </c>
      <c r="AK97" s="224"/>
      <c r="AL97" s="234">
        <v>0</v>
      </c>
      <c r="AM97" s="224"/>
      <c r="AN97" s="234">
        <v>0</v>
      </c>
      <c r="AO97" s="234">
        <v>0</v>
      </c>
      <c r="AP97" s="234">
        <v>0</v>
      </c>
      <c r="AQ97" s="234">
        <v>1</v>
      </c>
      <c r="AR97" s="234">
        <v>0</v>
      </c>
      <c r="AS97" s="234">
        <v>0</v>
      </c>
      <c r="AT97" s="234">
        <v>0</v>
      </c>
      <c r="AU97" s="234">
        <v>0</v>
      </c>
      <c r="AV97" s="234">
        <v>0</v>
      </c>
      <c r="AW97" s="234">
        <v>0</v>
      </c>
      <c r="AX97" s="234">
        <v>0</v>
      </c>
      <c r="AY97" s="234">
        <v>0</v>
      </c>
      <c r="AZ97" s="234">
        <v>0</v>
      </c>
      <c r="BA97" s="234">
        <v>0</v>
      </c>
      <c r="BB97" s="234">
        <v>0</v>
      </c>
      <c r="BC97" s="234">
        <v>0</v>
      </c>
      <c r="BD97" s="234">
        <v>0</v>
      </c>
      <c r="BE97" s="234">
        <v>1</v>
      </c>
      <c r="BF97" s="234">
        <v>0</v>
      </c>
      <c r="BG97" s="234">
        <v>0</v>
      </c>
      <c r="BH97" s="234">
        <v>0</v>
      </c>
      <c r="BI97" s="234">
        <v>0</v>
      </c>
      <c r="BJ97" s="234">
        <v>0</v>
      </c>
      <c r="BK97" s="234">
        <v>0</v>
      </c>
      <c r="BL97" s="234">
        <v>0</v>
      </c>
      <c r="BM97" s="234">
        <v>0</v>
      </c>
      <c r="BN97" s="234">
        <v>0</v>
      </c>
      <c r="BO97" s="234">
        <v>0</v>
      </c>
      <c r="BP97" s="234"/>
      <c r="BQ97" s="234"/>
      <c r="BR97" s="237" t="s">
        <v>334</v>
      </c>
      <c r="BS97" s="238">
        <v>1</v>
      </c>
      <c r="BT97" s="239">
        <f t="shared" si="4"/>
        <v>1</v>
      </c>
      <c r="CN97" s="238">
        <f t="shared" si="5"/>
        <v>0</v>
      </c>
      <c r="CO97" s="238">
        <f t="shared" si="6"/>
        <v>0</v>
      </c>
    </row>
    <row r="98" spans="1:93" ht="13.95" customHeight="1" x14ac:dyDescent="0.2">
      <c r="A98" s="231">
        <v>7710</v>
      </c>
      <c r="B98" s="232" t="s">
        <v>314</v>
      </c>
      <c r="C98" s="232" t="s">
        <v>623</v>
      </c>
      <c r="D98" s="232" t="s">
        <v>624</v>
      </c>
      <c r="E98" s="232" t="s">
        <v>317</v>
      </c>
      <c r="F98" s="231">
        <v>524144</v>
      </c>
      <c r="G98" s="231">
        <v>175268</v>
      </c>
      <c r="H98" s="232" t="s">
        <v>175</v>
      </c>
      <c r="I98" s="233">
        <v>44501</v>
      </c>
      <c r="J98" s="233">
        <v>45016</v>
      </c>
      <c r="K98" s="231">
        <v>2</v>
      </c>
      <c r="L98" s="231">
        <v>1</v>
      </c>
      <c r="M98" s="231">
        <v>-1</v>
      </c>
      <c r="N98" s="231">
        <v>1</v>
      </c>
      <c r="O98" s="231">
        <v>-1</v>
      </c>
      <c r="P98" s="234"/>
      <c r="Q98" s="232" t="s">
        <v>625</v>
      </c>
      <c r="R98" s="234" t="s">
        <v>332</v>
      </c>
      <c r="S98" s="235">
        <v>44403</v>
      </c>
      <c r="T98" s="235">
        <v>44446</v>
      </c>
      <c r="U98" s="234"/>
      <c r="V98" s="232" t="s">
        <v>321</v>
      </c>
      <c r="W98" s="231"/>
      <c r="X98" s="232" t="s">
        <v>322</v>
      </c>
      <c r="Y98" s="232" t="s">
        <v>338</v>
      </c>
      <c r="Z98" s="232" t="s">
        <v>324</v>
      </c>
      <c r="AA98" s="232" t="s">
        <v>17</v>
      </c>
      <c r="AB98" s="236">
        <v>8.3333000000000001E-3</v>
      </c>
      <c r="AC98" s="235">
        <v>44501</v>
      </c>
      <c r="AD98" s="234"/>
      <c r="AE98" s="235">
        <v>45016</v>
      </c>
      <c r="AF98" s="232" t="s">
        <v>77</v>
      </c>
      <c r="AG98" s="232" t="s">
        <v>350</v>
      </c>
      <c r="AH98" s="234" t="s">
        <v>317</v>
      </c>
      <c r="AI98" s="250"/>
      <c r="AJ98" s="234">
        <v>0</v>
      </c>
      <c r="AK98" s="224"/>
      <c r="AL98" s="234">
        <v>0</v>
      </c>
      <c r="AM98" s="224"/>
      <c r="AN98" s="234">
        <v>0</v>
      </c>
      <c r="AO98" s="234">
        <v>-1</v>
      </c>
      <c r="AP98" s="234">
        <v>0</v>
      </c>
      <c r="AQ98" s="234">
        <v>-1</v>
      </c>
      <c r="AR98" s="234">
        <v>1</v>
      </c>
      <c r="AS98" s="234">
        <v>0</v>
      </c>
      <c r="AT98" s="234">
        <v>0</v>
      </c>
      <c r="AU98" s="234">
        <v>0</v>
      </c>
      <c r="AV98" s="234">
        <v>-1</v>
      </c>
      <c r="AW98" s="234">
        <v>0</v>
      </c>
      <c r="AX98" s="234">
        <v>-1</v>
      </c>
      <c r="AY98" s="234">
        <v>0</v>
      </c>
      <c r="AZ98" s="234">
        <v>0</v>
      </c>
      <c r="BA98" s="234">
        <v>0</v>
      </c>
      <c r="BB98" s="234">
        <v>0</v>
      </c>
      <c r="BC98" s="234">
        <v>0</v>
      </c>
      <c r="BD98" s="234">
        <v>0</v>
      </c>
      <c r="BE98" s="234">
        <v>0</v>
      </c>
      <c r="BF98" s="234">
        <v>1</v>
      </c>
      <c r="BG98" s="234">
        <v>0</v>
      </c>
      <c r="BH98" s="234">
        <v>0</v>
      </c>
      <c r="BI98" s="234">
        <v>0</v>
      </c>
      <c r="BJ98" s="234">
        <v>0</v>
      </c>
      <c r="BK98" s="234">
        <v>0</v>
      </c>
      <c r="BL98" s="234">
        <v>0</v>
      </c>
      <c r="BM98" s="234">
        <v>0</v>
      </c>
      <c r="BN98" s="234">
        <v>0</v>
      </c>
      <c r="BO98" s="234">
        <v>0</v>
      </c>
      <c r="BP98" s="234"/>
      <c r="BQ98" s="234"/>
      <c r="BR98" s="237" t="s">
        <v>152</v>
      </c>
      <c r="BS98" s="238">
        <v>11</v>
      </c>
      <c r="BT98" s="239">
        <f t="shared" ref="BT98:BT129" si="7">M98</f>
        <v>-1</v>
      </c>
      <c r="CN98" s="238">
        <f t="shared" si="5"/>
        <v>0</v>
      </c>
      <c r="CO98" s="238">
        <f t="shared" si="6"/>
        <v>0</v>
      </c>
    </row>
    <row r="99" spans="1:93" ht="13.95" customHeight="1" x14ac:dyDescent="0.2">
      <c r="A99" s="231">
        <v>7671</v>
      </c>
      <c r="B99" s="232" t="s">
        <v>314</v>
      </c>
      <c r="C99" s="232" t="s">
        <v>626</v>
      </c>
      <c r="D99" s="232" t="s">
        <v>627</v>
      </c>
      <c r="E99" s="232" t="s">
        <v>317</v>
      </c>
      <c r="F99" s="231">
        <v>525053</v>
      </c>
      <c r="G99" s="231">
        <v>173143</v>
      </c>
      <c r="H99" s="232" t="s">
        <v>173</v>
      </c>
      <c r="I99" s="233">
        <v>44460</v>
      </c>
      <c r="J99" s="233">
        <v>44910</v>
      </c>
      <c r="K99" s="231">
        <v>0</v>
      </c>
      <c r="L99" s="231">
        <v>1</v>
      </c>
      <c r="M99" s="231">
        <v>1</v>
      </c>
      <c r="N99" s="231">
        <v>1</v>
      </c>
      <c r="O99" s="231">
        <v>1</v>
      </c>
      <c r="P99" s="234"/>
      <c r="Q99" s="232" t="s">
        <v>628</v>
      </c>
      <c r="R99" s="234" t="s">
        <v>629</v>
      </c>
      <c r="S99" s="235">
        <v>44344</v>
      </c>
      <c r="T99" s="235">
        <v>44398</v>
      </c>
      <c r="U99" s="234"/>
      <c r="V99" s="232" t="s">
        <v>321</v>
      </c>
      <c r="W99" s="231"/>
      <c r="X99" s="232" t="s">
        <v>322</v>
      </c>
      <c r="Y99" s="232" t="s">
        <v>378</v>
      </c>
      <c r="Z99" s="232" t="s">
        <v>324</v>
      </c>
      <c r="AA99" s="232" t="s">
        <v>25</v>
      </c>
      <c r="AB99" s="236">
        <v>2E-3</v>
      </c>
      <c r="AC99" s="235">
        <v>44460</v>
      </c>
      <c r="AD99" s="234"/>
      <c r="AE99" s="235">
        <v>44910</v>
      </c>
      <c r="AF99" s="232" t="s">
        <v>77</v>
      </c>
      <c r="AG99" s="232" t="s">
        <v>350</v>
      </c>
      <c r="AH99" s="234" t="s">
        <v>317</v>
      </c>
      <c r="AI99" s="250"/>
      <c r="AJ99" s="234">
        <v>0</v>
      </c>
      <c r="AK99" s="224"/>
      <c r="AL99" s="234">
        <v>0</v>
      </c>
      <c r="AM99" s="224"/>
      <c r="AN99" s="234">
        <v>0</v>
      </c>
      <c r="AO99" s="234">
        <v>1</v>
      </c>
      <c r="AP99" s="234">
        <v>0</v>
      </c>
      <c r="AQ99" s="234">
        <v>0</v>
      </c>
      <c r="AR99" s="234">
        <v>0</v>
      </c>
      <c r="AS99" s="234">
        <v>0</v>
      </c>
      <c r="AT99" s="234">
        <v>0</v>
      </c>
      <c r="AU99" s="234">
        <v>0</v>
      </c>
      <c r="AV99" s="234">
        <v>1</v>
      </c>
      <c r="AW99" s="234">
        <v>0</v>
      </c>
      <c r="AX99" s="234">
        <v>0</v>
      </c>
      <c r="AY99" s="234">
        <v>0</v>
      </c>
      <c r="AZ99" s="234">
        <v>0</v>
      </c>
      <c r="BA99" s="234">
        <v>0</v>
      </c>
      <c r="BB99" s="234">
        <v>0</v>
      </c>
      <c r="BC99" s="234">
        <v>0</v>
      </c>
      <c r="BD99" s="234">
        <v>0</v>
      </c>
      <c r="BE99" s="234">
        <v>0</v>
      </c>
      <c r="BF99" s="234">
        <v>0</v>
      </c>
      <c r="BG99" s="234">
        <v>0</v>
      </c>
      <c r="BH99" s="234">
        <v>0</v>
      </c>
      <c r="BI99" s="234">
        <v>0</v>
      </c>
      <c r="BJ99" s="234">
        <v>0</v>
      </c>
      <c r="BK99" s="234">
        <v>0</v>
      </c>
      <c r="BL99" s="234">
        <v>0</v>
      </c>
      <c r="BM99" s="234">
        <v>0</v>
      </c>
      <c r="BN99" s="234">
        <v>0</v>
      </c>
      <c r="BO99" s="234">
        <v>0</v>
      </c>
      <c r="BP99" s="234"/>
      <c r="BQ99" s="234"/>
      <c r="BR99" s="237" t="s">
        <v>334</v>
      </c>
      <c r="BS99" s="238">
        <v>11</v>
      </c>
      <c r="BT99" s="239">
        <f t="shared" si="7"/>
        <v>1</v>
      </c>
      <c r="CN99" s="238">
        <f t="shared" si="5"/>
        <v>0</v>
      </c>
      <c r="CO99" s="238">
        <f t="shared" si="6"/>
        <v>0</v>
      </c>
    </row>
    <row r="100" spans="1:93" ht="13.95" customHeight="1" x14ac:dyDescent="0.2">
      <c r="A100" s="231">
        <v>1344</v>
      </c>
      <c r="B100" s="232" t="s">
        <v>314</v>
      </c>
      <c r="C100" s="232" t="s">
        <v>630</v>
      </c>
      <c r="D100" s="232" t="s">
        <v>631</v>
      </c>
      <c r="E100" s="232" t="s">
        <v>317</v>
      </c>
      <c r="F100" s="231">
        <v>527910</v>
      </c>
      <c r="G100" s="231">
        <v>176603</v>
      </c>
      <c r="H100" s="232" t="s">
        <v>163</v>
      </c>
      <c r="I100" s="233">
        <v>44455</v>
      </c>
      <c r="J100" s="233">
        <v>44868</v>
      </c>
      <c r="K100" s="231">
        <v>0</v>
      </c>
      <c r="L100" s="231">
        <v>1</v>
      </c>
      <c r="M100" s="231">
        <v>1</v>
      </c>
      <c r="N100" s="231">
        <v>1</v>
      </c>
      <c r="O100" s="231">
        <v>1</v>
      </c>
      <c r="P100" s="234"/>
      <c r="Q100" s="232" t="s">
        <v>632</v>
      </c>
      <c r="R100" s="234" t="s">
        <v>629</v>
      </c>
      <c r="S100" s="235">
        <v>44370</v>
      </c>
      <c r="T100" s="235">
        <v>44426</v>
      </c>
      <c r="U100" s="234"/>
      <c r="V100" s="232" t="s">
        <v>321</v>
      </c>
      <c r="W100" s="231"/>
      <c r="X100" s="232" t="s">
        <v>322</v>
      </c>
      <c r="Y100" s="232" t="s">
        <v>378</v>
      </c>
      <c r="Z100" s="232" t="s">
        <v>324</v>
      </c>
      <c r="AA100" s="232" t="s">
        <v>25</v>
      </c>
      <c r="AB100" s="236">
        <v>1E-3</v>
      </c>
      <c r="AC100" s="235">
        <v>44455</v>
      </c>
      <c r="AD100" s="234"/>
      <c r="AE100" s="235">
        <v>44868</v>
      </c>
      <c r="AF100" s="232" t="s">
        <v>77</v>
      </c>
      <c r="AG100" s="232" t="s">
        <v>350</v>
      </c>
      <c r="AH100" s="234" t="s">
        <v>317</v>
      </c>
      <c r="AI100" s="250"/>
      <c r="AJ100" s="234">
        <v>0</v>
      </c>
      <c r="AK100" s="224"/>
      <c r="AL100" s="234">
        <v>0</v>
      </c>
      <c r="AM100" s="224"/>
      <c r="AN100" s="234">
        <v>0</v>
      </c>
      <c r="AO100" s="234">
        <v>1</v>
      </c>
      <c r="AP100" s="234">
        <v>0</v>
      </c>
      <c r="AQ100" s="234">
        <v>0</v>
      </c>
      <c r="AR100" s="234">
        <v>0</v>
      </c>
      <c r="AS100" s="234">
        <v>0</v>
      </c>
      <c r="AT100" s="234">
        <v>0</v>
      </c>
      <c r="AU100" s="234">
        <v>0</v>
      </c>
      <c r="AV100" s="234">
        <v>1</v>
      </c>
      <c r="AW100" s="234">
        <v>0</v>
      </c>
      <c r="AX100" s="234">
        <v>0</v>
      </c>
      <c r="AY100" s="234">
        <v>0</v>
      </c>
      <c r="AZ100" s="234">
        <v>0</v>
      </c>
      <c r="BA100" s="234">
        <v>0</v>
      </c>
      <c r="BB100" s="234">
        <v>0</v>
      </c>
      <c r="BC100" s="234">
        <v>0</v>
      </c>
      <c r="BD100" s="234">
        <v>0</v>
      </c>
      <c r="BE100" s="234">
        <v>0</v>
      </c>
      <c r="BF100" s="234">
        <v>0</v>
      </c>
      <c r="BG100" s="234">
        <v>0</v>
      </c>
      <c r="BH100" s="234">
        <v>0</v>
      </c>
      <c r="BI100" s="234">
        <v>0</v>
      </c>
      <c r="BJ100" s="234">
        <v>0</v>
      </c>
      <c r="BK100" s="234">
        <v>0</v>
      </c>
      <c r="BL100" s="234">
        <v>0</v>
      </c>
      <c r="BM100" s="234">
        <v>0</v>
      </c>
      <c r="BN100" s="234">
        <v>0</v>
      </c>
      <c r="BO100" s="234">
        <v>0</v>
      </c>
      <c r="BP100" s="234"/>
      <c r="BQ100" s="234"/>
      <c r="BR100" s="237" t="s">
        <v>334</v>
      </c>
      <c r="BS100" s="238">
        <v>11</v>
      </c>
      <c r="BT100" s="239">
        <f t="shared" si="7"/>
        <v>1</v>
      </c>
      <c r="CN100" s="238">
        <f t="shared" si="5"/>
        <v>0</v>
      </c>
      <c r="CO100" s="238">
        <f t="shared" si="6"/>
        <v>0</v>
      </c>
    </row>
    <row r="101" spans="1:93" ht="13.95" customHeight="1" x14ac:dyDescent="0.2">
      <c r="A101" s="231">
        <v>7746</v>
      </c>
      <c r="B101" s="232" t="s">
        <v>314</v>
      </c>
      <c r="C101" s="232" t="s">
        <v>633</v>
      </c>
      <c r="D101" s="232" t="s">
        <v>634</v>
      </c>
      <c r="E101" s="232" t="s">
        <v>317</v>
      </c>
      <c r="F101" s="231">
        <v>528073</v>
      </c>
      <c r="G101" s="231">
        <v>174786</v>
      </c>
      <c r="H101" s="232" t="s">
        <v>169</v>
      </c>
      <c r="I101" s="233">
        <v>44510</v>
      </c>
      <c r="J101" s="233">
        <v>45002</v>
      </c>
      <c r="K101" s="231">
        <v>1</v>
      </c>
      <c r="L101" s="231">
        <v>1</v>
      </c>
      <c r="M101" s="231">
        <v>0</v>
      </c>
      <c r="N101" s="231">
        <v>1</v>
      </c>
      <c r="O101" s="231">
        <v>0</v>
      </c>
      <c r="P101" s="234"/>
      <c r="Q101" s="232" t="s">
        <v>635</v>
      </c>
      <c r="R101" s="234" t="s">
        <v>332</v>
      </c>
      <c r="S101" s="235">
        <v>44414</v>
      </c>
      <c r="T101" s="235">
        <v>44487</v>
      </c>
      <c r="U101" s="234"/>
      <c r="V101" s="232" t="s">
        <v>321</v>
      </c>
      <c r="W101" s="231"/>
      <c r="X101" s="232" t="s">
        <v>322</v>
      </c>
      <c r="Y101" s="232" t="s">
        <v>323</v>
      </c>
      <c r="Z101" s="232" t="s">
        <v>324</v>
      </c>
      <c r="AA101" s="232" t="s">
        <v>349</v>
      </c>
      <c r="AB101" s="236">
        <v>6.0000000000000001E-3</v>
      </c>
      <c r="AC101" s="235">
        <v>44510</v>
      </c>
      <c r="AD101" s="234"/>
      <c r="AE101" s="235">
        <v>45002</v>
      </c>
      <c r="AF101" s="232" t="s">
        <v>77</v>
      </c>
      <c r="AG101" s="232" t="s">
        <v>350</v>
      </c>
      <c r="AH101" s="234" t="s">
        <v>317</v>
      </c>
      <c r="AI101" s="250"/>
      <c r="AJ101" s="234">
        <v>0</v>
      </c>
      <c r="AK101" s="224"/>
      <c r="AL101" s="234">
        <v>0</v>
      </c>
      <c r="AM101" s="224"/>
      <c r="AN101" s="234">
        <v>0</v>
      </c>
      <c r="AO101" s="234">
        <v>0</v>
      </c>
      <c r="AP101" s="234">
        <v>0</v>
      </c>
      <c r="AQ101" s="234">
        <v>-1</v>
      </c>
      <c r="AR101" s="234">
        <v>0</v>
      </c>
      <c r="AS101" s="234">
        <v>1</v>
      </c>
      <c r="AT101" s="234">
        <v>0</v>
      </c>
      <c r="AU101" s="234">
        <v>0</v>
      </c>
      <c r="AV101" s="234">
        <v>0</v>
      </c>
      <c r="AW101" s="234">
        <v>0</v>
      </c>
      <c r="AX101" s="234">
        <v>0</v>
      </c>
      <c r="AY101" s="234">
        <v>0</v>
      </c>
      <c r="AZ101" s="234">
        <v>0</v>
      </c>
      <c r="BA101" s="234">
        <v>0</v>
      </c>
      <c r="BB101" s="234">
        <v>0</v>
      </c>
      <c r="BC101" s="234">
        <v>0</v>
      </c>
      <c r="BD101" s="234">
        <v>0</v>
      </c>
      <c r="BE101" s="234">
        <v>-1</v>
      </c>
      <c r="BF101" s="234">
        <v>0</v>
      </c>
      <c r="BG101" s="234">
        <v>1</v>
      </c>
      <c r="BH101" s="234">
        <v>0</v>
      </c>
      <c r="BI101" s="234">
        <v>0</v>
      </c>
      <c r="BJ101" s="234">
        <v>0</v>
      </c>
      <c r="BK101" s="234">
        <v>0</v>
      </c>
      <c r="BL101" s="234">
        <v>0</v>
      </c>
      <c r="BM101" s="234">
        <v>0</v>
      </c>
      <c r="BN101" s="234">
        <v>0</v>
      </c>
      <c r="BO101" s="234">
        <v>0</v>
      </c>
      <c r="BP101" s="234"/>
      <c r="BQ101" s="234"/>
      <c r="BR101" s="237" t="s">
        <v>334</v>
      </c>
      <c r="BS101" s="238">
        <v>1</v>
      </c>
      <c r="BT101" s="239">
        <f t="shared" si="7"/>
        <v>0</v>
      </c>
      <c r="CN101" s="238">
        <f t="shared" si="5"/>
        <v>0</v>
      </c>
      <c r="CO101" s="238">
        <f t="shared" si="6"/>
        <v>0</v>
      </c>
    </row>
    <row r="102" spans="1:93" ht="13.95" customHeight="1" x14ac:dyDescent="0.2">
      <c r="A102" s="231">
        <v>3943</v>
      </c>
      <c r="B102" s="232" t="s">
        <v>314</v>
      </c>
      <c r="C102" s="232" t="s">
        <v>465</v>
      </c>
      <c r="D102" s="232" t="s">
        <v>466</v>
      </c>
      <c r="E102" s="232" t="s">
        <v>467</v>
      </c>
      <c r="F102" s="231">
        <v>529575</v>
      </c>
      <c r="G102" s="231">
        <v>177401</v>
      </c>
      <c r="H102" s="232" t="s">
        <v>168</v>
      </c>
      <c r="I102" s="233">
        <v>43798</v>
      </c>
      <c r="J102" s="233">
        <v>44820</v>
      </c>
      <c r="K102" s="231">
        <v>0</v>
      </c>
      <c r="L102" s="231">
        <v>26</v>
      </c>
      <c r="M102" s="231">
        <v>26</v>
      </c>
      <c r="N102" s="231">
        <v>261</v>
      </c>
      <c r="O102" s="231">
        <v>261</v>
      </c>
      <c r="P102" s="234" t="s">
        <v>318</v>
      </c>
      <c r="Q102" s="232" t="s">
        <v>468</v>
      </c>
      <c r="R102" s="234" t="s">
        <v>469</v>
      </c>
      <c r="S102" s="235">
        <v>43917</v>
      </c>
      <c r="T102" s="235">
        <v>43936</v>
      </c>
      <c r="U102" s="234"/>
      <c r="V102" s="232" t="s">
        <v>321</v>
      </c>
      <c r="W102" s="231"/>
      <c r="X102" s="232" t="s">
        <v>322</v>
      </c>
      <c r="Y102" s="232" t="s">
        <v>323</v>
      </c>
      <c r="Z102" s="232" t="s">
        <v>323</v>
      </c>
      <c r="AA102" s="232" t="s">
        <v>324</v>
      </c>
      <c r="AB102" s="236">
        <v>2.8000000000000001E-2</v>
      </c>
      <c r="AC102" s="235">
        <v>43921</v>
      </c>
      <c r="AD102" s="234"/>
      <c r="AE102" s="235">
        <v>44813</v>
      </c>
      <c r="AF102" s="232" t="s">
        <v>56</v>
      </c>
      <c r="AG102" s="232" t="s">
        <v>345</v>
      </c>
      <c r="AH102" s="234" t="s">
        <v>471</v>
      </c>
      <c r="AI102" s="250"/>
      <c r="AJ102" s="234">
        <v>0</v>
      </c>
      <c r="AK102" s="234">
        <v>23</v>
      </c>
      <c r="AL102" s="234">
        <v>0</v>
      </c>
      <c r="AM102" s="234">
        <v>3</v>
      </c>
      <c r="AN102" s="234">
        <v>0</v>
      </c>
      <c r="AO102" s="234">
        <v>8</v>
      </c>
      <c r="AP102" s="234">
        <v>18</v>
      </c>
      <c r="AQ102" s="234">
        <v>0</v>
      </c>
      <c r="AR102" s="234">
        <v>0</v>
      </c>
      <c r="AS102" s="234">
        <v>0</v>
      </c>
      <c r="AT102" s="234">
        <v>0</v>
      </c>
      <c r="AU102" s="234">
        <v>0</v>
      </c>
      <c r="AV102" s="234">
        <v>8</v>
      </c>
      <c r="AW102" s="234">
        <v>18</v>
      </c>
      <c r="AX102" s="234">
        <v>0</v>
      </c>
      <c r="AY102" s="234">
        <v>0</v>
      </c>
      <c r="AZ102" s="234">
        <v>0</v>
      </c>
      <c r="BA102" s="234">
        <v>0</v>
      </c>
      <c r="BB102" s="234">
        <v>0</v>
      </c>
      <c r="BC102" s="234">
        <v>0</v>
      </c>
      <c r="BD102" s="234">
        <v>0</v>
      </c>
      <c r="BE102" s="234">
        <v>0</v>
      </c>
      <c r="BF102" s="234">
        <v>0</v>
      </c>
      <c r="BG102" s="234">
        <v>0</v>
      </c>
      <c r="BH102" s="234">
        <v>0</v>
      </c>
      <c r="BI102" s="234">
        <v>0</v>
      </c>
      <c r="BJ102" s="234">
        <v>0</v>
      </c>
      <c r="BK102" s="234">
        <v>0</v>
      </c>
      <c r="BL102" s="234">
        <v>0</v>
      </c>
      <c r="BM102" s="234">
        <v>0</v>
      </c>
      <c r="BN102" s="234">
        <v>0</v>
      </c>
      <c r="BO102" s="234">
        <v>0</v>
      </c>
      <c r="BP102" s="234"/>
      <c r="BQ102" s="234" t="s">
        <v>318</v>
      </c>
      <c r="BR102" s="237" t="s">
        <v>151</v>
      </c>
      <c r="BS102" s="238">
        <v>1</v>
      </c>
      <c r="BT102" s="239">
        <f t="shared" si="7"/>
        <v>26</v>
      </c>
      <c r="CN102" s="238">
        <f t="shared" si="5"/>
        <v>0</v>
      </c>
      <c r="CO102" s="238">
        <f t="shared" si="6"/>
        <v>0</v>
      </c>
    </row>
    <row r="103" spans="1:93" ht="13.95" customHeight="1" x14ac:dyDescent="0.2">
      <c r="A103" s="231">
        <v>3666</v>
      </c>
      <c r="B103" s="232" t="s">
        <v>314</v>
      </c>
      <c r="C103" s="232" t="s">
        <v>636</v>
      </c>
      <c r="D103" s="232" t="s">
        <v>637</v>
      </c>
      <c r="E103" s="232" t="s">
        <v>317</v>
      </c>
      <c r="F103" s="231">
        <v>528371</v>
      </c>
      <c r="G103" s="231">
        <v>175760</v>
      </c>
      <c r="H103" s="232" t="s">
        <v>171</v>
      </c>
      <c r="I103" s="233">
        <v>44992</v>
      </c>
      <c r="J103" s="233">
        <v>44992</v>
      </c>
      <c r="K103" s="231">
        <v>3</v>
      </c>
      <c r="L103" s="231">
        <v>6</v>
      </c>
      <c r="M103" s="231">
        <v>3</v>
      </c>
      <c r="N103" s="231">
        <v>6</v>
      </c>
      <c r="O103" s="231">
        <v>3</v>
      </c>
      <c r="P103" s="234"/>
      <c r="Q103" s="232" t="s">
        <v>638</v>
      </c>
      <c r="R103" s="234" t="s">
        <v>639</v>
      </c>
      <c r="S103" s="235">
        <v>44915</v>
      </c>
      <c r="T103" s="235">
        <v>44992</v>
      </c>
      <c r="U103" s="234" t="s">
        <v>318</v>
      </c>
      <c r="V103" s="232" t="s">
        <v>321</v>
      </c>
      <c r="W103" s="231"/>
      <c r="X103" s="232" t="s">
        <v>322</v>
      </c>
      <c r="Y103" s="232" t="s">
        <v>378</v>
      </c>
      <c r="Z103" s="232" t="s">
        <v>324</v>
      </c>
      <c r="AA103" s="232" t="s">
        <v>411</v>
      </c>
      <c r="AB103" s="236">
        <v>6.7666669999999996E-3</v>
      </c>
      <c r="AC103" s="235">
        <v>44992</v>
      </c>
      <c r="AD103" s="234" t="s">
        <v>318</v>
      </c>
      <c r="AE103" s="235">
        <v>44992</v>
      </c>
      <c r="AF103" s="232" t="s">
        <v>77</v>
      </c>
      <c r="AG103" s="232" t="s">
        <v>350</v>
      </c>
      <c r="AH103" s="234" t="s">
        <v>317</v>
      </c>
      <c r="AI103" s="250"/>
      <c r="AJ103" s="234">
        <v>0</v>
      </c>
      <c r="AK103" s="224"/>
      <c r="AL103" s="234">
        <v>0</v>
      </c>
      <c r="AM103" s="224"/>
      <c r="AN103" s="234">
        <v>0</v>
      </c>
      <c r="AO103" s="234">
        <v>-1</v>
      </c>
      <c r="AP103" s="234">
        <v>-2</v>
      </c>
      <c r="AQ103" s="234">
        <v>0</v>
      </c>
      <c r="AR103" s="234">
        <v>0</v>
      </c>
      <c r="AS103" s="234">
        <v>0</v>
      </c>
      <c r="AT103" s="234">
        <v>6</v>
      </c>
      <c r="AU103" s="234">
        <v>0</v>
      </c>
      <c r="AV103" s="234">
        <v>-1</v>
      </c>
      <c r="AW103" s="234">
        <v>-2</v>
      </c>
      <c r="AX103" s="234">
        <v>0</v>
      </c>
      <c r="AY103" s="234">
        <v>0</v>
      </c>
      <c r="AZ103" s="234">
        <v>0</v>
      </c>
      <c r="BA103" s="234">
        <v>6</v>
      </c>
      <c r="BB103" s="234">
        <v>0</v>
      </c>
      <c r="BC103" s="234">
        <v>0</v>
      </c>
      <c r="BD103" s="234">
        <v>0</v>
      </c>
      <c r="BE103" s="234">
        <v>0</v>
      </c>
      <c r="BF103" s="234">
        <v>0</v>
      </c>
      <c r="BG103" s="234">
        <v>0</v>
      </c>
      <c r="BH103" s="234">
        <v>0</v>
      </c>
      <c r="BI103" s="234">
        <v>0</v>
      </c>
      <c r="BJ103" s="234">
        <v>0</v>
      </c>
      <c r="BK103" s="234">
        <v>0</v>
      </c>
      <c r="BL103" s="234">
        <v>0</v>
      </c>
      <c r="BM103" s="234">
        <v>0</v>
      </c>
      <c r="BN103" s="234">
        <v>0</v>
      </c>
      <c r="BO103" s="234">
        <v>0</v>
      </c>
      <c r="BP103" s="234"/>
      <c r="BQ103" s="234"/>
      <c r="BR103" s="237" t="s">
        <v>334</v>
      </c>
      <c r="BS103" s="238">
        <v>11</v>
      </c>
      <c r="BT103" s="239">
        <f t="shared" si="7"/>
        <v>3</v>
      </c>
      <c r="CN103" s="238">
        <f t="shared" si="5"/>
        <v>0</v>
      </c>
      <c r="CO103" s="238">
        <f t="shared" si="6"/>
        <v>0</v>
      </c>
    </row>
    <row r="104" spans="1:93" ht="13.95" customHeight="1" x14ac:dyDescent="0.2">
      <c r="A104" s="231">
        <v>7960</v>
      </c>
      <c r="B104" s="232" t="s">
        <v>314</v>
      </c>
      <c r="C104" s="232" t="s">
        <v>640</v>
      </c>
      <c r="D104" s="232" t="s">
        <v>641</v>
      </c>
      <c r="E104" s="232" t="s">
        <v>317</v>
      </c>
      <c r="F104" s="231">
        <v>522588</v>
      </c>
      <c r="G104" s="231">
        <v>173914</v>
      </c>
      <c r="H104" s="232" t="s">
        <v>170</v>
      </c>
      <c r="I104" s="233">
        <v>44953</v>
      </c>
      <c r="J104" s="233">
        <v>44953</v>
      </c>
      <c r="K104" s="231">
        <v>0</v>
      </c>
      <c r="L104" s="231">
        <v>1</v>
      </c>
      <c r="M104" s="231">
        <v>1</v>
      </c>
      <c r="N104" s="231">
        <v>1</v>
      </c>
      <c r="O104" s="231">
        <v>1</v>
      </c>
      <c r="P104" s="234"/>
      <c r="Q104" s="232" t="s">
        <v>642</v>
      </c>
      <c r="R104" s="234" t="s">
        <v>639</v>
      </c>
      <c r="S104" s="235">
        <v>44907</v>
      </c>
      <c r="T104" s="235">
        <v>44953</v>
      </c>
      <c r="U104" s="234" t="s">
        <v>318</v>
      </c>
      <c r="V104" s="232" t="s">
        <v>321</v>
      </c>
      <c r="W104" s="231"/>
      <c r="X104" s="232" t="s">
        <v>322</v>
      </c>
      <c r="Y104" s="232" t="s">
        <v>323</v>
      </c>
      <c r="Z104" s="232" t="s">
        <v>324</v>
      </c>
      <c r="AA104" s="232" t="s">
        <v>349</v>
      </c>
      <c r="AB104" s="236">
        <v>2.0300000000000001E-3</v>
      </c>
      <c r="AC104" s="235">
        <v>44953</v>
      </c>
      <c r="AD104" s="234" t="s">
        <v>318</v>
      </c>
      <c r="AE104" s="235">
        <v>44953</v>
      </c>
      <c r="AF104" s="232" t="s">
        <v>77</v>
      </c>
      <c r="AG104" s="232" t="s">
        <v>340</v>
      </c>
      <c r="AH104" s="234" t="s">
        <v>317</v>
      </c>
      <c r="AI104" s="250"/>
      <c r="AJ104" s="234">
        <v>0</v>
      </c>
      <c r="AK104" s="224"/>
      <c r="AL104" s="234">
        <v>0</v>
      </c>
      <c r="AM104" s="224"/>
      <c r="AN104" s="234">
        <v>0</v>
      </c>
      <c r="AO104" s="234">
        <v>1</v>
      </c>
      <c r="AP104" s="234">
        <v>0</v>
      </c>
      <c r="AQ104" s="234">
        <v>0</v>
      </c>
      <c r="AR104" s="234">
        <v>0</v>
      </c>
      <c r="AS104" s="234">
        <v>0</v>
      </c>
      <c r="AT104" s="234">
        <v>0</v>
      </c>
      <c r="AU104" s="234">
        <v>0</v>
      </c>
      <c r="AV104" s="234">
        <v>1</v>
      </c>
      <c r="AW104" s="234">
        <v>0</v>
      </c>
      <c r="AX104" s="234">
        <v>0</v>
      </c>
      <c r="AY104" s="234">
        <v>0</v>
      </c>
      <c r="AZ104" s="234">
        <v>0</v>
      </c>
      <c r="BA104" s="234">
        <v>0</v>
      </c>
      <c r="BB104" s="234">
        <v>0</v>
      </c>
      <c r="BC104" s="234">
        <v>0</v>
      </c>
      <c r="BD104" s="234">
        <v>0</v>
      </c>
      <c r="BE104" s="234">
        <v>0</v>
      </c>
      <c r="BF104" s="234">
        <v>0</v>
      </c>
      <c r="BG104" s="234">
        <v>0</v>
      </c>
      <c r="BH104" s="234">
        <v>0</v>
      </c>
      <c r="BI104" s="234">
        <v>0</v>
      </c>
      <c r="BJ104" s="234">
        <v>0</v>
      </c>
      <c r="BK104" s="234">
        <v>0</v>
      </c>
      <c r="BL104" s="234">
        <v>0</v>
      </c>
      <c r="BM104" s="234">
        <v>0</v>
      </c>
      <c r="BN104" s="234">
        <v>0</v>
      </c>
      <c r="BO104" s="234">
        <v>0</v>
      </c>
      <c r="BP104" s="234"/>
      <c r="BQ104" s="234"/>
      <c r="BR104" s="237" t="s">
        <v>334</v>
      </c>
      <c r="BS104" s="238">
        <v>1</v>
      </c>
      <c r="BT104" s="239">
        <f t="shared" si="7"/>
        <v>1</v>
      </c>
      <c r="CN104" s="238">
        <f t="shared" si="5"/>
        <v>0</v>
      </c>
      <c r="CO104" s="238">
        <f t="shared" si="6"/>
        <v>0</v>
      </c>
    </row>
    <row r="105" spans="1:93" ht="13.95" customHeight="1" x14ac:dyDescent="0.2">
      <c r="A105" s="231">
        <v>2563</v>
      </c>
      <c r="B105" s="232" t="s">
        <v>314</v>
      </c>
      <c r="C105" s="232" t="s">
        <v>643</v>
      </c>
      <c r="D105" s="232" t="s">
        <v>644</v>
      </c>
      <c r="E105" s="232" t="s">
        <v>317</v>
      </c>
      <c r="F105" s="231">
        <v>524452</v>
      </c>
      <c r="G105" s="231">
        <v>174443</v>
      </c>
      <c r="H105" s="232" t="s">
        <v>164</v>
      </c>
      <c r="I105" s="233">
        <v>44930</v>
      </c>
      <c r="J105" s="233">
        <v>44930</v>
      </c>
      <c r="K105" s="231">
        <v>0</v>
      </c>
      <c r="L105" s="231">
        <v>1</v>
      </c>
      <c r="M105" s="231">
        <v>1</v>
      </c>
      <c r="N105" s="231">
        <v>1</v>
      </c>
      <c r="O105" s="231">
        <v>1</v>
      </c>
      <c r="P105" s="234"/>
      <c r="Q105" s="232" t="s">
        <v>645</v>
      </c>
      <c r="R105" s="234" t="s">
        <v>639</v>
      </c>
      <c r="S105" s="235">
        <v>44875</v>
      </c>
      <c r="T105" s="235">
        <v>44930</v>
      </c>
      <c r="U105" s="234" t="s">
        <v>318</v>
      </c>
      <c r="V105" s="232" t="s">
        <v>321</v>
      </c>
      <c r="W105" s="231"/>
      <c r="X105" s="232" t="s">
        <v>322</v>
      </c>
      <c r="Y105" s="232" t="s">
        <v>323</v>
      </c>
      <c r="Z105" s="232" t="s">
        <v>324</v>
      </c>
      <c r="AA105" s="232" t="s">
        <v>349</v>
      </c>
      <c r="AB105" s="236">
        <v>4.0000000000000001E-3</v>
      </c>
      <c r="AC105" s="235">
        <v>44930</v>
      </c>
      <c r="AD105" s="234" t="s">
        <v>318</v>
      </c>
      <c r="AE105" s="235">
        <v>44930</v>
      </c>
      <c r="AF105" s="232" t="s">
        <v>77</v>
      </c>
      <c r="AG105" s="232" t="s">
        <v>350</v>
      </c>
      <c r="AH105" s="234" t="s">
        <v>317</v>
      </c>
      <c r="AI105" s="250"/>
      <c r="AJ105" s="234">
        <v>0</v>
      </c>
      <c r="AK105" s="224"/>
      <c r="AL105" s="234">
        <v>0</v>
      </c>
      <c r="AM105" s="224"/>
      <c r="AN105" s="234">
        <v>0</v>
      </c>
      <c r="AO105" s="234">
        <v>1</v>
      </c>
      <c r="AP105" s="234">
        <v>0</v>
      </c>
      <c r="AQ105" s="234">
        <v>0</v>
      </c>
      <c r="AR105" s="234">
        <v>0</v>
      </c>
      <c r="AS105" s="234">
        <v>0</v>
      </c>
      <c r="AT105" s="234">
        <v>0</v>
      </c>
      <c r="AU105" s="234">
        <v>0</v>
      </c>
      <c r="AV105" s="234">
        <v>1</v>
      </c>
      <c r="AW105" s="234">
        <v>0</v>
      </c>
      <c r="AX105" s="234">
        <v>0</v>
      </c>
      <c r="AY105" s="234">
        <v>0</v>
      </c>
      <c r="AZ105" s="234">
        <v>0</v>
      </c>
      <c r="BA105" s="234">
        <v>0</v>
      </c>
      <c r="BB105" s="234">
        <v>0</v>
      </c>
      <c r="BC105" s="234">
        <v>0</v>
      </c>
      <c r="BD105" s="234">
        <v>0</v>
      </c>
      <c r="BE105" s="234">
        <v>0</v>
      </c>
      <c r="BF105" s="234">
        <v>0</v>
      </c>
      <c r="BG105" s="234">
        <v>0</v>
      </c>
      <c r="BH105" s="234">
        <v>0</v>
      </c>
      <c r="BI105" s="234">
        <v>0</v>
      </c>
      <c r="BJ105" s="234">
        <v>0</v>
      </c>
      <c r="BK105" s="234">
        <v>0</v>
      </c>
      <c r="BL105" s="234">
        <v>0</v>
      </c>
      <c r="BM105" s="234">
        <v>0</v>
      </c>
      <c r="BN105" s="234">
        <v>0</v>
      </c>
      <c r="BO105" s="234">
        <v>0</v>
      </c>
      <c r="BP105" s="234"/>
      <c r="BQ105" s="234"/>
      <c r="BR105" s="237" t="s">
        <v>334</v>
      </c>
      <c r="BS105" s="238">
        <v>1</v>
      </c>
      <c r="BT105" s="239">
        <f t="shared" si="7"/>
        <v>1</v>
      </c>
      <c r="CN105" s="238">
        <f t="shared" si="5"/>
        <v>0</v>
      </c>
      <c r="CO105" s="238">
        <f t="shared" si="6"/>
        <v>0</v>
      </c>
    </row>
    <row r="106" spans="1:93" ht="13.95" customHeight="1" x14ac:dyDescent="0.2">
      <c r="A106" s="231">
        <v>3792</v>
      </c>
      <c r="B106" s="232" t="s">
        <v>314</v>
      </c>
      <c r="C106" s="232" t="s">
        <v>646</v>
      </c>
      <c r="D106" s="232" t="s">
        <v>647</v>
      </c>
      <c r="E106" s="232" t="s">
        <v>317</v>
      </c>
      <c r="F106" s="231">
        <v>527949</v>
      </c>
      <c r="G106" s="231">
        <v>172431</v>
      </c>
      <c r="H106" s="232" t="s">
        <v>178</v>
      </c>
      <c r="I106" s="233">
        <v>44926</v>
      </c>
      <c r="J106" s="233">
        <v>45016</v>
      </c>
      <c r="K106" s="231">
        <v>0</v>
      </c>
      <c r="L106" s="231">
        <v>1</v>
      </c>
      <c r="M106" s="231">
        <v>1</v>
      </c>
      <c r="N106" s="231">
        <v>1</v>
      </c>
      <c r="O106" s="231">
        <v>1</v>
      </c>
      <c r="P106" s="234"/>
      <c r="Q106" s="232" t="s">
        <v>648</v>
      </c>
      <c r="R106" s="234" t="s">
        <v>629</v>
      </c>
      <c r="S106" s="235">
        <v>44888</v>
      </c>
      <c r="T106" s="235">
        <v>44938</v>
      </c>
      <c r="U106" s="234" t="s">
        <v>318</v>
      </c>
      <c r="V106" s="232" t="s">
        <v>321</v>
      </c>
      <c r="W106" s="231"/>
      <c r="X106" s="232" t="s">
        <v>322</v>
      </c>
      <c r="Y106" s="232" t="s">
        <v>378</v>
      </c>
      <c r="Z106" s="232" t="s">
        <v>324</v>
      </c>
      <c r="AA106" s="232" t="s">
        <v>25</v>
      </c>
      <c r="AB106" s="236">
        <v>4.0000000000000001E-3</v>
      </c>
      <c r="AC106" s="235">
        <v>44926</v>
      </c>
      <c r="AD106" s="234" t="s">
        <v>318</v>
      </c>
      <c r="AE106" s="235">
        <v>45016</v>
      </c>
      <c r="AF106" s="232" t="s">
        <v>77</v>
      </c>
      <c r="AG106" s="232" t="s">
        <v>350</v>
      </c>
      <c r="AH106" s="234" t="s">
        <v>317</v>
      </c>
      <c r="AI106" s="250"/>
      <c r="AJ106" s="234">
        <v>0</v>
      </c>
      <c r="AK106" s="224"/>
      <c r="AL106" s="234">
        <v>0</v>
      </c>
      <c r="AM106" s="224"/>
      <c r="AN106" s="234">
        <v>0</v>
      </c>
      <c r="AO106" s="234">
        <v>1</v>
      </c>
      <c r="AP106" s="234">
        <v>0</v>
      </c>
      <c r="AQ106" s="234">
        <v>0</v>
      </c>
      <c r="AR106" s="234">
        <v>0</v>
      </c>
      <c r="AS106" s="234">
        <v>0</v>
      </c>
      <c r="AT106" s="234">
        <v>0</v>
      </c>
      <c r="AU106" s="234">
        <v>0</v>
      </c>
      <c r="AV106" s="234">
        <v>1</v>
      </c>
      <c r="AW106" s="234">
        <v>0</v>
      </c>
      <c r="AX106" s="234">
        <v>0</v>
      </c>
      <c r="AY106" s="234">
        <v>0</v>
      </c>
      <c r="AZ106" s="234">
        <v>0</v>
      </c>
      <c r="BA106" s="234">
        <v>0</v>
      </c>
      <c r="BB106" s="234">
        <v>0</v>
      </c>
      <c r="BC106" s="234">
        <v>0</v>
      </c>
      <c r="BD106" s="234">
        <v>0</v>
      </c>
      <c r="BE106" s="234">
        <v>0</v>
      </c>
      <c r="BF106" s="234">
        <v>0</v>
      </c>
      <c r="BG106" s="234">
        <v>0</v>
      </c>
      <c r="BH106" s="234">
        <v>0</v>
      </c>
      <c r="BI106" s="234">
        <v>0</v>
      </c>
      <c r="BJ106" s="234">
        <v>0</v>
      </c>
      <c r="BK106" s="234">
        <v>0</v>
      </c>
      <c r="BL106" s="234">
        <v>0</v>
      </c>
      <c r="BM106" s="234">
        <v>0</v>
      </c>
      <c r="BN106" s="234">
        <v>0</v>
      </c>
      <c r="BO106" s="234">
        <v>0</v>
      </c>
      <c r="BP106" s="234"/>
      <c r="BQ106" s="234"/>
      <c r="BR106" s="237" t="s">
        <v>334</v>
      </c>
      <c r="BS106" s="238">
        <v>11</v>
      </c>
      <c r="BT106" s="239">
        <f t="shared" si="7"/>
        <v>1</v>
      </c>
      <c r="CN106" s="238">
        <f t="shared" si="5"/>
        <v>0</v>
      </c>
      <c r="CO106" s="238">
        <f t="shared" si="6"/>
        <v>0</v>
      </c>
    </row>
    <row r="107" spans="1:93" ht="13.95" customHeight="1" x14ac:dyDescent="0.2">
      <c r="A107" s="231">
        <v>7899</v>
      </c>
      <c r="B107" s="232" t="s">
        <v>314</v>
      </c>
      <c r="C107" s="232" t="s">
        <v>649</v>
      </c>
      <c r="D107" s="232" t="s">
        <v>650</v>
      </c>
      <c r="E107" s="232" t="s">
        <v>317</v>
      </c>
      <c r="F107" s="231">
        <v>523433</v>
      </c>
      <c r="G107" s="231">
        <v>174695</v>
      </c>
      <c r="H107" s="232" t="s">
        <v>183</v>
      </c>
      <c r="I107" s="233">
        <v>44901</v>
      </c>
      <c r="J107" s="233">
        <v>44901</v>
      </c>
      <c r="K107" s="231">
        <v>3</v>
      </c>
      <c r="L107" s="231">
        <v>1</v>
      </c>
      <c r="M107" s="231">
        <v>-2</v>
      </c>
      <c r="N107" s="231">
        <v>1</v>
      </c>
      <c r="O107" s="231">
        <v>-2</v>
      </c>
      <c r="P107" s="234"/>
      <c r="Q107" s="232" t="s">
        <v>651</v>
      </c>
      <c r="R107" s="234" t="s">
        <v>639</v>
      </c>
      <c r="S107" s="235">
        <v>44846</v>
      </c>
      <c r="T107" s="235">
        <v>44901</v>
      </c>
      <c r="U107" s="234" t="s">
        <v>318</v>
      </c>
      <c r="V107" s="232" t="s">
        <v>321</v>
      </c>
      <c r="W107" s="231"/>
      <c r="X107" s="232" t="s">
        <v>322</v>
      </c>
      <c r="Y107" s="232" t="s">
        <v>365</v>
      </c>
      <c r="Z107" s="232" t="s">
        <v>324</v>
      </c>
      <c r="AA107" s="232" t="s">
        <v>17</v>
      </c>
      <c r="AB107" s="236">
        <v>0</v>
      </c>
      <c r="AC107" s="235">
        <v>44901</v>
      </c>
      <c r="AD107" s="234" t="s">
        <v>318</v>
      </c>
      <c r="AE107" s="235">
        <v>44901</v>
      </c>
      <c r="AF107" s="232" t="s">
        <v>77</v>
      </c>
      <c r="AG107" s="232" t="s">
        <v>350</v>
      </c>
      <c r="AH107" s="234" t="s">
        <v>317</v>
      </c>
      <c r="AI107" s="250"/>
      <c r="AJ107" s="234">
        <v>0</v>
      </c>
      <c r="AK107" s="224"/>
      <c r="AL107" s="234">
        <v>0</v>
      </c>
      <c r="AM107" s="224"/>
      <c r="AN107" s="234">
        <v>0</v>
      </c>
      <c r="AO107" s="234">
        <v>0</v>
      </c>
      <c r="AP107" s="234">
        <v>0</v>
      </c>
      <c r="AQ107" s="234">
        <v>0</v>
      </c>
      <c r="AR107" s="234">
        <v>0</v>
      </c>
      <c r="AS107" s="234">
        <v>1</v>
      </c>
      <c r="AT107" s="234">
        <v>-3</v>
      </c>
      <c r="AU107" s="234">
        <v>0</v>
      </c>
      <c r="AV107" s="234">
        <v>0</v>
      </c>
      <c r="AW107" s="234">
        <v>0</v>
      </c>
      <c r="AX107" s="234">
        <v>0</v>
      </c>
      <c r="AY107" s="234">
        <v>0</v>
      </c>
      <c r="AZ107" s="234">
        <v>0</v>
      </c>
      <c r="BA107" s="234">
        <v>-3</v>
      </c>
      <c r="BB107" s="234">
        <v>0</v>
      </c>
      <c r="BC107" s="234">
        <v>0</v>
      </c>
      <c r="BD107" s="234">
        <v>0</v>
      </c>
      <c r="BE107" s="234">
        <v>0</v>
      </c>
      <c r="BF107" s="234">
        <v>0</v>
      </c>
      <c r="BG107" s="234">
        <v>1</v>
      </c>
      <c r="BH107" s="234">
        <v>0</v>
      </c>
      <c r="BI107" s="234">
        <v>0</v>
      </c>
      <c r="BJ107" s="234">
        <v>0</v>
      </c>
      <c r="BK107" s="234">
        <v>0</v>
      </c>
      <c r="BL107" s="234">
        <v>0</v>
      </c>
      <c r="BM107" s="234">
        <v>0</v>
      </c>
      <c r="BN107" s="234">
        <v>0</v>
      </c>
      <c r="BO107" s="234">
        <v>0</v>
      </c>
      <c r="BP107" s="234"/>
      <c r="BQ107" s="234"/>
      <c r="BR107" s="237" t="s">
        <v>334</v>
      </c>
      <c r="BS107" s="238">
        <v>11</v>
      </c>
      <c r="BT107" s="239">
        <f t="shared" si="7"/>
        <v>-2</v>
      </c>
      <c r="CN107" s="238">
        <f t="shared" si="5"/>
        <v>0</v>
      </c>
      <c r="CO107" s="238">
        <f t="shared" si="6"/>
        <v>0</v>
      </c>
    </row>
    <row r="108" spans="1:93" ht="13.95" customHeight="1" x14ac:dyDescent="0.2">
      <c r="A108" s="231">
        <v>3961</v>
      </c>
      <c r="B108" s="232" t="s">
        <v>314</v>
      </c>
      <c r="C108" s="232" t="s">
        <v>652</v>
      </c>
      <c r="D108" s="232" t="s">
        <v>653</v>
      </c>
      <c r="E108" s="232" t="s">
        <v>317</v>
      </c>
      <c r="F108" s="231">
        <v>527645</v>
      </c>
      <c r="G108" s="231">
        <v>171873</v>
      </c>
      <c r="H108" s="232" t="s">
        <v>176</v>
      </c>
      <c r="I108" s="233">
        <v>44883</v>
      </c>
      <c r="J108" s="233">
        <v>44883</v>
      </c>
      <c r="K108" s="231">
        <v>0</v>
      </c>
      <c r="L108" s="231">
        <v>32</v>
      </c>
      <c r="M108" s="231">
        <v>32</v>
      </c>
      <c r="N108" s="231">
        <v>41</v>
      </c>
      <c r="O108" s="231">
        <v>41</v>
      </c>
      <c r="P108" s="234" t="s">
        <v>318</v>
      </c>
      <c r="Q108" s="232" t="s">
        <v>654</v>
      </c>
      <c r="R108" s="234" t="s">
        <v>655</v>
      </c>
      <c r="S108" s="235">
        <v>44763</v>
      </c>
      <c r="T108" s="235">
        <v>44883</v>
      </c>
      <c r="U108" s="234" t="s">
        <v>318</v>
      </c>
      <c r="V108" s="232" t="s">
        <v>321</v>
      </c>
      <c r="W108" s="231"/>
      <c r="X108" s="232" t="s">
        <v>322</v>
      </c>
      <c r="Y108" s="232" t="s">
        <v>365</v>
      </c>
      <c r="Z108" s="232" t="s">
        <v>656</v>
      </c>
      <c r="AA108" s="232" t="s">
        <v>324</v>
      </c>
      <c r="AB108" s="236">
        <v>0.14599999999999999</v>
      </c>
      <c r="AC108" s="235">
        <v>44883</v>
      </c>
      <c r="AD108" s="234" t="s">
        <v>318</v>
      </c>
      <c r="AE108" s="235">
        <v>44883</v>
      </c>
      <c r="AF108" s="232" t="s">
        <v>77</v>
      </c>
      <c r="AG108" s="232" t="s">
        <v>340</v>
      </c>
      <c r="AH108" s="234" t="s">
        <v>657</v>
      </c>
      <c r="AI108" s="250"/>
      <c r="AJ108" s="234">
        <v>0</v>
      </c>
      <c r="AK108" s="224"/>
      <c r="AL108" s="234">
        <v>0</v>
      </c>
      <c r="AM108" s="224"/>
      <c r="AN108" s="234">
        <v>0</v>
      </c>
      <c r="AO108" s="234">
        <v>7</v>
      </c>
      <c r="AP108" s="234">
        <v>22</v>
      </c>
      <c r="AQ108" s="234">
        <v>3</v>
      </c>
      <c r="AR108" s="234">
        <v>0</v>
      </c>
      <c r="AS108" s="234">
        <v>0</v>
      </c>
      <c r="AT108" s="234">
        <v>0</v>
      </c>
      <c r="AU108" s="234">
        <v>0</v>
      </c>
      <c r="AV108" s="234">
        <v>7</v>
      </c>
      <c r="AW108" s="234">
        <v>22</v>
      </c>
      <c r="AX108" s="234">
        <v>3</v>
      </c>
      <c r="AY108" s="234">
        <v>0</v>
      </c>
      <c r="AZ108" s="234">
        <v>0</v>
      </c>
      <c r="BA108" s="234">
        <v>0</v>
      </c>
      <c r="BB108" s="234">
        <v>0</v>
      </c>
      <c r="BC108" s="234">
        <v>0</v>
      </c>
      <c r="BD108" s="234">
        <v>0</v>
      </c>
      <c r="BE108" s="234">
        <v>0</v>
      </c>
      <c r="BF108" s="234">
        <v>0</v>
      </c>
      <c r="BG108" s="234">
        <v>0</v>
      </c>
      <c r="BH108" s="234">
        <v>0</v>
      </c>
      <c r="BI108" s="234">
        <v>0</v>
      </c>
      <c r="BJ108" s="234">
        <v>0</v>
      </c>
      <c r="BK108" s="234">
        <v>0</v>
      </c>
      <c r="BL108" s="234">
        <v>0</v>
      </c>
      <c r="BM108" s="234">
        <v>0</v>
      </c>
      <c r="BN108" s="234">
        <v>0</v>
      </c>
      <c r="BO108" s="234">
        <v>0</v>
      </c>
      <c r="BP108" s="234" t="s">
        <v>144</v>
      </c>
      <c r="BQ108" s="234"/>
      <c r="BR108" s="237" t="s">
        <v>144</v>
      </c>
      <c r="BS108" s="238">
        <v>11</v>
      </c>
      <c r="BT108" s="239">
        <f t="shared" si="7"/>
        <v>32</v>
      </c>
      <c r="CN108" s="238">
        <f t="shared" si="5"/>
        <v>0</v>
      </c>
      <c r="CO108" s="238">
        <f t="shared" si="6"/>
        <v>0</v>
      </c>
    </row>
    <row r="109" spans="1:93" ht="13.95" customHeight="1" x14ac:dyDescent="0.2">
      <c r="A109" s="231">
        <v>3961</v>
      </c>
      <c r="B109" s="232" t="s">
        <v>314</v>
      </c>
      <c r="C109" s="232" t="s">
        <v>652</v>
      </c>
      <c r="D109" s="232" t="s">
        <v>653</v>
      </c>
      <c r="E109" s="232" t="s">
        <v>317</v>
      </c>
      <c r="F109" s="231">
        <v>527645</v>
      </c>
      <c r="G109" s="231">
        <v>171873</v>
      </c>
      <c r="H109" s="232" t="s">
        <v>176</v>
      </c>
      <c r="I109" s="233">
        <v>44883</v>
      </c>
      <c r="J109" s="233">
        <v>44883</v>
      </c>
      <c r="K109" s="231">
        <v>0</v>
      </c>
      <c r="L109" s="231">
        <v>9</v>
      </c>
      <c r="M109" s="231">
        <v>9</v>
      </c>
      <c r="N109" s="231">
        <v>41</v>
      </c>
      <c r="O109" s="231">
        <v>41</v>
      </c>
      <c r="P109" s="234" t="s">
        <v>318</v>
      </c>
      <c r="Q109" s="232" t="s">
        <v>654</v>
      </c>
      <c r="R109" s="234" t="s">
        <v>655</v>
      </c>
      <c r="S109" s="235">
        <v>44763</v>
      </c>
      <c r="T109" s="235">
        <v>44883</v>
      </c>
      <c r="U109" s="234" t="s">
        <v>318</v>
      </c>
      <c r="V109" s="232" t="s">
        <v>321</v>
      </c>
      <c r="W109" s="231"/>
      <c r="X109" s="232" t="s">
        <v>322</v>
      </c>
      <c r="Y109" s="232" t="s">
        <v>365</v>
      </c>
      <c r="Z109" s="232" t="s">
        <v>656</v>
      </c>
      <c r="AA109" s="232" t="s">
        <v>324</v>
      </c>
      <c r="AB109" s="236">
        <v>0.06</v>
      </c>
      <c r="AC109" s="235">
        <v>44883</v>
      </c>
      <c r="AD109" s="234" t="s">
        <v>318</v>
      </c>
      <c r="AE109" s="235">
        <v>44883</v>
      </c>
      <c r="AF109" s="232" t="s">
        <v>77</v>
      </c>
      <c r="AG109" s="232" t="s">
        <v>340</v>
      </c>
      <c r="AH109" s="234" t="s">
        <v>657</v>
      </c>
      <c r="AI109" s="250"/>
      <c r="AJ109" s="234">
        <v>0</v>
      </c>
      <c r="AK109" s="224"/>
      <c r="AL109" s="234">
        <v>0</v>
      </c>
      <c r="AM109" s="224"/>
      <c r="AN109" s="234">
        <v>0</v>
      </c>
      <c r="AO109" s="234">
        <v>2</v>
      </c>
      <c r="AP109" s="234">
        <v>6</v>
      </c>
      <c r="AQ109" s="234">
        <v>1</v>
      </c>
      <c r="AR109" s="234">
        <v>0</v>
      </c>
      <c r="AS109" s="234">
        <v>0</v>
      </c>
      <c r="AT109" s="234">
        <v>0</v>
      </c>
      <c r="AU109" s="234">
        <v>0</v>
      </c>
      <c r="AV109" s="234">
        <v>2</v>
      </c>
      <c r="AW109" s="234">
        <v>6</v>
      </c>
      <c r="AX109" s="234">
        <v>1</v>
      </c>
      <c r="AY109" s="234">
        <v>0</v>
      </c>
      <c r="AZ109" s="234">
        <v>0</v>
      </c>
      <c r="BA109" s="234">
        <v>0</v>
      </c>
      <c r="BB109" s="234">
        <v>0</v>
      </c>
      <c r="BC109" s="234">
        <v>0</v>
      </c>
      <c r="BD109" s="234">
        <v>0</v>
      </c>
      <c r="BE109" s="234">
        <v>0</v>
      </c>
      <c r="BF109" s="234">
        <v>0</v>
      </c>
      <c r="BG109" s="234">
        <v>0</v>
      </c>
      <c r="BH109" s="234">
        <v>0</v>
      </c>
      <c r="BI109" s="234">
        <v>0</v>
      </c>
      <c r="BJ109" s="234">
        <v>0</v>
      </c>
      <c r="BK109" s="234">
        <v>0</v>
      </c>
      <c r="BL109" s="234">
        <v>0</v>
      </c>
      <c r="BM109" s="234">
        <v>0</v>
      </c>
      <c r="BN109" s="234">
        <v>0</v>
      </c>
      <c r="BO109" s="234">
        <v>0</v>
      </c>
      <c r="BP109" s="234" t="s">
        <v>144</v>
      </c>
      <c r="BQ109" s="234"/>
      <c r="BR109" s="237" t="s">
        <v>144</v>
      </c>
      <c r="BS109" s="238">
        <v>11</v>
      </c>
      <c r="BT109" s="239">
        <f t="shared" si="7"/>
        <v>9</v>
      </c>
      <c r="CN109" s="238">
        <f t="shared" si="5"/>
        <v>0</v>
      </c>
      <c r="CO109" s="238">
        <f t="shared" si="6"/>
        <v>0</v>
      </c>
    </row>
    <row r="110" spans="1:93" ht="13.95" customHeight="1" x14ac:dyDescent="0.2">
      <c r="A110" s="231">
        <v>7883</v>
      </c>
      <c r="B110" s="232" t="s">
        <v>314</v>
      </c>
      <c r="C110" s="232" t="s">
        <v>658</v>
      </c>
      <c r="D110" s="232" t="s">
        <v>659</v>
      </c>
      <c r="E110" s="232" t="s">
        <v>317</v>
      </c>
      <c r="F110" s="231">
        <v>528353</v>
      </c>
      <c r="G110" s="231">
        <v>172255</v>
      </c>
      <c r="H110" s="232" t="s">
        <v>172</v>
      </c>
      <c r="I110" s="233">
        <v>44865</v>
      </c>
      <c r="J110" s="233">
        <v>44865</v>
      </c>
      <c r="K110" s="231">
        <v>2</v>
      </c>
      <c r="L110" s="231">
        <v>1</v>
      </c>
      <c r="M110" s="231">
        <v>-1</v>
      </c>
      <c r="N110" s="231">
        <v>1</v>
      </c>
      <c r="O110" s="231">
        <v>-1</v>
      </c>
      <c r="P110" s="234"/>
      <c r="Q110" s="232" t="s">
        <v>660</v>
      </c>
      <c r="R110" s="234" t="s">
        <v>332</v>
      </c>
      <c r="S110" s="235">
        <v>44810</v>
      </c>
      <c r="T110" s="235">
        <v>44865</v>
      </c>
      <c r="U110" s="234" t="s">
        <v>318</v>
      </c>
      <c r="V110" s="232" t="s">
        <v>321</v>
      </c>
      <c r="W110" s="231"/>
      <c r="X110" s="232" t="s">
        <v>322</v>
      </c>
      <c r="Y110" s="232" t="s">
        <v>365</v>
      </c>
      <c r="Z110" s="232" t="s">
        <v>324</v>
      </c>
      <c r="AA110" s="232" t="s">
        <v>17</v>
      </c>
      <c r="AB110" s="236">
        <v>8.0333330000000001E-3</v>
      </c>
      <c r="AC110" s="235">
        <v>44865</v>
      </c>
      <c r="AD110" s="234" t="s">
        <v>318</v>
      </c>
      <c r="AE110" s="235">
        <v>44865</v>
      </c>
      <c r="AF110" s="232" t="s">
        <v>77</v>
      </c>
      <c r="AG110" s="232" t="s">
        <v>350</v>
      </c>
      <c r="AH110" s="234" t="s">
        <v>317</v>
      </c>
      <c r="AI110" s="250"/>
      <c r="AJ110" s="234">
        <v>0</v>
      </c>
      <c r="AK110" s="224"/>
      <c r="AL110" s="234">
        <v>0</v>
      </c>
      <c r="AM110" s="224"/>
      <c r="AN110" s="234">
        <v>0</v>
      </c>
      <c r="AO110" s="234">
        <v>-1</v>
      </c>
      <c r="AP110" s="234">
        <v>0</v>
      </c>
      <c r="AQ110" s="234">
        <v>0</v>
      </c>
      <c r="AR110" s="234">
        <v>-1</v>
      </c>
      <c r="AS110" s="234">
        <v>1</v>
      </c>
      <c r="AT110" s="234">
        <v>0</v>
      </c>
      <c r="AU110" s="234">
        <v>0</v>
      </c>
      <c r="AV110" s="234">
        <v>-1</v>
      </c>
      <c r="AW110" s="234">
        <v>0</v>
      </c>
      <c r="AX110" s="234">
        <v>0</v>
      </c>
      <c r="AY110" s="234">
        <v>-1</v>
      </c>
      <c r="AZ110" s="234">
        <v>0</v>
      </c>
      <c r="BA110" s="234">
        <v>0</v>
      </c>
      <c r="BB110" s="234">
        <v>0</v>
      </c>
      <c r="BC110" s="234">
        <v>0</v>
      </c>
      <c r="BD110" s="234">
        <v>0</v>
      </c>
      <c r="BE110" s="234">
        <v>0</v>
      </c>
      <c r="BF110" s="234">
        <v>0</v>
      </c>
      <c r="BG110" s="234">
        <v>1</v>
      </c>
      <c r="BH110" s="234">
        <v>0</v>
      </c>
      <c r="BI110" s="234">
        <v>0</v>
      </c>
      <c r="BJ110" s="234">
        <v>0</v>
      </c>
      <c r="BK110" s="234">
        <v>0</v>
      </c>
      <c r="BL110" s="234">
        <v>0</v>
      </c>
      <c r="BM110" s="234">
        <v>0</v>
      </c>
      <c r="BN110" s="234">
        <v>0</v>
      </c>
      <c r="BO110" s="234">
        <v>0</v>
      </c>
      <c r="BP110" s="234"/>
      <c r="BQ110" s="234"/>
      <c r="BR110" s="237" t="s">
        <v>334</v>
      </c>
      <c r="BS110" s="238">
        <v>11</v>
      </c>
      <c r="BT110" s="239">
        <f t="shared" si="7"/>
        <v>-1</v>
      </c>
      <c r="CN110" s="238">
        <f t="shared" si="5"/>
        <v>0</v>
      </c>
      <c r="CO110" s="238">
        <f t="shared" si="6"/>
        <v>0</v>
      </c>
    </row>
    <row r="111" spans="1:93" ht="13.95" customHeight="1" x14ac:dyDescent="0.2">
      <c r="A111" s="231">
        <v>7414</v>
      </c>
      <c r="B111" s="232" t="s">
        <v>314</v>
      </c>
      <c r="C111" s="232" t="s">
        <v>661</v>
      </c>
      <c r="D111" s="232" t="s">
        <v>662</v>
      </c>
      <c r="E111" s="232" t="s">
        <v>317</v>
      </c>
      <c r="F111" s="231">
        <v>528805</v>
      </c>
      <c r="G111" s="231">
        <v>176803</v>
      </c>
      <c r="H111" s="232" t="s">
        <v>171</v>
      </c>
      <c r="I111" s="233">
        <v>44543</v>
      </c>
      <c r="J111" s="233">
        <v>44965</v>
      </c>
      <c r="K111" s="231">
        <v>1</v>
      </c>
      <c r="L111" s="231">
        <v>2</v>
      </c>
      <c r="M111" s="231">
        <v>1</v>
      </c>
      <c r="N111" s="231">
        <v>2</v>
      </c>
      <c r="O111" s="231">
        <v>1</v>
      </c>
      <c r="P111" s="234"/>
      <c r="Q111" s="232" t="s">
        <v>663</v>
      </c>
      <c r="R111" s="234" t="s">
        <v>332</v>
      </c>
      <c r="S111" s="235">
        <v>43938</v>
      </c>
      <c r="T111" s="235">
        <v>44357</v>
      </c>
      <c r="U111" s="234"/>
      <c r="V111" s="232" t="s">
        <v>321</v>
      </c>
      <c r="W111" s="231"/>
      <c r="X111" s="232" t="s">
        <v>322</v>
      </c>
      <c r="Y111" s="232" t="s">
        <v>365</v>
      </c>
      <c r="Z111" s="232" t="s">
        <v>324</v>
      </c>
      <c r="AA111" s="232" t="s">
        <v>15</v>
      </c>
      <c r="AB111" s="236">
        <v>1.0999999999999999E-2</v>
      </c>
      <c r="AC111" s="235">
        <v>44543</v>
      </c>
      <c r="AD111" s="234"/>
      <c r="AE111" s="235">
        <v>44965</v>
      </c>
      <c r="AF111" s="232" t="s">
        <v>77</v>
      </c>
      <c r="AG111" s="232" t="s">
        <v>350</v>
      </c>
      <c r="AH111" s="234" t="s">
        <v>317</v>
      </c>
      <c r="AI111" s="250"/>
      <c r="AJ111" s="234">
        <v>0</v>
      </c>
      <c r="AK111" s="224"/>
      <c r="AL111" s="234">
        <v>0</v>
      </c>
      <c r="AM111" s="224"/>
      <c r="AN111" s="234">
        <v>0</v>
      </c>
      <c r="AO111" s="234">
        <v>1</v>
      </c>
      <c r="AP111" s="234">
        <v>0</v>
      </c>
      <c r="AQ111" s="234">
        <v>0</v>
      </c>
      <c r="AR111" s="234">
        <v>0</v>
      </c>
      <c r="AS111" s="234">
        <v>0</v>
      </c>
      <c r="AT111" s="234">
        <v>0</v>
      </c>
      <c r="AU111" s="234">
        <v>0</v>
      </c>
      <c r="AV111" s="234">
        <v>1</v>
      </c>
      <c r="AW111" s="234">
        <v>0</v>
      </c>
      <c r="AX111" s="234">
        <v>1</v>
      </c>
      <c r="AY111" s="234">
        <v>0</v>
      </c>
      <c r="AZ111" s="234">
        <v>0</v>
      </c>
      <c r="BA111" s="234">
        <v>0</v>
      </c>
      <c r="BB111" s="234">
        <v>0</v>
      </c>
      <c r="BC111" s="234">
        <v>0</v>
      </c>
      <c r="BD111" s="234">
        <v>0</v>
      </c>
      <c r="BE111" s="234">
        <v>-1</v>
      </c>
      <c r="BF111" s="234">
        <v>0</v>
      </c>
      <c r="BG111" s="234">
        <v>0</v>
      </c>
      <c r="BH111" s="234">
        <v>0</v>
      </c>
      <c r="BI111" s="234">
        <v>0</v>
      </c>
      <c r="BJ111" s="234">
        <v>0</v>
      </c>
      <c r="BK111" s="234">
        <v>0</v>
      </c>
      <c r="BL111" s="234">
        <v>0</v>
      </c>
      <c r="BM111" s="234">
        <v>0</v>
      </c>
      <c r="BN111" s="234">
        <v>0</v>
      </c>
      <c r="BO111" s="234">
        <v>0</v>
      </c>
      <c r="BP111" s="234"/>
      <c r="BQ111" s="234" t="s">
        <v>318</v>
      </c>
      <c r="BR111" s="237" t="s">
        <v>151</v>
      </c>
      <c r="BS111" s="238">
        <v>11</v>
      </c>
      <c r="BT111" s="239">
        <f t="shared" si="7"/>
        <v>1</v>
      </c>
      <c r="CN111" s="238">
        <f t="shared" si="5"/>
        <v>0</v>
      </c>
      <c r="CO111" s="238">
        <f t="shared" si="6"/>
        <v>0</v>
      </c>
    </row>
    <row r="112" spans="1:93" ht="13.95" customHeight="1" x14ac:dyDescent="0.2">
      <c r="A112" s="231">
        <v>7690</v>
      </c>
      <c r="B112" s="232" t="s">
        <v>314</v>
      </c>
      <c r="C112" s="232" t="s">
        <v>664</v>
      </c>
      <c r="D112" s="232" t="s">
        <v>665</v>
      </c>
      <c r="E112" s="232" t="s">
        <v>317</v>
      </c>
      <c r="F112" s="231">
        <v>526059</v>
      </c>
      <c r="G112" s="231">
        <v>172617</v>
      </c>
      <c r="H112" s="232" t="s">
        <v>180</v>
      </c>
      <c r="I112" s="233">
        <v>44845</v>
      </c>
      <c r="J112" s="233">
        <v>45016</v>
      </c>
      <c r="K112" s="231">
        <v>2</v>
      </c>
      <c r="L112" s="231">
        <v>1</v>
      </c>
      <c r="M112" s="231">
        <v>-1</v>
      </c>
      <c r="N112" s="231">
        <v>1</v>
      </c>
      <c r="O112" s="231">
        <v>-1</v>
      </c>
      <c r="P112" s="234"/>
      <c r="Q112" s="232" t="s">
        <v>666</v>
      </c>
      <c r="R112" s="234" t="s">
        <v>332</v>
      </c>
      <c r="S112" s="235">
        <v>44490</v>
      </c>
      <c r="T112" s="235">
        <v>44550</v>
      </c>
      <c r="U112" s="234"/>
      <c r="V112" s="232" t="s">
        <v>321</v>
      </c>
      <c r="W112" s="231"/>
      <c r="X112" s="232" t="s">
        <v>322</v>
      </c>
      <c r="Y112" s="232" t="s">
        <v>338</v>
      </c>
      <c r="Z112" s="232" t="s">
        <v>324</v>
      </c>
      <c r="AA112" s="232" t="s">
        <v>17</v>
      </c>
      <c r="AB112" s="236">
        <v>5.0000000000000001E-3</v>
      </c>
      <c r="AC112" s="235">
        <v>44845</v>
      </c>
      <c r="AD112" s="234" t="s">
        <v>318</v>
      </c>
      <c r="AE112" s="235">
        <v>45016</v>
      </c>
      <c r="AF112" s="232" t="s">
        <v>77</v>
      </c>
      <c r="AG112" s="232" t="s">
        <v>350</v>
      </c>
      <c r="AH112" s="234" t="s">
        <v>317</v>
      </c>
      <c r="AI112" s="250"/>
      <c r="AJ112" s="234">
        <v>0</v>
      </c>
      <c r="AK112" s="224"/>
      <c r="AL112" s="234">
        <v>0</v>
      </c>
      <c r="AM112" s="224"/>
      <c r="AN112" s="234">
        <v>0</v>
      </c>
      <c r="AO112" s="234">
        <v>-2</v>
      </c>
      <c r="AP112" s="234">
        <v>0</v>
      </c>
      <c r="AQ112" s="234">
        <v>0</v>
      </c>
      <c r="AR112" s="234">
        <v>1</v>
      </c>
      <c r="AS112" s="234">
        <v>0</v>
      </c>
      <c r="AT112" s="234">
        <v>0</v>
      </c>
      <c r="AU112" s="234">
        <v>0</v>
      </c>
      <c r="AV112" s="234">
        <v>-2</v>
      </c>
      <c r="AW112" s="234">
        <v>0</v>
      </c>
      <c r="AX112" s="234">
        <v>0</v>
      </c>
      <c r="AY112" s="234">
        <v>0</v>
      </c>
      <c r="AZ112" s="234">
        <v>0</v>
      </c>
      <c r="BA112" s="234">
        <v>0</v>
      </c>
      <c r="BB112" s="234">
        <v>0</v>
      </c>
      <c r="BC112" s="234">
        <v>0</v>
      </c>
      <c r="BD112" s="234">
        <v>0</v>
      </c>
      <c r="BE112" s="234">
        <v>0</v>
      </c>
      <c r="BF112" s="234">
        <v>1</v>
      </c>
      <c r="BG112" s="234">
        <v>0</v>
      </c>
      <c r="BH112" s="234">
        <v>0</v>
      </c>
      <c r="BI112" s="234">
        <v>0</v>
      </c>
      <c r="BJ112" s="234">
        <v>0</v>
      </c>
      <c r="BK112" s="234">
        <v>0</v>
      </c>
      <c r="BL112" s="234">
        <v>0</v>
      </c>
      <c r="BM112" s="234">
        <v>0</v>
      </c>
      <c r="BN112" s="234">
        <v>0</v>
      </c>
      <c r="BO112" s="234">
        <v>0</v>
      </c>
      <c r="BP112" s="234"/>
      <c r="BQ112" s="234"/>
      <c r="BR112" s="237" t="s">
        <v>154</v>
      </c>
      <c r="BS112" s="238">
        <v>11</v>
      </c>
      <c r="BT112" s="239">
        <f t="shared" si="7"/>
        <v>-1</v>
      </c>
      <c r="CN112" s="238">
        <f t="shared" si="5"/>
        <v>0</v>
      </c>
      <c r="CO112" s="238">
        <f t="shared" si="6"/>
        <v>0</v>
      </c>
    </row>
    <row r="113" spans="1:93" ht="13.95" customHeight="1" x14ac:dyDescent="0.2">
      <c r="A113" s="231">
        <v>7836</v>
      </c>
      <c r="B113" s="232" t="s">
        <v>314</v>
      </c>
      <c r="C113" s="232" t="s">
        <v>667</v>
      </c>
      <c r="D113" s="232" t="s">
        <v>668</v>
      </c>
      <c r="E113" s="232" t="s">
        <v>317</v>
      </c>
      <c r="F113" s="231">
        <v>525243</v>
      </c>
      <c r="G113" s="231">
        <v>174663</v>
      </c>
      <c r="H113" s="232" t="s">
        <v>164</v>
      </c>
      <c r="I113" s="233">
        <v>44835</v>
      </c>
      <c r="J113" s="233">
        <v>44973</v>
      </c>
      <c r="K113" s="231">
        <v>1</v>
      </c>
      <c r="L113" s="231">
        <v>3</v>
      </c>
      <c r="M113" s="231">
        <v>2</v>
      </c>
      <c r="N113" s="231">
        <v>3</v>
      </c>
      <c r="O113" s="231">
        <v>2</v>
      </c>
      <c r="P113" s="234"/>
      <c r="Q113" s="232" t="s">
        <v>669</v>
      </c>
      <c r="R113" s="234" t="s">
        <v>332</v>
      </c>
      <c r="S113" s="235">
        <v>44691</v>
      </c>
      <c r="T113" s="235">
        <v>44746</v>
      </c>
      <c r="U113" s="234" t="s">
        <v>318</v>
      </c>
      <c r="V113" s="232" t="s">
        <v>321</v>
      </c>
      <c r="W113" s="231"/>
      <c r="X113" s="232" t="s">
        <v>322</v>
      </c>
      <c r="Y113" s="232" t="s">
        <v>338</v>
      </c>
      <c r="Z113" s="232" t="s">
        <v>324</v>
      </c>
      <c r="AA113" s="232" t="s">
        <v>354</v>
      </c>
      <c r="AB113" s="236">
        <v>7.0400000000000003E-3</v>
      </c>
      <c r="AC113" s="235">
        <v>44835</v>
      </c>
      <c r="AD113" s="234" t="s">
        <v>318</v>
      </c>
      <c r="AE113" s="235">
        <v>44973</v>
      </c>
      <c r="AF113" s="232" t="s">
        <v>77</v>
      </c>
      <c r="AG113" s="232" t="s">
        <v>350</v>
      </c>
      <c r="AH113" s="234" t="s">
        <v>317</v>
      </c>
      <c r="AI113" s="250"/>
      <c r="AJ113" s="234">
        <v>0</v>
      </c>
      <c r="AK113" s="224"/>
      <c r="AL113" s="234">
        <v>0</v>
      </c>
      <c r="AM113" s="224"/>
      <c r="AN113" s="234">
        <v>1</v>
      </c>
      <c r="AO113" s="234">
        <v>2</v>
      </c>
      <c r="AP113" s="234">
        <v>0</v>
      </c>
      <c r="AQ113" s="234">
        <v>-1</v>
      </c>
      <c r="AR113" s="234">
        <v>0</v>
      </c>
      <c r="AS113" s="234">
        <v>0</v>
      </c>
      <c r="AT113" s="234">
        <v>0</v>
      </c>
      <c r="AU113" s="234">
        <v>1</v>
      </c>
      <c r="AV113" s="234">
        <v>2</v>
      </c>
      <c r="AW113" s="234">
        <v>0</v>
      </c>
      <c r="AX113" s="234">
        <v>-1</v>
      </c>
      <c r="AY113" s="234">
        <v>0</v>
      </c>
      <c r="AZ113" s="234">
        <v>0</v>
      </c>
      <c r="BA113" s="234">
        <v>0</v>
      </c>
      <c r="BB113" s="234">
        <v>0</v>
      </c>
      <c r="BC113" s="234">
        <v>0</v>
      </c>
      <c r="BD113" s="234">
        <v>0</v>
      </c>
      <c r="BE113" s="234">
        <v>0</v>
      </c>
      <c r="BF113" s="234">
        <v>0</v>
      </c>
      <c r="BG113" s="234">
        <v>0</v>
      </c>
      <c r="BH113" s="234">
        <v>0</v>
      </c>
      <c r="BI113" s="234">
        <v>0</v>
      </c>
      <c r="BJ113" s="234">
        <v>0</v>
      </c>
      <c r="BK113" s="234">
        <v>0</v>
      </c>
      <c r="BL113" s="234">
        <v>0</v>
      </c>
      <c r="BM113" s="234">
        <v>0</v>
      </c>
      <c r="BN113" s="234">
        <v>0</v>
      </c>
      <c r="BO113" s="234">
        <v>0</v>
      </c>
      <c r="BP113" s="234"/>
      <c r="BQ113" s="234"/>
      <c r="BR113" s="237" t="s">
        <v>327</v>
      </c>
      <c r="BS113" s="238">
        <v>11</v>
      </c>
      <c r="BT113" s="239">
        <f t="shared" si="7"/>
        <v>2</v>
      </c>
      <c r="CN113" s="238">
        <f t="shared" si="5"/>
        <v>0</v>
      </c>
      <c r="CO113" s="238">
        <f t="shared" si="6"/>
        <v>0</v>
      </c>
    </row>
    <row r="114" spans="1:93" ht="13.95" customHeight="1" x14ac:dyDescent="0.2">
      <c r="A114" s="231">
        <v>7870</v>
      </c>
      <c r="B114" s="232" t="s">
        <v>314</v>
      </c>
      <c r="C114" s="232" t="s">
        <v>670</v>
      </c>
      <c r="D114" s="232" t="s">
        <v>671</v>
      </c>
      <c r="E114" s="232" t="s">
        <v>317</v>
      </c>
      <c r="F114" s="231">
        <v>528923</v>
      </c>
      <c r="G114" s="231">
        <v>173012</v>
      </c>
      <c r="H114" s="232" t="s">
        <v>172</v>
      </c>
      <c r="I114" s="233">
        <v>44804</v>
      </c>
      <c r="J114" s="233">
        <v>45016</v>
      </c>
      <c r="K114" s="231">
        <v>1</v>
      </c>
      <c r="L114" s="231">
        <v>1</v>
      </c>
      <c r="M114" s="231">
        <v>0</v>
      </c>
      <c r="N114" s="231">
        <v>1</v>
      </c>
      <c r="O114" s="231">
        <v>0</v>
      </c>
      <c r="P114" s="234"/>
      <c r="Q114" s="232" t="s">
        <v>672</v>
      </c>
      <c r="R114" s="234" t="s">
        <v>673</v>
      </c>
      <c r="S114" s="235">
        <v>44748</v>
      </c>
      <c r="T114" s="235">
        <v>44804</v>
      </c>
      <c r="U114" s="234" t="s">
        <v>318</v>
      </c>
      <c r="V114" s="232" t="s">
        <v>321</v>
      </c>
      <c r="W114" s="231"/>
      <c r="X114" s="232" t="s">
        <v>322</v>
      </c>
      <c r="Y114" s="232" t="s">
        <v>365</v>
      </c>
      <c r="Z114" s="232" t="s">
        <v>324</v>
      </c>
      <c r="AA114" s="232" t="s">
        <v>17</v>
      </c>
      <c r="AB114" s="236">
        <v>8.4499999999999992E-3</v>
      </c>
      <c r="AC114" s="235">
        <v>44804</v>
      </c>
      <c r="AD114" s="234" t="s">
        <v>318</v>
      </c>
      <c r="AE114" s="235">
        <v>45016</v>
      </c>
      <c r="AF114" s="232" t="s">
        <v>77</v>
      </c>
      <c r="AG114" s="232" t="s">
        <v>350</v>
      </c>
      <c r="AH114" s="234" t="s">
        <v>317</v>
      </c>
      <c r="AI114" s="250"/>
      <c r="AJ114" s="234">
        <v>0</v>
      </c>
      <c r="AK114" s="224"/>
      <c r="AL114" s="234">
        <v>0</v>
      </c>
      <c r="AM114" s="224"/>
      <c r="AN114" s="234">
        <v>0</v>
      </c>
      <c r="AO114" s="234">
        <v>0</v>
      </c>
      <c r="AP114" s="234">
        <v>0</v>
      </c>
      <c r="AQ114" s="234">
        <v>0</v>
      </c>
      <c r="AR114" s="234">
        <v>0</v>
      </c>
      <c r="AS114" s="234">
        <v>0</v>
      </c>
      <c r="AT114" s="234">
        <v>0</v>
      </c>
      <c r="AU114" s="234">
        <v>0</v>
      </c>
      <c r="AV114" s="234">
        <v>0</v>
      </c>
      <c r="AW114" s="234">
        <v>0</v>
      </c>
      <c r="AX114" s="234">
        <v>0</v>
      </c>
      <c r="AY114" s="234">
        <v>0</v>
      </c>
      <c r="AZ114" s="234">
        <v>0</v>
      </c>
      <c r="BA114" s="234">
        <v>0</v>
      </c>
      <c r="BB114" s="234">
        <v>0</v>
      </c>
      <c r="BC114" s="234">
        <v>0</v>
      </c>
      <c r="BD114" s="234">
        <v>0</v>
      </c>
      <c r="BE114" s="234">
        <v>0</v>
      </c>
      <c r="BF114" s="234">
        <v>0</v>
      </c>
      <c r="BG114" s="234">
        <v>0</v>
      </c>
      <c r="BH114" s="234">
        <v>0</v>
      </c>
      <c r="BI114" s="234">
        <v>0</v>
      </c>
      <c r="BJ114" s="234">
        <v>0</v>
      </c>
      <c r="BK114" s="234">
        <v>0</v>
      </c>
      <c r="BL114" s="234">
        <v>0</v>
      </c>
      <c r="BM114" s="234">
        <v>0</v>
      </c>
      <c r="BN114" s="234">
        <v>0</v>
      </c>
      <c r="BO114" s="234">
        <v>0</v>
      </c>
      <c r="BP114" s="234"/>
      <c r="BQ114" s="234"/>
      <c r="BR114" s="237" t="s">
        <v>334</v>
      </c>
      <c r="BS114" s="238">
        <v>11</v>
      </c>
      <c r="BT114" s="239">
        <f t="shared" si="7"/>
        <v>0</v>
      </c>
      <c r="CN114" s="238">
        <f t="shared" si="5"/>
        <v>0</v>
      </c>
      <c r="CO114" s="238">
        <f t="shared" si="6"/>
        <v>0</v>
      </c>
    </row>
    <row r="115" spans="1:93" ht="13.95" customHeight="1" x14ac:dyDescent="0.2">
      <c r="A115" s="231">
        <v>7678</v>
      </c>
      <c r="B115" s="232" t="s">
        <v>314</v>
      </c>
      <c r="C115" s="232" t="s">
        <v>674</v>
      </c>
      <c r="D115" s="232" t="s">
        <v>675</v>
      </c>
      <c r="E115" s="232" t="s">
        <v>317</v>
      </c>
      <c r="F115" s="231">
        <v>528429</v>
      </c>
      <c r="G115" s="231">
        <v>173088</v>
      </c>
      <c r="H115" s="232" t="s">
        <v>172</v>
      </c>
      <c r="I115" s="233">
        <v>44798</v>
      </c>
      <c r="J115" s="233">
        <v>44911</v>
      </c>
      <c r="K115" s="231">
        <v>0</v>
      </c>
      <c r="L115" s="231">
        <v>8</v>
      </c>
      <c r="M115" s="231">
        <v>8</v>
      </c>
      <c r="N115" s="231">
        <v>8</v>
      </c>
      <c r="O115" s="231">
        <v>8</v>
      </c>
      <c r="P115" s="234"/>
      <c r="Q115" s="232" t="s">
        <v>676</v>
      </c>
      <c r="R115" s="234" t="s">
        <v>332</v>
      </c>
      <c r="S115" s="235">
        <v>44678</v>
      </c>
      <c r="T115" s="235">
        <v>44798</v>
      </c>
      <c r="U115" s="234" t="s">
        <v>318</v>
      </c>
      <c r="V115" s="232" t="s">
        <v>321</v>
      </c>
      <c r="W115" s="231"/>
      <c r="X115" s="232" t="s">
        <v>322</v>
      </c>
      <c r="Y115" s="232" t="s">
        <v>338</v>
      </c>
      <c r="Z115" s="232" t="s">
        <v>324</v>
      </c>
      <c r="AA115" s="232" t="s">
        <v>28</v>
      </c>
      <c r="AB115" s="236">
        <v>1.0375000000000001E-2</v>
      </c>
      <c r="AC115" s="235">
        <v>44798</v>
      </c>
      <c r="AD115" s="234" t="s">
        <v>318</v>
      </c>
      <c r="AE115" s="235">
        <v>44911</v>
      </c>
      <c r="AF115" s="232" t="s">
        <v>77</v>
      </c>
      <c r="AG115" s="232" t="s">
        <v>340</v>
      </c>
      <c r="AH115" s="234" t="s">
        <v>317</v>
      </c>
      <c r="AI115" s="250"/>
      <c r="AJ115" s="234">
        <v>0</v>
      </c>
      <c r="AK115" s="224"/>
      <c r="AL115" s="234">
        <v>0</v>
      </c>
      <c r="AM115" s="224"/>
      <c r="AN115" s="234">
        <v>5</v>
      </c>
      <c r="AO115" s="234">
        <v>3</v>
      </c>
      <c r="AP115" s="234">
        <v>0</v>
      </c>
      <c r="AQ115" s="234">
        <v>0</v>
      </c>
      <c r="AR115" s="234">
        <v>0</v>
      </c>
      <c r="AS115" s="234">
        <v>0</v>
      </c>
      <c r="AT115" s="234">
        <v>0</v>
      </c>
      <c r="AU115" s="234">
        <v>5</v>
      </c>
      <c r="AV115" s="234">
        <v>3</v>
      </c>
      <c r="AW115" s="234">
        <v>0</v>
      </c>
      <c r="AX115" s="234">
        <v>0</v>
      </c>
      <c r="AY115" s="234">
        <v>0</v>
      </c>
      <c r="AZ115" s="234">
        <v>0</v>
      </c>
      <c r="BA115" s="234">
        <v>0</v>
      </c>
      <c r="BB115" s="234">
        <v>0</v>
      </c>
      <c r="BC115" s="234">
        <v>0</v>
      </c>
      <c r="BD115" s="234">
        <v>0</v>
      </c>
      <c r="BE115" s="234">
        <v>0</v>
      </c>
      <c r="BF115" s="234">
        <v>0</v>
      </c>
      <c r="BG115" s="234">
        <v>0</v>
      </c>
      <c r="BH115" s="234">
        <v>0</v>
      </c>
      <c r="BI115" s="234">
        <v>0</v>
      </c>
      <c r="BJ115" s="234">
        <v>0</v>
      </c>
      <c r="BK115" s="234">
        <v>0</v>
      </c>
      <c r="BL115" s="234">
        <v>0</v>
      </c>
      <c r="BM115" s="234">
        <v>0</v>
      </c>
      <c r="BN115" s="234">
        <v>0</v>
      </c>
      <c r="BO115" s="234">
        <v>0</v>
      </c>
      <c r="BP115" s="234"/>
      <c r="BQ115" s="234"/>
      <c r="BR115" s="237" t="s">
        <v>334</v>
      </c>
      <c r="BS115" s="238">
        <v>11</v>
      </c>
      <c r="BT115" s="239">
        <f t="shared" si="7"/>
        <v>8</v>
      </c>
      <c r="CN115" s="238">
        <f t="shared" si="5"/>
        <v>0</v>
      </c>
      <c r="CO115" s="238">
        <f t="shared" si="6"/>
        <v>0</v>
      </c>
    </row>
    <row r="116" spans="1:93" ht="13.95" customHeight="1" x14ac:dyDescent="0.2">
      <c r="A116" s="231">
        <v>6556</v>
      </c>
      <c r="B116" s="232" t="s">
        <v>314</v>
      </c>
      <c r="C116" s="232" t="s">
        <v>677</v>
      </c>
      <c r="D116" s="232" t="s">
        <v>678</v>
      </c>
      <c r="E116" s="232" t="s">
        <v>317</v>
      </c>
      <c r="F116" s="231">
        <v>527369</v>
      </c>
      <c r="G116" s="231">
        <v>171687</v>
      </c>
      <c r="H116" s="232" t="s">
        <v>177</v>
      </c>
      <c r="I116" s="233">
        <v>44798</v>
      </c>
      <c r="J116" s="233">
        <v>44974</v>
      </c>
      <c r="K116" s="231">
        <v>2</v>
      </c>
      <c r="L116" s="231">
        <v>4</v>
      </c>
      <c r="M116" s="231">
        <v>2</v>
      </c>
      <c r="N116" s="231">
        <v>4</v>
      </c>
      <c r="O116" s="231">
        <v>2</v>
      </c>
      <c r="P116" s="234"/>
      <c r="Q116" s="232" t="s">
        <v>679</v>
      </c>
      <c r="R116" s="234" t="s">
        <v>344</v>
      </c>
      <c r="S116" s="235">
        <v>44692</v>
      </c>
      <c r="T116" s="235">
        <v>44798</v>
      </c>
      <c r="U116" s="234" t="s">
        <v>318</v>
      </c>
      <c r="V116" s="232" t="s">
        <v>321</v>
      </c>
      <c r="W116" s="231"/>
      <c r="X116" s="232" t="s">
        <v>322</v>
      </c>
      <c r="Y116" s="232" t="s">
        <v>338</v>
      </c>
      <c r="Z116" s="232" t="s">
        <v>324</v>
      </c>
      <c r="AA116" s="232" t="s">
        <v>354</v>
      </c>
      <c r="AB116" s="236">
        <v>7.0000000000000001E-3</v>
      </c>
      <c r="AC116" s="235">
        <v>44798</v>
      </c>
      <c r="AD116" s="234" t="s">
        <v>318</v>
      </c>
      <c r="AE116" s="235">
        <v>44974</v>
      </c>
      <c r="AF116" s="232" t="s">
        <v>77</v>
      </c>
      <c r="AG116" s="232" t="s">
        <v>350</v>
      </c>
      <c r="AH116" s="234" t="s">
        <v>317</v>
      </c>
      <c r="AI116" s="250"/>
      <c r="AJ116" s="234">
        <v>0</v>
      </c>
      <c r="AK116" s="224"/>
      <c r="AL116" s="234">
        <v>0</v>
      </c>
      <c r="AM116" s="224"/>
      <c r="AN116" s="234">
        <v>0</v>
      </c>
      <c r="AO116" s="234">
        <v>1</v>
      </c>
      <c r="AP116" s="234">
        <v>1</v>
      </c>
      <c r="AQ116" s="234">
        <v>1</v>
      </c>
      <c r="AR116" s="234">
        <v>-1</v>
      </c>
      <c r="AS116" s="234">
        <v>0</v>
      </c>
      <c r="AT116" s="234">
        <v>0</v>
      </c>
      <c r="AU116" s="234">
        <v>0</v>
      </c>
      <c r="AV116" s="234">
        <v>1</v>
      </c>
      <c r="AW116" s="234">
        <v>1</v>
      </c>
      <c r="AX116" s="234">
        <v>1</v>
      </c>
      <c r="AY116" s="234">
        <v>-1</v>
      </c>
      <c r="AZ116" s="234">
        <v>0</v>
      </c>
      <c r="BA116" s="234">
        <v>0</v>
      </c>
      <c r="BB116" s="234">
        <v>0</v>
      </c>
      <c r="BC116" s="234">
        <v>0</v>
      </c>
      <c r="BD116" s="234">
        <v>0</v>
      </c>
      <c r="BE116" s="234">
        <v>0</v>
      </c>
      <c r="BF116" s="234">
        <v>0</v>
      </c>
      <c r="BG116" s="234">
        <v>0</v>
      </c>
      <c r="BH116" s="234">
        <v>0</v>
      </c>
      <c r="BI116" s="234">
        <v>0</v>
      </c>
      <c r="BJ116" s="234">
        <v>0</v>
      </c>
      <c r="BK116" s="234">
        <v>0</v>
      </c>
      <c r="BL116" s="234">
        <v>0</v>
      </c>
      <c r="BM116" s="234">
        <v>0</v>
      </c>
      <c r="BN116" s="234">
        <v>0</v>
      </c>
      <c r="BO116" s="234">
        <v>0</v>
      </c>
      <c r="BP116" s="234"/>
      <c r="BQ116" s="234"/>
      <c r="BR116" s="237" t="s">
        <v>334</v>
      </c>
      <c r="BS116" s="238">
        <v>11</v>
      </c>
      <c r="BT116" s="239">
        <f t="shared" si="7"/>
        <v>2</v>
      </c>
      <c r="CN116" s="238">
        <f t="shared" si="5"/>
        <v>0</v>
      </c>
      <c r="CO116" s="238">
        <f t="shared" si="6"/>
        <v>0</v>
      </c>
    </row>
    <row r="117" spans="1:93" ht="13.95" customHeight="1" x14ac:dyDescent="0.2">
      <c r="A117" s="231">
        <v>3531</v>
      </c>
      <c r="B117" s="232" t="s">
        <v>314</v>
      </c>
      <c r="C117" s="232" t="s">
        <v>680</v>
      </c>
      <c r="D117" s="232" t="s">
        <v>681</v>
      </c>
      <c r="E117" s="232" t="s">
        <v>317</v>
      </c>
      <c r="F117" s="231">
        <v>528427</v>
      </c>
      <c r="G117" s="231">
        <v>172621</v>
      </c>
      <c r="H117" s="232" t="s">
        <v>172</v>
      </c>
      <c r="I117" s="233">
        <v>44789</v>
      </c>
      <c r="J117" s="233">
        <v>44789</v>
      </c>
      <c r="K117" s="231">
        <v>3</v>
      </c>
      <c r="L117" s="231">
        <v>1</v>
      </c>
      <c r="M117" s="231">
        <v>-2</v>
      </c>
      <c r="N117" s="231">
        <v>1</v>
      </c>
      <c r="O117" s="231">
        <v>-2</v>
      </c>
      <c r="P117" s="234"/>
      <c r="Q117" s="232" t="s">
        <v>682</v>
      </c>
      <c r="R117" s="234" t="s">
        <v>639</v>
      </c>
      <c r="S117" s="235">
        <v>44733</v>
      </c>
      <c r="T117" s="235">
        <v>44789</v>
      </c>
      <c r="U117" s="234" t="s">
        <v>318</v>
      </c>
      <c r="V117" s="232" t="s">
        <v>321</v>
      </c>
      <c r="W117" s="231"/>
      <c r="X117" s="232" t="s">
        <v>322</v>
      </c>
      <c r="Y117" s="232" t="s">
        <v>378</v>
      </c>
      <c r="Z117" s="232" t="s">
        <v>324</v>
      </c>
      <c r="AA117" s="232" t="s">
        <v>17</v>
      </c>
      <c r="AB117" s="236">
        <v>0.01</v>
      </c>
      <c r="AC117" s="235">
        <v>44789</v>
      </c>
      <c r="AD117" s="234" t="s">
        <v>318</v>
      </c>
      <c r="AE117" s="235">
        <v>44789</v>
      </c>
      <c r="AF117" s="232" t="s">
        <v>77</v>
      </c>
      <c r="AG117" s="232" t="s">
        <v>350</v>
      </c>
      <c r="AH117" s="234" t="s">
        <v>317</v>
      </c>
      <c r="AI117" s="250"/>
      <c r="AJ117" s="234">
        <v>0</v>
      </c>
      <c r="AK117" s="224"/>
      <c r="AL117" s="234">
        <v>0</v>
      </c>
      <c r="AM117" s="224"/>
      <c r="AN117" s="234">
        <v>0</v>
      </c>
      <c r="AO117" s="234">
        <v>-1</v>
      </c>
      <c r="AP117" s="234">
        <v>-1</v>
      </c>
      <c r="AQ117" s="234">
        <v>-1</v>
      </c>
      <c r="AR117" s="234">
        <v>1</v>
      </c>
      <c r="AS117" s="234">
        <v>0</v>
      </c>
      <c r="AT117" s="234">
        <v>0</v>
      </c>
      <c r="AU117" s="234">
        <v>0</v>
      </c>
      <c r="AV117" s="234">
        <v>-1</v>
      </c>
      <c r="AW117" s="234">
        <v>-1</v>
      </c>
      <c r="AX117" s="234">
        <v>-1</v>
      </c>
      <c r="AY117" s="234">
        <v>0</v>
      </c>
      <c r="AZ117" s="234">
        <v>0</v>
      </c>
      <c r="BA117" s="234">
        <v>0</v>
      </c>
      <c r="BB117" s="234">
        <v>0</v>
      </c>
      <c r="BC117" s="234">
        <v>0</v>
      </c>
      <c r="BD117" s="234">
        <v>0</v>
      </c>
      <c r="BE117" s="234">
        <v>0</v>
      </c>
      <c r="BF117" s="234">
        <v>1</v>
      </c>
      <c r="BG117" s="234">
        <v>0</v>
      </c>
      <c r="BH117" s="234">
        <v>0</v>
      </c>
      <c r="BI117" s="234">
        <v>0</v>
      </c>
      <c r="BJ117" s="234">
        <v>0</v>
      </c>
      <c r="BK117" s="234">
        <v>0</v>
      </c>
      <c r="BL117" s="234">
        <v>0</v>
      </c>
      <c r="BM117" s="234">
        <v>0</v>
      </c>
      <c r="BN117" s="234">
        <v>0</v>
      </c>
      <c r="BO117" s="234">
        <v>0</v>
      </c>
      <c r="BP117" s="234"/>
      <c r="BQ117" s="234"/>
      <c r="BR117" s="237" t="s">
        <v>334</v>
      </c>
      <c r="BS117" s="238">
        <v>11</v>
      </c>
      <c r="BT117" s="239">
        <f t="shared" si="7"/>
        <v>-2</v>
      </c>
      <c r="CN117" s="238">
        <f t="shared" si="5"/>
        <v>0</v>
      </c>
      <c r="CO117" s="238">
        <f t="shared" si="6"/>
        <v>0</v>
      </c>
    </row>
    <row r="118" spans="1:93" ht="13.95" customHeight="1" x14ac:dyDescent="0.2">
      <c r="A118" s="231">
        <v>6984</v>
      </c>
      <c r="B118" s="232" t="s">
        <v>314</v>
      </c>
      <c r="C118" s="232" t="s">
        <v>683</v>
      </c>
      <c r="D118" s="232" t="s">
        <v>684</v>
      </c>
      <c r="E118" s="232" t="s">
        <v>317</v>
      </c>
      <c r="F118" s="231">
        <v>528629</v>
      </c>
      <c r="G118" s="231">
        <v>177664</v>
      </c>
      <c r="H118" s="232" t="s">
        <v>163</v>
      </c>
      <c r="I118" s="233">
        <v>44287</v>
      </c>
      <c r="J118" s="233">
        <v>44677</v>
      </c>
      <c r="K118" s="231">
        <v>2</v>
      </c>
      <c r="L118" s="231">
        <v>1</v>
      </c>
      <c r="M118" s="231">
        <v>-1</v>
      </c>
      <c r="N118" s="231">
        <v>1</v>
      </c>
      <c r="O118" s="231">
        <v>-1</v>
      </c>
      <c r="P118" s="234"/>
      <c r="Q118" s="232" t="s">
        <v>685</v>
      </c>
      <c r="R118" s="234" t="s">
        <v>332</v>
      </c>
      <c r="S118" s="235">
        <v>43236</v>
      </c>
      <c r="T118" s="235">
        <v>43270</v>
      </c>
      <c r="U118" s="234"/>
      <c r="V118" s="232" t="s">
        <v>321</v>
      </c>
      <c r="W118" s="231"/>
      <c r="X118" s="232" t="s">
        <v>322</v>
      </c>
      <c r="Y118" s="232" t="s">
        <v>365</v>
      </c>
      <c r="Z118" s="232" t="s">
        <v>324</v>
      </c>
      <c r="AA118" s="232" t="s">
        <v>553</v>
      </c>
      <c r="AB118" s="236">
        <v>3.0000000000000001E-3</v>
      </c>
      <c r="AC118" s="235">
        <v>44287</v>
      </c>
      <c r="AD118" s="234"/>
      <c r="AE118" s="235">
        <v>44677</v>
      </c>
      <c r="AF118" s="232" t="s">
        <v>77</v>
      </c>
      <c r="AG118" s="232" t="s">
        <v>350</v>
      </c>
      <c r="AH118" s="234" t="s">
        <v>317</v>
      </c>
      <c r="AI118" s="250"/>
      <c r="AJ118" s="234">
        <v>0</v>
      </c>
      <c r="AK118" s="224"/>
      <c r="AL118" s="234">
        <v>0</v>
      </c>
      <c r="AM118" s="224"/>
      <c r="AN118" s="234">
        <v>0</v>
      </c>
      <c r="AO118" s="234">
        <v>-1</v>
      </c>
      <c r="AP118" s="234">
        <v>-1</v>
      </c>
      <c r="AQ118" s="234">
        <v>1</v>
      </c>
      <c r="AR118" s="234">
        <v>0</v>
      </c>
      <c r="AS118" s="234">
        <v>0</v>
      </c>
      <c r="AT118" s="234">
        <v>0</v>
      </c>
      <c r="AU118" s="234">
        <v>0</v>
      </c>
      <c r="AV118" s="234">
        <v>-1</v>
      </c>
      <c r="AW118" s="234">
        <v>-1</v>
      </c>
      <c r="AX118" s="234">
        <v>1</v>
      </c>
      <c r="AY118" s="234">
        <v>0</v>
      </c>
      <c r="AZ118" s="234">
        <v>0</v>
      </c>
      <c r="BA118" s="234">
        <v>0</v>
      </c>
      <c r="BB118" s="234">
        <v>0</v>
      </c>
      <c r="BC118" s="234">
        <v>0</v>
      </c>
      <c r="BD118" s="234">
        <v>0</v>
      </c>
      <c r="BE118" s="234">
        <v>0</v>
      </c>
      <c r="BF118" s="234">
        <v>0</v>
      </c>
      <c r="BG118" s="234">
        <v>0</v>
      </c>
      <c r="BH118" s="234">
        <v>0</v>
      </c>
      <c r="BI118" s="234">
        <v>0</v>
      </c>
      <c r="BJ118" s="234">
        <v>0</v>
      </c>
      <c r="BK118" s="234">
        <v>0</v>
      </c>
      <c r="BL118" s="234">
        <v>0</v>
      </c>
      <c r="BM118" s="234">
        <v>0</v>
      </c>
      <c r="BN118" s="234">
        <v>0</v>
      </c>
      <c r="BO118" s="234">
        <v>0</v>
      </c>
      <c r="BP118" s="234"/>
      <c r="BQ118" s="234" t="s">
        <v>318</v>
      </c>
      <c r="BR118" s="237" t="s">
        <v>151</v>
      </c>
      <c r="BS118" s="238">
        <v>11</v>
      </c>
      <c r="BT118" s="239">
        <f t="shared" si="7"/>
        <v>-1</v>
      </c>
      <c r="CN118" s="238">
        <f t="shared" si="5"/>
        <v>0</v>
      </c>
      <c r="CO118" s="238">
        <f t="shared" si="6"/>
        <v>0</v>
      </c>
    </row>
    <row r="119" spans="1:93" ht="13.95" customHeight="1" x14ac:dyDescent="0.2">
      <c r="A119" s="231">
        <v>6273</v>
      </c>
      <c r="B119" s="232" t="s">
        <v>314</v>
      </c>
      <c r="C119" s="232" t="s">
        <v>686</v>
      </c>
      <c r="D119" s="232" t="s">
        <v>687</v>
      </c>
      <c r="E119" s="232" t="s">
        <v>317</v>
      </c>
      <c r="F119" s="231">
        <v>527811</v>
      </c>
      <c r="G119" s="231">
        <v>171019</v>
      </c>
      <c r="H119" s="232" t="s">
        <v>177</v>
      </c>
      <c r="I119" s="233">
        <v>44769</v>
      </c>
      <c r="J119" s="233">
        <v>44994</v>
      </c>
      <c r="K119" s="231">
        <v>2</v>
      </c>
      <c r="L119" s="231">
        <v>5</v>
      </c>
      <c r="M119" s="231">
        <v>3</v>
      </c>
      <c r="N119" s="231">
        <v>5</v>
      </c>
      <c r="O119" s="231">
        <v>3</v>
      </c>
      <c r="P119" s="234"/>
      <c r="Q119" s="232" t="s">
        <v>688</v>
      </c>
      <c r="R119" s="234" t="s">
        <v>332</v>
      </c>
      <c r="S119" s="235">
        <v>44750</v>
      </c>
      <c r="T119" s="235">
        <v>44806</v>
      </c>
      <c r="U119" s="234" t="s">
        <v>318</v>
      </c>
      <c r="V119" s="232" t="s">
        <v>321</v>
      </c>
      <c r="W119" s="231"/>
      <c r="X119" s="232" t="s">
        <v>322</v>
      </c>
      <c r="Y119" s="232" t="s">
        <v>338</v>
      </c>
      <c r="Z119" s="232" t="s">
        <v>324</v>
      </c>
      <c r="AA119" s="232" t="s">
        <v>354</v>
      </c>
      <c r="AB119" s="236">
        <v>1.0919999999999999E-2</v>
      </c>
      <c r="AC119" s="235">
        <v>44769</v>
      </c>
      <c r="AD119" s="234" t="s">
        <v>318</v>
      </c>
      <c r="AE119" s="235">
        <v>44994</v>
      </c>
      <c r="AF119" s="232" t="s">
        <v>77</v>
      </c>
      <c r="AG119" s="232" t="s">
        <v>350</v>
      </c>
      <c r="AH119" s="234" t="s">
        <v>317</v>
      </c>
      <c r="AI119" s="250"/>
      <c r="AJ119" s="234">
        <v>0</v>
      </c>
      <c r="AK119" s="224"/>
      <c r="AL119" s="234">
        <v>0</v>
      </c>
      <c r="AM119" s="224"/>
      <c r="AN119" s="234">
        <v>2</v>
      </c>
      <c r="AO119" s="234">
        <v>0</v>
      </c>
      <c r="AP119" s="234">
        <v>1</v>
      </c>
      <c r="AQ119" s="234">
        <v>0</v>
      </c>
      <c r="AR119" s="234">
        <v>0</v>
      </c>
      <c r="AS119" s="234">
        <v>0</v>
      </c>
      <c r="AT119" s="234">
        <v>0</v>
      </c>
      <c r="AU119" s="234">
        <v>2</v>
      </c>
      <c r="AV119" s="234">
        <v>0</v>
      </c>
      <c r="AW119" s="234">
        <v>1</v>
      </c>
      <c r="AX119" s="234">
        <v>0</v>
      </c>
      <c r="AY119" s="234">
        <v>0</v>
      </c>
      <c r="AZ119" s="234">
        <v>0</v>
      </c>
      <c r="BA119" s="234">
        <v>0</v>
      </c>
      <c r="BB119" s="234">
        <v>0</v>
      </c>
      <c r="BC119" s="234">
        <v>0</v>
      </c>
      <c r="BD119" s="234">
        <v>0</v>
      </c>
      <c r="BE119" s="234">
        <v>0</v>
      </c>
      <c r="BF119" s="234">
        <v>0</v>
      </c>
      <c r="BG119" s="234">
        <v>0</v>
      </c>
      <c r="BH119" s="234">
        <v>0</v>
      </c>
      <c r="BI119" s="234">
        <v>0</v>
      </c>
      <c r="BJ119" s="234">
        <v>0</v>
      </c>
      <c r="BK119" s="234">
        <v>0</v>
      </c>
      <c r="BL119" s="234">
        <v>0</v>
      </c>
      <c r="BM119" s="234">
        <v>0</v>
      </c>
      <c r="BN119" s="234">
        <v>0</v>
      </c>
      <c r="BO119" s="234">
        <v>0</v>
      </c>
      <c r="BP119" s="234"/>
      <c r="BQ119" s="234"/>
      <c r="BR119" s="237" t="s">
        <v>144</v>
      </c>
      <c r="BS119" s="238">
        <v>11</v>
      </c>
      <c r="BT119" s="239">
        <f t="shared" si="7"/>
        <v>3</v>
      </c>
      <c r="CN119" s="238">
        <f t="shared" si="5"/>
        <v>0</v>
      </c>
      <c r="CO119" s="238">
        <f t="shared" si="6"/>
        <v>0</v>
      </c>
    </row>
    <row r="120" spans="1:93" ht="13.95" customHeight="1" x14ac:dyDescent="0.2">
      <c r="A120" s="231">
        <v>4280</v>
      </c>
      <c r="B120" s="232" t="s">
        <v>314</v>
      </c>
      <c r="C120" s="232" t="s">
        <v>689</v>
      </c>
      <c r="D120" s="232" t="s">
        <v>690</v>
      </c>
      <c r="E120" s="232" t="s">
        <v>317</v>
      </c>
      <c r="F120" s="231">
        <v>524989</v>
      </c>
      <c r="G120" s="231">
        <v>174632</v>
      </c>
      <c r="H120" s="232" t="s">
        <v>164</v>
      </c>
      <c r="I120" s="233">
        <v>44767</v>
      </c>
      <c r="J120" s="233">
        <v>44999</v>
      </c>
      <c r="K120" s="231">
        <v>0</v>
      </c>
      <c r="L120" s="231">
        <v>1</v>
      </c>
      <c r="M120" s="231">
        <v>1</v>
      </c>
      <c r="N120" s="231">
        <v>1</v>
      </c>
      <c r="O120" s="231">
        <v>1</v>
      </c>
      <c r="P120" s="234"/>
      <c r="Q120" s="232" t="s">
        <v>691</v>
      </c>
      <c r="R120" s="234" t="s">
        <v>332</v>
      </c>
      <c r="S120" s="235">
        <v>44399</v>
      </c>
      <c r="T120" s="235">
        <v>44454</v>
      </c>
      <c r="U120" s="234"/>
      <c r="V120" s="232" t="s">
        <v>321</v>
      </c>
      <c r="W120" s="231"/>
      <c r="X120" s="232" t="s">
        <v>322</v>
      </c>
      <c r="Y120" s="232" t="s">
        <v>338</v>
      </c>
      <c r="Z120" s="232" t="s">
        <v>324</v>
      </c>
      <c r="AA120" s="232" t="s">
        <v>31</v>
      </c>
      <c r="AB120" s="236">
        <v>4.0000000000000001E-3</v>
      </c>
      <c r="AC120" s="235">
        <v>44767</v>
      </c>
      <c r="AD120" s="234" t="s">
        <v>318</v>
      </c>
      <c r="AE120" s="235">
        <v>44999</v>
      </c>
      <c r="AF120" s="232" t="s">
        <v>77</v>
      </c>
      <c r="AG120" s="232" t="s">
        <v>350</v>
      </c>
      <c r="AH120" s="234" t="s">
        <v>317</v>
      </c>
      <c r="AI120" s="250"/>
      <c r="AJ120" s="234">
        <v>0</v>
      </c>
      <c r="AK120" s="224"/>
      <c r="AL120" s="234">
        <v>0</v>
      </c>
      <c r="AM120" s="224"/>
      <c r="AN120" s="234">
        <v>0</v>
      </c>
      <c r="AO120" s="234">
        <v>1</v>
      </c>
      <c r="AP120" s="234">
        <v>0</v>
      </c>
      <c r="AQ120" s="234">
        <v>0</v>
      </c>
      <c r="AR120" s="234">
        <v>0</v>
      </c>
      <c r="AS120" s="234">
        <v>0</v>
      </c>
      <c r="AT120" s="234">
        <v>0</v>
      </c>
      <c r="AU120" s="234">
        <v>0</v>
      </c>
      <c r="AV120" s="234">
        <v>1</v>
      </c>
      <c r="AW120" s="234">
        <v>0</v>
      </c>
      <c r="AX120" s="234">
        <v>0</v>
      </c>
      <c r="AY120" s="234">
        <v>0</v>
      </c>
      <c r="AZ120" s="234">
        <v>0</v>
      </c>
      <c r="BA120" s="234">
        <v>0</v>
      </c>
      <c r="BB120" s="234">
        <v>0</v>
      </c>
      <c r="BC120" s="234">
        <v>0</v>
      </c>
      <c r="BD120" s="234">
        <v>0</v>
      </c>
      <c r="BE120" s="234">
        <v>0</v>
      </c>
      <c r="BF120" s="234">
        <v>0</v>
      </c>
      <c r="BG120" s="234">
        <v>0</v>
      </c>
      <c r="BH120" s="234">
        <v>0</v>
      </c>
      <c r="BI120" s="234">
        <v>0</v>
      </c>
      <c r="BJ120" s="234">
        <v>0</v>
      </c>
      <c r="BK120" s="234">
        <v>0</v>
      </c>
      <c r="BL120" s="234">
        <v>0</v>
      </c>
      <c r="BM120" s="234">
        <v>0</v>
      </c>
      <c r="BN120" s="234">
        <v>0</v>
      </c>
      <c r="BO120" s="234">
        <v>0</v>
      </c>
      <c r="BP120" s="234"/>
      <c r="BQ120" s="234"/>
      <c r="BR120" s="237" t="s">
        <v>334</v>
      </c>
      <c r="BS120" s="238">
        <v>11</v>
      </c>
      <c r="BT120" s="239">
        <f t="shared" si="7"/>
        <v>1</v>
      </c>
      <c r="CN120" s="238">
        <f t="shared" si="5"/>
        <v>0</v>
      </c>
      <c r="CO120" s="238">
        <f t="shared" si="6"/>
        <v>0</v>
      </c>
    </row>
    <row r="121" spans="1:93" ht="13.95" customHeight="1" x14ac:dyDescent="0.2">
      <c r="A121" s="231">
        <v>7821</v>
      </c>
      <c r="B121" s="232" t="s">
        <v>314</v>
      </c>
      <c r="C121" s="232" t="s">
        <v>692</v>
      </c>
      <c r="D121" s="232" t="s">
        <v>693</v>
      </c>
      <c r="E121" s="232" t="s">
        <v>317</v>
      </c>
      <c r="F121" s="231">
        <v>527770</v>
      </c>
      <c r="G121" s="231">
        <v>171746</v>
      </c>
      <c r="H121" s="232" t="s">
        <v>176</v>
      </c>
      <c r="I121" s="233">
        <v>44762</v>
      </c>
      <c r="J121" s="233">
        <v>44762</v>
      </c>
      <c r="K121" s="231">
        <v>1</v>
      </c>
      <c r="L121" s="231">
        <v>4</v>
      </c>
      <c r="M121" s="231">
        <v>3</v>
      </c>
      <c r="N121" s="231">
        <v>4</v>
      </c>
      <c r="O121" s="231">
        <v>3</v>
      </c>
      <c r="P121" s="234"/>
      <c r="Q121" s="232" t="s">
        <v>694</v>
      </c>
      <c r="R121" s="234" t="s">
        <v>639</v>
      </c>
      <c r="S121" s="235">
        <v>44655</v>
      </c>
      <c r="T121" s="235">
        <v>44762</v>
      </c>
      <c r="U121" s="234" t="s">
        <v>318</v>
      </c>
      <c r="V121" s="232" t="s">
        <v>321</v>
      </c>
      <c r="W121" s="231"/>
      <c r="X121" s="232" t="s">
        <v>322</v>
      </c>
      <c r="Y121" s="232" t="s">
        <v>365</v>
      </c>
      <c r="Z121" s="232" t="s">
        <v>324</v>
      </c>
      <c r="AA121" s="232" t="s">
        <v>15</v>
      </c>
      <c r="AB121" s="236">
        <v>6.0000000000000001E-3</v>
      </c>
      <c r="AC121" s="235">
        <v>44762</v>
      </c>
      <c r="AD121" s="234" t="s">
        <v>318</v>
      </c>
      <c r="AE121" s="235">
        <v>44762</v>
      </c>
      <c r="AF121" s="232" t="s">
        <v>77</v>
      </c>
      <c r="AG121" s="232" t="s">
        <v>340</v>
      </c>
      <c r="AH121" s="234" t="s">
        <v>317</v>
      </c>
      <c r="AI121" s="250"/>
      <c r="AJ121" s="234">
        <v>0</v>
      </c>
      <c r="AK121" s="224"/>
      <c r="AL121" s="234">
        <v>0</v>
      </c>
      <c r="AM121" s="224"/>
      <c r="AN121" s="234">
        <v>4</v>
      </c>
      <c r="AO121" s="234">
        <v>0</v>
      </c>
      <c r="AP121" s="234">
        <v>0</v>
      </c>
      <c r="AQ121" s="234">
        <v>-1</v>
      </c>
      <c r="AR121" s="234">
        <v>0</v>
      </c>
      <c r="AS121" s="234">
        <v>0</v>
      </c>
      <c r="AT121" s="234">
        <v>0</v>
      </c>
      <c r="AU121" s="234">
        <v>4</v>
      </c>
      <c r="AV121" s="234">
        <v>0</v>
      </c>
      <c r="AW121" s="234">
        <v>0</v>
      </c>
      <c r="AX121" s="234">
        <v>0</v>
      </c>
      <c r="AY121" s="234">
        <v>0</v>
      </c>
      <c r="AZ121" s="234">
        <v>0</v>
      </c>
      <c r="BA121" s="234">
        <v>0</v>
      </c>
      <c r="BB121" s="234">
        <v>0</v>
      </c>
      <c r="BC121" s="234">
        <v>0</v>
      </c>
      <c r="BD121" s="234">
        <v>0</v>
      </c>
      <c r="BE121" s="234">
        <v>-1</v>
      </c>
      <c r="BF121" s="234">
        <v>0</v>
      </c>
      <c r="BG121" s="234">
        <v>0</v>
      </c>
      <c r="BH121" s="234">
        <v>0</v>
      </c>
      <c r="BI121" s="234">
        <v>0</v>
      </c>
      <c r="BJ121" s="234">
        <v>0</v>
      </c>
      <c r="BK121" s="234">
        <v>0</v>
      </c>
      <c r="BL121" s="234">
        <v>0</v>
      </c>
      <c r="BM121" s="234">
        <v>0</v>
      </c>
      <c r="BN121" s="234">
        <v>0</v>
      </c>
      <c r="BO121" s="234">
        <v>0</v>
      </c>
      <c r="BP121" s="234"/>
      <c r="BQ121" s="234"/>
      <c r="BR121" s="237" t="s">
        <v>334</v>
      </c>
      <c r="BS121" s="238">
        <v>11</v>
      </c>
      <c r="BT121" s="239">
        <f t="shared" si="7"/>
        <v>3</v>
      </c>
      <c r="CN121" s="238">
        <f t="shared" si="5"/>
        <v>0</v>
      </c>
      <c r="CO121" s="238">
        <f t="shared" si="6"/>
        <v>0</v>
      </c>
    </row>
    <row r="122" spans="1:93" ht="13.95" customHeight="1" x14ac:dyDescent="0.2">
      <c r="A122" s="231">
        <v>3667</v>
      </c>
      <c r="B122" s="232" t="s">
        <v>314</v>
      </c>
      <c r="C122" s="232" t="s">
        <v>695</v>
      </c>
      <c r="D122" s="232" t="s">
        <v>696</v>
      </c>
      <c r="E122" s="232" t="s">
        <v>317</v>
      </c>
      <c r="F122" s="231">
        <v>527234</v>
      </c>
      <c r="G122" s="231">
        <v>177107</v>
      </c>
      <c r="H122" s="232" t="s">
        <v>163</v>
      </c>
      <c r="I122" s="233">
        <v>44747</v>
      </c>
      <c r="J122" s="233">
        <v>45016</v>
      </c>
      <c r="K122" s="231">
        <v>1</v>
      </c>
      <c r="L122" s="231">
        <v>3</v>
      </c>
      <c r="M122" s="231">
        <v>2</v>
      </c>
      <c r="N122" s="231">
        <v>3</v>
      </c>
      <c r="O122" s="231">
        <v>2</v>
      </c>
      <c r="P122" s="234"/>
      <c r="Q122" s="232" t="s">
        <v>697</v>
      </c>
      <c r="R122" s="234" t="s">
        <v>332</v>
      </c>
      <c r="S122" s="235">
        <v>44452</v>
      </c>
      <c r="T122" s="235">
        <v>44508</v>
      </c>
      <c r="U122" s="234"/>
      <c r="V122" s="232" t="s">
        <v>321</v>
      </c>
      <c r="W122" s="231"/>
      <c r="X122" s="232" t="s">
        <v>322</v>
      </c>
      <c r="Y122" s="232" t="s">
        <v>339</v>
      </c>
      <c r="Z122" s="232" t="s">
        <v>324</v>
      </c>
      <c r="AA122" s="232" t="s">
        <v>354</v>
      </c>
      <c r="AB122" s="236">
        <v>6.0000000000000001E-3</v>
      </c>
      <c r="AC122" s="235">
        <v>44747</v>
      </c>
      <c r="AD122" s="234" t="s">
        <v>318</v>
      </c>
      <c r="AE122" s="235">
        <v>45016</v>
      </c>
      <c r="AF122" s="232" t="s">
        <v>77</v>
      </c>
      <c r="AG122" s="232" t="s">
        <v>350</v>
      </c>
      <c r="AH122" s="234" t="s">
        <v>317</v>
      </c>
      <c r="AI122" s="250"/>
      <c r="AJ122" s="234">
        <v>0</v>
      </c>
      <c r="AK122" s="224"/>
      <c r="AL122" s="234">
        <v>0</v>
      </c>
      <c r="AM122" s="224"/>
      <c r="AN122" s="234">
        <v>0</v>
      </c>
      <c r="AO122" s="234">
        <v>3</v>
      </c>
      <c r="AP122" s="234">
        <v>-1</v>
      </c>
      <c r="AQ122" s="234">
        <v>0</v>
      </c>
      <c r="AR122" s="234">
        <v>0</v>
      </c>
      <c r="AS122" s="234">
        <v>0</v>
      </c>
      <c r="AT122" s="234">
        <v>0</v>
      </c>
      <c r="AU122" s="234">
        <v>0</v>
      </c>
      <c r="AV122" s="234">
        <v>3</v>
      </c>
      <c r="AW122" s="234">
        <v>-1</v>
      </c>
      <c r="AX122" s="234">
        <v>0</v>
      </c>
      <c r="AY122" s="234">
        <v>0</v>
      </c>
      <c r="AZ122" s="234">
        <v>0</v>
      </c>
      <c r="BA122" s="234">
        <v>0</v>
      </c>
      <c r="BB122" s="234">
        <v>0</v>
      </c>
      <c r="BC122" s="234">
        <v>0</v>
      </c>
      <c r="BD122" s="234">
        <v>0</v>
      </c>
      <c r="BE122" s="234">
        <v>0</v>
      </c>
      <c r="BF122" s="234">
        <v>0</v>
      </c>
      <c r="BG122" s="234">
        <v>0</v>
      </c>
      <c r="BH122" s="234">
        <v>0</v>
      </c>
      <c r="BI122" s="234">
        <v>0</v>
      </c>
      <c r="BJ122" s="234">
        <v>0</v>
      </c>
      <c r="BK122" s="234">
        <v>0</v>
      </c>
      <c r="BL122" s="234">
        <v>0</v>
      </c>
      <c r="BM122" s="234">
        <v>0</v>
      </c>
      <c r="BN122" s="234">
        <v>0</v>
      </c>
      <c r="BO122" s="234">
        <v>0</v>
      </c>
      <c r="BP122" s="234"/>
      <c r="BQ122" s="234"/>
      <c r="BR122" s="237" t="s">
        <v>481</v>
      </c>
      <c r="BS122" s="238">
        <v>11</v>
      </c>
      <c r="BT122" s="239">
        <f t="shared" si="7"/>
        <v>2</v>
      </c>
      <c r="CN122" s="238">
        <f t="shared" si="5"/>
        <v>0</v>
      </c>
      <c r="CO122" s="238">
        <f t="shared" si="6"/>
        <v>0</v>
      </c>
    </row>
    <row r="123" spans="1:93" ht="13.95" customHeight="1" x14ac:dyDescent="0.2">
      <c r="A123" s="231">
        <v>6400</v>
      </c>
      <c r="B123" s="232" t="s">
        <v>314</v>
      </c>
      <c r="C123" s="232" t="s">
        <v>698</v>
      </c>
      <c r="D123" s="232" t="s">
        <v>699</v>
      </c>
      <c r="E123" s="232" t="s">
        <v>317</v>
      </c>
      <c r="F123" s="231">
        <v>529268</v>
      </c>
      <c r="G123" s="231">
        <v>171015</v>
      </c>
      <c r="H123" s="232" t="s">
        <v>166</v>
      </c>
      <c r="I123" s="233">
        <v>44746</v>
      </c>
      <c r="J123" s="233">
        <v>44957</v>
      </c>
      <c r="K123" s="231">
        <v>3</v>
      </c>
      <c r="L123" s="231">
        <v>6</v>
      </c>
      <c r="M123" s="231">
        <v>3</v>
      </c>
      <c r="N123" s="231">
        <v>6</v>
      </c>
      <c r="O123" s="231">
        <v>3</v>
      </c>
      <c r="P123" s="234"/>
      <c r="Q123" s="232" t="s">
        <v>700</v>
      </c>
      <c r="R123" s="234" t="s">
        <v>332</v>
      </c>
      <c r="S123" s="235">
        <v>44396</v>
      </c>
      <c r="T123" s="235">
        <v>44452</v>
      </c>
      <c r="U123" s="234"/>
      <c r="V123" s="232" t="s">
        <v>321</v>
      </c>
      <c r="W123" s="231"/>
      <c r="X123" s="232" t="s">
        <v>322</v>
      </c>
      <c r="Y123" s="232" t="s">
        <v>338</v>
      </c>
      <c r="Z123" s="232" t="s">
        <v>324</v>
      </c>
      <c r="AA123" s="232" t="s">
        <v>411</v>
      </c>
      <c r="AB123" s="236">
        <v>1.035E-2</v>
      </c>
      <c r="AC123" s="235">
        <v>44746</v>
      </c>
      <c r="AD123" s="234" t="s">
        <v>318</v>
      </c>
      <c r="AE123" s="235">
        <v>44957</v>
      </c>
      <c r="AF123" s="232" t="s">
        <v>77</v>
      </c>
      <c r="AG123" s="232" t="s">
        <v>340</v>
      </c>
      <c r="AH123" s="234" t="s">
        <v>317</v>
      </c>
      <c r="AI123" s="250"/>
      <c r="AJ123" s="234">
        <v>0</v>
      </c>
      <c r="AK123" s="224"/>
      <c r="AL123" s="234">
        <v>0</v>
      </c>
      <c r="AM123" s="224"/>
      <c r="AN123" s="234">
        <v>2</v>
      </c>
      <c r="AO123" s="234">
        <v>2</v>
      </c>
      <c r="AP123" s="234">
        <v>0</v>
      </c>
      <c r="AQ123" s="234">
        <v>-1</v>
      </c>
      <c r="AR123" s="234">
        <v>0</v>
      </c>
      <c r="AS123" s="234">
        <v>0</v>
      </c>
      <c r="AT123" s="234">
        <v>0</v>
      </c>
      <c r="AU123" s="234">
        <v>2</v>
      </c>
      <c r="AV123" s="234">
        <v>2</v>
      </c>
      <c r="AW123" s="234">
        <v>0</v>
      </c>
      <c r="AX123" s="234">
        <v>-1</v>
      </c>
      <c r="AY123" s="234">
        <v>0</v>
      </c>
      <c r="AZ123" s="234">
        <v>0</v>
      </c>
      <c r="BA123" s="234">
        <v>0</v>
      </c>
      <c r="BB123" s="234">
        <v>0</v>
      </c>
      <c r="BC123" s="234">
        <v>0</v>
      </c>
      <c r="BD123" s="234">
        <v>0</v>
      </c>
      <c r="BE123" s="234">
        <v>0</v>
      </c>
      <c r="BF123" s="234">
        <v>0</v>
      </c>
      <c r="BG123" s="234">
        <v>0</v>
      </c>
      <c r="BH123" s="234">
        <v>0</v>
      </c>
      <c r="BI123" s="234">
        <v>0</v>
      </c>
      <c r="BJ123" s="234">
        <v>0</v>
      </c>
      <c r="BK123" s="234">
        <v>0</v>
      </c>
      <c r="BL123" s="234">
        <v>0</v>
      </c>
      <c r="BM123" s="234">
        <v>0</v>
      </c>
      <c r="BN123" s="234">
        <v>0</v>
      </c>
      <c r="BO123" s="234">
        <v>0</v>
      </c>
      <c r="BP123" s="234"/>
      <c r="BQ123" s="234"/>
      <c r="BR123" s="237" t="s">
        <v>334</v>
      </c>
      <c r="BS123" s="238">
        <v>11</v>
      </c>
      <c r="BT123" s="239">
        <f t="shared" si="7"/>
        <v>3</v>
      </c>
      <c r="CN123" s="238">
        <f t="shared" si="5"/>
        <v>0</v>
      </c>
      <c r="CO123" s="238">
        <f t="shared" si="6"/>
        <v>0</v>
      </c>
    </row>
    <row r="124" spans="1:93" ht="13.95" customHeight="1" x14ac:dyDescent="0.2">
      <c r="A124" s="231">
        <v>6212</v>
      </c>
      <c r="B124" s="232" t="s">
        <v>314</v>
      </c>
      <c r="C124" s="232" t="s">
        <v>701</v>
      </c>
      <c r="D124" s="232" t="s">
        <v>702</v>
      </c>
      <c r="E124" s="232" t="s">
        <v>317</v>
      </c>
      <c r="F124" s="231">
        <v>529084</v>
      </c>
      <c r="G124" s="231">
        <v>173102</v>
      </c>
      <c r="H124" s="232" t="s">
        <v>141</v>
      </c>
      <c r="I124" s="233">
        <v>44743</v>
      </c>
      <c r="J124" s="233">
        <v>45016</v>
      </c>
      <c r="K124" s="231">
        <v>0</v>
      </c>
      <c r="L124" s="231">
        <v>1</v>
      </c>
      <c r="M124" s="231">
        <v>1</v>
      </c>
      <c r="N124" s="231">
        <v>1</v>
      </c>
      <c r="O124" s="231">
        <v>1</v>
      </c>
      <c r="P124" s="234"/>
      <c r="Q124" s="232" t="s">
        <v>703</v>
      </c>
      <c r="R124" s="234" t="s">
        <v>332</v>
      </c>
      <c r="S124" s="235">
        <v>43922</v>
      </c>
      <c r="T124" s="235">
        <v>44053</v>
      </c>
      <c r="U124" s="234"/>
      <c r="V124" s="232" t="s">
        <v>321</v>
      </c>
      <c r="W124" s="231"/>
      <c r="X124" s="232" t="s">
        <v>418</v>
      </c>
      <c r="Y124" s="232" t="s">
        <v>323</v>
      </c>
      <c r="Z124" s="232" t="s">
        <v>324</v>
      </c>
      <c r="AA124" s="232" t="s">
        <v>349</v>
      </c>
      <c r="AB124" s="236">
        <v>8.9999999999999993E-3</v>
      </c>
      <c r="AC124" s="235">
        <v>44743</v>
      </c>
      <c r="AD124" s="234" t="s">
        <v>318</v>
      </c>
      <c r="AE124" s="235">
        <v>45016</v>
      </c>
      <c r="AF124" s="232" t="s">
        <v>77</v>
      </c>
      <c r="AG124" s="232" t="s">
        <v>350</v>
      </c>
      <c r="AH124" s="234" t="s">
        <v>317</v>
      </c>
      <c r="AI124" s="250"/>
      <c r="AJ124" s="234">
        <v>0</v>
      </c>
      <c r="AK124" s="224"/>
      <c r="AL124" s="234">
        <v>0</v>
      </c>
      <c r="AM124" s="224"/>
      <c r="AN124" s="234">
        <v>0</v>
      </c>
      <c r="AO124" s="234">
        <v>0</v>
      </c>
      <c r="AP124" s="234">
        <v>0</v>
      </c>
      <c r="AQ124" s="234">
        <v>1</v>
      </c>
      <c r="AR124" s="234">
        <v>0</v>
      </c>
      <c r="AS124" s="234">
        <v>0</v>
      </c>
      <c r="AT124" s="234">
        <v>0</v>
      </c>
      <c r="AU124" s="234">
        <v>0</v>
      </c>
      <c r="AV124" s="234">
        <v>0</v>
      </c>
      <c r="AW124" s="234">
        <v>0</v>
      </c>
      <c r="AX124" s="234">
        <v>0</v>
      </c>
      <c r="AY124" s="234">
        <v>0</v>
      </c>
      <c r="AZ124" s="234">
        <v>0</v>
      </c>
      <c r="BA124" s="234">
        <v>0</v>
      </c>
      <c r="BB124" s="234">
        <v>0</v>
      </c>
      <c r="BC124" s="234">
        <v>0</v>
      </c>
      <c r="BD124" s="234">
        <v>0</v>
      </c>
      <c r="BE124" s="234">
        <v>1</v>
      </c>
      <c r="BF124" s="234">
        <v>0</v>
      </c>
      <c r="BG124" s="234">
        <v>0</v>
      </c>
      <c r="BH124" s="234">
        <v>0</v>
      </c>
      <c r="BI124" s="234">
        <v>0</v>
      </c>
      <c r="BJ124" s="234">
        <v>0</v>
      </c>
      <c r="BK124" s="234">
        <v>0</v>
      </c>
      <c r="BL124" s="234">
        <v>0</v>
      </c>
      <c r="BM124" s="234">
        <v>0</v>
      </c>
      <c r="BN124" s="234">
        <v>0</v>
      </c>
      <c r="BO124" s="234">
        <v>0</v>
      </c>
      <c r="BP124" s="234"/>
      <c r="BQ124" s="234"/>
      <c r="BR124" s="237" t="s">
        <v>334</v>
      </c>
      <c r="BS124" s="238">
        <v>1</v>
      </c>
      <c r="BT124" s="239">
        <f t="shared" si="7"/>
        <v>1</v>
      </c>
      <c r="CN124" s="238">
        <f t="shared" si="5"/>
        <v>0</v>
      </c>
      <c r="CO124" s="238">
        <f t="shared" si="6"/>
        <v>0</v>
      </c>
    </row>
    <row r="125" spans="1:93" ht="13.95" customHeight="1" x14ac:dyDescent="0.2">
      <c r="A125" s="231">
        <v>7143</v>
      </c>
      <c r="B125" s="232" t="s">
        <v>314</v>
      </c>
      <c r="C125" s="232" t="s">
        <v>704</v>
      </c>
      <c r="D125" s="232" t="s">
        <v>705</v>
      </c>
      <c r="E125" s="232" t="s">
        <v>317</v>
      </c>
      <c r="F125" s="231">
        <v>527274</v>
      </c>
      <c r="G125" s="231">
        <v>174744</v>
      </c>
      <c r="H125" s="232" t="s">
        <v>169</v>
      </c>
      <c r="I125" s="233">
        <v>44736</v>
      </c>
      <c r="J125" s="233">
        <v>44736</v>
      </c>
      <c r="K125" s="231">
        <v>1</v>
      </c>
      <c r="L125" s="231">
        <v>4</v>
      </c>
      <c r="M125" s="231">
        <v>3</v>
      </c>
      <c r="N125" s="231">
        <v>4</v>
      </c>
      <c r="O125" s="231">
        <v>3</v>
      </c>
      <c r="P125" s="234"/>
      <c r="Q125" s="232" t="s">
        <v>706</v>
      </c>
      <c r="R125" s="234" t="s">
        <v>639</v>
      </c>
      <c r="S125" s="235">
        <v>44682</v>
      </c>
      <c r="T125" s="235">
        <v>44736</v>
      </c>
      <c r="U125" s="234" t="s">
        <v>318</v>
      </c>
      <c r="V125" s="232" t="s">
        <v>321</v>
      </c>
      <c r="W125" s="231"/>
      <c r="X125" s="232" t="s">
        <v>322</v>
      </c>
      <c r="Y125" s="232" t="s">
        <v>365</v>
      </c>
      <c r="Z125" s="232" t="s">
        <v>324</v>
      </c>
      <c r="AA125" s="232" t="s">
        <v>15</v>
      </c>
      <c r="AB125" s="236">
        <v>6.2500000000000003E-3</v>
      </c>
      <c r="AC125" s="235">
        <v>44736</v>
      </c>
      <c r="AD125" s="234" t="s">
        <v>318</v>
      </c>
      <c r="AE125" s="235">
        <v>44736</v>
      </c>
      <c r="AF125" s="232" t="s">
        <v>77</v>
      </c>
      <c r="AG125" s="232" t="s">
        <v>340</v>
      </c>
      <c r="AH125" s="234" t="s">
        <v>317</v>
      </c>
      <c r="AI125" s="250"/>
      <c r="AJ125" s="234">
        <v>0</v>
      </c>
      <c r="AK125" s="224"/>
      <c r="AL125" s="234">
        <v>0</v>
      </c>
      <c r="AM125" s="224"/>
      <c r="AN125" s="234">
        <v>0</v>
      </c>
      <c r="AO125" s="234">
        <v>4</v>
      </c>
      <c r="AP125" s="234">
        <v>0</v>
      </c>
      <c r="AQ125" s="234">
        <v>0</v>
      </c>
      <c r="AR125" s="234">
        <v>0</v>
      </c>
      <c r="AS125" s="234">
        <v>0</v>
      </c>
      <c r="AT125" s="234">
        <v>-1</v>
      </c>
      <c r="AU125" s="234">
        <v>0</v>
      </c>
      <c r="AV125" s="234">
        <v>4</v>
      </c>
      <c r="AW125" s="234">
        <v>0</v>
      </c>
      <c r="AX125" s="234">
        <v>0</v>
      </c>
      <c r="AY125" s="234">
        <v>0</v>
      </c>
      <c r="AZ125" s="234">
        <v>0</v>
      </c>
      <c r="BA125" s="234">
        <v>0</v>
      </c>
      <c r="BB125" s="234">
        <v>0</v>
      </c>
      <c r="BC125" s="234">
        <v>0</v>
      </c>
      <c r="BD125" s="234">
        <v>0</v>
      </c>
      <c r="BE125" s="234">
        <v>0</v>
      </c>
      <c r="BF125" s="234">
        <v>0</v>
      </c>
      <c r="BG125" s="234">
        <v>0</v>
      </c>
      <c r="BH125" s="234">
        <v>-1</v>
      </c>
      <c r="BI125" s="234">
        <v>0</v>
      </c>
      <c r="BJ125" s="234">
        <v>0</v>
      </c>
      <c r="BK125" s="234">
        <v>0</v>
      </c>
      <c r="BL125" s="234">
        <v>0</v>
      </c>
      <c r="BM125" s="234">
        <v>0</v>
      </c>
      <c r="BN125" s="234">
        <v>0</v>
      </c>
      <c r="BO125" s="234">
        <v>0</v>
      </c>
      <c r="BP125" s="234"/>
      <c r="BQ125" s="234"/>
      <c r="BR125" s="237" t="s">
        <v>334</v>
      </c>
      <c r="BS125" s="238">
        <v>11</v>
      </c>
      <c r="BT125" s="239">
        <f t="shared" si="7"/>
        <v>3</v>
      </c>
      <c r="CN125" s="238">
        <f t="shared" si="5"/>
        <v>0</v>
      </c>
      <c r="CO125" s="238">
        <f t="shared" si="6"/>
        <v>0</v>
      </c>
    </row>
    <row r="126" spans="1:93" ht="13.95" customHeight="1" x14ac:dyDescent="0.2">
      <c r="A126" s="231">
        <v>7770</v>
      </c>
      <c r="B126" s="232" t="s">
        <v>314</v>
      </c>
      <c r="C126" s="232" t="s">
        <v>707</v>
      </c>
      <c r="D126" s="232" t="s">
        <v>708</v>
      </c>
      <c r="E126" s="232" t="s">
        <v>317</v>
      </c>
      <c r="F126" s="231">
        <v>528885</v>
      </c>
      <c r="G126" s="231">
        <v>172895</v>
      </c>
      <c r="H126" s="232" t="s">
        <v>172</v>
      </c>
      <c r="I126" s="233">
        <v>44734</v>
      </c>
      <c r="J126" s="231"/>
      <c r="K126" s="231">
        <v>1</v>
      </c>
      <c r="L126" s="231">
        <v>2</v>
      </c>
      <c r="M126" s="231">
        <v>1</v>
      </c>
      <c r="N126" s="231">
        <v>2</v>
      </c>
      <c r="O126" s="231">
        <v>1</v>
      </c>
      <c r="P126" s="234"/>
      <c r="Q126" s="232" t="s">
        <v>709</v>
      </c>
      <c r="R126" s="234" t="s">
        <v>332</v>
      </c>
      <c r="S126" s="235">
        <v>44678</v>
      </c>
      <c r="T126" s="235">
        <v>44734</v>
      </c>
      <c r="U126" s="234" t="s">
        <v>318</v>
      </c>
      <c r="V126" s="232" t="s">
        <v>321</v>
      </c>
      <c r="W126" s="231"/>
      <c r="X126" s="232" t="s">
        <v>322</v>
      </c>
      <c r="Y126" s="232" t="s">
        <v>365</v>
      </c>
      <c r="Z126" s="232" t="s">
        <v>324</v>
      </c>
      <c r="AA126" s="232" t="s">
        <v>15</v>
      </c>
      <c r="AB126" s="236">
        <v>7.7200000000000003E-3</v>
      </c>
      <c r="AC126" s="235">
        <v>44734</v>
      </c>
      <c r="AD126" s="234" t="s">
        <v>318</v>
      </c>
      <c r="AE126" s="235">
        <v>44734</v>
      </c>
      <c r="AF126" s="232" t="s">
        <v>77</v>
      </c>
      <c r="AG126" s="232" t="s">
        <v>350</v>
      </c>
      <c r="AH126" s="234" t="s">
        <v>317</v>
      </c>
      <c r="AI126" s="250"/>
      <c r="AJ126" s="234">
        <v>0</v>
      </c>
      <c r="AK126" s="224"/>
      <c r="AL126" s="234">
        <v>0</v>
      </c>
      <c r="AM126" s="224"/>
      <c r="AN126" s="234">
        <v>0</v>
      </c>
      <c r="AO126" s="234">
        <v>0</v>
      </c>
      <c r="AP126" s="234">
        <v>0</v>
      </c>
      <c r="AQ126" s="234">
        <v>2</v>
      </c>
      <c r="AR126" s="234">
        <v>0</v>
      </c>
      <c r="AS126" s="234">
        <v>-1</v>
      </c>
      <c r="AT126" s="234">
        <v>0</v>
      </c>
      <c r="AU126" s="234">
        <v>0</v>
      </c>
      <c r="AV126" s="234">
        <v>0</v>
      </c>
      <c r="AW126" s="234">
        <v>0</v>
      </c>
      <c r="AX126" s="234">
        <v>2</v>
      </c>
      <c r="AY126" s="234">
        <v>0</v>
      </c>
      <c r="AZ126" s="234">
        <v>0</v>
      </c>
      <c r="BA126" s="234">
        <v>0</v>
      </c>
      <c r="BB126" s="234">
        <v>0</v>
      </c>
      <c r="BC126" s="234">
        <v>0</v>
      </c>
      <c r="BD126" s="234">
        <v>0</v>
      </c>
      <c r="BE126" s="234">
        <v>0</v>
      </c>
      <c r="BF126" s="234">
        <v>0</v>
      </c>
      <c r="BG126" s="234">
        <v>-1</v>
      </c>
      <c r="BH126" s="234">
        <v>0</v>
      </c>
      <c r="BI126" s="234">
        <v>0</v>
      </c>
      <c r="BJ126" s="234">
        <v>0</v>
      </c>
      <c r="BK126" s="234">
        <v>0</v>
      </c>
      <c r="BL126" s="234">
        <v>0</v>
      </c>
      <c r="BM126" s="234">
        <v>0</v>
      </c>
      <c r="BN126" s="234">
        <v>0</v>
      </c>
      <c r="BO126" s="234">
        <v>0</v>
      </c>
      <c r="BP126" s="234"/>
      <c r="BQ126" s="234"/>
      <c r="BR126" s="237" t="s">
        <v>334</v>
      </c>
      <c r="BS126" s="238">
        <v>11</v>
      </c>
      <c r="BT126" s="239">
        <f t="shared" si="7"/>
        <v>1</v>
      </c>
      <c r="CN126" s="238">
        <f t="shared" si="5"/>
        <v>0</v>
      </c>
      <c r="CO126" s="238">
        <f t="shared" si="6"/>
        <v>0</v>
      </c>
    </row>
    <row r="127" spans="1:93" ht="13.95" customHeight="1" x14ac:dyDescent="0.2">
      <c r="A127" s="231">
        <v>7834</v>
      </c>
      <c r="B127" s="232" t="s">
        <v>314</v>
      </c>
      <c r="C127" s="232" t="s">
        <v>710</v>
      </c>
      <c r="D127" s="232" t="s">
        <v>711</v>
      </c>
      <c r="E127" s="232" t="s">
        <v>317</v>
      </c>
      <c r="F127" s="231">
        <v>528754</v>
      </c>
      <c r="G127" s="231">
        <v>170773</v>
      </c>
      <c r="H127" s="232" t="s">
        <v>166</v>
      </c>
      <c r="I127" s="233">
        <v>44729</v>
      </c>
      <c r="J127" s="233">
        <v>44729</v>
      </c>
      <c r="K127" s="231">
        <v>1</v>
      </c>
      <c r="L127" s="231">
        <v>2</v>
      </c>
      <c r="M127" s="231">
        <v>1</v>
      </c>
      <c r="N127" s="231">
        <v>2</v>
      </c>
      <c r="O127" s="231">
        <v>1</v>
      </c>
      <c r="P127" s="234"/>
      <c r="Q127" s="232" t="s">
        <v>712</v>
      </c>
      <c r="R127" s="234" t="s">
        <v>639</v>
      </c>
      <c r="S127" s="235">
        <v>44673</v>
      </c>
      <c r="T127" s="235">
        <v>44729</v>
      </c>
      <c r="U127" s="234" t="s">
        <v>318</v>
      </c>
      <c r="V127" s="232" t="s">
        <v>321</v>
      </c>
      <c r="W127" s="231"/>
      <c r="X127" s="232" t="s">
        <v>322</v>
      </c>
      <c r="Y127" s="232" t="s">
        <v>365</v>
      </c>
      <c r="Z127" s="232" t="s">
        <v>324</v>
      </c>
      <c r="AA127" s="232" t="s">
        <v>15</v>
      </c>
      <c r="AB127" s="236">
        <v>8.9999999999999993E-3</v>
      </c>
      <c r="AC127" s="235">
        <v>44729</v>
      </c>
      <c r="AD127" s="234" t="s">
        <v>318</v>
      </c>
      <c r="AE127" s="235">
        <v>44729</v>
      </c>
      <c r="AF127" s="232" t="s">
        <v>77</v>
      </c>
      <c r="AG127" s="232" t="s">
        <v>340</v>
      </c>
      <c r="AH127" s="234" t="s">
        <v>317</v>
      </c>
      <c r="AI127" s="250"/>
      <c r="AJ127" s="234">
        <v>0</v>
      </c>
      <c r="AK127" s="224"/>
      <c r="AL127" s="234">
        <v>0</v>
      </c>
      <c r="AM127" s="224"/>
      <c r="AN127" s="234">
        <v>0</v>
      </c>
      <c r="AO127" s="234">
        <v>0</v>
      </c>
      <c r="AP127" s="234">
        <v>1</v>
      </c>
      <c r="AQ127" s="234">
        <v>1</v>
      </c>
      <c r="AR127" s="234">
        <v>-1</v>
      </c>
      <c r="AS127" s="234">
        <v>0</v>
      </c>
      <c r="AT127" s="234">
        <v>0</v>
      </c>
      <c r="AU127" s="234">
        <v>0</v>
      </c>
      <c r="AV127" s="234">
        <v>0</v>
      </c>
      <c r="AW127" s="234">
        <v>1</v>
      </c>
      <c r="AX127" s="234">
        <v>1</v>
      </c>
      <c r="AY127" s="234">
        <v>0</v>
      </c>
      <c r="AZ127" s="234">
        <v>0</v>
      </c>
      <c r="BA127" s="234">
        <v>0</v>
      </c>
      <c r="BB127" s="234">
        <v>0</v>
      </c>
      <c r="BC127" s="234">
        <v>0</v>
      </c>
      <c r="BD127" s="234">
        <v>0</v>
      </c>
      <c r="BE127" s="234">
        <v>0</v>
      </c>
      <c r="BF127" s="234">
        <v>-1</v>
      </c>
      <c r="BG127" s="234">
        <v>0</v>
      </c>
      <c r="BH127" s="234">
        <v>0</v>
      </c>
      <c r="BI127" s="234">
        <v>0</v>
      </c>
      <c r="BJ127" s="234">
        <v>0</v>
      </c>
      <c r="BK127" s="234">
        <v>0</v>
      </c>
      <c r="BL127" s="234">
        <v>0</v>
      </c>
      <c r="BM127" s="234">
        <v>0</v>
      </c>
      <c r="BN127" s="234">
        <v>0</v>
      </c>
      <c r="BO127" s="234">
        <v>0</v>
      </c>
      <c r="BP127" s="234"/>
      <c r="BQ127" s="234"/>
      <c r="BR127" s="237" t="s">
        <v>334</v>
      </c>
      <c r="BS127" s="238">
        <v>11</v>
      </c>
      <c r="BT127" s="239">
        <f t="shared" si="7"/>
        <v>1</v>
      </c>
      <c r="CN127" s="238">
        <f t="shared" si="5"/>
        <v>0</v>
      </c>
      <c r="CO127" s="238">
        <f t="shared" si="6"/>
        <v>0</v>
      </c>
    </row>
    <row r="128" spans="1:93" ht="13.95" customHeight="1" x14ac:dyDescent="0.2">
      <c r="A128" s="231">
        <v>1164</v>
      </c>
      <c r="B128" s="232" t="s">
        <v>314</v>
      </c>
      <c r="C128" s="232" t="s">
        <v>713</v>
      </c>
      <c r="D128" s="232" t="s">
        <v>714</v>
      </c>
      <c r="E128" s="232" t="s">
        <v>317</v>
      </c>
      <c r="F128" s="231">
        <v>527684</v>
      </c>
      <c r="G128" s="231">
        <v>175583</v>
      </c>
      <c r="H128" s="232" t="s">
        <v>171</v>
      </c>
      <c r="I128" s="233">
        <v>44728</v>
      </c>
      <c r="J128" s="233">
        <v>44791</v>
      </c>
      <c r="K128" s="231">
        <v>0</v>
      </c>
      <c r="L128" s="231">
        <v>1</v>
      </c>
      <c r="M128" s="231">
        <v>1</v>
      </c>
      <c r="N128" s="231">
        <v>1</v>
      </c>
      <c r="O128" s="231">
        <v>1</v>
      </c>
      <c r="P128" s="234"/>
      <c r="Q128" s="232" t="s">
        <v>715</v>
      </c>
      <c r="R128" s="234" t="s">
        <v>332</v>
      </c>
      <c r="S128" s="235">
        <v>43656</v>
      </c>
      <c r="T128" s="235">
        <v>43691</v>
      </c>
      <c r="U128" s="234"/>
      <c r="V128" s="232" t="s">
        <v>321</v>
      </c>
      <c r="W128" s="231"/>
      <c r="X128" s="232" t="s">
        <v>322</v>
      </c>
      <c r="Y128" s="232" t="s">
        <v>378</v>
      </c>
      <c r="Z128" s="232" t="s">
        <v>324</v>
      </c>
      <c r="AA128" s="232" t="s">
        <v>25</v>
      </c>
      <c r="AB128" s="236">
        <v>6.0000000000000001E-3</v>
      </c>
      <c r="AC128" s="235">
        <v>44728</v>
      </c>
      <c r="AD128" s="234" t="s">
        <v>318</v>
      </c>
      <c r="AE128" s="235">
        <v>44791</v>
      </c>
      <c r="AF128" s="232" t="s">
        <v>77</v>
      </c>
      <c r="AG128" s="232" t="s">
        <v>350</v>
      </c>
      <c r="AH128" s="234" t="s">
        <v>317</v>
      </c>
      <c r="AI128" s="250"/>
      <c r="AJ128" s="234">
        <v>0</v>
      </c>
      <c r="AK128" s="224"/>
      <c r="AL128" s="234">
        <v>0</v>
      </c>
      <c r="AM128" s="224"/>
      <c r="AN128" s="234">
        <v>0</v>
      </c>
      <c r="AO128" s="234">
        <v>1</v>
      </c>
      <c r="AP128" s="234">
        <v>0</v>
      </c>
      <c r="AQ128" s="234">
        <v>0</v>
      </c>
      <c r="AR128" s="234">
        <v>0</v>
      </c>
      <c r="AS128" s="234">
        <v>0</v>
      </c>
      <c r="AT128" s="234">
        <v>0</v>
      </c>
      <c r="AU128" s="234">
        <v>0</v>
      </c>
      <c r="AV128" s="234">
        <v>1</v>
      </c>
      <c r="AW128" s="234">
        <v>0</v>
      </c>
      <c r="AX128" s="234">
        <v>0</v>
      </c>
      <c r="AY128" s="234">
        <v>0</v>
      </c>
      <c r="AZ128" s="234">
        <v>0</v>
      </c>
      <c r="BA128" s="234">
        <v>0</v>
      </c>
      <c r="BB128" s="234">
        <v>0</v>
      </c>
      <c r="BC128" s="234">
        <v>0</v>
      </c>
      <c r="BD128" s="234">
        <v>0</v>
      </c>
      <c r="BE128" s="234">
        <v>0</v>
      </c>
      <c r="BF128" s="234">
        <v>0</v>
      </c>
      <c r="BG128" s="234">
        <v>0</v>
      </c>
      <c r="BH128" s="234">
        <v>0</v>
      </c>
      <c r="BI128" s="234">
        <v>0</v>
      </c>
      <c r="BJ128" s="234">
        <v>0</v>
      </c>
      <c r="BK128" s="234">
        <v>0</v>
      </c>
      <c r="BL128" s="234">
        <v>0</v>
      </c>
      <c r="BM128" s="234">
        <v>0</v>
      </c>
      <c r="BN128" s="234">
        <v>0</v>
      </c>
      <c r="BO128" s="234">
        <v>0</v>
      </c>
      <c r="BP128" s="234"/>
      <c r="BQ128" s="234"/>
      <c r="BR128" s="237" t="s">
        <v>150</v>
      </c>
      <c r="BS128" s="238">
        <v>11</v>
      </c>
      <c r="BT128" s="239">
        <f t="shared" si="7"/>
        <v>1</v>
      </c>
      <c r="CN128" s="238">
        <f t="shared" si="5"/>
        <v>0</v>
      </c>
      <c r="CO128" s="238">
        <f t="shared" si="6"/>
        <v>0</v>
      </c>
    </row>
    <row r="129" spans="1:93" ht="13.95" customHeight="1" x14ac:dyDescent="0.2">
      <c r="A129" s="231">
        <v>2811</v>
      </c>
      <c r="B129" s="232" t="s">
        <v>314</v>
      </c>
      <c r="C129" s="232" t="s">
        <v>716</v>
      </c>
      <c r="D129" s="232" t="s">
        <v>717</v>
      </c>
      <c r="E129" s="232" t="s">
        <v>317</v>
      </c>
      <c r="F129" s="231">
        <v>527026</v>
      </c>
      <c r="G129" s="231">
        <v>177039</v>
      </c>
      <c r="H129" s="232" t="s">
        <v>174</v>
      </c>
      <c r="I129" s="233">
        <v>44712</v>
      </c>
      <c r="J129" s="233">
        <v>44712</v>
      </c>
      <c r="K129" s="231">
        <v>0</v>
      </c>
      <c r="L129" s="231">
        <v>1</v>
      </c>
      <c r="M129" s="231">
        <v>1</v>
      </c>
      <c r="N129" s="231">
        <v>1</v>
      </c>
      <c r="O129" s="231">
        <v>1</v>
      </c>
      <c r="P129" s="234"/>
      <c r="Q129" s="232" t="s">
        <v>718</v>
      </c>
      <c r="R129" s="234" t="s">
        <v>639</v>
      </c>
      <c r="S129" s="235">
        <v>44635</v>
      </c>
      <c r="T129" s="235">
        <v>44712</v>
      </c>
      <c r="U129" s="234" t="s">
        <v>318</v>
      </c>
      <c r="V129" s="232" t="s">
        <v>321</v>
      </c>
      <c r="W129" s="231"/>
      <c r="X129" s="232" t="s">
        <v>322</v>
      </c>
      <c r="Y129" s="232" t="s">
        <v>339</v>
      </c>
      <c r="Z129" s="232" t="s">
        <v>324</v>
      </c>
      <c r="AA129" s="232" t="s">
        <v>354</v>
      </c>
      <c r="AB129" s="236">
        <v>4.0000000000000001E-3</v>
      </c>
      <c r="AC129" s="235">
        <v>44712</v>
      </c>
      <c r="AD129" s="234" t="s">
        <v>318</v>
      </c>
      <c r="AE129" s="235">
        <v>44712</v>
      </c>
      <c r="AF129" s="232" t="s">
        <v>77</v>
      </c>
      <c r="AG129" s="232" t="s">
        <v>340</v>
      </c>
      <c r="AH129" s="234" t="s">
        <v>317</v>
      </c>
      <c r="AI129" s="250"/>
      <c r="AJ129" s="234">
        <v>0</v>
      </c>
      <c r="AK129" s="224"/>
      <c r="AL129" s="234">
        <v>0</v>
      </c>
      <c r="AM129" s="224"/>
      <c r="AN129" s="234">
        <v>1</v>
      </c>
      <c r="AO129" s="234">
        <v>0</v>
      </c>
      <c r="AP129" s="234">
        <v>0</v>
      </c>
      <c r="AQ129" s="234">
        <v>0</v>
      </c>
      <c r="AR129" s="234">
        <v>0</v>
      </c>
      <c r="AS129" s="234">
        <v>0</v>
      </c>
      <c r="AT129" s="234">
        <v>0</v>
      </c>
      <c r="AU129" s="234">
        <v>1</v>
      </c>
      <c r="AV129" s="234">
        <v>0</v>
      </c>
      <c r="AW129" s="234">
        <v>0</v>
      </c>
      <c r="AX129" s="234">
        <v>0</v>
      </c>
      <c r="AY129" s="234">
        <v>0</v>
      </c>
      <c r="AZ129" s="234">
        <v>0</v>
      </c>
      <c r="BA129" s="234">
        <v>0</v>
      </c>
      <c r="BB129" s="234">
        <v>0</v>
      </c>
      <c r="BC129" s="234">
        <v>0</v>
      </c>
      <c r="BD129" s="234">
        <v>0</v>
      </c>
      <c r="BE129" s="234">
        <v>0</v>
      </c>
      <c r="BF129" s="234">
        <v>0</v>
      </c>
      <c r="BG129" s="234">
        <v>0</v>
      </c>
      <c r="BH129" s="234">
        <v>0</v>
      </c>
      <c r="BI129" s="234">
        <v>0</v>
      </c>
      <c r="BJ129" s="234">
        <v>0</v>
      </c>
      <c r="BK129" s="234">
        <v>0</v>
      </c>
      <c r="BL129" s="234">
        <v>0</v>
      </c>
      <c r="BM129" s="234">
        <v>0</v>
      </c>
      <c r="BN129" s="234">
        <v>0</v>
      </c>
      <c r="BO129" s="234">
        <v>0</v>
      </c>
      <c r="BP129" s="234"/>
      <c r="BQ129" s="234"/>
      <c r="BR129" s="237" t="s">
        <v>481</v>
      </c>
      <c r="BS129" s="238">
        <v>11</v>
      </c>
      <c r="BT129" s="239">
        <f t="shared" si="7"/>
        <v>1</v>
      </c>
      <c r="CN129" s="238">
        <f t="shared" si="5"/>
        <v>0</v>
      </c>
      <c r="CO129" s="238">
        <f t="shared" si="6"/>
        <v>0</v>
      </c>
    </row>
    <row r="130" spans="1:93" ht="13.95" customHeight="1" x14ac:dyDescent="0.2">
      <c r="A130" s="231">
        <v>3868</v>
      </c>
      <c r="B130" s="232" t="s">
        <v>314</v>
      </c>
      <c r="C130" s="232" t="s">
        <v>719</v>
      </c>
      <c r="D130" s="232" t="s">
        <v>720</v>
      </c>
      <c r="E130" s="232" t="s">
        <v>317</v>
      </c>
      <c r="F130" s="231">
        <v>528630</v>
      </c>
      <c r="G130" s="231">
        <v>176325</v>
      </c>
      <c r="H130" s="232" t="s">
        <v>171</v>
      </c>
      <c r="I130" s="233">
        <v>44707</v>
      </c>
      <c r="J130" s="233">
        <v>44976</v>
      </c>
      <c r="K130" s="231">
        <v>1</v>
      </c>
      <c r="L130" s="231">
        <v>2</v>
      </c>
      <c r="M130" s="231">
        <v>1</v>
      </c>
      <c r="N130" s="231">
        <v>2</v>
      </c>
      <c r="O130" s="231">
        <v>1</v>
      </c>
      <c r="P130" s="234"/>
      <c r="Q130" s="232" t="s">
        <v>721</v>
      </c>
      <c r="R130" s="234" t="s">
        <v>332</v>
      </c>
      <c r="S130" s="235">
        <v>44529</v>
      </c>
      <c r="T130" s="235">
        <v>44593</v>
      </c>
      <c r="U130" s="234"/>
      <c r="V130" s="232" t="s">
        <v>321</v>
      </c>
      <c r="W130" s="231"/>
      <c r="X130" s="232" t="s">
        <v>322</v>
      </c>
      <c r="Y130" s="232" t="s">
        <v>339</v>
      </c>
      <c r="Z130" s="232" t="s">
        <v>324</v>
      </c>
      <c r="AA130" s="232" t="s">
        <v>354</v>
      </c>
      <c r="AB130" s="236">
        <v>2E-3</v>
      </c>
      <c r="AC130" s="235">
        <v>44707</v>
      </c>
      <c r="AD130" s="234" t="s">
        <v>318</v>
      </c>
      <c r="AE130" s="235">
        <v>44976</v>
      </c>
      <c r="AF130" s="232" t="s">
        <v>77</v>
      </c>
      <c r="AG130" s="232" t="s">
        <v>350</v>
      </c>
      <c r="AH130" s="234" t="s">
        <v>317</v>
      </c>
      <c r="AI130" s="250"/>
      <c r="AJ130" s="234">
        <v>0</v>
      </c>
      <c r="AK130" s="224"/>
      <c r="AL130" s="234">
        <v>0</v>
      </c>
      <c r="AM130" s="224"/>
      <c r="AN130" s="234">
        <v>0</v>
      </c>
      <c r="AO130" s="234">
        <v>1</v>
      </c>
      <c r="AP130" s="234">
        <v>0</v>
      </c>
      <c r="AQ130" s="234">
        <v>0</v>
      </c>
      <c r="AR130" s="234">
        <v>0</v>
      </c>
      <c r="AS130" s="234">
        <v>0</v>
      </c>
      <c r="AT130" s="234">
        <v>0</v>
      </c>
      <c r="AU130" s="234">
        <v>0</v>
      </c>
      <c r="AV130" s="234">
        <v>1</v>
      </c>
      <c r="AW130" s="234">
        <v>0</v>
      </c>
      <c r="AX130" s="234">
        <v>0</v>
      </c>
      <c r="AY130" s="234">
        <v>0</v>
      </c>
      <c r="AZ130" s="234">
        <v>0</v>
      </c>
      <c r="BA130" s="234">
        <v>0</v>
      </c>
      <c r="BB130" s="234">
        <v>0</v>
      </c>
      <c r="BC130" s="234">
        <v>0</v>
      </c>
      <c r="BD130" s="234">
        <v>0</v>
      </c>
      <c r="BE130" s="234">
        <v>0</v>
      </c>
      <c r="BF130" s="234">
        <v>0</v>
      </c>
      <c r="BG130" s="234">
        <v>0</v>
      </c>
      <c r="BH130" s="234">
        <v>0</v>
      </c>
      <c r="BI130" s="234">
        <v>0</v>
      </c>
      <c r="BJ130" s="234">
        <v>0</v>
      </c>
      <c r="BK130" s="234">
        <v>0</v>
      </c>
      <c r="BL130" s="234">
        <v>0</v>
      </c>
      <c r="BM130" s="234">
        <v>0</v>
      </c>
      <c r="BN130" s="234">
        <v>0</v>
      </c>
      <c r="BO130" s="234">
        <v>0</v>
      </c>
      <c r="BP130" s="234"/>
      <c r="BQ130" s="234"/>
      <c r="BR130" s="237" t="s">
        <v>334</v>
      </c>
      <c r="BS130" s="238">
        <v>11</v>
      </c>
      <c r="BT130" s="239">
        <f t="shared" ref="BT130:BT148" si="8">M130</f>
        <v>1</v>
      </c>
      <c r="CN130" s="238">
        <f t="shared" ref="CN130:CN180" si="9">SUM(BU130:BY130)</f>
        <v>0</v>
      </c>
      <c r="CO130" s="238">
        <f t="shared" ref="CO130:CO180" si="10">SUM(BU130:CD130)</f>
        <v>0</v>
      </c>
    </row>
    <row r="131" spans="1:93" ht="13.95" customHeight="1" x14ac:dyDescent="0.2">
      <c r="A131" s="231">
        <v>4774</v>
      </c>
      <c r="B131" s="232" t="s">
        <v>314</v>
      </c>
      <c r="C131" s="232" t="s">
        <v>722</v>
      </c>
      <c r="D131" s="232" t="s">
        <v>723</v>
      </c>
      <c r="E131" s="232" t="s">
        <v>317</v>
      </c>
      <c r="F131" s="231">
        <v>527896</v>
      </c>
      <c r="G131" s="231">
        <v>172432</v>
      </c>
      <c r="H131" s="232" t="s">
        <v>176</v>
      </c>
      <c r="I131" s="233">
        <v>44707</v>
      </c>
      <c r="J131" s="233">
        <v>44707</v>
      </c>
      <c r="K131" s="231">
        <v>0</v>
      </c>
      <c r="L131" s="231">
        <v>1</v>
      </c>
      <c r="M131" s="231">
        <v>1</v>
      </c>
      <c r="N131" s="231">
        <v>1</v>
      </c>
      <c r="O131" s="231">
        <v>1</v>
      </c>
      <c r="P131" s="234"/>
      <c r="Q131" s="232" t="s">
        <v>724</v>
      </c>
      <c r="R131" s="234" t="s">
        <v>639</v>
      </c>
      <c r="S131" s="235">
        <v>44600</v>
      </c>
      <c r="T131" s="235">
        <v>44707</v>
      </c>
      <c r="U131" s="234" t="s">
        <v>318</v>
      </c>
      <c r="V131" s="232" t="s">
        <v>321</v>
      </c>
      <c r="W131" s="231"/>
      <c r="X131" s="232" t="s">
        <v>322</v>
      </c>
      <c r="Y131" s="232" t="s">
        <v>365</v>
      </c>
      <c r="Z131" s="232" t="s">
        <v>324</v>
      </c>
      <c r="AA131" s="232" t="s">
        <v>25</v>
      </c>
      <c r="AB131" s="236">
        <v>2.0999999999999999E-3</v>
      </c>
      <c r="AC131" s="235">
        <v>44707</v>
      </c>
      <c r="AD131" s="234" t="s">
        <v>318</v>
      </c>
      <c r="AE131" s="235">
        <v>44707</v>
      </c>
      <c r="AF131" s="232" t="s">
        <v>77</v>
      </c>
      <c r="AG131" s="232" t="s">
        <v>350</v>
      </c>
      <c r="AH131" s="234" t="s">
        <v>317</v>
      </c>
      <c r="AI131" s="250"/>
      <c r="AJ131" s="234">
        <v>0</v>
      </c>
      <c r="AK131" s="224"/>
      <c r="AL131" s="234">
        <v>0</v>
      </c>
      <c r="AM131" s="224"/>
      <c r="AN131" s="234">
        <v>1</v>
      </c>
      <c r="AO131" s="234">
        <v>0</v>
      </c>
      <c r="AP131" s="234">
        <v>0</v>
      </c>
      <c r="AQ131" s="234">
        <v>0</v>
      </c>
      <c r="AR131" s="234">
        <v>0</v>
      </c>
      <c r="AS131" s="234">
        <v>0</v>
      </c>
      <c r="AT131" s="234">
        <v>0</v>
      </c>
      <c r="AU131" s="234">
        <v>1</v>
      </c>
      <c r="AV131" s="234">
        <v>0</v>
      </c>
      <c r="AW131" s="234">
        <v>0</v>
      </c>
      <c r="AX131" s="234">
        <v>0</v>
      </c>
      <c r="AY131" s="234">
        <v>0</v>
      </c>
      <c r="AZ131" s="234">
        <v>0</v>
      </c>
      <c r="BA131" s="234">
        <v>0</v>
      </c>
      <c r="BB131" s="234">
        <v>0</v>
      </c>
      <c r="BC131" s="234">
        <v>0</v>
      </c>
      <c r="BD131" s="234">
        <v>0</v>
      </c>
      <c r="BE131" s="234">
        <v>0</v>
      </c>
      <c r="BF131" s="234">
        <v>0</v>
      </c>
      <c r="BG131" s="234">
        <v>0</v>
      </c>
      <c r="BH131" s="234">
        <v>0</v>
      </c>
      <c r="BI131" s="234">
        <v>0</v>
      </c>
      <c r="BJ131" s="234">
        <v>0</v>
      </c>
      <c r="BK131" s="234">
        <v>0</v>
      </c>
      <c r="BL131" s="234">
        <v>0</v>
      </c>
      <c r="BM131" s="234">
        <v>0</v>
      </c>
      <c r="BN131" s="234">
        <v>0</v>
      </c>
      <c r="BO131" s="234">
        <v>0</v>
      </c>
      <c r="BP131" s="234"/>
      <c r="BQ131" s="234"/>
      <c r="BR131" s="237" t="s">
        <v>334</v>
      </c>
      <c r="BS131" s="238">
        <v>11</v>
      </c>
      <c r="BT131" s="239">
        <f t="shared" si="8"/>
        <v>1</v>
      </c>
      <c r="CN131" s="238">
        <f t="shared" si="9"/>
        <v>0</v>
      </c>
      <c r="CO131" s="238">
        <f t="shared" si="10"/>
        <v>0</v>
      </c>
    </row>
    <row r="132" spans="1:93" ht="13.95" customHeight="1" x14ac:dyDescent="0.2">
      <c r="A132" s="231">
        <v>7608</v>
      </c>
      <c r="B132" s="232" t="s">
        <v>314</v>
      </c>
      <c r="C132" s="232" t="s">
        <v>725</v>
      </c>
      <c r="D132" s="232" t="s">
        <v>726</v>
      </c>
      <c r="E132" s="232" t="s">
        <v>317</v>
      </c>
      <c r="F132" s="231">
        <v>528554</v>
      </c>
      <c r="G132" s="231">
        <v>176020</v>
      </c>
      <c r="H132" s="232" t="s">
        <v>171</v>
      </c>
      <c r="I132" s="233">
        <v>44692</v>
      </c>
      <c r="J132" s="233">
        <v>45016</v>
      </c>
      <c r="K132" s="231">
        <v>1</v>
      </c>
      <c r="L132" s="231">
        <v>1</v>
      </c>
      <c r="M132" s="231">
        <v>0</v>
      </c>
      <c r="N132" s="231">
        <v>1</v>
      </c>
      <c r="O132" s="231">
        <v>0</v>
      </c>
      <c r="P132" s="234"/>
      <c r="Q132" s="232" t="s">
        <v>727</v>
      </c>
      <c r="R132" s="234" t="s">
        <v>332</v>
      </c>
      <c r="S132" s="235">
        <v>44551</v>
      </c>
      <c r="T132" s="235">
        <v>44607</v>
      </c>
      <c r="U132" s="234"/>
      <c r="V132" s="232" t="s">
        <v>321</v>
      </c>
      <c r="W132" s="231"/>
      <c r="X132" s="232" t="s">
        <v>322</v>
      </c>
      <c r="Y132" s="232" t="s">
        <v>378</v>
      </c>
      <c r="Z132" s="232" t="s">
        <v>324</v>
      </c>
      <c r="AA132" s="232" t="s">
        <v>28</v>
      </c>
      <c r="AB132" s="236">
        <v>5.0000000000000001E-3</v>
      </c>
      <c r="AC132" s="235">
        <v>44692</v>
      </c>
      <c r="AD132" s="234" t="s">
        <v>318</v>
      </c>
      <c r="AE132" s="235">
        <v>45016</v>
      </c>
      <c r="AF132" s="232" t="s">
        <v>77</v>
      </c>
      <c r="AG132" s="232" t="s">
        <v>350</v>
      </c>
      <c r="AH132" s="234" t="s">
        <v>317</v>
      </c>
      <c r="AI132" s="250"/>
      <c r="AJ132" s="234">
        <v>0</v>
      </c>
      <c r="AK132" s="224"/>
      <c r="AL132" s="234">
        <v>0</v>
      </c>
      <c r="AM132" s="224"/>
      <c r="AN132" s="234">
        <v>0</v>
      </c>
      <c r="AO132" s="234">
        <v>-1</v>
      </c>
      <c r="AP132" s="234">
        <v>1</v>
      </c>
      <c r="AQ132" s="234">
        <v>0</v>
      </c>
      <c r="AR132" s="234">
        <v>0</v>
      </c>
      <c r="AS132" s="234">
        <v>0</v>
      </c>
      <c r="AT132" s="234">
        <v>0</v>
      </c>
      <c r="AU132" s="234">
        <v>0</v>
      </c>
      <c r="AV132" s="234">
        <v>-1</v>
      </c>
      <c r="AW132" s="234">
        <v>1</v>
      </c>
      <c r="AX132" s="234">
        <v>0</v>
      </c>
      <c r="AY132" s="234">
        <v>0</v>
      </c>
      <c r="AZ132" s="234">
        <v>0</v>
      </c>
      <c r="BA132" s="234">
        <v>0</v>
      </c>
      <c r="BB132" s="234">
        <v>0</v>
      </c>
      <c r="BC132" s="234">
        <v>0</v>
      </c>
      <c r="BD132" s="234">
        <v>0</v>
      </c>
      <c r="BE132" s="234">
        <v>0</v>
      </c>
      <c r="BF132" s="234">
        <v>0</v>
      </c>
      <c r="BG132" s="234">
        <v>0</v>
      </c>
      <c r="BH132" s="234">
        <v>0</v>
      </c>
      <c r="BI132" s="234">
        <v>0</v>
      </c>
      <c r="BJ132" s="234">
        <v>0</v>
      </c>
      <c r="BK132" s="234">
        <v>0</v>
      </c>
      <c r="BL132" s="234">
        <v>0</v>
      </c>
      <c r="BM132" s="234">
        <v>0</v>
      </c>
      <c r="BN132" s="234">
        <v>0</v>
      </c>
      <c r="BO132" s="234">
        <v>0</v>
      </c>
      <c r="BP132" s="234"/>
      <c r="BQ132" s="234"/>
      <c r="BR132" s="237" t="s">
        <v>334</v>
      </c>
      <c r="BS132" s="238">
        <v>11</v>
      </c>
      <c r="BT132" s="239">
        <f t="shared" si="8"/>
        <v>0</v>
      </c>
      <c r="CN132" s="238">
        <f t="shared" si="9"/>
        <v>0</v>
      </c>
      <c r="CO132" s="238">
        <f t="shared" si="10"/>
        <v>0</v>
      </c>
    </row>
    <row r="133" spans="1:93" ht="13.95" customHeight="1" x14ac:dyDescent="0.2">
      <c r="A133" s="231">
        <v>4916</v>
      </c>
      <c r="B133" s="232" t="s">
        <v>314</v>
      </c>
      <c r="C133" s="232" t="s">
        <v>728</v>
      </c>
      <c r="D133" s="232" t="s">
        <v>729</v>
      </c>
      <c r="E133" s="232" t="s">
        <v>317</v>
      </c>
      <c r="F133" s="231">
        <v>528199</v>
      </c>
      <c r="G133" s="231">
        <v>175656</v>
      </c>
      <c r="H133" s="232" t="s">
        <v>167</v>
      </c>
      <c r="I133" s="233">
        <v>44676</v>
      </c>
      <c r="J133" s="233">
        <v>44676</v>
      </c>
      <c r="K133" s="231">
        <v>2</v>
      </c>
      <c r="L133" s="231">
        <v>6</v>
      </c>
      <c r="M133" s="231">
        <v>4</v>
      </c>
      <c r="N133" s="231">
        <v>6</v>
      </c>
      <c r="O133" s="231">
        <v>4</v>
      </c>
      <c r="P133" s="234"/>
      <c r="Q133" s="232" t="s">
        <v>730</v>
      </c>
      <c r="R133" s="234" t="s">
        <v>639</v>
      </c>
      <c r="S133" s="235">
        <v>44620</v>
      </c>
      <c r="T133" s="235">
        <v>44676</v>
      </c>
      <c r="U133" s="234" t="s">
        <v>318</v>
      </c>
      <c r="V133" s="232" t="s">
        <v>321</v>
      </c>
      <c r="W133" s="231"/>
      <c r="X133" s="232" t="s">
        <v>322</v>
      </c>
      <c r="Y133" s="232" t="s">
        <v>365</v>
      </c>
      <c r="Z133" s="232" t="s">
        <v>324</v>
      </c>
      <c r="AA133" s="232" t="s">
        <v>411</v>
      </c>
      <c r="AB133" s="236">
        <v>0</v>
      </c>
      <c r="AC133" s="235">
        <v>44676</v>
      </c>
      <c r="AD133" s="234" t="s">
        <v>318</v>
      </c>
      <c r="AE133" s="235">
        <v>44676</v>
      </c>
      <c r="AF133" s="232" t="s">
        <v>77</v>
      </c>
      <c r="AG133" s="232" t="s">
        <v>340</v>
      </c>
      <c r="AH133" s="234" t="s">
        <v>317</v>
      </c>
      <c r="AI133" s="250"/>
      <c r="AJ133" s="234">
        <v>0</v>
      </c>
      <c r="AK133" s="224"/>
      <c r="AL133" s="234">
        <v>0</v>
      </c>
      <c r="AM133" s="224"/>
      <c r="AN133" s="234">
        <v>6</v>
      </c>
      <c r="AO133" s="234">
        <v>0</v>
      </c>
      <c r="AP133" s="234">
        <v>-2</v>
      </c>
      <c r="AQ133" s="234">
        <v>0</v>
      </c>
      <c r="AR133" s="234">
        <v>0</v>
      </c>
      <c r="AS133" s="234">
        <v>0</v>
      </c>
      <c r="AT133" s="234">
        <v>0</v>
      </c>
      <c r="AU133" s="234">
        <v>6</v>
      </c>
      <c r="AV133" s="234">
        <v>0</v>
      </c>
      <c r="AW133" s="234">
        <v>-2</v>
      </c>
      <c r="AX133" s="234">
        <v>0</v>
      </c>
      <c r="AY133" s="234">
        <v>0</v>
      </c>
      <c r="AZ133" s="234">
        <v>0</v>
      </c>
      <c r="BA133" s="234">
        <v>0</v>
      </c>
      <c r="BB133" s="234">
        <v>0</v>
      </c>
      <c r="BC133" s="234">
        <v>0</v>
      </c>
      <c r="BD133" s="234">
        <v>0</v>
      </c>
      <c r="BE133" s="234">
        <v>0</v>
      </c>
      <c r="BF133" s="234">
        <v>0</v>
      </c>
      <c r="BG133" s="234">
        <v>0</v>
      </c>
      <c r="BH133" s="234">
        <v>0</v>
      </c>
      <c r="BI133" s="234">
        <v>0</v>
      </c>
      <c r="BJ133" s="234">
        <v>0</v>
      </c>
      <c r="BK133" s="234">
        <v>0</v>
      </c>
      <c r="BL133" s="234">
        <v>0</v>
      </c>
      <c r="BM133" s="234">
        <v>0</v>
      </c>
      <c r="BN133" s="234">
        <v>0</v>
      </c>
      <c r="BO133" s="234">
        <v>0</v>
      </c>
      <c r="BP133" s="234"/>
      <c r="BQ133" s="234"/>
      <c r="BR133" s="237" t="s">
        <v>334</v>
      </c>
      <c r="BS133" s="238">
        <v>11</v>
      </c>
      <c r="BT133" s="239">
        <f t="shared" si="8"/>
        <v>4</v>
      </c>
      <c r="CN133" s="238">
        <f t="shared" si="9"/>
        <v>0</v>
      </c>
      <c r="CO133" s="238">
        <f t="shared" si="10"/>
        <v>0</v>
      </c>
    </row>
    <row r="134" spans="1:93" ht="13.95" customHeight="1" x14ac:dyDescent="0.2">
      <c r="A134" s="231">
        <v>7506</v>
      </c>
      <c r="B134" s="232" t="s">
        <v>314</v>
      </c>
      <c r="C134" s="232" t="s">
        <v>731</v>
      </c>
      <c r="D134" s="232" t="s">
        <v>732</v>
      </c>
      <c r="E134" s="232" t="s">
        <v>317</v>
      </c>
      <c r="F134" s="231">
        <v>527950</v>
      </c>
      <c r="G134" s="231">
        <v>172380</v>
      </c>
      <c r="H134" s="232" t="s">
        <v>176</v>
      </c>
      <c r="I134" s="233">
        <v>44672</v>
      </c>
      <c r="J134" s="233">
        <v>45015</v>
      </c>
      <c r="K134" s="231">
        <v>0</v>
      </c>
      <c r="L134" s="231">
        <v>1</v>
      </c>
      <c r="M134" s="231">
        <v>1</v>
      </c>
      <c r="N134" s="231">
        <v>1</v>
      </c>
      <c r="O134" s="231">
        <v>1</v>
      </c>
      <c r="P134" s="234"/>
      <c r="Q134" s="232" t="s">
        <v>733</v>
      </c>
      <c r="R134" s="234" t="s">
        <v>332</v>
      </c>
      <c r="S134" s="235">
        <v>44258</v>
      </c>
      <c r="T134" s="235">
        <v>44314</v>
      </c>
      <c r="U134" s="234"/>
      <c r="V134" s="232" t="s">
        <v>321</v>
      </c>
      <c r="W134" s="231"/>
      <c r="X134" s="232" t="s">
        <v>322</v>
      </c>
      <c r="Y134" s="232" t="s">
        <v>338</v>
      </c>
      <c r="Z134" s="232" t="s">
        <v>324</v>
      </c>
      <c r="AA134" s="232" t="s">
        <v>25</v>
      </c>
      <c r="AB134" s="236">
        <v>6.0000000000000001E-3</v>
      </c>
      <c r="AC134" s="235">
        <v>44672</v>
      </c>
      <c r="AD134" s="234" t="s">
        <v>318</v>
      </c>
      <c r="AE134" s="235">
        <v>45015</v>
      </c>
      <c r="AF134" s="232" t="s">
        <v>77</v>
      </c>
      <c r="AG134" s="232" t="s">
        <v>350</v>
      </c>
      <c r="AH134" s="234" t="s">
        <v>317</v>
      </c>
      <c r="AI134" s="250"/>
      <c r="AJ134" s="234">
        <v>0</v>
      </c>
      <c r="AK134" s="224"/>
      <c r="AL134" s="234">
        <v>0</v>
      </c>
      <c r="AM134" s="224"/>
      <c r="AN134" s="234">
        <v>0</v>
      </c>
      <c r="AO134" s="234">
        <v>1</v>
      </c>
      <c r="AP134" s="234">
        <v>0</v>
      </c>
      <c r="AQ134" s="234">
        <v>0</v>
      </c>
      <c r="AR134" s="234">
        <v>0</v>
      </c>
      <c r="AS134" s="234">
        <v>0</v>
      </c>
      <c r="AT134" s="234">
        <v>0</v>
      </c>
      <c r="AU134" s="234">
        <v>0</v>
      </c>
      <c r="AV134" s="234">
        <v>1</v>
      </c>
      <c r="AW134" s="234">
        <v>0</v>
      </c>
      <c r="AX134" s="234">
        <v>0</v>
      </c>
      <c r="AY134" s="234">
        <v>0</v>
      </c>
      <c r="AZ134" s="234">
        <v>0</v>
      </c>
      <c r="BA134" s="234">
        <v>0</v>
      </c>
      <c r="BB134" s="234">
        <v>0</v>
      </c>
      <c r="BC134" s="234">
        <v>0</v>
      </c>
      <c r="BD134" s="234">
        <v>0</v>
      </c>
      <c r="BE134" s="234">
        <v>0</v>
      </c>
      <c r="BF134" s="234">
        <v>0</v>
      </c>
      <c r="BG134" s="234">
        <v>0</v>
      </c>
      <c r="BH134" s="234">
        <v>0</v>
      </c>
      <c r="BI134" s="234">
        <v>0</v>
      </c>
      <c r="BJ134" s="234">
        <v>0</v>
      </c>
      <c r="BK134" s="234">
        <v>0</v>
      </c>
      <c r="BL134" s="234">
        <v>0</v>
      </c>
      <c r="BM134" s="234">
        <v>0</v>
      </c>
      <c r="BN134" s="234">
        <v>0</v>
      </c>
      <c r="BO134" s="234">
        <v>0</v>
      </c>
      <c r="BP134" s="234"/>
      <c r="BQ134" s="234"/>
      <c r="BR134" s="237" t="s">
        <v>334</v>
      </c>
      <c r="BS134" s="238">
        <v>11</v>
      </c>
      <c r="BT134" s="239">
        <f t="shared" si="8"/>
        <v>1</v>
      </c>
      <c r="CN134" s="238">
        <f t="shared" si="9"/>
        <v>0</v>
      </c>
      <c r="CO134" s="238">
        <f t="shared" si="10"/>
        <v>0</v>
      </c>
    </row>
    <row r="135" spans="1:93" ht="13.95" customHeight="1" x14ac:dyDescent="0.2">
      <c r="A135" s="231">
        <v>6098</v>
      </c>
      <c r="B135" s="232" t="s">
        <v>314</v>
      </c>
      <c r="C135" s="232" t="s">
        <v>734</v>
      </c>
      <c r="D135" s="232" t="s">
        <v>735</v>
      </c>
      <c r="E135" s="232" t="s">
        <v>317</v>
      </c>
      <c r="F135" s="231">
        <v>523682</v>
      </c>
      <c r="G135" s="231">
        <v>175813</v>
      </c>
      <c r="H135" s="232" t="s">
        <v>175</v>
      </c>
      <c r="I135" s="233">
        <v>44671</v>
      </c>
      <c r="J135" s="233">
        <v>44841</v>
      </c>
      <c r="K135" s="231">
        <v>1</v>
      </c>
      <c r="L135" s="231">
        <v>3</v>
      </c>
      <c r="M135" s="231">
        <v>2</v>
      </c>
      <c r="N135" s="231">
        <v>3</v>
      </c>
      <c r="O135" s="231">
        <v>2</v>
      </c>
      <c r="P135" s="234"/>
      <c r="Q135" s="232" t="s">
        <v>736</v>
      </c>
      <c r="R135" s="234" t="s">
        <v>332</v>
      </c>
      <c r="S135" s="235">
        <v>44601</v>
      </c>
      <c r="T135" s="235">
        <v>44671</v>
      </c>
      <c r="U135" s="234" t="s">
        <v>318</v>
      </c>
      <c r="V135" s="232" t="s">
        <v>321</v>
      </c>
      <c r="W135" s="231"/>
      <c r="X135" s="232" t="s">
        <v>322</v>
      </c>
      <c r="Y135" s="232" t="s">
        <v>338</v>
      </c>
      <c r="Z135" s="232" t="s">
        <v>324</v>
      </c>
      <c r="AA135" s="232" t="s">
        <v>411</v>
      </c>
      <c r="AB135" s="236">
        <v>3.0000000000000001E-3</v>
      </c>
      <c r="AC135" s="235">
        <v>44671</v>
      </c>
      <c r="AD135" s="234" t="s">
        <v>318</v>
      </c>
      <c r="AE135" s="235">
        <v>44841</v>
      </c>
      <c r="AF135" s="232" t="s">
        <v>77</v>
      </c>
      <c r="AG135" s="232" t="s">
        <v>350</v>
      </c>
      <c r="AH135" s="234" t="s">
        <v>317</v>
      </c>
      <c r="AI135" s="250"/>
      <c r="AJ135" s="234">
        <v>0</v>
      </c>
      <c r="AK135" s="224"/>
      <c r="AL135" s="234">
        <v>0</v>
      </c>
      <c r="AM135" s="224"/>
      <c r="AN135" s="234">
        <v>1</v>
      </c>
      <c r="AO135" s="234">
        <v>1</v>
      </c>
      <c r="AP135" s="234">
        <v>1</v>
      </c>
      <c r="AQ135" s="234">
        <v>0</v>
      </c>
      <c r="AR135" s="234">
        <v>-1</v>
      </c>
      <c r="AS135" s="234">
        <v>0</v>
      </c>
      <c r="AT135" s="234">
        <v>0</v>
      </c>
      <c r="AU135" s="234">
        <v>1</v>
      </c>
      <c r="AV135" s="234">
        <v>1</v>
      </c>
      <c r="AW135" s="234">
        <v>1</v>
      </c>
      <c r="AX135" s="234">
        <v>0</v>
      </c>
      <c r="AY135" s="234">
        <v>-1</v>
      </c>
      <c r="AZ135" s="234">
        <v>0</v>
      </c>
      <c r="BA135" s="234">
        <v>0</v>
      </c>
      <c r="BB135" s="234">
        <v>0</v>
      </c>
      <c r="BC135" s="234">
        <v>0</v>
      </c>
      <c r="BD135" s="234">
        <v>0</v>
      </c>
      <c r="BE135" s="234">
        <v>0</v>
      </c>
      <c r="BF135" s="234">
        <v>0</v>
      </c>
      <c r="BG135" s="234">
        <v>0</v>
      </c>
      <c r="BH135" s="234">
        <v>0</v>
      </c>
      <c r="BI135" s="234">
        <v>0</v>
      </c>
      <c r="BJ135" s="234">
        <v>0</v>
      </c>
      <c r="BK135" s="234">
        <v>0</v>
      </c>
      <c r="BL135" s="234">
        <v>0</v>
      </c>
      <c r="BM135" s="234">
        <v>0</v>
      </c>
      <c r="BN135" s="234">
        <v>0</v>
      </c>
      <c r="BO135" s="234">
        <v>0</v>
      </c>
      <c r="BP135" s="234"/>
      <c r="BQ135" s="234"/>
      <c r="BR135" s="237" t="s">
        <v>334</v>
      </c>
      <c r="BS135" s="238">
        <v>11</v>
      </c>
      <c r="BT135" s="239">
        <f t="shared" si="8"/>
        <v>2</v>
      </c>
      <c r="CN135" s="238">
        <f t="shared" si="9"/>
        <v>0</v>
      </c>
      <c r="CO135" s="238">
        <f t="shared" si="10"/>
        <v>0</v>
      </c>
    </row>
    <row r="136" spans="1:93" ht="13.95" customHeight="1" x14ac:dyDescent="0.2">
      <c r="A136" s="231">
        <v>7426</v>
      </c>
      <c r="B136" s="232" t="s">
        <v>314</v>
      </c>
      <c r="C136" s="232" t="s">
        <v>737</v>
      </c>
      <c r="D136" s="232" t="s">
        <v>738</v>
      </c>
      <c r="E136" s="232" t="s">
        <v>317</v>
      </c>
      <c r="F136" s="231">
        <v>525903</v>
      </c>
      <c r="G136" s="231">
        <v>174378</v>
      </c>
      <c r="H136" s="232" t="s">
        <v>181</v>
      </c>
      <c r="I136" s="233">
        <v>44670</v>
      </c>
      <c r="J136" s="233">
        <v>44827</v>
      </c>
      <c r="K136" s="231">
        <v>0</v>
      </c>
      <c r="L136" s="231">
        <v>1</v>
      </c>
      <c r="M136" s="231">
        <v>1</v>
      </c>
      <c r="N136" s="231">
        <v>1</v>
      </c>
      <c r="O136" s="231">
        <v>1</v>
      </c>
      <c r="P136" s="234"/>
      <c r="Q136" s="232" t="s">
        <v>739</v>
      </c>
      <c r="R136" s="234" t="s">
        <v>332</v>
      </c>
      <c r="S136" s="235">
        <v>44041</v>
      </c>
      <c r="T136" s="235">
        <v>44126</v>
      </c>
      <c r="U136" s="234"/>
      <c r="V136" s="232" t="s">
        <v>321</v>
      </c>
      <c r="W136" s="231"/>
      <c r="X136" s="232" t="s">
        <v>322</v>
      </c>
      <c r="Y136" s="232" t="s">
        <v>339</v>
      </c>
      <c r="Z136" s="232" t="s">
        <v>324</v>
      </c>
      <c r="AA136" s="232" t="s">
        <v>354</v>
      </c>
      <c r="AB136" s="236">
        <v>3.0000000000000001E-3</v>
      </c>
      <c r="AC136" s="235">
        <v>44670</v>
      </c>
      <c r="AD136" s="234" t="s">
        <v>318</v>
      </c>
      <c r="AE136" s="235">
        <v>44827</v>
      </c>
      <c r="AF136" s="232" t="s">
        <v>77</v>
      </c>
      <c r="AG136" s="232" t="s">
        <v>350</v>
      </c>
      <c r="AH136" s="234" t="s">
        <v>317</v>
      </c>
      <c r="AI136" s="250"/>
      <c r="AJ136" s="234">
        <v>0</v>
      </c>
      <c r="AK136" s="224"/>
      <c r="AL136" s="234">
        <v>0</v>
      </c>
      <c r="AM136" s="224"/>
      <c r="AN136" s="234">
        <v>0</v>
      </c>
      <c r="AO136" s="234">
        <v>0</v>
      </c>
      <c r="AP136" s="234">
        <v>1</v>
      </c>
      <c r="AQ136" s="234">
        <v>0</v>
      </c>
      <c r="AR136" s="234">
        <v>0</v>
      </c>
      <c r="AS136" s="234">
        <v>0</v>
      </c>
      <c r="AT136" s="234">
        <v>0</v>
      </c>
      <c r="AU136" s="234">
        <v>0</v>
      </c>
      <c r="AV136" s="234">
        <v>0</v>
      </c>
      <c r="AW136" s="234">
        <v>1</v>
      </c>
      <c r="AX136" s="234">
        <v>0</v>
      </c>
      <c r="AY136" s="234">
        <v>0</v>
      </c>
      <c r="AZ136" s="234">
        <v>0</v>
      </c>
      <c r="BA136" s="234">
        <v>0</v>
      </c>
      <c r="BB136" s="234">
        <v>0</v>
      </c>
      <c r="BC136" s="234">
        <v>0</v>
      </c>
      <c r="BD136" s="234">
        <v>0</v>
      </c>
      <c r="BE136" s="234">
        <v>0</v>
      </c>
      <c r="BF136" s="234">
        <v>0</v>
      </c>
      <c r="BG136" s="234">
        <v>0</v>
      </c>
      <c r="BH136" s="234">
        <v>0</v>
      </c>
      <c r="BI136" s="234">
        <v>0</v>
      </c>
      <c r="BJ136" s="234">
        <v>0</v>
      </c>
      <c r="BK136" s="234">
        <v>0</v>
      </c>
      <c r="BL136" s="234">
        <v>0</v>
      </c>
      <c r="BM136" s="234">
        <v>0</v>
      </c>
      <c r="BN136" s="234">
        <v>0</v>
      </c>
      <c r="BO136" s="234">
        <v>0</v>
      </c>
      <c r="BP136" s="234"/>
      <c r="BQ136" s="234"/>
      <c r="BR136" s="237" t="s">
        <v>740</v>
      </c>
      <c r="BS136" s="238">
        <v>11</v>
      </c>
      <c r="BT136" s="239">
        <f t="shared" si="8"/>
        <v>1</v>
      </c>
      <c r="CN136" s="238">
        <f t="shared" si="9"/>
        <v>0</v>
      </c>
      <c r="CO136" s="238">
        <f t="shared" si="10"/>
        <v>0</v>
      </c>
    </row>
    <row r="137" spans="1:93" ht="13.95" customHeight="1" x14ac:dyDescent="0.2">
      <c r="A137" s="231">
        <v>6053</v>
      </c>
      <c r="B137" s="232" t="s">
        <v>314</v>
      </c>
      <c r="C137" s="232" t="s">
        <v>741</v>
      </c>
      <c r="D137" s="232" t="s">
        <v>742</v>
      </c>
      <c r="E137" s="232" t="s">
        <v>317</v>
      </c>
      <c r="F137" s="231">
        <v>525908</v>
      </c>
      <c r="G137" s="231">
        <v>173523</v>
      </c>
      <c r="H137" s="232" t="s">
        <v>179</v>
      </c>
      <c r="I137" s="233">
        <v>44658</v>
      </c>
      <c r="J137" s="233">
        <v>44658</v>
      </c>
      <c r="K137" s="231">
        <v>0</v>
      </c>
      <c r="L137" s="231">
        <v>2</v>
      </c>
      <c r="M137" s="231">
        <v>2</v>
      </c>
      <c r="N137" s="231">
        <v>2</v>
      </c>
      <c r="O137" s="231">
        <v>2</v>
      </c>
      <c r="P137" s="234"/>
      <c r="Q137" s="232" t="s">
        <v>743</v>
      </c>
      <c r="R137" s="234" t="s">
        <v>639</v>
      </c>
      <c r="S137" s="235">
        <v>44603</v>
      </c>
      <c r="T137" s="235">
        <v>44658</v>
      </c>
      <c r="U137" s="234" t="s">
        <v>318</v>
      </c>
      <c r="V137" s="232" t="s">
        <v>321</v>
      </c>
      <c r="W137" s="231"/>
      <c r="X137" s="232" t="s">
        <v>322</v>
      </c>
      <c r="Y137" s="232" t="s">
        <v>378</v>
      </c>
      <c r="Z137" s="232" t="s">
        <v>324</v>
      </c>
      <c r="AA137" s="232" t="s">
        <v>28</v>
      </c>
      <c r="AB137" s="236">
        <v>4.0000000000000001E-3</v>
      </c>
      <c r="AC137" s="235">
        <v>44658</v>
      </c>
      <c r="AD137" s="234" t="s">
        <v>318</v>
      </c>
      <c r="AE137" s="235">
        <v>44658</v>
      </c>
      <c r="AF137" s="232" t="s">
        <v>77</v>
      </c>
      <c r="AG137" s="232" t="s">
        <v>350</v>
      </c>
      <c r="AH137" s="234" t="s">
        <v>317</v>
      </c>
      <c r="AI137" s="250"/>
      <c r="AJ137" s="234">
        <v>0</v>
      </c>
      <c r="AK137" s="224"/>
      <c r="AL137" s="234">
        <v>0</v>
      </c>
      <c r="AM137" s="224"/>
      <c r="AN137" s="234">
        <v>0</v>
      </c>
      <c r="AO137" s="234">
        <v>0</v>
      </c>
      <c r="AP137" s="234">
        <v>1</v>
      </c>
      <c r="AQ137" s="234">
        <v>1</v>
      </c>
      <c r="AR137" s="234">
        <v>0</v>
      </c>
      <c r="AS137" s="234">
        <v>0</v>
      </c>
      <c r="AT137" s="234">
        <v>0</v>
      </c>
      <c r="AU137" s="234">
        <v>0</v>
      </c>
      <c r="AV137" s="234">
        <v>0</v>
      </c>
      <c r="AW137" s="234">
        <v>1</v>
      </c>
      <c r="AX137" s="234">
        <v>1</v>
      </c>
      <c r="AY137" s="234">
        <v>0</v>
      </c>
      <c r="AZ137" s="234">
        <v>0</v>
      </c>
      <c r="BA137" s="234">
        <v>0</v>
      </c>
      <c r="BB137" s="234">
        <v>0</v>
      </c>
      <c r="BC137" s="234">
        <v>0</v>
      </c>
      <c r="BD137" s="234">
        <v>0</v>
      </c>
      <c r="BE137" s="234">
        <v>0</v>
      </c>
      <c r="BF137" s="234">
        <v>0</v>
      </c>
      <c r="BG137" s="234">
        <v>0</v>
      </c>
      <c r="BH137" s="234">
        <v>0</v>
      </c>
      <c r="BI137" s="234">
        <v>0</v>
      </c>
      <c r="BJ137" s="234">
        <v>0</v>
      </c>
      <c r="BK137" s="234">
        <v>0</v>
      </c>
      <c r="BL137" s="234">
        <v>0</v>
      </c>
      <c r="BM137" s="234">
        <v>0</v>
      </c>
      <c r="BN137" s="234">
        <v>0</v>
      </c>
      <c r="BO137" s="234">
        <v>0</v>
      </c>
      <c r="BP137" s="234"/>
      <c r="BQ137" s="234"/>
      <c r="BR137" s="237" t="s">
        <v>154</v>
      </c>
      <c r="BS137" s="238">
        <v>11</v>
      </c>
      <c r="BT137" s="239">
        <f t="shared" si="8"/>
        <v>2</v>
      </c>
      <c r="CN137" s="238">
        <f t="shared" si="9"/>
        <v>0</v>
      </c>
      <c r="CO137" s="238">
        <f t="shared" si="10"/>
        <v>0</v>
      </c>
    </row>
    <row r="138" spans="1:93" ht="13.95" customHeight="1" x14ac:dyDescent="0.2">
      <c r="A138" s="231">
        <v>4204</v>
      </c>
      <c r="B138" s="232" t="s">
        <v>314</v>
      </c>
      <c r="C138" s="232" t="s">
        <v>744</v>
      </c>
      <c r="D138" s="232" t="s">
        <v>745</v>
      </c>
      <c r="E138" s="232" t="s">
        <v>317</v>
      </c>
      <c r="F138" s="231">
        <v>525908</v>
      </c>
      <c r="G138" s="231">
        <v>173523</v>
      </c>
      <c r="H138" s="232" t="s">
        <v>179</v>
      </c>
      <c r="I138" s="233">
        <v>44658</v>
      </c>
      <c r="J138" s="233">
        <v>44658</v>
      </c>
      <c r="K138" s="231">
        <v>0</v>
      </c>
      <c r="L138" s="231">
        <v>2</v>
      </c>
      <c r="M138" s="231">
        <v>2</v>
      </c>
      <c r="N138" s="231">
        <v>2</v>
      </c>
      <c r="O138" s="231">
        <v>2</v>
      </c>
      <c r="P138" s="234"/>
      <c r="Q138" s="232" t="s">
        <v>746</v>
      </c>
      <c r="R138" s="234" t="s">
        <v>639</v>
      </c>
      <c r="S138" s="235">
        <v>44603</v>
      </c>
      <c r="T138" s="235">
        <v>44658</v>
      </c>
      <c r="U138" s="234" t="s">
        <v>318</v>
      </c>
      <c r="V138" s="232" t="s">
        <v>321</v>
      </c>
      <c r="W138" s="231"/>
      <c r="X138" s="232" t="s">
        <v>322</v>
      </c>
      <c r="Y138" s="232" t="s">
        <v>378</v>
      </c>
      <c r="Z138" s="232" t="s">
        <v>324</v>
      </c>
      <c r="AA138" s="232" t="s">
        <v>28</v>
      </c>
      <c r="AB138" s="236">
        <v>2E-3</v>
      </c>
      <c r="AC138" s="235">
        <v>44658</v>
      </c>
      <c r="AD138" s="234" t="s">
        <v>318</v>
      </c>
      <c r="AE138" s="235">
        <v>44658</v>
      </c>
      <c r="AF138" s="232" t="s">
        <v>77</v>
      </c>
      <c r="AG138" s="232" t="s">
        <v>350</v>
      </c>
      <c r="AH138" s="234" t="s">
        <v>317</v>
      </c>
      <c r="AI138" s="250"/>
      <c r="AJ138" s="234">
        <v>0</v>
      </c>
      <c r="AK138" s="224"/>
      <c r="AL138" s="234">
        <v>0</v>
      </c>
      <c r="AM138" s="224"/>
      <c r="AN138" s="234">
        <v>0</v>
      </c>
      <c r="AO138" s="234">
        <v>1</v>
      </c>
      <c r="AP138" s="234">
        <v>0</v>
      </c>
      <c r="AQ138" s="234">
        <v>0</v>
      </c>
      <c r="AR138" s="234">
        <v>1</v>
      </c>
      <c r="AS138" s="234">
        <v>0</v>
      </c>
      <c r="AT138" s="234">
        <v>0</v>
      </c>
      <c r="AU138" s="234">
        <v>0</v>
      </c>
      <c r="AV138" s="234">
        <v>1</v>
      </c>
      <c r="AW138" s="234">
        <v>0</v>
      </c>
      <c r="AX138" s="234">
        <v>0</v>
      </c>
      <c r="AY138" s="234">
        <v>1</v>
      </c>
      <c r="AZ138" s="234">
        <v>0</v>
      </c>
      <c r="BA138" s="234">
        <v>0</v>
      </c>
      <c r="BB138" s="234">
        <v>0</v>
      </c>
      <c r="BC138" s="234">
        <v>0</v>
      </c>
      <c r="BD138" s="234">
        <v>0</v>
      </c>
      <c r="BE138" s="234">
        <v>0</v>
      </c>
      <c r="BF138" s="234">
        <v>0</v>
      </c>
      <c r="BG138" s="234">
        <v>0</v>
      </c>
      <c r="BH138" s="234">
        <v>0</v>
      </c>
      <c r="BI138" s="234">
        <v>0</v>
      </c>
      <c r="BJ138" s="234">
        <v>0</v>
      </c>
      <c r="BK138" s="234">
        <v>0</v>
      </c>
      <c r="BL138" s="234">
        <v>0</v>
      </c>
      <c r="BM138" s="234">
        <v>0</v>
      </c>
      <c r="BN138" s="234">
        <v>0</v>
      </c>
      <c r="BO138" s="234">
        <v>0</v>
      </c>
      <c r="BP138" s="234"/>
      <c r="BQ138" s="234"/>
      <c r="BR138" s="237" t="s">
        <v>154</v>
      </c>
      <c r="BS138" s="238">
        <v>11</v>
      </c>
      <c r="BT138" s="239">
        <f t="shared" si="8"/>
        <v>2</v>
      </c>
      <c r="CN138" s="238">
        <f t="shared" si="9"/>
        <v>0</v>
      </c>
      <c r="CO138" s="238">
        <f t="shared" si="10"/>
        <v>0</v>
      </c>
    </row>
    <row r="139" spans="1:93" ht="13.95" customHeight="1" x14ac:dyDescent="0.2">
      <c r="A139" s="231">
        <v>5755</v>
      </c>
      <c r="B139" s="232" t="s">
        <v>314</v>
      </c>
      <c r="C139" s="232" t="s">
        <v>747</v>
      </c>
      <c r="D139" s="232" t="s">
        <v>748</v>
      </c>
      <c r="E139" s="232" t="s">
        <v>317</v>
      </c>
      <c r="F139" s="231">
        <v>525908</v>
      </c>
      <c r="G139" s="231">
        <v>173523</v>
      </c>
      <c r="H139" s="232" t="s">
        <v>179</v>
      </c>
      <c r="I139" s="233">
        <v>44658</v>
      </c>
      <c r="J139" s="233">
        <v>44658</v>
      </c>
      <c r="K139" s="231">
        <v>0</v>
      </c>
      <c r="L139" s="231">
        <v>2</v>
      </c>
      <c r="M139" s="231">
        <v>2</v>
      </c>
      <c r="N139" s="231">
        <v>2</v>
      </c>
      <c r="O139" s="231">
        <v>2</v>
      </c>
      <c r="P139" s="234"/>
      <c r="Q139" s="232" t="s">
        <v>749</v>
      </c>
      <c r="R139" s="234" t="s">
        <v>639</v>
      </c>
      <c r="S139" s="235">
        <v>44603</v>
      </c>
      <c r="T139" s="235">
        <v>44658</v>
      </c>
      <c r="U139" s="234" t="s">
        <v>318</v>
      </c>
      <c r="V139" s="232" t="s">
        <v>321</v>
      </c>
      <c r="W139" s="231"/>
      <c r="X139" s="232" t="s">
        <v>322</v>
      </c>
      <c r="Y139" s="232" t="s">
        <v>378</v>
      </c>
      <c r="Z139" s="232" t="s">
        <v>324</v>
      </c>
      <c r="AA139" s="232" t="s">
        <v>28</v>
      </c>
      <c r="AB139" s="236">
        <v>3.0000000000000001E-3</v>
      </c>
      <c r="AC139" s="235">
        <v>44658</v>
      </c>
      <c r="AD139" s="234" t="s">
        <v>318</v>
      </c>
      <c r="AE139" s="235">
        <v>44658</v>
      </c>
      <c r="AF139" s="232" t="s">
        <v>77</v>
      </c>
      <c r="AG139" s="232" t="s">
        <v>350</v>
      </c>
      <c r="AH139" s="234" t="s">
        <v>317</v>
      </c>
      <c r="AI139" s="250"/>
      <c r="AJ139" s="234">
        <v>0</v>
      </c>
      <c r="AK139" s="224"/>
      <c r="AL139" s="234">
        <v>0</v>
      </c>
      <c r="AM139" s="224"/>
      <c r="AN139" s="234">
        <v>1</v>
      </c>
      <c r="AO139" s="234">
        <v>0</v>
      </c>
      <c r="AP139" s="234">
        <v>0</v>
      </c>
      <c r="AQ139" s="234">
        <v>1</v>
      </c>
      <c r="AR139" s="234">
        <v>0</v>
      </c>
      <c r="AS139" s="234">
        <v>0</v>
      </c>
      <c r="AT139" s="234">
        <v>0</v>
      </c>
      <c r="AU139" s="234">
        <v>1</v>
      </c>
      <c r="AV139" s="234">
        <v>0</v>
      </c>
      <c r="AW139" s="234">
        <v>0</v>
      </c>
      <c r="AX139" s="234">
        <v>1</v>
      </c>
      <c r="AY139" s="234">
        <v>0</v>
      </c>
      <c r="AZ139" s="234">
        <v>0</v>
      </c>
      <c r="BA139" s="234">
        <v>0</v>
      </c>
      <c r="BB139" s="234">
        <v>0</v>
      </c>
      <c r="BC139" s="234">
        <v>0</v>
      </c>
      <c r="BD139" s="234">
        <v>0</v>
      </c>
      <c r="BE139" s="234">
        <v>0</v>
      </c>
      <c r="BF139" s="234">
        <v>0</v>
      </c>
      <c r="BG139" s="234">
        <v>0</v>
      </c>
      <c r="BH139" s="234">
        <v>0</v>
      </c>
      <c r="BI139" s="234">
        <v>0</v>
      </c>
      <c r="BJ139" s="234">
        <v>0</v>
      </c>
      <c r="BK139" s="234">
        <v>0</v>
      </c>
      <c r="BL139" s="234">
        <v>0</v>
      </c>
      <c r="BM139" s="234">
        <v>0</v>
      </c>
      <c r="BN139" s="234">
        <v>0</v>
      </c>
      <c r="BO139" s="234">
        <v>0</v>
      </c>
      <c r="BP139" s="234"/>
      <c r="BQ139" s="234"/>
      <c r="BR139" s="237" t="s">
        <v>154</v>
      </c>
      <c r="BS139" s="238">
        <v>11</v>
      </c>
      <c r="BT139" s="239">
        <f t="shared" si="8"/>
        <v>2</v>
      </c>
      <c r="CN139" s="238">
        <f t="shared" si="9"/>
        <v>0</v>
      </c>
      <c r="CO139" s="238">
        <f t="shared" si="10"/>
        <v>0</v>
      </c>
    </row>
    <row r="140" spans="1:93" ht="13.95" customHeight="1" x14ac:dyDescent="0.2">
      <c r="A140" s="231">
        <v>6809</v>
      </c>
      <c r="B140" s="232" t="s">
        <v>314</v>
      </c>
      <c r="C140" s="232" t="s">
        <v>750</v>
      </c>
      <c r="D140" s="232" t="s">
        <v>426</v>
      </c>
      <c r="E140" s="232" t="s">
        <v>317</v>
      </c>
      <c r="F140" s="231">
        <v>529284</v>
      </c>
      <c r="G140" s="231">
        <v>171134</v>
      </c>
      <c r="H140" s="232" t="s">
        <v>166</v>
      </c>
      <c r="I140" s="233">
        <v>44655</v>
      </c>
      <c r="J140" s="233">
        <v>44876</v>
      </c>
      <c r="K140" s="231">
        <v>0</v>
      </c>
      <c r="L140" s="231">
        <v>1</v>
      </c>
      <c r="M140" s="231">
        <v>1</v>
      </c>
      <c r="N140" s="231">
        <v>1</v>
      </c>
      <c r="O140" s="231">
        <v>1</v>
      </c>
      <c r="P140" s="234"/>
      <c r="Q140" s="232" t="s">
        <v>751</v>
      </c>
      <c r="R140" s="234" t="s">
        <v>629</v>
      </c>
      <c r="S140" s="235">
        <v>44539</v>
      </c>
      <c r="T140" s="235">
        <v>44589</v>
      </c>
      <c r="U140" s="234"/>
      <c r="V140" s="232" t="s">
        <v>321</v>
      </c>
      <c r="W140" s="231"/>
      <c r="X140" s="232" t="s">
        <v>322</v>
      </c>
      <c r="Y140" s="232" t="s">
        <v>365</v>
      </c>
      <c r="Z140" s="232" t="s">
        <v>324</v>
      </c>
      <c r="AA140" s="232" t="s">
        <v>25</v>
      </c>
      <c r="AB140" s="236">
        <v>3.8899999999999998E-3</v>
      </c>
      <c r="AC140" s="235">
        <v>44655</v>
      </c>
      <c r="AD140" s="234" t="s">
        <v>318</v>
      </c>
      <c r="AE140" s="235">
        <v>44876</v>
      </c>
      <c r="AF140" s="232" t="s">
        <v>77</v>
      </c>
      <c r="AG140" s="232" t="s">
        <v>350</v>
      </c>
      <c r="AH140" s="234" t="s">
        <v>317</v>
      </c>
      <c r="AI140" s="250"/>
      <c r="AJ140" s="234">
        <v>0</v>
      </c>
      <c r="AK140" s="224"/>
      <c r="AL140" s="234">
        <v>0</v>
      </c>
      <c r="AM140" s="224"/>
      <c r="AN140" s="234">
        <v>1</v>
      </c>
      <c r="AO140" s="234">
        <v>0</v>
      </c>
      <c r="AP140" s="234">
        <v>0</v>
      </c>
      <c r="AQ140" s="234">
        <v>0</v>
      </c>
      <c r="AR140" s="234">
        <v>0</v>
      </c>
      <c r="AS140" s="234">
        <v>0</v>
      </c>
      <c r="AT140" s="234">
        <v>0</v>
      </c>
      <c r="AU140" s="234">
        <v>1</v>
      </c>
      <c r="AV140" s="234">
        <v>0</v>
      </c>
      <c r="AW140" s="234">
        <v>0</v>
      </c>
      <c r="AX140" s="234">
        <v>0</v>
      </c>
      <c r="AY140" s="234">
        <v>0</v>
      </c>
      <c r="AZ140" s="234">
        <v>0</v>
      </c>
      <c r="BA140" s="234">
        <v>0</v>
      </c>
      <c r="BB140" s="234">
        <v>0</v>
      </c>
      <c r="BC140" s="234">
        <v>0</v>
      </c>
      <c r="BD140" s="234">
        <v>0</v>
      </c>
      <c r="BE140" s="234">
        <v>0</v>
      </c>
      <c r="BF140" s="234">
        <v>0</v>
      </c>
      <c r="BG140" s="234">
        <v>0</v>
      </c>
      <c r="BH140" s="234">
        <v>0</v>
      </c>
      <c r="BI140" s="234">
        <v>0</v>
      </c>
      <c r="BJ140" s="234">
        <v>0</v>
      </c>
      <c r="BK140" s="234">
        <v>0</v>
      </c>
      <c r="BL140" s="234">
        <v>0</v>
      </c>
      <c r="BM140" s="234">
        <v>0</v>
      </c>
      <c r="BN140" s="234">
        <v>0</v>
      </c>
      <c r="BO140" s="234">
        <v>0</v>
      </c>
      <c r="BP140" s="234"/>
      <c r="BQ140" s="234"/>
      <c r="BR140" s="237" t="s">
        <v>334</v>
      </c>
      <c r="BS140" s="238">
        <v>11</v>
      </c>
      <c r="BT140" s="239">
        <f t="shared" si="8"/>
        <v>1</v>
      </c>
      <c r="CN140" s="238">
        <f t="shared" si="9"/>
        <v>0</v>
      </c>
      <c r="CO140" s="238">
        <f t="shared" si="10"/>
        <v>0</v>
      </c>
    </row>
    <row r="141" spans="1:93" ht="13.95" customHeight="1" x14ac:dyDescent="0.2">
      <c r="A141" s="231">
        <v>4420</v>
      </c>
      <c r="B141" s="232" t="s">
        <v>314</v>
      </c>
      <c r="C141" s="232" t="s">
        <v>752</v>
      </c>
      <c r="D141" s="232" t="s">
        <v>753</v>
      </c>
      <c r="E141" s="232" t="s">
        <v>317</v>
      </c>
      <c r="F141" s="231">
        <v>523999</v>
      </c>
      <c r="G141" s="231">
        <v>175272</v>
      </c>
      <c r="H141" s="232" t="s">
        <v>175</v>
      </c>
      <c r="I141" s="233">
        <v>44652</v>
      </c>
      <c r="J141" s="233">
        <v>45016</v>
      </c>
      <c r="K141" s="231">
        <v>1</v>
      </c>
      <c r="L141" s="231">
        <v>3</v>
      </c>
      <c r="M141" s="231">
        <v>2</v>
      </c>
      <c r="N141" s="231">
        <v>3</v>
      </c>
      <c r="O141" s="231">
        <v>2</v>
      </c>
      <c r="P141" s="234"/>
      <c r="Q141" s="232" t="s">
        <v>754</v>
      </c>
      <c r="R141" s="234" t="s">
        <v>332</v>
      </c>
      <c r="S141" s="235">
        <v>44357</v>
      </c>
      <c r="T141" s="235">
        <v>44406</v>
      </c>
      <c r="U141" s="234"/>
      <c r="V141" s="232" t="s">
        <v>321</v>
      </c>
      <c r="W141" s="231"/>
      <c r="X141" s="232" t="s">
        <v>322</v>
      </c>
      <c r="Y141" s="232" t="s">
        <v>365</v>
      </c>
      <c r="Z141" s="232" t="s">
        <v>324</v>
      </c>
      <c r="AA141" s="232" t="s">
        <v>411</v>
      </c>
      <c r="AB141" s="236">
        <v>4.8225000000000004E-3</v>
      </c>
      <c r="AC141" s="235">
        <v>44652</v>
      </c>
      <c r="AD141" s="234" t="s">
        <v>318</v>
      </c>
      <c r="AE141" s="235">
        <v>45016</v>
      </c>
      <c r="AF141" s="232" t="s">
        <v>77</v>
      </c>
      <c r="AG141" s="232" t="s">
        <v>340</v>
      </c>
      <c r="AH141" s="234" t="s">
        <v>317</v>
      </c>
      <c r="AI141" s="250"/>
      <c r="AJ141" s="234">
        <v>0</v>
      </c>
      <c r="AK141" s="224"/>
      <c r="AL141" s="234">
        <v>0</v>
      </c>
      <c r="AM141" s="224"/>
      <c r="AN141" s="234">
        <v>0</v>
      </c>
      <c r="AO141" s="234">
        <v>1</v>
      </c>
      <c r="AP141" s="234">
        <v>2</v>
      </c>
      <c r="AQ141" s="234">
        <v>0</v>
      </c>
      <c r="AR141" s="234">
        <v>0</v>
      </c>
      <c r="AS141" s="234">
        <v>-1</v>
      </c>
      <c r="AT141" s="234">
        <v>0</v>
      </c>
      <c r="AU141" s="234">
        <v>0</v>
      </c>
      <c r="AV141" s="234">
        <v>1</v>
      </c>
      <c r="AW141" s="234">
        <v>2</v>
      </c>
      <c r="AX141" s="234">
        <v>0</v>
      </c>
      <c r="AY141" s="234">
        <v>0</v>
      </c>
      <c r="AZ141" s="234">
        <v>-1</v>
      </c>
      <c r="BA141" s="234">
        <v>0</v>
      </c>
      <c r="BB141" s="234">
        <v>0</v>
      </c>
      <c r="BC141" s="234">
        <v>0</v>
      </c>
      <c r="BD141" s="234">
        <v>0</v>
      </c>
      <c r="BE141" s="234">
        <v>0</v>
      </c>
      <c r="BF141" s="234">
        <v>0</v>
      </c>
      <c r="BG141" s="234">
        <v>0</v>
      </c>
      <c r="BH141" s="234">
        <v>0</v>
      </c>
      <c r="BI141" s="234">
        <v>0</v>
      </c>
      <c r="BJ141" s="234">
        <v>0</v>
      </c>
      <c r="BK141" s="234">
        <v>0</v>
      </c>
      <c r="BL141" s="234">
        <v>0</v>
      </c>
      <c r="BM141" s="234">
        <v>0</v>
      </c>
      <c r="BN141" s="234">
        <v>0</v>
      </c>
      <c r="BO141" s="234">
        <v>0</v>
      </c>
      <c r="BP141" s="234" t="s">
        <v>143</v>
      </c>
      <c r="BQ141" s="234"/>
      <c r="BR141" s="237" t="s">
        <v>152</v>
      </c>
      <c r="BS141" s="238">
        <v>11</v>
      </c>
      <c r="BT141" s="239">
        <f t="shared" si="8"/>
        <v>2</v>
      </c>
      <c r="CN141" s="238">
        <f t="shared" si="9"/>
        <v>0</v>
      </c>
      <c r="CO141" s="238">
        <f t="shared" si="10"/>
        <v>0</v>
      </c>
    </row>
    <row r="142" spans="1:93" ht="13.95" customHeight="1" x14ac:dyDescent="0.2">
      <c r="A142" s="231">
        <v>7489</v>
      </c>
      <c r="B142" s="232" t="s">
        <v>314</v>
      </c>
      <c r="C142" s="232" t="s">
        <v>755</v>
      </c>
      <c r="D142" s="232" t="s">
        <v>756</v>
      </c>
      <c r="E142" s="232" t="s">
        <v>317</v>
      </c>
      <c r="F142" s="231">
        <v>528355</v>
      </c>
      <c r="G142" s="231">
        <v>171746</v>
      </c>
      <c r="H142" s="232" t="s">
        <v>176</v>
      </c>
      <c r="I142" s="233">
        <v>44652</v>
      </c>
      <c r="J142" s="233">
        <v>44773</v>
      </c>
      <c r="K142" s="231">
        <v>1</v>
      </c>
      <c r="L142" s="231">
        <v>2</v>
      </c>
      <c r="M142" s="231">
        <v>1</v>
      </c>
      <c r="N142" s="231">
        <v>2</v>
      </c>
      <c r="O142" s="231">
        <v>1</v>
      </c>
      <c r="P142" s="234"/>
      <c r="Q142" s="232" t="s">
        <v>757</v>
      </c>
      <c r="R142" s="234" t="s">
        <v>332</v>
      </c>
      <c r="S142" s="235">
        <v>44286</v>
      </c>
      <c r="T142" s="235">
        <v>44363</v>
      </c>
      <c r="U142" s="234"/>
      <c r="V142" s="232" t="s">
        <v>321</v>
      </c>
      <c r="W142" s="231"/>
      <c r="X142" s="232" t="s">
        <v>322</v>
      </c>
      <c r="Y142" s="232" t="s">
        <v>339</v>
      </c>
      <c r="Z142" s="232" t="s">
        <v>324</v>
      </c>
      <c r="AA142" s="232" t="s">
        <v>354</v>
      </c>
      <c r="AB142" s="236">
        <v>6.0000000000000001E-3</v>
      </c>
      <c r="AC142" s="235">
        <v>44652</v>
      </c>
      <c r="AD142" s="234" t="s">
        <v>318</v>
      </c>
      <c r="AE142" s="235">
        <v>44773</v>
      </c>
      <c r="AF142" s="232" t="s">
        <v>77</v>
      </c>
      <c r="AG142" s="232" t="s">
        <v>350</v>
      </c>
      <c r="AH142" s="234" t="s">
        <v>317</v>
      </c>
      <c r="AI142" s="250"/>
      <c r="AJ142" s="234">
        <v>0</v>
      </c>
      <c r="AK142" s="224"/>
      <c r="AL142" s="234">
        <v>0</v>
      </c>
      <c r="AM142" s="224"/>
      <c r="AN142" s="234">
        <v>0</v>
      </c>
      <c r="AO142" s="234">
        <v>1</v>
      </c>
      <c r="AP142" s="234">
        <v>1</v>
      </c>
      <c r="AQ142" s="234">
        <v>-1</v>
      </c>
      <c r="AR142" s="234">
        <v>0</v>
      </c>
      <c r="AS142" s="234">
        <v>0</v>
      </c>
      <c r="AT142" s="234">
        <v>0</v>
      </c>
      <c r="AU142" s="234">
        <v>0</v>
      </c>
      <c r="AV142" s="234">
        <v>1</v>
      </c>
      <c r="AW142" s="234">
        <v>1</v>
      </c>
      <c r="AX142" s="234">
        <v>0</v>
      </c>
      <c r="AY142" s="234">
        <v>0</v>
      </c>
      <c r="AZ142" s="234">
        <v>0</v>
      </c>
      <c r="BA142" s="234">
        <v>0</v>
      </c>
      <c r="BB142" s="234">
        <v>0</v>
      </c>
      <c r="BC142" s="234">
        <v>0</v>
      </c>
      <c r="BD142" s="234">
        <v>0</v>
      </c>
      <c r="BE142" s="234">
        <v>-1</v>
      </c>
      <c r="BF142" s="234">
        <v>0</v>
      </c>
      <c r="BG142" s="234">
        <v>0</v>
      </c>
      <c r="BH142" s="234">
        <v>0</v>
      </c>
      <c r="BI142" s="234">
        <v>0</v>
      </c>
      <c r="BJ142" s="234">
        <v>0</v>
      </c>
      <c r="BK142" s="234">
        <v>0</v>
      </c>
      <c r="BL142" s="234">
        <v>0</v>
      </c>
      <c r="BM142" s="234">
        <v>0</v>
      </c>
      <c r="BN142" s="234">
        <v>0</v>
      </c>
      <c r="BO142" s="234">
        <v>0</v>
      </c>
      <c r="BP142" s="234"/>
      <c r="BQ142" s="234"/>
      <c r="BR142" s="237" t="s">
        <v>334</v>
      </c>
      <c r="BS142" s="238">
        <v>11</v>
      </c>
      <c r="BT142" s="239">
        <f t="shared" si="8"/>
        <v>1</v>
      </c>
      <c r="CN142" s="238">
        <f t="shared" si="9"/>
        <v>0</v>
      </c>
      <c r="CO142" s="238">
        <f t="shared" si="10"/>
        <v>0</v>
      </c>
    </row>
    <row r="143" spans="1:93" ht="13.95" customHeight="1" x14ac:dyDescent="0.2">
      <c r="A143" s="231">
        <v>2807</v>
      </c>
      <c r="B143" s="232" t="s">
        <v>314</v>
      </c>
      <c r="C143" s="232" t="s">
        <v>758</v>
      </c>
      <c r="D143" s="232" t="s">
        <v>759</v>
      </c>
      <c r="E143" s="232" t="s">
        <v>317</v>
      </c>
      <c r="F143" s="231">
        <v>528724</v>
      </c>
      <c r="G143" s="231">
        <v>173597</v>
      </c>
      <c r="H143" s="232" t="s">
        <v>141</v>
      </c>
      <c r="I143" s="233">
        <v>44652</v>
      </c>
      <c r="J143" s="233">
        <v>44915</v>
      </c>
      <c r="K143" s="231">
        <v>1</v>
      </c>
      <c r="L143" s="231">
        <v>2</v>
      </c>
      <c r="M143" s="231">
        <v>1</v>
      </c>
      <c r="N143" s="231">
        <v>2</v>
      </c>
      <c r="O143" s="231">
        <v>1</v>
      </c>
      <c r="P143" s="234"/>
      <c r="Q143" s="232" t="s">
        <v>760</v>
      </c>
      <c r="R143" s="234" t="s">
        <v>332</v>
      </c>
      <c r="S143" s="235">
        <v>44327</v>
      </c>
      <c r="T143" s="235">
        <v>44519</v>
      </c>
      <c r="U143" s="234"/>
      <c r="V143" s="232" t="s">
        <v>321</v>
      </c>
      <c r="W143" s="231"/>
      <c r="X143" s="232" t="s">
        <v>322</v>
      </c>
      <c r="Y143" s="232" t="s">
        <v>338</v>
      </c>
      <c r="Z143" s="232" t="s">
        <v>324</v>
      </c>
      <c r="AA143" s="232" t="s">
        <v>411</v>
      </c>
      <c r="AB143" s="236">
        <v>5.5500000000000002E-3</v>
      </c>
      <c r="AC143" s="235">
        <v>44652</v>
      </c>
      <c r="AD143" s="234" t="s">
        <v>318</v>
      </c>
      <c r="AE143" s="235">
        <v>44915</v>
      </c>
      <c r="AF143" s="232" t="s">
        <v>77</v>
      </c>
      <c r="AG143" s="232" t="s">
        <v>340</v>
      </c>
      <c r="AH143" s="234" t="s">
        <v>317</v>
      </c>
      <c r="AI143" s="250"/>
      <c r="AJ143" s="234">
        <v>0</v>
      </c>
      <c r="AK143" s="224"/>
      <c r="AL143" s="234">
        <v>0</v>
      </c>
      <c r="AM143" s="224"/>
      <c r="AN143" s="234">
        <v>0</v>
      </c>
      <c r="AO143" s="234">
        <v>1</v>
      </c>
      <c r="AP143" s="234">
        <v>1</v>
      </c>
      <c r="AQ143" s="234">
        <v>-1</v>
      </c>
      <c r="AR143" s="234">
        <v>0</v>
      </c>
      <c r="AS143" s="234">
        <v>0</v>
      </c>
      <c r="AT143" s="234">
        <v>0</v>
      </c>
      <c r="AU143" s="234">
        <v>0</v>
      </c>
      <c r="AV143" s="234">
        <v>1</v>
      </c>
      <c r="AW143" s="234">
        <v>1</v>
      </c>
      <c r="AX143" s="234">
        <v>-1</v>
      </c>
      <c r="AY143" s="234">
        <v>0</v>
      </c>
      <c r="AZ143" s="234">
        <v>0</v>
      </c>
      <c r="BA143" s="234">
        <v>0</v>
      </c>
      <c r="BB143" s="234">
        <v>0</v>
      </c>
      <c r="BC143" s="234">
        <v>0</v>
      </c>
      <c r="BD143" s="234">
        <v>0</v>
      </c>
      <c r="BE143" s="234">
        <v>0</v>
      </c>
      <c r="BF143" s="234">
        <v>0</v>
      </c>
      <c r="BG143" s="234">
        <v>0</v>
      </c>
      <c r="BH143" s="234">
        <v>0</v>
      </c>
      <c r="BI143" s="234">
        <v>0</v>
      </c>
      <c r="BJ143" s="234">
        <v>0</v>
      </c>
      <c r="BK143" s="234">
        <v>0</v>
      </c>
      <c r="BL143" s="234">
        <v>0</v>
      </c>
      <c r="BM143" s="234">
        <v>0</v>
      </c>
      <c r="BN143" s="234">
        <v>0</v>
      </c>
      <c r="BO143" s="234">
        <v>0</v>
      </c>
      <c r="BP143" s="234" t="s">
        <v>141</v>
      </c>
      <c r="BQ143" s="234"/>
      <c r="BR143" s="237" t="s">
        <v>141</v>
      </c>
      <c r="BS143" s="238">
        <v>11</v>
      </c>
      <c r="BT143" s="239">
        <f t="shared" si="8"/>
        <v>1</v>
      </c>
      <c r="CN143" s="238">
        <f t="shared" si="9"/>
        <v>0</v>
      </c>
      <c r="CO143" s="238">
        <f t="shared" si="10"/>
        <v>0</v>
      </c>
    </row>
    <row r="144" spans="1:93" ht="13.95" customHeight="1" x14ac:dyDescent="0.2">
      <c r="A144" s="231">
        <v>1535</v>
      </c>
      <c r="B144" s="232" t="s">
        <v>314</v>
      </c>
      <c r="C144" s="232" t="s">
        <v>761</v>
      </c>
      <c r="D144" s="232" t="s">
        <v>762</v>
      </c>
      <c r="E144" s="232" t="s">
        <v>317</v>
      </c>
      <c r="F144" s="231">
        <v>524322</v>
      </c>
      <c r="G144" s="231">
        <v>175262</v>
      </c>
      <c r="H144" s="232" t="s">
        <v>175</v>
      </c>
      <c r="I144" s="233">
        <v>44652</v>
      </c>
      <c r="J144" s="233">
        <v>44652</v>
      </c>
      <c r="K144" s="231">
        <v>2</v>
      </c>
      <c r="L144" s="231">
        <v>1</v>
      </c>
      <c r="M144" s="231">
        <v>-1</v>
      </c>
      <c r="N144" s="231">
        <v>1</v>
      </c>
      <c r="O144" s="231">
        <v>-1</v>
      </c>
      <c r="P144" s="234"/>
      <c r="Q144" s="232" t="s">
        <v>763</v>
      </c>
      <c r="R144" s="234" t="s">
        <v>332</v>
      </c>
      <c r="S144" s="235">
        <v>44221</v>
      </c>
      <c r="T144" s="235">
        <v>44294</v>
      </c>
      <c r="U144" s="234"/>
      <c r="V144" s="232" t="s">
        <v>321</v>
      </c>
      <c r="W144" s="231"/>
      <c r="X144" s="232" t="s">
        <v>322</v>
      </c>
      <c r="Y144" s="232" t="s">
        <v>365</v>
      </c>
      <c r="Z144" s="232" t="s">
        <v>324</v>
      </c>
      <c r="AA144" s="232" t="s">
        <v>17</v>
      </c>
      <c r="AB144" s="236">
        <v>2.9000000000000001E-2</v>
      </c>
      <c r="AC144" s="235">
        <v>44652</v>
      </c>
      <c r="AD144" s="234" t="s">
        <v>318</v>
      </c>
      <c r="AE144" s="235">
        <v>44652</v>
      </c>
      <c r="AF144" s="232" t="s">
        <v>77</v>
      </c>
      <c r="AG144" s="232" t="s">
        <v>350</v>
      </c>
      <c r="AH144" s="234" t="s">
        <v>317</v>
      </c>
      <c r="AI144" s="250"/>
      <c r="AJ144" s="234">
        <v>0</v>
      </c>
      <c r="AK144" s="224"/>
      <c r="AL144" s="234">
        <v>0</v>
      </c>
      <c r="AM144" s="224"/>
      <c r="AN144" s="234">
        <v>0</v>
      </c>
      <c r="AO144" s="234">
        <v>-1</v>
      </c>
      <c r="AP144" s="234">
        <v>0</v>
      </c>
      <c r="AQ144" s="234">
        <v>0</v>
      </c>
      <c r="AR144" s="234">
        <v>-1</v>
      </c>
      <c r="AS144" s="234">
        <v>1</v>
      </c>
      <c r="AT144" s="234">
        <v>0</v>
      </c>
      <c r="AU144" s="234">
        <v>0</v>
      </c>
      <c r="AV144" s="234">
        <v>-1</v>
      </c>
      <c r="AW144" s="234">
        <v>0</v>
      </c>
      <c r="AX144" s="234">
        <v>0</v>
      </c>
      <c r="AY144" s="234">
        <v>-1</v>
      </c>
      <c r="AZ144" s="234">
        <v>0</v>
      </c>
      <c r="BA144" s="234">
        <v>0</v>
      </c>
      <c r="BB144" s="234">
        <v>0</v>
      </c>
      <c r="BC144" s="234">
        <v>0</v>
      </c>
      <c r="BD144" s="234">
        <v>0</v>
      </c>
      <c r="BE144" s="234">
        <v>0</v>
      </c>
      <c r="BF144" s="234">
        <v>0</v>
      </c>
      <c r="BG144" s="234">
        <v>1</v>
      </c>
      <c r="BH144" s="234">
        <v>0</v>
      </c>
      <c r="BI144" s="234">
        <v>0</v>
      </c>
      <c r="BJ144" s="234">
        <v>0</v>
      </c>
      <c r="BK144" s="234">
        <v>0</v>
      </c>
      <c r="BL144" s="234">
        <v>0</v>
      </c>
      <c r="BM144" s="234">
        <v>0</v>
      </c>
      <c r="BN144" s="234">
        <v>0</v>
      </c>
      <c r="BO144" s="234">
        <v>0</v>
      </c>
      <c r="BP144" s="234"/>
      <c r="BQ144" s="234"/>
      <c r="BR144" s="237" t="s">
        <v>334</v>
      </c>
      <c r="BS144" s="238">
        <v>11</v>
      </c>
      <c r="BT144" s="239">
        <f t="shared" si="8"/>
        <v>-1</v>
      </c>
      <c r="CN144" s="238">
        <f t="shared" si="9"/>
        <v>0</v>
      </c>
      <c r="CO144" s="238">
        <f t="shared" si="10"/>
        <v>0</v>
      </c>
    </row>
    <row r="145" spans="1:93" ht="13.95" customHeight="1" x14ac:dyDescent="0.2">
      <c r="A145" s="231">
        <v>7655</v>
      </c>
      <c r="B145" s="232" t="s">
        <v>314</v>
      </c>
      <c r="C145" s="232" t="s">
        <v>764</v>
      </c>
      <c r="D145" s="232" t="s">
        <v>765</v>
      </c>
      <c r="E145" s="232" t="s">
        <v>317</v>
      </c>
      <c r="F145" s="231">
        <v>522962</v>
      </c>
      <c r="G145" s="231">
        <v>174883</v>
      </c>
      <c r="H145" s="232" t="s">
        <v>183</v>
      </c>
      <c r="I145" s="233">
        <v>44652</v>
      </c>
      <c r="J145" s="233">
        <v>44978</v>
      </c>
      <c r="K145" s="231">
        <v>1</v>
      </c>
      <c r="L145" s="231">
        <v>1</v>
      </c>
      <c r="M145" s="231">
        <v>0</v>
      </c>
      <c r="N145" s="231">
        <v>1</v>
      </c>
      <c r="O145" s="231">
        <v>0</v>
      </c>
      <c r="P145" s="234"/>
      <c r="Q145" s="232" t="s">
        <v>766</v>
      </c>
      <c r="R145" s="234" t="s">
        <v>673</v>
      </c>
      <c r="S145" s="235">
        <v>44411</v>
      </c>
      <c r="T145" s="235">
        <v>44467</v>
      </c>
      <c r="U145" s="234"/>
      <c r="V145" s="232" t="s">
        <v>321</v>
      </c>
      <c r="W145" s="231"/>
      <c r="X145" s="232" t="s">
        <v>322</v>
      </c>
      <c r="Y145" s="232" t="s">
        <v>378</v>
      </c>
      <c r="Z145" s="232" t="s">
        <v>324</v>
      </c>
      <c r="AA145" s="232" t="s">
        <v>411</v>
      </c>
      <c r="AB145" s="236">
        <v>4.6499999999999996E-3</v>
      </c>
      <c r="AC145" s="235">
        <v>44652</v>
      </c>
      <c r="AD145" s="234" t="s">
        <v>318</v>
      </c>
      <c r="AE145" s="235">
        <v>44978</v>
      </c>
      <c r="AF145" s="232" t="s">
        <v>77</v>
      </c>
      <c r="AG145" s="232" t="s">
        <v>340</v>
      </c>
      <c r="AH145" s="234" t="s">
        <v>317</v>
      </c>
      <c r="AI145" s="250"/>
      <c r="AJ145" s="234">
        <v>0</v>
      </c>
      <c r="AK145" s="224"/>
      <c r="AL145" s="234">
        <v>0</v>
      </c>
      <c r="AM145" s="224"/>
      <c r="AN145" s="234">
        <v>0</v>
      </c>
      <c r="AO145" s="234">
        <v>0</v>
      </c>
      <c r="AP145" s="234">
        <v>0</v>
      </c>
      <c r="AQ145" s="234">
        <v>0</v>
      </c>
      <c r="AR145" s="234">
        <v>0</v>
      </c>
      <c r="AS145" s="234">
        <v>0</v>
      </c>
      <c r="AT145" s="234">
        <v>0</v>
      </c>
      <c r="AU145" s="234">
        <v>0</v>
      </c>
      <c r="AV145" s="234">
        <v>0</v>
      </c>
      <c r="AW145" s="234">
        <v>0</v>
      </c>
      <c r="AX145" s="234">
        <v>0</v>
      </c>
      <c r="AY145" s="234">
        <v>0</v>
      </c>
      <c r="AZ145" s="234">
        <v>0</v>
      </c>
      <c r="BA145" s="234">
        <v>0</v>
      </c>
      <c r="BB145" s="234">
        <v>0</v>
      </c>
      <c r="BC145" s="234">
        <v>0</v>
      </c>
      <c r="BD145" s="234">
        <v>0</v>
      </c>
      <c r="BE145" s="234">
        <v>0</v>
      </c>
      <c r="BF145" s="234">
        <v>0</v>
      </c>
      <c r="BG145" s="234">
        <v>0</v>
      </c>
      <c r="BH145" s="234">
        <v>0</v>
      </c>
      <c r="BI145" s="234">
        <v>0</v>
      </c>
      <c r="BJ145" s="234">
        <v>0</v>
      </c>
      <c r="BK145" s="234">
        <v>0</v>
      </c>
      <c r="BL145" s="234">
        <v>0</v>
      </c>
      <c r="BM145" s="234">
        <v>0</v>
      </c>
      <c r="BN145" s="234">
        <v>0</v>
      </c>
      <c r="BO145" s="234">
        <v>0</v>
      </c>
      <c r="BP145" s="234"/>
      <c r="BQ145" s="234"/>
      <c r="BR145" s="237" t="s">
        <v>334</v>
      </c>
      <c r="BS145" s="238">
        <v>11</v>
      </c>
      <c r="BT145" s="239">
        <f t="shared" si="8"/>
        <v>0</v>
      </c>
      <c r="CN145" s="238">
        <f t="shared" si="9"/>
        <v>0</v>
      </c>
      <c r="CO145" s="238">
        <f t="shared" si="10"/>
        <v>0</v>
      </c>
    </row>
    <row r="146" spans="1:93" ht="13.95" customHeight="1" x14ac:dyDescent="0.2">
      <c r="A146" s="231">
        <v>5956</v>
      </c>
      <c r="B146" s="232" t="s">
        <v>314</v>
      </c>
      <c r="C146" s="232" t="s">
        <v>767</v>
      </c>
      <c r="D146" s="232" t="s">
        <v>768</v>
      </c>
      <c r="E146" s="232" t="s">
        <v>317</v>
      </c>
      <c r="F146" s="231">
        <v>523775</v>
      </c>
      <c r="G146" s="231">
        <v>175783</v>
      </c>
      <c r="H146" s="232" t="s">
        <v>175</v>
      </c>
      <c r="I146" s="233">
        <v>44652</v>
      </c>
      <c r="J146" s="233">
        <v>45016</v>
      </c>
      <c r="K146" s="231">
        <v>1</v>
      </c>
      <c r="L146" s="231">
        <v>1</v>
      </c>
      <c r="M146" s="231">
        <v>0</v>
      </c>
      <c r="N146" s="231">
        <v>1</v>
      </c>
      <c r="O146" s="231">
        <v>0</v>
      </c>
      <c r="P146" s="234"/>
      <c r="Q146" s="232" t="s">
        <v>769</v>
      </c>
      <c r="R146" s="234" t="s">
        <v>332</v>
      </c>
      <c r="S146" s="235">
        <v>44594</v>
      </c>
      <c r="T146" s="235">
        <v>44649</v>
      </c>
      <c r="U146" s="234"/>
      <c r="V146" s="232" t="s">
        <v>321</v>
      </c>
      <c r="W146" s="231"/>
      <c r="X146" s="232" t="s">
        <v>322</v>
      </c>
      <c r="Y146" s="232" t="s">
        <v>339</v>
      </c>
      <c r="Z146" s="232" t="s">
        <v>324</v>
      </c>
      <c r="AA146" s="232" t="s">
        <v>354</v>
      </c>
      <c r="AB146" s="236">
        <v>4.0000000000000001E-3</v>
      </c>
      <c r="AC146" s="235">
        <v>44652</v>
      </c>
      <c r="AD146" s="234" t="s">
        <v>318</v>
      </c>
      <c r="AE146" s="235">
        <v>45016</v>
      </c>
      <c r="AF146" s="232" t="s">
        <v>77</v>
      </c>
      <c r="AG146" s="232" t="s">
        <v>350</v>
      </c>
      <c r="AH146" s="234" t="s">
        <v>317</v>
      </c>
      <c r="AI146" s="250"/>
      <c r="AJ146" s="234">
        <v>0</v>
      </c>
      <c r="AK146" s="224"/>
      <c r="AL146" s="234">
        <v>0</v>
      </c>
      <c r="AM146" s="224"/>
      <c r="AN146" s="234">
        <v>0</v>
      </c>
      <c r="AO146" s="234">
        <v>0</v>
      </c>
      <c r="AP146" s="234">
        <v>0</v>
      </c>
      <c r="AQ146" s="234">
        <v>0</v>
      </c>
      <c r="AR146" s="234">
        <v>0</v>
      </c>
      <c r="AS146" s="234">
        <v>0</v>
      </c>
      <c r="AT146" s="234">
        <v>0</v>
      </c>
      <c r="AU146" s="234">
        <v>0</v>
      </c>
      <c r="AV146" s="234">
        <v>0</v>
      </c>
      <c r="AW146" s="234">
        <v>0</v>
      </c>
      <c r="AX146" s="234">
        <v>0</v>
      </c>
      <c r="AY146" s="234">
        <v>0</v>
      </c>
      <c r="AZ146" s="234">
        <v>0</v>
      </c>
      <c r="BA146" s="234">
        <v>0</v>
      </c>
      <c r="BB146" s="234">
        <v>0</v>
      </c>
      <c r="BC146" s="234">
        <v>0</v>
      </c>
      <c r="BD146" s="234">
        <v>0</v>
      </c>
      <c r="BE146" s="234">
        <v>0</v>
      </c>
      <c r="BF146" s="234">
        <v>0</v>
      </c>
      <c r="BG146" s="234">
        <v>0</v>
      </c>
      <c r="BH146" s="234">
        <v>0</v>
      </c>
      <c r="BI146" s="234">
        <v>0</v>
      </c>
      <c r="BJ146" s="234">
        <v>0</v>
      </c>
      <c r="BK146" s="234">
        <v>0</v>
      </c>
      <c r="BL146" s="234">
        <v>0</v>
      </c>
      <c r="BM146" s="234">
        <v>0</v>
      </c>
      <c r="BN146" s="234">
        <v>0</v>
      </c>
      <c r="BO146" s="234">
        <v>0</v>
      </c>
      <c r="BP146" s="234"/>
      <c r="BQ146" s="234"/>
      <c r="BR146" s="237" t="s">
        <v>334</v>
      </c>
      <c r="BS146" s="238">
        <v>11</v>
      </c>
      <c r="BT146" s="239">
        <f t="shared" si="8"/>
        <v>0</v>
      </c>
      <c r="CN146" s="238">
        <f t="shared" si="9"/>
        <v>0</v>
      </c>
      <c r="CO146" s="238">
        <f t="shared" si="10"/>
        <v>0</v>
      </c>
    </row>
    <row r="147" spans="1:93" ht="13.95" customHeight="1" x14ac:dyDescent="0.2">
      <c r="A147" s="231">
        <v>5381</v>
      </c>
      <c r="B147" s="232" t="s">
        <v>314</v>
      </c>
      <c r="C147" s="232" t="s">
        <v>770</v>
      </c>
      <c r="D147" s="232" t="s">
        <v>771</v>
      </c>
      <c r="E147" s="232" t="s">
        <v>187</v>
      </c>
      <c r="F147" s="231">
        <v>526820</v>
      </c>
      <c r="G147" s="231">
        <v>176155</v>
      </c>
      <c r="H147" s="232" t="s">
        <v>174</v>
      </c>
      <c r="I147" s="233">
        <v>43430</v>
      </c>
      <c r="J147" s="231"/>
      <c r="K147" s="231">
        <v>0</v>
      </c>
      <c r="L147" s="231">
        <v>55</v>
      </c>
      <c r="M147" s="231">
        <v>55</v>
      </c>
      <c r="N147" s="231">
        <v>93</v>
      </c>
      <c r="O147" s="231">
        <v>93</v>
      </c>
      <c r="P147" s="234" t="s">
        <v>318</v>
      </c>
      <c r="Q147" s="232" t="s">
        <v>772</v>
      </c>
      <c r="R147" s="234" t="s">
        <v>344</v>
      </c>
      <c r="S147" s="235">
        <v>44034</v>
      </c>
      <c r="T147" s="235">
        <v>44265</v>
      </c>
      <c r="U147" s="234"/>
      <c r="V147" s="232" t="s">
        <v>321</v>
      </c>
      <c r="W147" s="231"/>
      <c r="X147" s="232" t="s">
        <v>322</v>
      </c>
      <c r="Y147" s="232" t="s">
        <v>323</v>
      </c>
      <c r="Z147" s="232" t="s">
        <v>323</v>
      </c>
      <c r="AA147" s="232" t="s">
        <v>324</v>
      </c>
      <c r="AB147" s="236">
        <v>5.0999999999999997E-2</v>
      </c>
      <c r="AC147" s="235">
        <v>43430</v>
      </c>
      <c r="AD147" s="234"/>
      <c r="AE147" s="235">
        <v>45016</v>
      </c>
      <c r="AF147" s="232" t="s">
        <v>77</v>
      </c>
      <c r="AG147" s="232" t="s">
        <v>350</v>
      </c>
      <c r="AH147" s="234" t="s">
        <v>773</v>
      </c>
      <c r="AI147" s="250"/>
      <c r="AJ147" s="234">
        <v>0</v>
      </c>
      <c r="AK147" s="224"/>
      <c r="AL147" s="234">
        <v>0</v>
      </c>
      <c r="AM147" s="224"/>
      <c r="AN147" s="234">
        <v>1</v>
      </c>
      <c r="AO147" s="234">
        <v>15</v>
      </c>
      <c r="AP147" s="234">
        <v>33</v>
      </c>
      <c r="AQ147" s="234">
        <v>6</v>
      </c>
      <c r="AR147" s="234">
        <v>0</v>
      </c>
      <c r="AS147" s="234">
        <v>0</v>
      </c>
      <c r="AT147" s="234">
        <v>0</v>
      </c>
      <c r="AU147" s="234">
        <v>1</v>
      </c>
      <c r="AV147" s="234">
        <v>15</v>
      </c>
      <c r="AW147" s="234">
        <v>33</v>
      </c>
      <c r="AX147" s="234">
        <v>6</v>
      </c>
      <c r="AY147" s="234">
        <v>0</v>
      </c>
      <c r="AZ147" s="234">
        <v>0</v>
      </c>
      <c r="BA147" s="234">
        <v>0</v>
      </c>
      <c r="BB147" s="234">
        <v>0</v>
      </c>
      <c r="BC147" s="234">
        <v>0</v>
      </c>
      <c r="BD147" s="234">
        <v>0</v>
      </c>
      <c r="BE147" s="234">
        <v>0</v>
      </c>
      <c r="BF147" s="234">
        <v>0</v>
      </c>
      <c r="BG147" s="234">
        <v>0</v>
      </c>
      <c r="BH147" s="234">
        <v>0</v>
      </c>
      <c r="BI147" s="234">
        <v>0</v>
      </c>
      <c r="BJ147" s="234">
        <v>0</v>
      </c>
      <c r="BK147" s="234">
        <v>0</v>
      </c>
      <c r="BL147" s="234">
        <v>0</v>
      </c>
      <c r="BM147" s="234">
        <v>0</v>
      </c>
      <c r="BN147" s="234">
        <v>0</v>
      </c>
      <c r="BO147" s="234">
        <v>0</v>
      </c>
      <c r="BP147" s="234"/>
      <c r="BQ147" s="234"/>
      <c r="BR147" s="237" t="s">
        <v>481</v>
      </c>
      <c r="BS147" s="238">
        <v>1</v>
      </c>
      <c r="BT147" s="239">
        <f t="shared" si="8"/>
        <v>55</v>
      </c>
      <c r="CN147" s="238">
        <f t="shared" si="9"/>
        <v>0</v>
      </c>
      <c r="CO147" s="238">
        <f t="shared" si="10"/>
        <v>0</v>
      </c>
    </row>
    <row r="148" spans="1:93" ht="13.95" customHeight="1" x14ac:dyDescent="0.2">
      <c r="A148" s="231">
        <v>5381</v>
      </c>
      <c r="B148" s="232" t="s">
        <v>314</v>
      </c>
      <c r="C148" s="232" t="s">
        <v>770</v>
      </c>
      <c r="D148" s="232" t="s">
        <v>771</v>
      </c>
      <c r="E148" s="232" t="s">
        <v>774</v>
      </c>
      <c r="F148" s="231">
        <v>526820</v>
      </c>
      <c r="G148" s="231">
        <v>176155</v>
      </c>
      <c r="H148" s="232" t="s">
        <v>174</v>
      </c>
      <c r="I148" s="233">
        <v>43430</v>
      </c>
      <c r="J148" s="231"/>
      <c r="K148" s="231">
        <v>0</v>
      </c>
      <c r="L148" s="231">
        <v>27</v>
      </c>
      <c r="M148" s="231">
        <v>27</v>
      </c>
      <c r="N148" s="231">
        <v>93</v>
      </c>
      <c r="O148" s="231">
        <v>93</v>
      </c>
      <c r="P148" s="234" t="s">
        <v>318</v>
      </c>
      <c r="Q148" s="232" t="s">
        <v>772</v>
      </c>
      <c r="R148" s="234" t="s">
        <v>344</v>
      </c>
      <c r="S148" s="235">
        <v>44034</v>
      </c>
      <c r="T148" s="235">
        <v>44265</v>
      </c>
      <c r="U148" s="234"/>
      <c r="V148" s="232" t="s">
        <v>321</v>
      </c>
      <c r="W148" s="231"/>
      <c r="X148" s="232" t="s">
        <v>322</v>
      </c>
      <c r="Y148" s="232" t="s">
        <v>323</v>
      </c>
      <c r="Z148" s="232" t="s">
        <v>323</v>
      </c>
      <c r="AA148" s="232" t="s">
        <v>324</v>
      </c>
      <c r="AB148" s="236">
        <v>2.5000000000000001E-2</v>
      </c>
      <c r="AC148" s="235">
        <v>43430</v>
      </c>
      <c r="AD148" s="234"/>
      <c r="AE148" s="235">
        <v>45016</v>
      </c>
      <c r="AF148" s="232" t="s">
        <v>56</v>
      </c>
      <c r="AG148" s="232" t="s">
        <v>325</v>
      </c>
      <c r="AH148" s="234" t="s">
        <v>773</v>
      </c>
      <c r="AI148" s="250"/>
      <c r="AJ148" s="234">
        <v>0</v>
      </c>
      <c r="AK148" s="224"/>
      <c r="AL148" s="234">
        <v>0</v>
      </c>
      <c r="AM148" s="224"/>
      <c r="AN148" s="234">
        <v>0</v>
      </c>
      <c r="AO148" s="234">
        <v>13</v>
      </c>
      <c r="AP148" s="234">
        <v>12</v>
      </c>
      <c r="AQ148" s="234">
        <v>2</v>
      </c>
      <c r="AR148" s="234">
        <v>0</v>
      </c>
      <c r="AS148" s="234">
        <v>0</v>
      </c>
      <c r="AT148" s="234">
        <v>0</v>
      </c>
      <c r="AU148" s="234">
        <v>0</v>
      </c>
      <c r="AV148" s="234">
        <v>13</v>
      </c>
      <c r="AW148" s="234">
        <v>12</v>
      </c>
      <c r="AX148" s="234">
        <v>2</v>
      </c>
      <c r="AY148" s="234">
        <v>0</v>
      </c>
      <c r="AZ148" s="234">
        <v>0</v>
      </c>
      <c r="BA148" s="234">
        <v>0</v>
      </c>
      <c r="BB148" s="234">
        <v>0</v>
      </c>
      <c r="BC148" s="234">
        <v>0</v>
      </c>
      <c r="BD148" s="234">
        <v>0</v>
      </c>
      <c r="BE148" s="234">
        <v>0</v>
      </c>
      <c r="BF148" s="234">
        <v>0</v>
      </c>
      <c r="BG148" s="234">
        <v>0</v>
      </c>
      <c r="BH148" s="234">
        <v>0</v>
      </c>
      <c r="BI148" s="234">
        <v>0</v>
      </c>
      <c r="BJ148" s="234">
        <v>0</v>
      </c>
      <c r="BK148" s="234">
        <v>0</v>
      </c>
      <c r="BL148" s="234">
        <v>0</v>
      </c>
      <c r="BM148" s="234">
        <v>0</v>
      </c>
      <c r="BN148" s="234">
        <v>0</v>
      </c>
      <c r="BO148" s="234">
        <v>0</v>
      </c>
      <c r="BP148" s="234"/>
      <c r="BQ148" s="234"/>
      <c r="BR148" s="237" t="s">
        <v>481</v>
      </c>
      <c r="BS148" s="238">
        <v>1</v>
      </c>
      <c r="BT148" s="239">
        <f t="shared" si="8"/>
        <v>27</v>
      </c>
      <c r="CN148" s="238">
        <f t="shared" si="9"/>
        <v>0</v>
      </c>
      <c r="CO148" s="238">
        <f t="shared" si="10"/>
        <v>0</v>
      </c>
    </row>
    <row r="149" spans="1:93" ht="13.95" customHeight="1" x14ac:dyDescent="0.2">
      <c r="A149" s="231">
        <v>7309</v>
      </c>
      <c r="B149" s="232" t="s">
        <v>314</v>
      </c>
      <c r="C149" s="232" t="s">
        <v>775</v>
      </c>
      <c r="D149" s="232" t="s">
        <v>776</v>
      </c>
      <c r="E149" s="232" t="s">
        <v>317</v>
      </c>
      <c r="F149" s="231">
        <v>529462</v>
      </c>
      <c r="G149" s="231">
        <v>177565</v>
      </c>
      <c r="H149" s="232" t="s">
        <v>168</v>
      </c>
      <c r="I149" s="233">
        <v>44287</v>
      </c>
      <c r="J149" s="233">
        <v>44652</v>
      </c>
      <c r="K149" s="231">
        <v>2</v>
      </c>
      <c r="L149" s="231">
        <v>1</v>
      </c>
      <c r="M149" s="231">
        <v>-1</v>
      </c>
      <c r="N149" s="231">
        <v>1</v>
      </c>
      <c r="O149" s="231">
        <v>-1</v>
      </c>
      <c r="P149" s="234"/>
      <c r="Q149" s="232" t="s">
        <v>777</v>
      </c>
      <c r="R149" s="234" t="s">
        <v>332</v>
      </c>
      <c r="S149" s="235">
        <v>43819</v>
      </c>
      <c r="T149" s="235">
        <v>43872</v>
      </c>
      <c r="U149" s="234"/>
      <c r="V149" s="232" t="s">
        <v>321</v>
      </c>
      <c r="W149" s="231"/>
      <c r="X149" s="232" t="s">
        <v>322</v>
      </c>
      <c r="Y149" s="232" t="s">
        <v>365</v>
      </c>
      <c r="Z149" s="232" t="s">
        <v>324</v>
      </c>
      <c r="AA149" s="232" t="s">
        <v>553</v>
      </c>
      <c r="AB149" s="236">
        <v>2E-3</v>
      </c>
      <c r="AC149" s="235">
        <v>44287</v>
      </c>
      <c r="AD149" s="234"/>
      <c r="AE149" s="235">
        <v>44652</v>
      </c>
      <c r="AF149" s="232" t="s">
        <v>77</v>
      </c>
      <c r="AG149" s="232" t="s">
        <v>350</v>
      </c>
      <c r="AH149" s="234" t="s">
        <v>778</v>
      </c>
      <c r="AI149" s="250"/>
      <c r="AJ149" s="234">
        <v>0</v>
      </c>
      <c r="AK149" s="224"/>
      <c r="AL149" s="234">
        <v>0</v>
      </c>
      <c r="AM149" s="224"/>
      <c r="AN149" s="234">
        <v>0</v>
      </c>
      <c r="AO149" s="234">
        <v>0</v>
      </c>
      <c r="AP149" s="234">
        <v>-2</v>
      </c>
      <c r="AQ149" s="234">
        <v>0</v>
      </c>
      <c r="AR149" s="234">
        <v>1</v>
      </c>
      <c r="AS149" s="234">
        <v>0</v>
      </c>
      <c r="AT149" s="234">
        <v>0</v>
      </c>
      <c r="AU149" s="234">
        <v>0</v>
      </c>
      <c r="AV149" s="234">
        <v>0</v>
      </c>
      <c r="AW149" s="234">
        <v>-2</v>
      </c>
      <c r="AX149" s="234">
        <v>0</v>
      </c>
      <c r="AY149" s="234">
        <v>1</v>
      </c>
      <c r="AZ149" s="234">
        <v>0</v>
      </c>
      <c r="BA149" s="234">
        <v>0</v>
      </c>
      <c r="BB149" s="234">
        <v>0</v>
      </c>
      <c r="BC149" s="234">
        <v>0</v>
      </c>
      <c r="BD149" s="234">
        <v>0</v>
      </c>
      <c r="BE149" s="234">
        <v>0</v>
      </c>
      <c r="BF149" s="234">
        <v>0</v>
      </c>
      <c r="BG149" s="234">
        <v>0</v>
      </c>
      <c r="BH149" s="234">
        <v>0</v>
      </c>
      <c r="BI149" s="234">
        <v>0</v>
      </c>
      <c r="BJ149" s="234">
        <v>0</v>
      </c>
      <c r="BK149" s="234">
        <v>0</v>
      </c>
      <c r="BL149" s="234">
        <v>0</v>
      </c>
      <c r="BM149" s="234">
        <v>0</v>
      </c>
      <c r="BN149" s="234">
        <v>0</v>
      </c>
      <c r="BO149" s="234">
        <v>0</v>
      </c>
      <c r="BP149" s="234"/>
      <c r="BQ149" s="234" t="s">
        <v>318</v>
      </c>
      <c r="BR149" s="237" t="s">
        <v>151</v>
      </c>
      <c r="BS149" s="238">
        <v>11</v>
      </c>
      <c r="BT149" s="239">
        <f t="shared" ref="BT149:BT165" si="11">M149</f>
        <v>-1</v>
      </c>
      <c r="CN149" s="238">
        <f t="shared" si="9"/>
        <v>0</v>
      </c>
      <c r="CO149" s="238">
        <f t="shared" si="10"/>
        <v>0</v>
      </c>
    </row>
    <row r="150" spans="1:93" ht="13.95" customHeight="1" x14ac:dyDescent="0.2">
      <c r="A150" s="231">
        <v>3745</v>
      </c>
      <c r="B150" s="232" t="s">
        <v>314</v>
      </c>
      <c r="C150" s="232" t="s">
        <v>779</v>
      </c>
      <c r="D150" s="232" t="s">
        <v>780</v>
      </c>
      <c r="E150" s="232" t="s">
        <v>781</v>
      </c>
      <c r="F150" s="231">
        <v>529291</v>
      </c>
      <c r="G150" s="231">
        <v>171210</v>
      </c>
      <c r="H150" s="232" t="s">
        <v>166</v>
      </c>
      <c r="I150" s="233">
        <v>44136</v>
      </c>
      <c r="J150" s="231"/>
      <c r="K150" s="231">
        <v>0</v>
      </c>
      <c r="L150" s="231">
        <v>6</v>
      </c>
      <c r="M150" s="231">
        <v>6</v>
      </c>
      <c r="N150" s="231">
        <v>22</v>
      </c>
      <c r="O150" s="231">
        <v>22</v>
      </c>
      <c r="P150" s="234" t="s">
        <v>318</v>
      </c>
      <c r="Q150" s="232" t="s">
        <v>782</v>
      </c>
      <c r="R150" s="234" t="s">
        <v>320</v>
      </c>
      <c r="S150" s="235">
        <v>43164</v>
      </c>
      <c r="T150" s="235">
        <v>44054</v>
      </c>
      <c r="U150" s="234"/>
      <c r="V150" s="232" t="s">
        <v>321</v>
      </c>
      <c r="W150" s="231"/>
      <c r="X150" s="232" t="s">
        <v>322</v>
      </c>
      <c r="Y150" s="232" t="s">
        <v>323</v>
      </c>
      <c r="Z150" s="232" t="s">
        <v>323</v>
      </c>
      <c r="AA150" s="232" t="s">
        <v>324</v>
      </c>
      <c r="AB150" s="236">
        <v>7.0999999999999994E-2</v>
      </c>
      <c r="AC150" s="235">
        <v>44136</v>
      </c>
      <c r="AD150" s="234"/>
      <c r="AE150" s="235">
        <v>44971</v>
      </c>
      <c r="AF150" s="232" t="s">
        <v>77</v>
      </c>
      <c r="AG150" s="232" t="s">
        <v>350</v>
      </c>
      <c r="AH150" s="234" t="s">
        <v>317</v>
      </c>
      <c r="AI150" s="250"/>
      <c r="AJ150" s="234">
        <v>0</v>
      </c>
      <c r="AK150" s="224"/>
      <c r="AL150" s="234">
        <v>0</v>
      </c>
      <c r="AM150" s="224"/>
      <c r="AN150" s="234">
        <v>0</v>
      </c>
      <c r="AO150" s="234">
        <v>0</v>
      </c>
      <c r="AP150" s="234">
        <v>0</v>
      </c>
      <c r="AQ150" s="234">
        <v>6</v>
      </c>
      <c r="AR150" s="234">
        <v>0</v>
      </c>
      <c r="AS150" s="234">
        <v>0</v>
      </c>
      <c r="AT150" s="234">
        <v>0</v>
      </c>
      <c r="AU150" s="234">
        <v>0</v>
      </c>
      <c r="AV150" s="234">
        <v>0</v>
      </c>
      <c r="AW150" s="234">
        <v>0</v>
      </c>
      <c r="AX150" s="234">
        <v>0</v>
      </c>
      <c r="AY150" s="234">
        <v>0</v>
      </c>
      <c r="AZ150" s="234">
        <v>0</v>
      </c>
      <c r="BA150" s="234">
        <v>0</v>
      </c>
      <c r="BB150" s="234">
        <v>0</v>
      </c>
      <c r="BC150" s="234">
        <v>0</v>
      </c>
      <c r="BD150" s="234">
        <v>0</v>
      </c>
      <c r="BE150" s="234">
        <v>6</v>
      </c>
      <c r="BF150" s="234">
        <v>0</v>
      </c>
      <c r="BG150" s="234">
        <v>0</v>
      </c>
      <c r="BH150" s="234">
        <v>0</v>
      </c>
      <c r="BI150" s="234">
        <v>0</v>
      </c>
      <c r="BJ150" s="234">
        <v>0</v>
      </c>
      <c r="BK150" s="234">
        <v>0</v>
      </c>
      <c r="BL150" s="234">
        <v>0</v>
      </c>
      <c r="BM150" s="234">
        <v>0</v>
      </c>
      <c r="BN150" s="234">
        <v>0</v>
      </c>
      <c r="BO150" s="234">
        <v>0</v>
      </c>
      <c r="BP150" s="234"/>
      <c r="BQ150" s="234"/>
      <c r="BR150" s="237" t="s">
        <v>334</v>
      </c>
      <c r="BS150" s="238">
        <v>1</v>
      </c>
      <c r="BT150" s="239">
        <f t="shared" si="11"/>
        <v>6</v>
      </c>
      <c r="CN150" s="238">
        <f t="shared" si="9"/>
        <v>0</v>
      </c>
      <c r="CO150" s="238">
        <f t="shared" si="10"/>
        <v>0</v>
      </c>
    </row>
    <row r="151" spans="1:93" ht="13.95" customHeight="1" x14ac:dyDescent="0.2">
      <c r="A151" s="231">
        <v>3745</v>
      </c>
      <c r="B151" s="232" t="s">
        <v>314</v>
      </c>
      <c r="C151" s="232" t="s">
        <v>779</v>
      </c>
      <c r="D151" s="232" t="s">
        <v>780</v>
      </c>
      <c r="E151" s="232" t="s">
        <v>783</v>
      </c>
      <c r="F151" s="231">
        <v>529291</v>
      </c>
      <c r="G151" s="231">
        <v>171210</v>
      </c>
      <c r="H151" s="232" t="s">
        <v>166</v>
      </c>
      <c r="I151" s="233">
        <v>44136</v>
      </c>
      <c r="J151" s="231"/>
      <c r="K151" s="231">
        <v>0</v>
      </c>
      <c r="L151" s="231">
        <v>10</v>
      </c>
      <c r="M151" s="231">
        <v>10</v>
      </c>
      <c r="N151" s="231">
        <v>22</v>
      </c>
      <c r="O151" s="231">
        <v>22</v>
      </c>
      <c r="P151" s="234" t="s">
        <v>318</v>
      </c>
      <c r="Q151" s="232" t="s">
        <v>782</v>
      </c>
      <c r="R151" s="234" t="s">
        <v>320</v>
      </c>
      <c r="S151" s="235">
        <v>43164</v>
      </c>
      <c r="T151" s="235">
        <v>44054</v>
      </c>
      <c r="U151" s="234"/>
      <c r="V151" s="232" t="s">
        <v>321</v>
      </c>
      <c r="W151" s="231"/>
      <c r="X151" s="232" t="s">
        <v>322</v>
      </c>
      <c r="Y151" s="232" t="s">
        <v>323</v>
      </c>
      <c r="Z151" s="232" t="s">
        <v>323</v>
      </c>
      <c r="AA151" s="232" t="s">
        <v>324</v>
      </c>
      <c r="AB151" s="236">
        <v>0.08</v>
      </c>
      <c r="AC151" s="235">
        <v>44136</v>
      </c>
      <c r="AD151" s="234"/>
      <c r="AE151" s="235">
        <v>44904</v>
      </c>
      <c r="AF151" s="232" t="s">
        <v>77</v>
      </c>
      <c r="AG151" s="232" t="s">
        <v>350</v>
      </c>
      <c r="AH151" s="234" t="s">
        <v>317</v>
      </c>
      <c r="AI151" s="250"/>
      <c r="AJ151" s="234">
        <v>0</v>
      </c>
      <c r="AK151" s="224"/>
      <c r="AL151" s="234">
        <v>0</v>
      </c>
      <c r="AM151" s="224"/>
      <c r="AN151" s="234">
        <v>0</v>
      </c>
      <c r="AO151" s="234">
        <v>4</v>
      </c>
      <c r="AP151" s="234">
        <v>6</v>
      </c>
      <c r="AQ151" s="234">
        <v>0</v>
      </c>
      <c r="AR151" s="234">
        <v>0</v>
      </c>
      <c r="AS151" s="234">
        <v>0</v>
      </c>
      <c r="AT151" s="234">
        <v>0</v>
      </c>
      <c r="AU151" s="234">
        <v>0</v>
      </c>
      <c r="AV151" s="234">
        <v>4</v>
      </c>
      <c r="AW151" s="234">
        <v>6</v>
      </c>
      <c r="AX151" s="234">
        <v>0</v>
      </c>
      <c r="AY151" s="234">
        <v>0</v>
      </c>
      <c r="AZ151" s="234">
        <v>0</v>
      </c>
      <c r="BA151" s="234">
        <v>0</v>
      </c>
      <c r="BB151" s="234">
        <v>0</v>
      </c>
      <c r="BC151" s="234">
        <v>0</v>
      </c>
      <c r="BD151" s="234">
        <v>0</v>
      </c>
      <c r="BE151" s="234">
        <v>0</v>
      </c>
      <c r="BF151" s="234">
        <v>0</v>
      </c>
      <c r="BG151" s="234">
        <v>0</v>
      </c>
      <c r="BH151" s="234">
        <v>0</v>
      </c>
      <c r="BI151" s="234">
        <v>0</v>
      </c>
      <c r="BJ151" s="234">
        <v>0</v>
      </c>
      <c r="BK151" s="234">
        <v>0</v>
      </c>
      <c r="BL151" s="234">
        <v>0</v>
      </c>
      <c r="BM151" s="234">
        <v>0</v>
      </c>
      <c r="BN151" s="234">
        <v>0</v>
      </c>
      <c r="BO151" s="234">
        <v>0</v>
      </c>
      <c r="BP151" s="234"/>
      <c r="BQ151" s="234"/>
      <c r="BR151" s="237" t="s">
        <v>334</v>
      </c>
      <c r="BS151" s="238">
        <v>1</v>
      </c>
      <c r="BT151" s="239">
        <f t="shared" si="11"/>
        <v>10</v>
      </c>
      <c r="CN151" s="238">
        <f t="shared" si="9"/>
        <v>0</v>
      </c>
      <c r="CO151" s="238">
        <f t="shared" si="10"/>
        <v>0</v>
      </c>
    </row>
    <row r="152" spans="1:93" ht="13.95" customHeight="1" x14ac:dyDescent="0.2">
      <c r="A152" s="231">
        <v>2589</v>
      </c>
      <c r="B152" s="232" t="s">
        <v>314</v>
      </c>
      <c r="C152" s="232" t="s">
        <v>784</v>
      </c>
      <c r="D152" s="232" t="s">
        <v>785</v>
      </c>
      <c r="E152" s="232" t="s">
        <v>317</v>
      </c>
      <c r="F152" s="231">
        <v>528730</v>
      </c>
      <c r="G152" s="231">
        <v>176714</v>
      </c>
      <c r="H152" s="232" t="s">
        <v>171</v>
      </c>
      <c r="I152" s="233">
        <v>44314</v>
      </c>
      <c r="J152" s="233">
        <v>44725</v>
      </c>
      <c r="K152" s="231">
        <v>1</v>
      </c>
      <c r="L152" s="231">
        <v>0</v>
      </c>
      <c r="M152" s="231">
        <v>-1</v>
      </c>
      <c r="N152" s="231">
        <v>0</v>
      </c>
      <c r="O152" s="231">
        <v>-1</v>
      </c>
      <c r="P152" s="234"/>
      <c r="Q152" s="232" t="s">
        <v>786</v>
      </c>
      <c r="R152" s="234" t="s">
        <v>332</v>
      </c>
      <c r="S152" s="235">
        <v>44266</v>
      </c>
      <c r="T152" s="235">
        <v>44314</v>
      </c>
      <c r="U152" s="234"/>
      <c r="V152" s="232" t="s">
        <v>321</v>
      </c>
      <c r="W152" s="231"/>
      <c r="X152" s="232" t="s">
        <v>322</v>
      </c>
      <c r="Y152" s="232" t="s">
        <v>378</v>
      </c>
      <c r="Z152" s="232" t="s">
        <v>324</v>
      </c>
      <c r="AA152" s="232" t="s">
        <v>15</v>
      </c>
      <c r="AB152" s="236">
        <v>8.0000000000000002E-3</v>
      </c>
      <c r="AC152" s="235">
        <v>44314</v>
      </c>
      <c r="AD152" s="234"/>
      <c r="AE152" s="235">
        <v>44725</v>
      </c>
      <c r="AF152" s="232" t="s">
        <v>77</v>
      </c>
      <c r="AG152" s="232" t="s">
        <v>350</v>
      </c>
      <c r="AH152" s="234" t="s">
        <v>317</v>
      </c>
      <c r="AI152" s="250"/>
      <c r="AJ152" s="234">
        <v>0</v>
      </c>
      <c r="AK152" s="224"/>
      <c r="AL152" s="234">
        <v>0</v>
      </c>
      <c r="AM152" s="224"/>
      <c r="AN152" s="234">
        <v>0</v>
      </c>
      <c r="AO152" s="234">
        <v>0</v>
      </c>
      <c r="AP152" s="234">
        <v>0</v>
      </c>
      <c r="AQ152" s="234">
        <v>-1</v>
      </c>
      <c r="AR152" s="234">
        <v>0</v>
      </c>
      <c r="AS152" s="234">
        <v>0</v>
      </c>
      <c r="AT152" s="234">
        <v>0</v>
      </c>
      <c r="AU152" s="234">
        <v>0</v>
      </c>
      <c r="AV152" s="234">
        <v>0</v>
      </c>
      <c r="AW152" s="234">
        <v>0</v>
      </c>
      <c r="AX152" s="234">
        <v>0</v>
      </c>
      <c r="AY152" s="234">
        <v>0</v>
      </c>
      <c r="AZ152" s="234">
        <v>0</v>
      </c>
      <c r="BA152" s="234">
        <v>0</v>
      </c>
      <c r="BB152" s="234">
        <v>0</v>
      </c>
      <c r="BC152" s="234">
        <v>0</v>
      </c>
      <c r="BD152" s="234">
        <v>0</v>
      </c>
      <c r="BE152" s="234">
        <v>-1</v>
      </c>
      <c r="BF152" s="234">
        <v>0</v>
      </c>
      <c r="BG152" s="234">
        <v>0</v>
      </c>
      <c r="BH152" s="234">
        <v>0</v>
      </c>
      <c r="BI152" s="234">
        <v>0</v>
      </c>
      <c r="BJ152" s="234">
        <v>0</v>
      </c>
      <c r="BK152" s="234">
        <v>0</v>
      </c>
      <c r="BL152" s="234">
        <v>0</v>
      </c>
      <c r="BM152" s="234">
        <v>0</v>
      </c>
      <c r="BN152" s="234">
        <v>0</v>
      </c>
      <c r="BO152" s="234">
        <v>0</v>
      </c>
      <c r="BP152" s="234"/>
      <c r="BQ152" s="234" t="s">
        <v>318</v>
      </c>
      <c r="BR152" s="237" t="s">
        <v>151</v>
      </c>
      <c r="BS152" s="238">
        <v>11</v>
      </c>
      <c r="BT152" s="239">
        <f t="shared" si="11"/>
        <v>-1</v>
      </c>
      <c r="CN152" s="238">
        <f t="shared" si="9"/>
        <v>0</v>
      </c>
      <c r="CO152" s="238">
        <f t="shared" si="10"/>
        <v>0</v>
      </c>
    </row>
    <row r="153" spans="1:93" ht="13.95" customHeight="1" x14ac:dyDescent="0.2">
      <c r="A153" s="231">
        <v>7289</v>
      </c>
      <c r="B153" s="232" t="s">
        <v>314</v>
      </c>
      <c r="C153" s="232" t="s">
        <v>787</v>
      </c>
      <c r="D153" s="232" t="s">
        <v>788</v>
      </c>
      <c r="E153" s="232" t="s">
        <v>789</v>
      </c>
      <c r="F153" s="231">
        <v>529107</v>
      </c>
      <c r="G153" s="231">
        <v>171539</v>
      </c>
      <c r="H153" s="232" t="s">
        <v>166</v>
      </c>
      <c r="I153" s="233">
        <v>44615</v>
      </c>
      <c r="J153" s="233">
        <v>44930</v>
      </c>
      <c r="K153" s="231">
        <v>4</v>
      </c>
      <c r="L153" s="231">
        <v>4</v>
      </c>
      <c r="M153" s="231">
        <v>0</v>
      </c>
      <c r="N153" s="231">
        <v>6</v>
      </c>
      <c r="O153" s="231">
        <v>2</v>
      </c>
      <c r="P153" s="234"/>
      <c r="Q153" s="232" t="s">
        <v>790</v>
      </c>
      <c r="R153" s="234" t="s">
        <v>332</v>
      </c>
      <c r="S153" s="235">
        <v>43797</v>
      </c>
      <c r="T153" s="235">
        <v>43851</v>
      </c>
      <c r="U153" s="234"/>
      <c r="V153" s="232" t="s">
        <v>321</v>
      </c>
      <c r="W153" s="231"/>
      <c r="X153" s="232" t="s">
        <v>322</v>
      </c>
      <c r="Y153" s="232" t="s">
        <v>338</v>
      </c>
      <c r="Z153" s="232" t="s">
        <v>324</v>
      </c>
      <c r="AA153" s="232" t="s">
        <v>411</v>
      </c>
      <c r="AB153" s="236">
        <v>6.0999999999999999E-2</v>
      </c>
      <c r="AC153" s="235">
        <v>44615</v>
      </c>
      <c r="AD153" s="234"/>
      <c r="AE153" s="235">
        <v>44930</v>
      </c>
      <c r="AF153" s="232" t="s">
        <v>77</v>
      </c>
      <c r="AG153" s="232" t="s">
        <v>350</v>
      </c>
      <c r="AH153" s="234" t="s">
        <v>317</v>
      </c>
      <c r="AI153" s="250"/>
      <c r="AJ153" s="234">
        <v>0</v>
      </c>
      <c r="AK153" s="224"/>
      <c r="AL153" s="234">
        <v>0</v>
      </c>
      <c r="AM153" s="224"/>
      <c r="AN153" s="234">
        <v>0</v>
      </c>
      <c r="AO153" s="234">
        <v>-2</v>
      </c>
      <c r="AP153" s="234">
        <v>1</v>
      </c>
      <c r="AQ153" s="234">
        <v>1</v>
      </c>
      <c r="AR153" s="234">
        <v>0</v>
      </c>
      <c r="AS153" s="234">
        <v>0</v>
      </c>
      <c r="AT153" s="234">
        <v>0</v>
      </c>
      <c r="AU153" s="234">
        <v>0</v>
      </c>
      <c r="AV153" s="234">
        <v>-2</v>
      </c>
      <c r="AW153" s="234">
        <v>1</v>
      </c>
      <c r="AX153" s="234">
        <v>1</v>
      </c>
      <c r="AY153" s="234">
        <v>0</v>
      </c>
      <c r="AZ153" s="234">
        <v>0</v>
      </c>
      <c r="BA153" s="234">
        <v>0</v>
      </c>
      <c r="BB153" s="234">
        <v>0</v>
      </c>
      <c r="BC153" s="234">
        <v>0</v>
      </c>
      <c r="BD153" s="234">
        <v>0</v>
      </c>
      <c r="BE153" s="234">
        <v>0</v>
      </c>
      <c r="BF153" s="234">
        <v>0</v>
      </c>
      <c r="BG153" s="234">
        <v>0</v>
      </c>
      <c r="BH153" s="234">
        <v>0</v>
      </c>
      <c r="BI153" s="234">
        <v>0</v>
      </c>
      <c r="BJ153" s="234">
        <v>0</v>
      </c>
      <c r="BK153" s="234">
        <v>0</v>
      </c>
      <c r="BL153" s="234">
        <v>0</v>
      </c>
      <c r="BM153" s="234">
        <v>0</v>
      </c>
      <c r="BN153" s="234">
        <v>0</v>
      </c>
      <c r="BO153" s="234">
        <v>0</v>
      </c>
      <c r="BP153" s="234"/>
      <c r="BQ153" s="234"/>
      <c r="BR153" s="237" t="s">
        <v>334</v>
      </c>
      <c r="BS153" s="238">
        <v>11</v>
      </c>
      <c r="BT153" s="239">
        <f t="shared" si="11"/>
        <v>0</v>
      </c>
      <c r="CN153" s="238">
        <f t="shared" si="9"/>
        <v>0</v>
      </c>
      <c r="CO153" s="238">
        <f t="shared" si="10"/>
        <v>0</v>
      </c>
    </row>
    <row r="154" spans="1:93" ht="13.95" customHeight="1" x14ac:dyDescent="0.2">
      <c r="A154" s="231">
        <v>7289</v>
      </c>
      <c r="B154" s="232" t="s">
        <v>314</v>
      </c>
      <c r="C154" s="232" t="s">
        <v>787</v>
      </c>
      <c r="D154" s="232" t="s">
        <v>788</v>
      </c>
      <c r="E154" s="232" t="s">
        <v>791</v>
      </c>
      <c r="F154" s="231">
        <v>529107</v>
      </c>
      <c r="G154" s="231">
        <v>171539</v>
      </c>
      <c r="H154" s="232" t="s">
        <v>166</v>
      </c>
      <c r="I154" s="233">
        <v>44615</v>
      </c>
      <c r="J154" s="233">
        <v>44930</v>
      </c>
      <c r="K154" s="231">
        <v>0</v>
      </c>
      <c r="L154" s="231">
        <v>2</v>
      </c>
      <c r="M154" s="231">
        <v>2</v>
      </c>
      <c r="N154" s="231">
        <v>6</v>
      </c>
      <c r="O154" s="231">
        <v>2</v>
      </c>
      <c r="P154" s="234"/>
      <c r="Q154" s="232" t="s">
        <v>790</v>
      </c>
      <c r="R154" s="234" t="s">
        <v>332</v>
      </c>
      <c r="S154" s="235">
        <v>43797</v>
      </c>
      <c r="T154" s="235">
        <v>43851</v>
      </c>
      <c r="U154" s="234"/>
      <c r="V154" s="232" t="s">
        <v>321</v>
      </c>
      <c r="W154" s="231"/>
      <c r="X154" s="232" t="s">
        <v>322</v>
      </c>
      <c r="Y154" s="232" t="s">
        <v>338</v>
      </c>
      <c r="Z154" s="232" t="s">
        <v>324</v>
      </c>
      <c r="AA154" s="232" t="s">
        <v>354</v>
      </c>
      <c r="AB154" s="236">
        <v>2.5999999999999999E-2</v>
      </c>
      <c r="AC154" s="235">
        <v>44615</v>
      </c>
      <c r="AD154" s="234"/>
      <c r="AE154" s="235">
        <v>44930</v>
      </c>
      <c r="AF154" s="232" t="s">
        <v>77</v>
      </c>
      <c r="AG154" s="232" t="s">
        <v>350</v>
      </c>
      <c r="AH154" s="234" t="s">
        <v>317</v>
      </c>
      <c r="AI154" s="250"/>
      <c r="AJ154" s="234">
        <v>0</v>
      </c>
      <c r="AK154" s="224"/>
      <c r="AL154" s="234">
        <v>0</v>
      </c>
      <c r="AM154" s="224"/>
      <c r="AN154" s="234">
        <v>0</v>
      </c>
      <c r="AO154" s="234">
        <v>1</v>
      </c>
      <c r="AP154" s="234">
        <v>1</v>
      </c>
      <c r="AQ154" s="234">
        <v>0</v>
      </c>
      <c r="AR154" s="234">
        <v>0</v>
      </c>
      <c r="AS154" s="234">
        <v>0</v>
      </c>
      <c r="AT154" s="234">
        <v>0</v>
      </c>
      <c r="AU154" s="234">
        <v>0</v>
      </c>
      <c r="AV154" s="234">
        <v>1</v>
      </c>
      <c r="AW154" s="234">
        <v>1</v>
      </c>
      <c r="AX154" s="234">
        <v>0</v>
      </c>
      <c r="AY154" s="234">
        <v>0</v>
      </c>
      <c r="AZ154" s="234">
        <v>0</v>
      </c>
      <c r="BA154" s="234">
        <v>0</v>
      </c>
      <c r="BB154" s="234">
        <v>0</v>
      </c>
      <c r="BC154" s="234">
        <v>0</v>
      </c>
      <c r="BD154" s="234">
        <v>0</v>
      </c>
      <c r="BE154" s="234">
        <v>0</v>
      </c>
      <c r="BF154" s="234">
        <v>0</v>
      </c>
      <c r="BG154" s="234">
        <v>0</v>
      </c>
      <c r="BH154" s="234">
        <v>0</v>
      </c>
      <c r="BI154" s="234">
        <v>0</v>
      </c>
      <c r="BJ154" s="234">
        <v>0</v>
      </c>
      <c r="BK154" s="234">
        <v>0</v>
      </c>
      <c r="BL154" s="234">
        <v>0</v>
      </c>
      <c r="BM154" s="234">
        <v>0</v>
      </c>
      <c r="BN154" s="234">
        <v>0</v>
      </c>
      <c r="BO154" s="234">
        <v>0</v>
      </c>
      <c r="BP154" s="234"/>
      <c r="BQ154" s="234"/>
      <c r="BR154" s="237" t="s">
        <v>334</v>
      </c>
      <c r="BS154" s="238">
        <v>11</v>
      </c>
      <c r="BT154" s="239">
        <f t="shared" si="11"/>
        <v>2</v>
      </c>
      <c r="CN154" s="238">
        <f t="shared" si="9"/>
        <v>0</v>
      </c>
      <c r="CO154" s="238">
        <f t="shared" si="10"/>
        <v>0</v>
      </c>
    </row>
    <row r="155" spans="1:93" ht="13.95" customHeight="1" x14ac:dyDescent="0.2">
      <c r="A155" s="231">
        <v>7619</v>
      </c>
      <c r="B155" s="232" t="s">
        <v>314</v>
      </c>
      <c r="C155" s="232" t="s">
        <v>792</v>
      </c>
      <c r="D155" s="232" t="s">
        <v>793</v>
      </c>
      <c r="E155" s="232" t="s">
        <v>794</v>
      </c>
      <c r="F155" s="231">
        <v>526682</v>
      </c>
      <c r="G155" s="231">
        <v>173430</v>
      </c>
      <c r="H155" s="232" t="s">
        <v>180</v>
      </c>
      <c r="I155" s="233">
        <v>44652</v>
      </c>
      <c r="J155" s="233">
        <v>44902</v>
      </c>
      <c r="K155" s="231">
        <v>2</v>
      </c>
      <c r="L155" s="231">
        <v>1</v>
      </c>
      <c r="M155" s="231">
        <v>-1</v>
      </c>
      <c r="N155" s="231">
        <v>1</v>
      </c>
      <c r="O155" s="231">
        <v>-1</v>
      </c>
      <c r="P155" s="234"/>
      <c r="Q155" s="232" t="s">
        <v>795</v>
      </c>
      <c r="R155" s="234" t="s">
        <v>332</v>
      </c>
      <c r="S155" s="235">
        <v>44482</v>
      </c>
      <c r="T155" s="235">
        <v>44530</v>
      </c>
      <c r="U155" s="234"/>
      <c r="V155" s="232" t="s">
        <v>321</v>
      </c>
      <c r="W155" s="231"/>
      <c r="X155" s="232" t="s">
        <v>322</v>
      </c>
      <c r="Y155" s="232" t="s">
        <v>365</v>
      </c>
      <c r="Z155" s="232" t="s">
        <v>324</v>
      </c>
      <c r="AA155" s="232" t="s">
        <v>17</v>
      </c>
      <c r="AB155" s="236">
        <v>6.7666599999999999E-3</v>
      </c>
      <c r="AC155" s="235">
        <v>44652</v>
      </c>
      <c r="AD155" s="234" t="s">
        <v>318</v>
      </c>
      <c r="AE155" s="235">
        <v>44902</v>
      </c>
      <c r="AF155" s="232" t="s">
        <v>77</v>
      </c>
      <c r="AG155" s="232" t="s">
        <v>350</v>
      </c>
      <c r="AH155" s="234" t="s">
        <v>317</v>
      </c>
      <c r="AI155" s="250"/>
      <c r="AJ155" s="234">
        <v>0</v>
      </c>
      <c r="AK155" s="224"/>
      <c r="AL155" s="234">
        <v>0</v>
      </c>
      <c r="AM155" s="224"/>
      <c r="AN155" s="234">
        <v>0</v>
      </c>
      <c r="AO155" s="234">
        <v>0</v>
      </c>
      <c r="AP155" s="234">
        <v>-1</v>
      </c>
      <c r="AQ155" s="234">
        <v>0</v>
      </c>
      <c r="AR155" s="234">
        <v>-1</v>
      </c>
      <c r="AS155" s="234">
        <v>1</v>
      </c>
      <c r="AT155" s="234">
        <v>0</v>
      </c>
      <c r="AU155" s="234">
        <v>0</v>
      </c>
      <c r="AV155" s="234">
        <v>0</v>
      </c>
      <c r="AW155" s="234">
        <v>-1</v>
      </c>
      <c r="AX155" s="234">
        <v>0</v>
      </c>
      <c r="AY155" s="234">
        <v>-1</v>
      </c>
      <c r="AZ155" s="234">
        <v>0</v>
      </c>
      <c r="BA155" s="234">
        <v>0</v>
      </c>
      <c r="BB155" s="234">
        <v>0</v>
      </c>
      <c r="BC155" s="234">
        <v>0</v>
      </c>
      <c r="BD155" s="234">
        <v>0</v>
      </c>
      <c r="BE155" s="234">
        <v>0</v>
      </c>
      <c r="BF155" s="234">
        <v>0</v>
      </c>
      <c r="BG155" s="234">
        <v>1</v>
      </c>
      <c r="BH155" s="234">
        <v>0</v>
      </c>
      <c r="BI155" s="234">
        <v>0</v>
      </c>
      <c r="BJ155" s="234">
        <v>0</v>
      </c>
      <c r="BK155" s="234">
        <v>0</v>
      </c>
      <c r="BL155" s="234">
        <v>0</v>
      </c>
      <c r="BM155" s="234">
        <v>0</v>
      </c>
      <c r="BN155" s="234">
        <v>0</v>
      </c>
      <c r="BO155" s="234">
        <v>0</v>
      </c>
      <c r="BP155" s="234"/>
      <c r="BQ155" s="234"/>
      <c r="BR155" s="237" t="s">
        <v>334</v>
      </c>
      <c r="BS155" s="238">
        <v>11</v>
      </c>
      <c r="BT155" s="239">
        <f t="shared" si="11"/>
        <v>-1</v>
      </c>
      <c r="CN155" s="238">
        <f t="shared" si="9"/>
        <v>0</v>
      </c>
      <c r="CO155" s="238">
        <f t="shared" si="10"/>
        <v>0</v>
      </c>
    </row>
    <row r="156" spans="1:93" ht="13.95" customHeight="1" x14ac:dyDescent="0.2">
      <c r="A156" s="231">
        <v>7630</v>
      </c>
      <c r="B156" s="232" t="s">
        <v>314</v>
      </c>
      <c r="C156" s="232" t="s">
        <v>796</v>
      </c>
      <c r="D156" s="232" t="s">
        <v>797</v>
      </c>
      <c r="E156" s="232" t="s">
        <v>317</v>
      </c>
      <c r="F156" s="231">
        <v>529505</v>
      </c>
      <c r="G156" s="231">
        <v>177593</v>
      </c>
      <c r="H156" s="232" t="s">
        <v>168</v>
      </c>
      <c r="I156" s="233">
        <v>44782</v>
      </c>
      <c r="J156" s="233">
        <v>44782</v>
      </c>
      <c r="K156" s="231">
        <v>2</v>
      </c>
      <c r="L156" s="231">
        <v>1</v>
      </c>
      <c r="M156" s="231">
        <v>-1</v>
      </c>
      <c r="N156" s="231">
        <v>1</v>
      </c>
      <c r="O156" s="231">
        <v>-1</v>
      </c>
      <c r="P156" s="234"/>
      <c r="Q156" s="232" t="s">
        <v>798</v>
      </c>
      <c r="R156" s="234" t="s">
        <v>332</v>
      </c>
      <c r="S156" s="235">
        <v>44281</v>
      </c>
      <c r="T156" s="235">
        <v>44441</v>
      </c>
      <c r="U156" s="234"/>
      <c r="V156" s="232" t="s">
        <v>321</v>
      </c>
      <c r="W156" s="231"/>
      <c r="X156" s="232" t="s">
        <v>322</v>
      </c>
      <c r="Y156" s="232" t="s">
        <v>365</v>
      </c>
      <c r="Z156" s="232" t="s">
        <v>324</v>
      </c>
      <c r="AA156" s="232" t="s">
        <v>553</v>
      </c>
      <c r="AB156" s="236">
        <v>1.89E-2</v>
      </c>
      <c r="AC156" s="235">
        <v>44782</v>
      </c>
      <c r="AD156" s="234" t="s">
        <v>318</v>
      </c>
      <c r="AE156" s="235">
        <v>44782</v>
      </c>
      <c r="AF156" s="232" t="s">
        <v>77</v>
      </c>
      <c r="AG156" s="232" t="s">
        <v>350</v>
      </c>
      <c r="AH156" s="234" t="s">
        <v>778</v>
      </c>
      <c r="AI156" s="250"/>
      <c r="AJ156" s="234">
        <v>0</v>
      </c>
      <c r="AK156" s="224"/>
      <c r="AL156" s="234">
        <v>0</v>
      </c>
      <c r="AM156" s="224"/>
      <c r="AN156" s="234">
        <v>0</v>
      </c>
      <c r="AO156" s="234">
        <v>0</v>
      </c>
      <c r="AP156" s="234">
        <v>-2</v>
      </c>
      <c r="AQ156" s="234">
        <v>1</v>
      </c>
      <c r="AR156" s="234">
        <v>0</v>
      </c>
      <c r="AS156" s="234">
        <v>0</v>
      </c>
      <c r="AT156" s="234">
        <v>0</v>
      </c>
      <c r="AU156" s="234">
        <v>0</v>
      </c>
      <c r="AV156" s="234">
        <v>0</v>
      </c>
      <c r="AW156" s="234">
        <v>-2</v>
      </c>
      <c r="AX156" s="234">
        <v>1</v>
      </c>
      <c r="AY156" s="234">
        <v>0</v>
      </c>
      <c r="AZ156" s="234">
        <v>0</v>
      </c>
      <c r="BA156" s="234">
        <v>0</v>
      </c>
      <c r="BB156" s="234">
        <v>0</v>
      </c>
      <c r="BC156" s="234">
        <v>0</v>
      </c>
      <c r="BD156" s="234">
        <v>0</v>
      </c>
      <c r="BE156" s="234">
        <v>0</v>
      </c>
      <c r="BF156" s="234">
        <v>0</v>
      </c>
      <c r="BG156" s="234">
        <v>0</v>
      </c>
      <c r="BH156" s="234">
        <v>0</v>
      </c>
      <c r="BI156" s="234">
        <v>0</v>
      </c>
      <c r="BJ156" s="234">
        <v>0</v>
      </c>
      <c r="BK156" s="234">
        <v>0</v>
      </c>
      <c r="BL156" s="234">
        <v>0</v>
      </c>
      <c r="BM156" s="234">
        <v>0</v>
      </c>
      <c r="BN156" s="234">
        <v>0</v>
      </c>
      <c r="BO156" s="234">
        <v>0</v>
      </c>
      <c r="BP156" s="234"/>
      <c r="BQ156" s="234" t="s">
        <v>318</v>
      </c>
      <c r="BR156" s="237" t="s">
        <v>151</v>
      </c>
      <c r="BS156" s="238">
        <v>11</v>
      </c>
      <c r="BT156" s="239">
        <f t="shared" si="11"/>
        <v>-1</v>
      </c>
      <c r="CN156" s="238">
        <f t="shared" si="9"/>
        <v>0</v>
      </c>
      <c r="CO156" s="238">
        <f t="shared" si="10"/>
        <v>0</v>
      </c>
    </row>
    <row r="157" spans="1:93" ht="13.95" customHeight="1" x14ac:dyDescent="0.2">
      <c r="A157" s="231">
        <v>5812</v>
      </c>
      <c r="B157" s="232" t="s">
        <v>314</v>
      </c>
      <c r="C157" s="232" t="s">
        <v>799</v>
      </c>
      <c r="D157" s="232" t="s">
        <v>800</v>
      </c>
      <c r="E157" s="232" t="s">
        <v>801</v>
      </c>
      <c r="F157" s="231">
        <v>529628</v>
      </c>
      <c r="G157" s="231">
        <v>177338</v>
      </c>
      <c r="H157" s="232" t="s">
        <v>168</v>
      </c>
      <c r="I157" s="233">
        <v>42793</v>
      </c>
      <c r="J157" s="231"/>
      <c r="K157" s="231">
        <v>0</v>
      </c>
      <c r="L157" s="231">
        <v>126</v>
      </c>
      <c r="M157" s="231">
        <v>126</v>
      </c>
      <c r="N157" s="231">
        <v>357</v>
      </c>
      <c r="O157" s="231">
        <v>357</v>
      </c>
      <c r="P157" s="234" t="s">
        <v>318</v>
      </c>
      <c r="Q157" s="232" t="s">
        <v>802</v>
      </c>
      <c r="R157" s="234" t="s">
        <v>320</v>
      </c>
      <c r="S157" s="235">
        <v>42234</v>
      </c>
      <c r="T157" s="235">
        <v>42647</v>
      </c>
      <c r="U157" s="234"/>
      <c r="V157" s="232" t="s">
        <v>321</v>
      </c>
      <c r="W157" s="231"/>
      <c r="X157" s="232" t="s">
        <v>322</v>
      </c>
      <c r="Y157" s="232" t="s">
        <v>323</v>
      </c>
      <c r="Z157" s="232" t="s">
        <v>323</v>
      </c>
      <c r="AA157" s="232" t="s">
        <v>324</v>
      </c>
      <c r="AB157" s="236">
        <v>0.2</v>
      </c>
      <c r="AC157" s="235">
        <v>42793</v>
      </c>
      <c r="AD157" s="234"/>
      <c r="AE157" s="235">
        <v>44652</v>
      </c>
      <c r="AF157" s="232" t="s">
        <v>77</v>
      </c>
      <c r="AG157" s="232" t="s">
        <v>350</v>
      </c>
      <c r="AH157" s="234" t="s">
        <v>803</v>
      </c>
      <c r="AI157" s="250"/>
      <c r="AJ157" s="234">
        <v>126</v>
      </c>
      <c r="AK157" s="224"/>
      <c r="AL157" s="234">
        <v>12</v>
      </c>
      <c r="AM157" s="224"/>
      <c r="AN157" s="234">
        <v>9</v>
      </c>
      <c r="AO157" s="234">
        <v>12</v>
      </c>
      <c r="AP157" s="234">
        <v>97</v>
      </c>
      <c r="AQ157" s="234">
        <v>8</v>
      </c>
      <c r="AR157" s="234">
        <v>0</v>
      </c>
      <c r="AS157" s="234">
        <v>0</v>
      </c>
      <c r="AT157" s="234">
        <v>0</v>
      </c>
      <c r="AU157" s="234">
        <v>9</v>
      </c>
      <c r="AV157" s="234">
        <v>12</v>
      </c>
      <c r="AW157" s="234">
        <v>97</v>
      </c>
      <c r="AX157" s="234">
        <v>8</v>
      </c>
      <c r="AY157" s="234">
        <v>0</v>
      </c>
      <c r="AZ157" s="234">
        <v>0</v>
      </c>
      <c r="BA157" s="234">
        <v>0</v>
      </c>
      <c r="BB157" s="234">
        <v>0</v>
      </c>
      <c r="BC157" s="234">
        <v>0</v>
      </c>
      <c r="BD157" s="234">
        <v>0</v>
      </c>
      <c r="BE157" s="234">
        <v>0</v>
      </c>
      <c r="BF157" s="234">
        <v>0</v>
      </c>
      <c r="BG157" s="234">
        <v>0</v>
      </c>
      <c r="BH157" s="234">
        <v>0</v>
      </c>
      <c r="BI157" s="234">
        <v>0</v>
      </c>
      <c r="BJ157" s="234">
        <v>0</v>
      </c>
      <c r="BK157" s="234">
        <v>0</v>
      </c>
      <c r="BL157" s="234">
        <v>0</v>
      </c>
      <c r="BM157" s="234">
        <v>0</v>
      </c>
      <c r="BN157" s="234">
        <v>0</v>
      </c>
      <c r="BO157" s="234">
        <v>0</v>
      </c>
      <c r="BP157" s="234"/>
      <c r="BQ157" s="234" t="s">
        <v>318</v>
      </c>
      <c r="BR157" s="237" t="s">
        <v>151</v>
      </c>
      <c r="BS157" s="238">
        <v>1</v>
      </c>
      <c r="BT157" s="239">
        <f t="shared" si="11"/>
        <v>126</v>
      </c>
      <c r="CN157" s="238">
        <f t="shared" si="9"/>
        <v>0</v>
      </c>
      <c r="CO157" s="238">
        <f t="shared" si="10"/>
        <v>0</v>
      </c>
    </row>
    <row r="158" spans="1:93" ht="13.95" customHeight="1" x14ac:dyDescent="0.2">
      <c r="A158" s="231">
        <v>6657</v>
      </c>
      <c r="B158" s="232" t="s">
        <v>314</v>
      </c>
      <c r="C158" s="232" t="s">
        <v>804</v>
      </c>
      <c r="D158" s="232" t="s">
        <v>805</v>
      </c>
      <c r="E158" s="232" t="s">
        <v>806</v>
      </c>
      <c r="F158" s="231">
        <v>525999</v>
      </c>
      <c r="G158" s="231">
        <v>173647</v>
      </c>
      <c r="H158" s="232" t="s">
        <v>179</v>
      </c>
      <c r="I158" s="233">
        <v>44581</v>
      </c>
      <c r="J158" s="231"/>
      <c r="K158" s="231">
        <v>0</v>
      </c>
      <c r="L158" s="231">
        <v>2</v>
      </c>
      <c r="M158" s="231">
        <v>2</v>
      </c>
      <c r="N158" s="231">
        <v>193</v>
      </c>
      <c r="O158" s="231">
        <v>182</v>
      </c>
      <c r="P158" s="234" t="s">
        <v>318</v>
      </c>
      <c r="Q158" s="232" t="s">
        <v>807</v>
      </c>
      <c r="R158" s="234" t="s">
        <v>655</v>
      </c>
      <c r="S158" s="235">
        <v>44260</v>
      </c>
      <c r="T158" s="235">
        <v>44396</v>
      </c>
      <c r="U158" s="234"/>
      <c r="V158" s="232" t="s">
        <v>321</v>
      </c>
      <c r="W158" s="231"/>
      <c r="X158" s="232" t="s">
        <v>322</v>
      </c>
      <c r="Y158" s="232" t="s">
        <v>323</v>
      </c>
      <c r="Z158" s="232" t="s">
        <v>323</v>
      </c>
      <c r="AA158" s="232" t="s">
        <v>324</v>
      </c>
      <c r="AB158" s="236">
        <v>2E-3</v>
      </c>
      <c r="AC158" s="235">
        <v>44581</v>
      </c>
      <c r="AD158" s="234"/>
      <c r="AE158" s="235">
        <v>44902</v>
      </c>
      <c r="AF158" s="232" t="s">
        <v>77</v>
      </c>
      <c r="AG158" s="232" t="s">
        <v>350</v>
      </c>
      <c r="AH158" s="234" t="s">
        <v>317</v>
      </c>
      <c r="AI158" s="250"/>
      <c r="AJ158" s="234">
        <v>0</v>
      </c>
      <c r="AK158" s="234">
        <v>2</v>
      </c>
      <c r="AL158" s="234">
        <v>0</v>
      </c>
      <c r="AM158" s="224"/>
      <c r="AN158" s="234">
        <v>0</v>
      </c>
      <c r="AO158" s="234">
        <v>0</v>
      </c>
      <c r="AP158" s="234">
        <v>0</v>
      </c>
      <c r="AQ158" s="234">
        <v>2</v>
      </c>
      <c r="AR158" s="234">
        <v>0</v>
      </c>
      <c r="AS158" s="234">
        <v>0</v>
      </c>
      <c r="AT158" s="234">
        <v>0</v>
      </c>
      <c r="AU158" s="234">
        <v>0</v>
      </c>
      <c r="AV158" s="234">
        <v>0</v>
      </c>
      <c r="AW158" s="234">
        <v>0</v>
      </c>
      <c r="AX158" s="234">
        <v>0</v>
      </c>
      <c r="AY158" s="234">
        <v>0</v>
      </c>
      <c r="AZ158" s="234">
        <v>0</v>
      </c>
      <c r="BA158" s="234">
        <v>0</v>
      </c>
      <c r="BB158" s="234">
        <v>0</v>
      </c>
      <c r="BC158" s="234">
        <v>0</v>
      </c>
      <c r="BD158" s="234">
        <v>0</v>
      </c>
      <c r="BE158" s="234">
        <v>2</v>
      </c>
      <c r="BF158" s="234">
        <v>0</v>
      </c>
      <c r="BG158" s="234">
        <v>0</v>
      </c>
      <c r="BH158" s="234">
        <v>0</v>
      </c>
      <c r="BI158" s="234">
        <v>0</v>
      </c>
      <c r="BJ158" s="234">
        <v>0</v>
      </c>
      <c r="BK158" s="234">
        <v>0</v>
      </c>
      <c r="BL158" s="234">
        <v>0</v>
      </c>
      <c r="BM158" s="234">
        <v>0</v>
      </c>
      <c r="BN158" s="234">
        <v>0</v>
      </c>
      <c r="BO158" s="234">
        <v>0</v>
      </c>
      <c r="BP158" s="234"/>
      <c r="BQ158" s="234"/>
      <c r="BR158" s="237" t="s">
        <v>334</v>
      </c>
      <c r="BS158" s="238">
        <v>1</v>
      </c>
      <c r="BT158" s="239">
        <f t="shared" si="11"/>
        <v>2</v>
      </c>
      <c r="CN158" s="238">
        <f t="shared" si="9"/>
        <v>0</v>
      </c>
      <c r="CO158" s="238">
        <f t="shared" si="10"/>
        <v>0</v>
      </c>
    </row>
    <row r="159" spans="1:93" ht="13.95" customHeight="1" x14ac:dyDescent="0.2">
      <c r="A159" s="231">
        <v>3521</v>
      </c>
      <c r="B159" s="232" t="s">
        <v>314</v>
      </c>
      <c r="C159" s="232" t="s">
        <v>808</v>
      </c>
      <c r="D159" s="232" t="s">
        <v>809</v>
      </c>
      <c r="E159" s="232" t="s">
        <v>810</v>
      </c>
      <c r="F159" s="231">
        <v>527156</v>
      </c>
      <c r="G159" s="231">
        <v>175243</v>
      </c>
      <c r="H159" s="232" t="s">
        <v>167</v>
      </c>
      <c r="I159" s="233">
        <v>44868</v>
      </c>
      <c r="J159" s="231"/>
      <c r="K159" s="231">
        <v>8</v>
      </c>
      <c r="L159" s="231">
        <v>8</v>
      </c>
      <c r="M159" s="231">
        <v>0</v>
      </c>
      <c r="N159" s="231">
        <v>315</v>
      </c>
      <c r="O159" s="231">
        <v>307</v>
      </c>
      <c r="P159" s="234" t="s">
        <v>318</v>
      </c>
      <c r="Q159" s="232" t="s">
        <v>811</v>
      </c>
      <c r="R159" s="234" t="s">
        <v>344</v>
      </c>
      <c r="S159" s="235">
        <v>44547</v>
      </c>
      <c r="T159" s="235">
        <v>44868</v>
      </c>
      <c r="U159" s="234" t="s">
        <v>318</v>
      </c>
      <c r="V159" s="232" t="s">
        <v>321</v>
      </c>
      <c r="W159" s="231"/>
      <c r="X159" s="232" t="s">
        <v>322</v>
      </c>
      <c r="Y159" s="232" t="s">
        <v>338</v>
      </c>
      <c r="Z159" s="232" t="s">
        <v>812</v>
      </c>
      <c r="AA159" s="232" t="s">
        <v>324</v>
      </c>
      <c r="AB159" s="236">
        <v>0</v>
      </c>
      <c r="AC159" s="235">
        <v>44868</v>
      </c>
      <c r="AD159" s="234" t="s">
        <v>318</v>
      </c>
      <c r="AE159" s="235">
        <v>44868</v>
      </c>
      <c r="AF159" s="232" t="s">
        <v>56</v>
      </c>
      <c r="AG159" s="232" t="s">
        <v>345</v>
      </c>
      <c r="AH159" s="234" t="s">
        <v>813</v>
      </c>
      <c r="AI159" s="250"/>
      <c r="AJ159" s="234">
        <v>0</v>
      </c>
      <c r="AK159" s="224"/>
      <c r="AL159" s="234">
        <v>0</v>
      </c>
      <c r="AM159" s="224"/>
      <c r="AN159" s="234">
        <v>0</v>
      </c>
      <c r="AO159" s="234">
        <v>0</v>
      </c>
      <c r="AP159" s="234">
        <v>0</v>
      </c>
      <c r="AQ159" s="234">
        <v>0</v>
      </c>
      <c r="AR159" s="234">
        <v>0</v>
      </c>
      <c r="AS159" s="234">
        <v>0</v>
      </c>
      <c r="AT159" s="234">
        <v>0</v>
      </c>
      <c r="AU159" s="234">
        <v>0</v>
      </c>
      <c r="AV159" s="234">
        <v>0</v>
      </c>
      <c r="AW159" s="234">
        <v>0</v>
      </c>
      <c r="AX159" s="234">
        <v>0</v>
      </c>
      <c r="AY159" s="234">
        <v>0</v>
      </c>
      <c r="AZ159" s="234">
        <v>0</v>
      </c>
      <c r="BA159" s="234">
        <v>0</v>
      </c>
      <c r="BB159" s="234">
        <v>0</v>
      </c>
      <c r="BC159" s="234">
        <v>0</v>
      </c>
      <c r="BD159" s="234">
        <v>0</v>
      </c>
      <c r="BE159" s="234">
        <v>0</v>
      </c>
      <c r="BF159" s="234">
        <v>0</v>
      </c>
      <c r="BG159" s="234">
        <v>0</v>
      </c>
      <c r="BH159" s="234">
        <v>0</v>
      </c>
      <c r="BI159" s="234">
        <v>0</v>
      </c>
      <c r="BJ159" s="234">
        <v>0</v>
      </c>
      <c r="BK159" s="234">
        <v>0</v>
      </c>
      <c r="BL159" s="234">
        <v>0</v>
      </c>
      <c r="BM159" s="234">
        <v>0</v>
      </c>
      <c r="BN159" s="234">
        <v>0</v>
      </c>
      <c r="BO159" s="234">
        <v>0</v>
      </c>
      <c r="BP159" s="234"/>
      <c r="BQ159" s="234"/>
      <c r="BR159" s="237" t="s">
        <v>150</v>
      </c>
      <c r="BS159" s="238">
        <v>11</v>
      </c>
      <c r="BT159" s="239">
        <f t="shared" si="11"/>
        <v>0</v>
      </c>
      <c r="CN159" s="238">
        <f t="shared" si="9"/>
        <v>0</v>
      </c>
      <c r="CO159" s="238">
        <f t="shared" si="10"/>
        <v>0</v>
      </c>
    </row>
    <row r="160" spans="1:93" ht="13.95" customHeight="1" x14ac:dyDescent="0.2">
      <c r="A160" s="231">
        <v>3521</v>
      </c>
      <c r="B160" s="232" t="s">
        <v>314</v>
      </c>
      <c r="C160" s="232" t="s">
        <v>814</v>
      </c>
      <c r="D160" s="232" t="s">
        <v>809</v>
      </c>
      <c r="E160" s="232" t="s">
        <v>815</v>
      </c>
      <c r="F160" s="231">
        <v>527156</v>
      </c>
      <c r="G160" s="231">
        <v>175243</v>
      </c>
      <c r="H160" s="232" t="s">
        <v>167</v>
      </c>
      <c r="I160" s="233">
        <v>43862</v>
      </c>
      <c r="J160" s="231"/>
      <c r="K160" s="231">
        <v>0</v>
      </c>
      <c r="L160" s="231">
        <v>109</v>
      </c>
      <c r="M160" s="231">
        <v>109</v>
      </c>
      <c r="N160" s="231">
        <v>446</v>
      </c>
      <c r="O160" s="231">
        <v>204</v>
      </c>
      <c r="P160" s="234" t="s">
        <v>318</v>
      </c>
      <c r="Q160" s="232" t="s">
        <v>816</v>
      </c>
      <c r="R160" s="234" t="s">
        <v>344</v>
      </c>
      <c r="S160" s="235">
        <v>43028</v>
      </c>
      <c r="T160" s="235">
        <v>43480</v>
      </c>
      <c r="U160" s="234"/>
      <c r="V160" s="232" t="s">
        <v>321</v>
      </c>
      <c r="W160" s="231"/>
      <c r="X160" s="232" t="s">
        <v>322</v>
      </c>
      <c r="Y160" s="232" t="s">
        <v>323</v>
      </c>
      <c r="Z160" s="232" t="s">
        <v>323</v>
      </c>
      <c r="AA160" s="232" t="s">
        <v>324</v>
      </c>
      <c r="AB160" s="236">
        <v>0.54500000000000004</v>
      </c>
      <c r="AC160" s="235">
        <v>43862</v>
      </c>
      <c r="AD160" s="234"/>
      <c r="AE160" s="235">
        <v>45016</v>
      </c>
      <c r="AF160" s="232" t="s">
        <v>57</v>
      </c>
      <c r="AG160" s="232" t="s">
        <v>333</v>
      </c>
      <c r="AH160" s="234" t="s">
        <v>813</v>
      </c>
      <c r="AI160" s="250"/>
      <c r="AJ160" s="234">
        <v>109</v>
      </c>
      <c r="AK160" s="224"/>
      <c r="AL160" s="234">
        <v>0</v>
      </c>
      <c r="AM160" s="224"/>
      <c r="AN160" s="234">
        <v>0</v>
      </c>
      <c r="AO160" s="234">
        <v>31</v>
      </c>
      <c r="AP160" s="234">
        <v>52</v>
      </c>
      <c r="AQ160" s="234">
        <v>25</v>
      </c>
      <c r="AR160" s="234">
        <v>1</v>
      </c>
      <c r="AS160" s="234">
        <v>0</v>
      </c>
      <c r="AT160" s="234">
        <v>0</v>
      </c>
      <c r="AU160" s="234">
        <v>0</v>
      </c>
      <c r="AV160" s="234">
        <v>31</v>
      </c>
      <c r="AW160" s="234">
        <v>52</v>
      </c>
      <c r="AX160" s="234">
        <v>25</v>
      </c>
      <c r="AY160" s="234">
        <v>1</v>
      </c>
      <c r="AZ160" s="234">
        <v>0</v>
      </c>
      <c r="BA160" s="234">
        <v>0</v>
      </c>
      <c r="BB160" s="234">
        <v>0</v>
      </c>
      <c r="BC160" s="234">
        <v>0</v>
      </c>
      <c r="BD160" s="234">
        <v>0</v>
      </c>
      <c r="BE160" s="234">
        <v>0</v>
      </c>
      <c r="BF160" s="234">
        <v>0</v>
      </c>
      <c r="BG160" s="234">
        <v>0</v>
      </c>
      <c r="BH160" s="234">
        <v>0</v>
      </c>
      <c r="BI160" s="234">
        <v>0</v>
      </c>
      <c r="BJ160" s="234">
        <v>0</v>
      </c>
      <c r="BK160" s="234">
        <v>0</v>
      </c>
      <c r="BL160" s="234">
        <v>0</v>
      </c>
      <c r="BM160" s="234">
        <v>0</v>
      </c>
      <c r="BN160" s="234">
        <v>0</v>
      </c>
      <c r="BO160" s="234">
        <v>0</v>
      </c>
      <c r="BP160" s="234"/>
      <c r="BQ160" s="234"/>
      <c r="BR160" s="237" t="s">
        <v>150</v>
      </c>
      <c r="BS160" s="238">
        <v>1</v>
      </c>
      <c r="BT160" s="239">
        <f t="shared" si="11"/>
        <v>109</v>
      </c>
      <c r="CN160" s="238">
        <f t="shared" si="9"/>
        <v>0</v>
      </c>
      <c r="CO160" s="238">
        <f t="shared" si="10"/>
        <v>0</v>
      </c>
    </row>
    <row r="161" spans="1:93" ht="13.95" customHeight="1" x14ac:dyDescent="0.2">
      <c r="A161" s="231">
        <v>3521</v>
      </c>
      <c r="B161" s="232" t="s">
        <v>314</v>
      </c>
      <c r="C161" s="232" t="s">
        <v>814</v>
      </c>
      <c r="D161" s="232" t="s">
        <v>809</v>
      </c>
      <c r="E161" s="232" t="s">
        <v>815</v>
      </c>
      <c r="F161" s="231">
        <v>527156</v>
      </c>
      <c r="G161" s="231">
        <v>175243</v>
      </c>
      <c r="H161" s="232" t="s">
        <v>167</v>
      </c>
      <c r="I161" s="233">
        <v>43862</v>
      </c>
      <c r="J161" s="231"/>
      <c r="K161" s="231">
        <v>0</v>
      </c>
      <c r="L161" s="231">
        <v>54</v>
      </c>
      <c r="M161" s="231">
        <v>54</v>
      </c>
      <c r="N161" s="231">
        <v>446</v>
      </c>
      <c r="O161" s="231">
        <v>204</v>
      </c>
      <c r="P161" s="234" t="s">
        <v>318</v>
      </c>
      <c r="Q161" s="232" t="s">
        <v>816</v>
      </c>
      <c r="R161" s="234" t="s">
        <v>344</v>
      </c>
      <c r="S161" s="235">
        <v>43028</v>
      </c>
      <c r="T161" s="235">
        <v>43480</v>
      </c>
      <c r="U161" s="234"/>
      <c r="V161" s="232" t="s">
        <v>321</v>
      </c>
      <c r="W161" s="231"/>
      <c r="X161" s="232" t="s">
        <v>322</v>
      </c>
      <c r="Y161" s="232" t="s">
        <v>323</v>
      </c>
      <c r="Z161" s="232" t="s">
        <v>323</v>
      </c>
      <c r="AA161" s="232" t="s">
        <v>324</v>
      </c>
      <c r="AB161" s="236">
        <v>0.27</v>
      </c>
      <c r="AC161" s="235">
        <v>43862</v>
      </c>
      <c r="AD161" s="234"/>
      <c r="AE161" s="235">
        <v>45016</v>
      </c>
      <c r="AF161" s="232" t="s">
        <v>57</v>
      </c>
      <c r="AG161" s="232" t="s">
        <v>333</v>
      </c>
      <c r="AH161" s="234" t="s">
        <v>813</v>
      </c>
      <c r="AI161" s="250"/>
      <c r="AJ161" s="234">
        <v>54</v>
      </c>
      <c r="AK161" s="224"/>
      <c r="AL161" s="234">
        <v>0</v>
      </c>
      <c r="AM161" s="224"/>
      <c r="AN161" s="234">
        <v>0</v>
      </c>
      <c r="AO161" s="234">
        <v>54</v>
      </c>
      <c r="AP161" s="234">
        <v>0</v>
      </c>
      <c r="AQ161" s="234">
        <v>0</v>
      </c>
      <c r="AR161" s="234">
        <v>0</v>
      </c>
      <c r="AS161" s="234">
        <v>0</v>
      </c>
      <c r="AT161" s="234">
        <v>0</v>
      </c>
      <c r="AU161" s="234">
        <v>0</v>
      </c>
      <c r="AV161" s="234">
        <v>54</v>
      </c>
      <c r="AW161" s="234">
        <v>0</v>
      </c>
      <c r="AX161" s="234">
        <v>0</v>
      </c>
      <c r="AY161" s="234">
        <v>0</v>
      </c>
      <c r="AZ161" s="234">
        <v>0</v>
      </c>
      <c r="BA161" s="234">
        <v>0</v>
      </c>
      <c r="BB161" s="234">
        <v>0</v>
      </c>
      <c r="BC161" s="234">
        <v>0</v>
      </c>
      <c r="BD161" s="234">
        <v>0</v>
      </c>
      <c r="BE161" s="234">
        <v>0</v>
      </c>
      <c r="BF161" s="234">
        <v>0</v>
      </c>
      <c r="BG161" s="234">
        <v>0</v>
      </c>
      <c r="BH161" s="234">
        <v>0</v>
      </c>
      <c r="BI161" s="234">
        <v>0</v>
      </c>
      <c r="BJ161" s="234">
        <v>0</v>
      </c>
      <c r="BK161" s="234">
        <v>0</v>
      </c>
      <c r="BL161" s="234">
        <v>0</v>
      </c>
      <c r="BM161" s="234">
        <v>0</v>
      </c>
      <c r="BN161" s="234">
        <v>0</v>
      </c>
      <c r="BO161" s="234">
        <v>0</v>
      </c>
      <c r="BP161" s="234"/>
      <c r="BQ161" s="234"/>
      <c r="BR161" s="237" t="s">
        <v>150</v>
      </c>
      <c r="BS161" s="238">
        <v>1</v>
      </c>
      <c r="BT161" s="239">
        <f t="shared" si="11"/>
        <v>54</v>
      </c>
      <c r="CN161" s="238">
        <f t="shared" si="9"/>
        <v>0</v>
      </c>
      <c r="CO161" s="238">
        <f t="shared" si="10"/>
        <v>0</v>
      </c>
    </row>
    <row r="162" spans="1:93" ht="13.95" customHeight="1" x14ac:dyDescent="0.2">
      <c r="A162" s="231">
        <v>3521</v>
      </c>
      <c r="B162" s="232" t="s">
        <v>314</v>
      </c>
      <c r="C162" s="232" t="s">
        <v>814</v>
      </c>
      <c r="D162" s="232" t="s">
        <v>809</v>
      </c>
      <c r="E162" s="232" t="s">
        <v>815</v>
      </c>
      <c r="F162" s="231">
        <v>527156</v>
      </c>
      <c r="G162" s="231">
        <v>175243</v>
      </c>
      <c r="H162" s="232" t="s">
        <v>167</v>
      </c>
      <c r="I162" s="233">
        <v>43862</v>
      </c>
      <c r="J162" s="231"/>
      <c r="K162" s="231">
        <v>0</v>
      </c>
      <c r="L162" s="231">
        <v>35</v>
      </c>
      <c r="M162" s="231">
        <v>35</v>
      </c>
      <c r="N162" s="231">
        <v>446</v>
      </c>
      <c r="O162" s="231">
        <v>204</v>
      </c>
      <c r="P162" s="234" t="s">
        <v>318</v>
      </c>
      <c r="Q162" s="232" t="s">
        <v>816</v>
      </c>
      <c r="R162" s="234" t="s">
        <v>344</v>
      </c>
      <c r="S162" s="235">
        <v>43028</v>
      </c>
      <c r="T162" s="235">
        <v>43480</v>
      </c>
      <c r="U162" s="234"/>
      <c r="V162" s="232" t="s">
        <v>321</v>
      </c>
      <c r="W162" s="231"/>
      <c r="X162" s="232" t="s">
        <v>322</v>
      </c>
      <c r="Y162" s="232" t="s">
        <v>323</v>
      </c>
      <c r="Z162" s="232" t="s">
        <v>323</v>
      </c>
      <c r="AA162" s="232" t="s">
        <v>324</v>
      </c>
      <c r="AB162" s="236">
        <v>0.17499999999999999</v>
      </c>
      <c r="AC162" s="235">
        <v>43862</v>
      </c>
      <c r="AD162" s="234"/>
      <c r="AE162" s="235">
        <v>45016</v>
      </c>
      <c r="AF162" s="232" t="s">
        <v>56</v>
      </c>
      <c r="AG162" s="232" t="s">
        <v>355</v>
      </c>
      <c r="AH162" s="234" t="s">
        <v>813</v>
      </c>
      <c r="AI162" s="250"/>
      <c r="AJ162" s="234">
        <v>35</v>
      </c>
      <c r="AK162" s="224"/>
      <c r="AL162" s="234">
        <v>0</v>
      </c>
      <c r="AM162" s="224"/>
      <c r="AN162" s="234">
        <v>0</v>
      </c>
      <c r="AO162" s="234">
        <v>18</v>
      </c>
      <c r="AP162" s="234">
        <v>13</v>
      </c>
      <c r="AQ162" s="234">
        <v>4</v>
      </c>
      <c r="AR162" s="234">
        <v>0</v>
      </c>
      <c r="AS162" s="234">
        <v>0</v>
      </c>
      <c r="AT162" s="234">
        <v>0</v>
      </c>
      <c r="AU162" s="234">
        <v>0</v>
      </c>
      <c r="AV162" s="234">
        <v>18</v>
      </c>
      <c r="AW162" s="234">
        <v>13</v>
      </c>
      <c r="AX162" s="234">
        <v>4</v>
      </c>
      <c r="AY162" s="234">
        <v>0</v>
      </c>
      <c r="AZ162" s="234">
        <v>0</v>
      </c>
      <c r="BA162" s="234">
        <v>0</v>
      </c>
      <c r="BB162" s="234">
        <v>0</v>
      </c>
      <c r="BC162" s="234">
        <v>0</v>
      </c>
      <c r="BD162" s="234">
        <v>0</v>
      </c>
      <c r="BE162" s="234">
        <v>0</v>
      </c>
      <c r="BF162" s="234">
        <v>0</v>
      </c>
      <c r="BG162" s="234">
        <v>0</v>
      </c>
      <c r="BH162" s="234">
        <v>0</v>
      </c>
      <c r="BI162" s="234">
        <v>0</v>
      </c>
      <c r="BJ162" s="234">
        <v>0</v>
      </c>
      <c r="BK162" s="234">
        <v>0</v>
      </c>
      <c r="BL162" s="234">
        <v>0</v>
      </c>
      <c r="BM162" s="234">
        <v>0</v>
      </c>
      <c r="BN162" s="234">
        <v>0</v>
      </c>
      <c r="BO162" s="234">
        <v>0</v>
      </c>
      <c r="BP162" s="234"/>
      <c r="BQ162" s="234"/>
      <c r="BR162" s="237" t="s">
        <v>150</v>
      </c>
      <c r="BS162" s="238">
        <v>1</v>
      </c>
      <c r="BT162" s="239">
        <f t="shared" si="11"/>
        <v>35</v>
      </c>
      <c r="CN162" s="238">
        <f t="shared" si="9"/>
        <v>0</v>
      </c>
      <c r="CO162" s="238">
        <f t="shared" si="10"/>
        <v>0</v>
      </c>
    </row>
    <row r="163" spans="1:93" ht="13.95" customHeight="1" x14ac:dyDescent="0.2">
      <c r="A163" s="231">
        <v>3521</v>
      </c>
      <c r="B163" s="232" t="s">
        <v>314</v>
      </c>
      <c r="C163" s="232" t="s">
        <v>814</v>
      </c>
      <c r="D163" s="232" t="s">
        <v>809</v>
      </c>
      <c r="E163" s="232" t="s">
        <v>815</v>
      </c>
      <c r="F163" s="231">
        <v>527156</v>
      </c>
      <c r="G163" s="231">
        <v>175243</v>
      </c>
      <c r="H163" s="232" t="s">
        <v>167</v>
      </c>
      <c r="I163" s="233">
        <v>43862</v>
      </c>
      <c r="J163" s="231"/>
      <c r="K163" s="231">
        <v>97</v>
      </c>
      <c r="L163" s="231">
        <v>0</v>
      </c>
      <c r="M163" s="231">
        <v>-97</v>
      </c>
      <c r="N163" s="231">
        <v>446</v>
      </c>
      <c r="O163" s="231">
        <v>204</v>
      </c>
      <c r="P163" s="234" t="s">
        <v>318</v>
      </c>
      <c r="Q163" s="232" t="s">
        <v>816</v>
      </c>
      <c r="R163" s="234" t="s">
        <v>344</v>
      </c>
      <c r="S163" s="235">
        <v>43028</v>
      </c>
      <c r="T163" s="235">
        <v>43480</v>
      </c>
      <c r="U163" s="234"/>
      <c r="V163" s="232" t="s">
        <v>321</v>
      </c>
      <c r="W163" s="231"/>
      <c r="X163" s="232" t="s">
        <v>322</v>
      </c>
      <c r="Y163" s="232" t="s">
        <v>323</v>
      </c>
      <c r="Z163" s="232" t="s">
        <v>323</v>
      </c>
      <c r="AA163" s="232" t="s">
        <v>324</v>
      </c>
      <c r="AB163" s="236">
        <v>0</v>
      </c>
      <c r="AC163" s="235">
        <v>43862</v>
      </c>
      <c r="AD163" s="234"/>
      <c r="AE163" s="235">
        <v>45016</v>
      </c>
      <c r="AF163" s="232" t="s">
        <v>57</v>
      </c>
      <c r="AG163" s="232" t="s">
        <v>333</v>
      </c>
      <c r="AH163" s="234" t="s">
        <v>813</v>
      </c>
      <c r="AI163" s="250"/>
      <c r="AJ163" s="234">
        <v>0</v>
      </c>
      <c r="AK163" s="224"/>
      <c r="AL163" s="234">
        <v>0</v>
      </c>
      <c r="AM163" s="224"/>
      <c r="AN163" s="234">
        <v>-2</v>
      </c>
      <c r="AO163" s="234">
        <v>-31</v>
      </c>
      <c r="AP163" s="234">
        <v>-39</v>
      </c>
      <c r="AQ163" s="234">
        <v>-25</v>
      </c>
      <c r="AR163" s="234">
        <v>0</v>
      </c>
      <c r="AS163" s="234">
        <v>0</v>
      </c>
      <c r="AT163" s="234">
        <v>0</v>
      </c>
      <c r="AU163" s="234">
        <v>-2</v>
      </c>
      <c r="AV163" s="234">
        <v>-31</v>
      </c>
      <c r="AW163" s="234">
        <v>-39</v>
      </c>
      <c r="AX163" s="234">
        <v>-25</v>
      </c>
      <c r="AY163" s="234">
        <v>0</v>
      </c>
      <c r="AZ163" s="234">
        <v>0</v>
      </c>
      <c r="BA163" s="234">
        <v>0</v>
      </c>
      <c r="BB163" s="234">
        <v>0</v>
      </c>
      <c r="BC163" s="234">
        <v>0</v>
      </c>
      <c r="BD163" s="234">
        <v>0</v>
      </c>
      <c r="BE163" s="234">
        <v>0</v>
      </c>
      <c r="BF163" s="234">
        <v>0</v>
      </c>
      <c r="BG163" s="234">
        <v>0</v>
      </c>
      <c r="BH163" s="234">
        <v>0</v>
      </c>
      <c r="BI163" s="234">
        <v>0</v>
      </c>
      <c r="BJ163" s="234">
        <v>0</v>
      </c>
      <c r="BK163" s="234">
        <v>0</v>
      </c>
      <c r="BL163" s="234">
        <v>0</v>
      </c>
      <c r="BM163" s="234">
        <v>0</v>
      </c>
      <c r="BN163" s="234">
        <v>0</v>
      </c>
      <c r="BO163" s="234">
        <v>0</v>
      </c>
      <c r="BP163" s="234"/>
      <c r="BQ163" s="234"/>
      <c r="BR163" s="237" t="s">
        <v>150</v>
      </c>
      <c r="BS163" s="238">
        <v>1</v>
      </c>
      <c r="BT163" s="239">
        <f t="shared" si="11"/>
        <v>-97</v>
      </c>
      <c r="CN163" s="238">
        <f t="shared" si="9"/>
        <v>0</v>
      </c>
      <c r="CO163" s="238">
        <f t="shared" si="10"/>
        <v>0</v>
      </c>
    </row>
    <row r="164" spans="1:93" ht="13.95" customHeight="1" x14ac:dyDescent="0.2">
      <c r="A164" s="231">
        <v>3521</v>
      </c>
      <c r="B164" s="232" t="s">
        <v>314</v>
      </c>
      <c r="C164" s="232" t="s">
        <v>814</v>
      </c>
      <c r="D164" s="232" t="s">
        <v>809</v>
      </c>
      <c r="E164" s="232" t="s">
        <v>815</v>
      </c>
      <c r="F164" s="231">
        <v>527156</v>
      </c>
      <c r="G164" s="231">
        <v>175243</v>
      </c>
      <c r="H164" s="232" t="s">
        <v>167</v>
      </c>
      <c r="I164" s="233">
        <v>43862</v>
      </c>
      <c r="J164" s="231"/>
      <c r="K164" s="231">
        <v>61</v>
      </c>
      <c r="L164" s="231">
        <v>0</v>
      </c>
      <c r="M164" s="231">
        <v>-61</v>
      </c>
      <c r="N164" s="231">
        <v>446</v>
      </c>
      <c r="O164" s="231">
        <v>204</v>
      </c>
      <c r="P164" s="234" t="s">
        <v>318</v>
      </c>
      <c r="Q164" s="232" t="s">
        <v>816</v>
      </c>
      <c r="R164" s="234" t="s">
        <v>344</v>
      </c>
      <c r="S164" s="235">
        <v>43028</v>
      </c>
      <c r="T164" s="235">
        <v>43480</v>
      </c>
      <c r="U164" s="234"/>
      <c r="V164" s="232" t="s">
        <v>321</v>
      </c>
      <c r="W164" s="231"/>
      <c r="X164" s="232" t="s">
        <v>322</v>
      </c>
      <c r="Y164" s="232" t="s">
        <v>323</v>
      </c>
      <c r="Z164" s="232" t="s">
        <v>323</v>
      </c>
      <c r="AA164" s="232" t="s">
        <v>324</v>
      </c>
      <c r="AB164" s="236">
        <v>0</v>
      </c>
      <c r="AC164" s="235">
        <v>43862</v>
      </c>
      <c r="AD164" s="234"/>
      <c r="AE164" s="235">
        <v>45016</v>
      </c>
      <c r="AF164" s="232" t="s">
        <v>77</v>
      </c>
      <c r="AG164" s="232" t="s">
        <v>350</v>
      </c>
      <c r="AH164" s="234" t="s">
        <v>813</v>
      </c>
      <c r="AI164" s="250"/>
      <c r="AJ164" s="234">
        <v>0</v>
      </c>
      <c r="AK164" s="224"/>
      <c r="AL164" s="234">
        <v>0</v>
      </c>
      <c r="AM164" s="224"/>
      <c r="AN164" s="234">
        <v>-1</v>
      </c>
      <c r="AO164" s="234">
        <v>-26</v>
      </c>
      <c r="AP164" s="234">
        <v>-26</v>
      </c>
      <c r="AQ164" s="234">
        <v>-7</v>
      </c>
      <c r="AR164" s="234">
        <v>-1</v>
      </c>
      <c r="AS164" s="234">
        <v>0</v>
      </c>
      <c r="AT164" s="234">
        <v>0</v>
      </c>
      <c r="AU164" s="234">
        <v>-1</v>
      </c>
      <c r="AV164" s="234">
        <v>-26</v>
      </c>
      <c r="AW164" s="234">
        <v>-26</v>
      </c>
      <c r="AX164" s="234">
        <v>-7</v>
      </c>
      <c r="AY164" s="234">
        <v>-1</v>
      </c>
      <c r="AZ164" s="234">
        <v>0</v>
      </c>
      <c r="BA164" s="234">
        <v>0</v>
      </c>
      <c r="BB164" s="234">
        <v>0</v>
      </c>
      <c r="BC164" s="234">
        <v>0</v>
      </c>
      <c r="BD164" s="234">
        <v>0</v>
      </c>
      <c r="BE164" s="234">
        <v>0</v>
      </c>
      <c r="BF164" s="234">
        <v>0</v>
      </c>
      <c r="BG164" s="234">
        <v>0</v>
      </c>
      <c r="BH164" s="234">
        <v>0</v>
      </c>
      <c r="BI164" s="234">
        <v>0</v>
      </c>
      <c r="BJ164" s="234">
        <v>0</v>
      </c>
      <c r="BK164" s="234">
        <v>0</v>
      </c>
      <c r="BL164" s="234">
        <v>0</v>
      </c>
      <c r="BM164" s="234">
        <v>0</v>
      </c>
      <c r="BN164" s="234">
        <v>0</v>
      </c>
      <c r="BO164" s="234">
        <v>0</v>
      </c>
      <c r="BP164" s="234"/>
      <c r="BQ164" s="234"/>
      <c r="BR164" s="237" t="s">
        <v>150</v>
      </c>
      <c r="BS164" s="238">
        <v>1</v>
      </c>
      <c r="BT164" s="239">
        <f t="shared" si="11"/>
        <v>-61</v>
      </c>
      <c r="CN164" s="238">
        <f t="shared" si="9"/>
        <v>0</v>
      </c>
      <c r="CO164" s="238">
        <f t="shared" si="10"/>
        <v>0</v>
      </c>
    </row>
    <row r="165" spans="1:93" ht="13.95" customHeight="1" x14ac:dyDescent="0.2">
      <c r="A165" s="231">
        <v>3514</v>
      </c>
      <c r="B165" s="232" t="s">
        <v>314</v>
      </c>
      <c r="C165" s="232" t="s">
        <v>817</v>
      </c>
      <c r="D165" s="232" t="s">
        <v>818</v>
      </c>
      <c r="E165" s="232" t="s">
        <v>819</v>
      </c>
      <c r="F165" s="231">
        <v>528809</v>
      </c>
      <c r="G165" s="231">
        <v>177181</v>
      </c>
      <c r="H165" s="232" t="s">
        <v>168</v>
      </c>
      <c r="I165" s="233">
        <v>42662</v>
      </c>
      <c r="J165" s="231"/>
      <c r="K165" s="231">
        <v>0</v>
      </c>
      <c r="L165" s="231">
        <v>27</v>
      </c>
      <c r="M165" s="231">
        <v>27</v>
      </c>
      <c r="N165" s="231">
        <v>835</v>
      </c>
      <c r="O165" s="231">
        <v>835</v>
      </c>
      <c r="P165" s="234" t="s">
        <v>318</v>
      </c>
      <c r="Q165" s="232" t="s">
        <v>820</v>
      </c>
      <c r="R165" s="234" t="s">
        <v>344</v>
      </c>
      <c r="S165" s="235">
        <v>42675</v>
      </c>
      <c r="T165" s="235">
        <v>42858</v>
      </c>
      <c r="U165" s="234"/>
      <c r="V165" s="232" t="s">
        <v>321</v>
      </c>
      <c r="W165" s="231"/>
      <c r="X165" s="232" t="s">
        <v>322</v>
      </c>
      <c r="Y165" s="232" t="s">
        <v>323</v>
      </c>
      <c r="Z165" s="232" t="s">
        <v>323</v>
      </c>
      <c r="AA165" s="232" t="s">
        <v>324</v>
      </c>
      <c r="AB165" s="236">
        <v>4.7E-2</v>
      </c>
      <c r="AC165" s="235">
        <v>42662</v>
      </c>
      <c r="AD165" s="234"/>
      <c r="AE165" s="235">
        <v>44731</v>
      </c>
      <c r="AF165" s="232" t="s">
        <v>77</v>
      </c>
      <c r="AG165" s="232" t="s">
        <v>350</v>
      </c>
      <c r="AH165" s="234" t="s">
        <v>821</v>
      </c>
      <c r="AI165" s="250"/>
      <c r="AJ165" s="234">
        <v>27</v>
      </c>
      <c r="AK165" s="224"/>
      <c r="AL165" s="234">
        <v>2</v>
      </c>
      <c r="AM165" s="224"/>
      <c r="AN165" s="234">
        <v>0</v>
      </c>
      <c r="AO165" s="234">
        <v>0</v>
      </c>
      <c r="AP165" s="234">
        <v>17</v>
      </c>
      <c r="AQ165" s="234">
        <v>10</v>
      </c>
      <c r="AR165" s="234">
        <v>0</v>
      </c>
      <c r="AS165" s="234">
        <v>0</v>
      </c>
      <c r="AT165" s="234">
        <v>0</v>
      </c>
      <c r="AU165" s="234">
        <v>0</v>
      </c>
      <c r="AV165" s="234">
        <v>0</v>
      </c>
      <c r="AW165" s="234">
        <v>17</v>
      </c>
      <c r="AX165" s="234">
        <v>10</v>
      </c>
      <c r="AY165" s="234">
        <v>0</v>
      </c>
      <c r="AZ165" s="234">
        <v>0</v>
      </c>
      <c r="BA165" s="234">
        <v>0</v>
      </c>
      <c r="BB165" s="234">
        <v>0</v>
      </c>
      <c r="BC165" s="234">
        <v>0</v>
      </c>
      <c r="BD165" s="234">
        <v>0</v>
      </c>
      <c r="BE165" s="234">
        <v>0</v>
      </c>
      <c r="BF165" s="234">
        <v>0</v>
      </c>
      <c r="BG165" s="234">
        <v>0</v>
      </c>
      <c r="BH165" s="234">
        <v>0</v>
      </c>
      <c r="BI165" s="234">
        <v>0</v>
      </c>
      <c r="BJ165" s="234">
        <v>0</v>
      </c>
      <c r="BK165" s="234">
        <v>0</v>
      </c>
      <c r="BL165" s="234">
        <v>0</v>
      </c>
      <c r="BM165" s="234">
        <v>0</v>
      </c>
      <c r="BN165" s="234">
        <v>0</v>
      </c>
      <c r="BO165" s="234">
        <v>0</v>
      </c>
      <c r="BP165" s="234"/>
      <c r="BQ165" s="234" t="s">
        <v>318</v>
      </c>
      <c r="BR165" s="237" t="s">
        <v>151</v>
      </c>
      <c r="BS165" s="238">
        <v>1</v>
      </c>
      <c r="BT165" s="239">
        <f t="shared" si="11"/>
        <v>27</v>
      </c>
      <c r="CN165" s="238">
        <f t="shared" si="9"/>
        <v>0</v>
      </c>
      <c r="CO165" s="238">
        <f t="shared" si="10"/>
        <v>0</v>
      </c>
    </row>
    <row r="166" spans="1:93" ht="13.95" customHeight="1" x14ac:dyDescent="0.2">
      <c r="A166" s="231">
        <v>3511</v>
      </c>
      <c r="B166" s="232" t="s">
        <v>822</v>
      </c>
      <c r="C166" s="232" t="s">
        <v>823</v>
      </c>
      <c r="D166" s="232" t="s">
        <v>824</v>
      </c>
      <c r="E166" s="232" t="s">
        <v>825</v>
      </c>
      <c r="F166" s="231">
        <v>529369</v>
      </c>
      <c r="G166" s="231">
        <v>177317</v>
      </c>
      <c r="H166" s="232" t="s">
        <v>168</v>
      </c>
      <c r="I166" s="233">
        <v>42825</v>
      </c>
      <c r="J166" s="231"/>
      <c r="K166" s="231">
        <v>0</v>
      </c>
      <c r="L166" s="231">
        <v>201</v>
      </c>
      <c r="M166" s="231">
        <v>201</v>
      </c>
      <c r="N166" s="231">
        <v>201</v>
      </c>
      <c r="O166" s="231">
        <v>201</v>
      </c>
      <c r="P166" s="234" t="s">
        <v>318</v>
      </c>
      <c r="Q166" s="232" t="s">
        <v>826</v>
      </c>
      <c r="R166" s="234" t="s">
        <v>332</v>
      </c>
      <c r="S166" s="235">
        <v>44943</v>
      </c>
      <c r="T166" s="235">
        <v>44963</v>
      </c>
      <c r="U166" s="234" t="s">
        <v>318</v>
      </c>
      <c r="V166" s="232" t="s">
        <v>321</v>
      </c>
      <c r="W166" s="231"/>
      <c r="X166" s="232" t="s">
        <v>322</v>
      </c>
      <c r="Y166" s="232" t="s">
        <v>323</v>
      </c>
      <c r="Z166" s="232" t="s">
        <v>323</v>
      </c>
      <c r="AA166" s="232" t="s">
        <v>324</v>
      </c>
      <c r="AB166" s="236">
        <v>6.5383999999999998E-2</v>
      </c>
      <c r="AC166" s="235"/>
      <c r="AD166" s="234"/>
      <c r="AE166" s="234"/>
      <c r="AF166" s="232" t="s">
        <v>77</v>
      </c>
      <c r="AG166" s="232" t="s">
        <v>350</v>
      </c>
      <c r="AH166" s="234" t="s">
        <v>827</v>
      </c>
      <c r="AJ166" s="234">
        <v>0</v>
      </c>
      <c r="AK166" s="234">
        <v>181</v>
      </c>
      <c r="AL166" s="234">
        <v>0</v>
      </c>
      <c r="AM166" s="234">
        <v>20</v>
      </c>
      <c r="AN166" s="234">
        <v>34</v>
      </c>
      <c r="AO166" s="234">
        <v>70</v>
      </c>
      <c r="AP166" s="234">
        <v>87</v>
      </c>
      <c r="AQ166" s="234">
        <v>10</v>
      </c>
      <c r="AR166" s="234">
        <v>0</v>
      </c>
      <c r="AS166" s="234">
        <v>0</v>
      </c>
      <c r="AT166" s="234">
        <v>0</v>
      </c>
      <c r="AU166" s="234">
        <v>34</v>
      </c>
      <c r="AV166" s="234">
        <v>70</v>
      </c>
      <c r="AW166" s="234">
        <v>87</v>
      </c>
      <c r="AX166" s="234">
        <v>10</v>
      </c>
      <c r="AY166" s="234">
        <v>0</v>
      </c>
      <c r="AZ166" s="234">
        <v>0</v>
      </c>
      <c r="BA166" s="234">
        <v>0</v>
      </c>
      <c r="BB166" s="234">
        <v>0</v>
      </c>
      <c r="BC166" s="234">
        <v>0</v>
      </c>
      <c r="BD166" s="234">
        <v>0</v>
      </c>
      <c r="BE166" s="234">
        <v>0</v>
      </c>
      <c r="BF166" s="234">
        <v>0</v>
      </c>
      <c r="BG166" s="234">
        <v>0</v>
      </c>
      <c r="BH166" s="234">
        <v>0</v>
      </c>
      <c r="BI166" s="234">
        <v>0</v>
      </c>
      <c r="BJ166" s="234">
        <v>0</v>
      </c>
      <c r="BK166" s="234">
        <v>0</v>
      </c>
      <c r="BL166" s="234">
        <v>0</v>
      </c>
      <c r="BM166" s="234">
        <v>0</v>
      </c>
      <c r="BN166" s="234">
        <v>0</v>
      </c>
      <c r="BO166" s="234">
        <v>0</v>
      </c>
      <c r="BP166" s="234"/>
      <c r="BQ166" s="234" t="s">
        <v>318</v>
      </c>
      <c r="BR166" s="237" t="s">
        <v>151</v>
      </c>
      <c r="BS166" s="238">
        <v>8</v>
      </c>
      <c r="BX166" s="239">
        <f>M166</f>
        <v>201</v>
      </c>
      <c r="CN166" s="238">
        <f t="shared" si="9"/>
        <v>201</v>
      </c>
      <c r="CO166" s="238">
        <f t="shared" si="10"/>
        <v>201</v>
      </c>
    </row>
    <row r="167" spans="1:93" ht="13.95" customHeight="1" x14ac:dyDescent="0.2">
      <c r="A167" s="231">
        <v>2502</v>
      </c>
      <c r="B167" s="232" t="s">
        <v>314</v>
      </c>
      <c r="C167" s="232" t="s">
        <v>828</v>
      </c>
      <c r="D167" s="232" t="s">
        <v>829</v>
      </c>
      <c r="E167" s="232" t="s">
        <v>830</v>
      </c>
      <c r="F167" s="231">
        <v>527221</v>
      </c>
      <c r="G167" s="231">
        <v>172443</v>
      </c>
      <c r="H167" s="232" t="s">
        <v>180</v>
      </c>
      <c r="I167" s="233">
        <v>44286</v>
      </c>
      <c r="J167" s="231"/>
      <c r="K167" s="231">
        <v>0</v>
      </c>
      <c r="L167" s="231">
        <v>14</v>
      </c>
      <c r="M167" s="231">
        <v>14</v>
      </c>
      <c r="N167" s="231">
        <v>227</v>
      </c>
      <c r="O167" s="231">
        <v>227</v>
      </c>
      <c r="P167" s="234" t="s">
        <v>318</v>
      </c>
      <c r="Q167" s="232" t="s">
        <v>831</v>
      </c>
      <c r="R167" s="234" t="s">
        <v>517</v>
      </c>
      <c r="S167" s="235">
        <v>43971</v>
      </c>
      <c r="T167" s="235">
        <v>44127</v>
      </c>
      <c r="U167" s="234"/>
      <c r="V167" s="232" t="s">
        <v>321</v>
      </c>
      <c r="W167" s="231"/>
      <c r="X167" s="232" t="s">
        <v>322</v>
      </c>
      <c r="Y167" s="232" t="s">
        <v>323</v>
      </c>
      <c r="Z167" s="232" t="s">
        <v>323</v>
      </c>
      <c r="AA167" s="232" t="s">
        <v>324</v>
      </c>
      <c r="AB167" s="236">
        <v>0.13500000000000001</v>
      </c>
      <c r="AC167" s="235">
        <v>44286</v>
      </c>
      <c r="AD167" s="234"/>
      <c r="AE167" s="235">
        <v>45016</v>
      </c>
      <c r="AF167" s="232" t="s">
        <v>57</v>
      </c>
      <c r="AG167" s="232" t="s">
        <v>470</v>
      </c>
      <c r="AH167" s="234" t="s">
        <v>832</v>
      </c>
      <c r="AI167" s="250"/>
      <c r="AJ167" s="234">
        <v>0</v>
      </c>
      <c r="AK167" s="224"/>
      <c r="AL167" s="234">
        <v>0</v>
      </c>
      <c r="AM167" s="224"/>
      <c r="AN167" s="234">
        <v>0</v>
      </c>
      <c r="AO167" s="234">
        <v>4</v>
      </c>
      <c r="AP167" s="234">
        <v>4</v>
      </c>
      <c r="AQ167" s="234">
        <v>6</v>
      </c>
      <c r="AR167" s="234">
        <v>0</v>
      </c>
      <c r="AS167" s="234">
        <v>0</v>
      </c>
      <c r="AT167" s="234">
        <v>0</v>
      </c>
      <c r="AU167" s="234">
        <v>0</v>
      </c>
      <c r="AV167" s="234">
        <v>4</v>
      </c>
      <c r="AW167" s="234">
        <v>4</v>
      </c>
      <c r="AX167" s="234">
        <v>6</v>
      </c>
      <c r="AY167" s="234">
        <v>0</v>
      </c>
      <c r="AZ167" s="234">
        <v>0</v>
      </c>
      <c r="BA167" s="234">
        <v>0</v>
      </c>
      <c r="BB167" s="234">
        <v>0</v>
      </c>
      <c r="BC167" s="234">
        <v>0</v>
      </c>
      <c r="BD167" s="234">
        <v>0</v>
      </c>
      <c r="BE167" s="234">
        <v>0</v>
      </c>
      <c r="BF167" s="234">
        <v>0</v>
      </c>
      <c r="BG167" s="234">
        <v>0</v>
      </c>
      <c r="BH167" s="234">
        <v>0</v>
      </c>
      <c r="BI167" s="234">
        <v>0</v>
      </c>
      <c r="BJ167" s="234">
        <v>0</v>
      </c>
      <c r="BK167" s="234">
        <v>0</v>
      </c>
      <c r="BL167" s="234">
        <v>0</v>
      </c>
      <c r="BM167" s="234">
        <v>0</v>
      </c>
      <c r="BN167" s="234">
        <v>0</v>
      </c>
      <c r="BO167" s="234">
        <v>0</v>
      </c>
      <c r="BP167" s="234"/>
      <c r="BQ167" s="234"/>
      <c r="BR167" s="237" t="s">
        <v>334</v>
      </c>
      <c r="BS167" s="238">
        <v>1</v>
      </c>
      <c r="BT167" s="239">
        <f t="shared" ref="BT167:BT174" si="12">M167</f>
        <v>14</v>
      </c>
      <c r="CN167" s="238">
        <f t="shared" si="9"/>
        <v>0</v>
      </c>
      <c r="CO167" s="238">
        <f t="shared" si="10"/>
        <v>0</v>
      </c>
    </row>
    <row r="168" spans="1:93" ht="13.95" customHeight="1" x14ac:dyDescent="0.2">
      <c r="A168" s="231">
        <v>2502</v>
      </c>
      <c r="B168" s="232" t="s">
        <v>314</v>
      </c>
      <c r="C168" s="232" t="s">
        <v>828</v>
      </c>
      <c r="D168" s="232" t="s">
        <v>829</v>
      </c>
      <c r="E168" s="232" t="s">
        <v>833</v>
      </c>
      <c r="F168" s="231">
        <v>527221</v>
      </c>
      <c r="G168" s="231">
        <v>172443</v>
      </c>
      <c r="H168" s="232" t="s">
        <v>180</v>
      </c>
      <c r="I168" s="233">
        <v>44286</v>
      </c>
      <c r="J168" s="231"/>
      <c r="K168" s="231">
        <v>0</v>
      </c>
      <c r="L168" s="231">
        <v>4</v>
      </c>
      <c r="M168" s="231">
        <v>4</v>
      </c>
      <c r="N168" s="231">
        <v>227</v>
      </c>
      <c r="O168" s="231">
        <v>227</v>
      </c>
      <c r="P168" s="234" t="s">
        <v>318</v>
      </c>
      <c r="Q168" s="232" t="s">
        <v>831</v>
      </c>
      <c r="R168" s="234" t="s">
        <v>517</v>
      </c>
      <c r="S168" s="235">
        <v>43971</v>
      </c>
      <c r="T168" s="235">
        <v>44127</v>
      </c>
      <c r="U168" s="234"/>
      <c r="V168" s="232" t="s">
        <v>321</v>
      </c>
      <c r="W168" s="231"/>
      <c r="X168" s="232" t="s">
        <v>322</v>
      </c>
      <c r="Y168" s="232" t="s">
        <v>323</v>
      </c>
      <c r="Z168" s="232" t="s">
        <v>323</v>
      </c>
      <c r="AA168" s="232" t="s">
        <v>324</v>
      </c>
      <c r="AB168" s="236">
        <v>3.9E-2</v>
      </c>
      <c r="AC168" s="235">
        <v>44286</v>
      </c>
      <c r="AD168" s="234"/>
      <c r="AE168" s="235">
        <v>45016</v>
      </c>
      <c r="AF168" s="232" t="s">
        <v>57</v>
      </c>
      <c r="AG168" s="232" t="s">
        <v>470</v>
      </c>
      <c r="AH168" s="234" t="s">
        <v>832</v>
      </c>
      <c r="AI168" s="250"/>
      <c r="AJ168" s="234">
        <v>0</v>
      </c>
      <c r="AK168" s="224"/>
      <c r="AL168" s="234">
        <v>0</v>
      </c>
      <c r="AM168" s="224"/>
      <c r="AN168" s="234">
        <v>0</v>
      </c>
      <c r="AO168" s="234">
        <v>0</v>
      </c>
      <c r="AP168" s="234">
        <v>1</v>
      </c>
      <c r="AQ168" s="234">
        <v>3</v>
      </c>
      <c r="AR168" s="234">
        <v>0</v>
      </c>
      <c r="AS168" s="234">
        <v>0</v>
      </c>
      <c r="AT168" s="234">
        <v>0</v>
      </c>
      <c r="AU168" s="234">
        <v>0</v>
      </c>
      <c r="AV168" s="234">
        <v>0</v>
      </c>
      <c r="AW168" s="234">
        <v>0</v>
      </c>
      <c r="AX168" s="234">
        <v>0</v>
      </c>
      <c r="AY168" s="234">
        <v>0</v>
      </c>
      <c r="AZ168" s="234">
        <v>0</v>
      </c>
      <c r="BA168" s="234">
        <v>0</v>
      </c>
      <c r="BB168" s="234">
        <v>0</v>
      </c>
      <c r="BC168" s="234">
        <v>0</v>
      </c>
      <c r="BD168" s="234">
        <v>1</v>
      </c>
      <c r="BE168" s="234">
        <v>3</v>
      </c>
      <c r="BF168" s="234">
        <v>0</v>
      </c>
      <c r="BG168" s="234">
        <v>0</v>
      </c>
      <c r="BH168" s="234">
        <v>0</v>
      </c>
      <c r="BI168" s="234">
        <v>0</v>
      </c>
      <c r="BJ168" s="234">
        <v>0</v>
      </c>
      <c r="BK168" s="234">
        <v>0</v>
      </c>
      <c r="BL168" s="234">
        <v>0</v>
      </c>
      <c r="BM168" s="234">
        <v>0</v>
      </c>
      <c r="BN168" s="234">
        <v>0</v>
      </c>
      <c r="BO168" s="234">
        <v>0</v>
      </c>
      <c r="BP168" s="234"/>
      <c r="BQ168" s="234"/>
      <c r="BR168" s="237" t="s">
        <v>334</v>
      </c>
      <c r="BS168" s="238">
        <v>1</v>
      </c>
      <c r="BT168" s="239">
        <f t="shared" si="12"/>
        <v>4</v>
      </c>
      <c r="CN168" s="238">
        <f t="shared" si="9"/>
        <v>0</v>
      </c>
      <c r="CO168" s="238">
        <f t="shared" si="10"/>
        <v>0</v>
      </c>
    </row>
    <row r="169" spans="1:93" ht="13.95" customHeight="1" x14ac:dyDescent="0.2">
      <c r="A169" s="231">
        <v>2502</v>
      </c>
      <c r="B169" s="232" t="s">
        <v>314</v>
      </c>
      <c r="C169" s="232" t="s">
        <v>828</v>
      </c>
      <c r="D169" s="232" t="s">
        <v>829</v>
      </c>
      <c r="E169" s="232" t="s">
        <v>834</v>
      </c>
      <c r="F169" s="231">
        <v>527221</v>
      </c>
      <c r="G169" s="231">
        <v>172443</v>
      </c>
      <c r="H169" s="232" t="s">
        <v>180</v>
      </c>
      <c r="I169" s="233">
        <v>44286</v>
      </c>
      <c r="J169" s="231"/>
      <c r="K169" s="231">
        <v>0</v>
      </c>
      <c r="L169" s="231">
        <v>4</v>
      </c>
      <c r="M169" s="231">
        <v>4</v>
      </c>
      <c r="N169" s="231">
        <v>227</v>
      </c>
      <c r="O169" s="231">
        <v>227</v>
      </c>
      <c r="P169" s="234" t="s">
        <v>318</v>
      </c>
      <c r="Q169" s="232" t="s">
        <v>831</v>
      </c>
      <c r="R169" s="234" t="s">
        <v>517</v>
      </c>
      <c r="S169" s="235">
        <v>43971</v>
      </c>
      <c r="T169" s="235">
        <v>44127</v>
      </c>
      <c r="U169" s="234"/>
      <c r="V169" s="232" t="s">
        <v>321</v>
      </c>
      <c r="W169" s="231"/>
      <c r="X169" s="232" t="s">
        <v>322</v>
      </c>
      <c r="Y169" s="232" t="s">
        <v>323</v>
      </c>
      <c r="Z169" s="232" t="s">
        <v>323</v>
      </c>
      <c r="AA169" s="232" t="s">
        <v>324</v>
      </c>
      <c r="AB169" s="236">
        <v>3.9E-2</v>
      </c>
      <c r="AC169" s="235">
        <v>44286</v>
      </c>
      <c r="AD169" s="234"/>
      <c r="AE169" s="235">
        <v>45016</v>
      </c>
      <c r="AF169" s="232" t="s">
        <v>57</v>
      </c>
      <c r="AG169" s="232" t="s">
        <v>470</v>
      </c>
      <c r="AH169" s="234" t="s">
        <v>832</v>
      </c>
      <c r="AI169" s="250"/>
      <c r="AJ169" s="234">
        <v>0</v>
      </c>
      <c r="AK169" s="224"/>
      <c r="AL169" s="234">
        <v>0</v>
      </c>
      <c r="AM169" s="224"/>
      <c r="AN169" s="234">
        <v>0</v>
      </c>
      <c r="AO169" s="234">
        <v>0</v>
      </c>
      <c r="AP169" s="234">
        <v>1</v>
      </c>
      <c r="AQ169" s="234">
        <v>3</v>
      </c>
      <c r="AR169" s="234">
        <v>0</v>
      </c>
      <c r="AS169" s="234">
        <v>0</v>
      </c>
      <c r="AT169" s="234">
        <v>0</v>
      </c>
      <c r="AU169" s="234">
        <v>0</v>
      </c>
      <c r="AV169" s="234">
        <v>0</v>
      </c>
      <c r="AW169" s="234">
        <v>0</v>
      </c>
      <c r="AX169" s="234">
        <v>0</v>
      </c>
      <c r="AY169" s="234">
        <v>0</v>
      </c>
      <c r="AZ169" s="234">
        <v>0</v>
      </c>
      <c r="BA169" s="234">
        <v>0</v>
      </c>
      <c r="BB169" s="234">
        <v>0</v>
      </c>
      <c r="BC169" s="234">
        <v>0</v>
      </c>
      <c r="BD169" s="234">
        <v>1</v>
      </c>
      <c r="BE169" s="234">
        <v>3</v>
      </c>
      <c r="BF169" s="234">
        <v>0</v>
      </c>
      <c r="BG169" s="234">
        <v>0</v>
      </c>
      <c r="BH169" s="234">
        <v>0</v>
      </c>
      <c r="BI169" s="234">
        <v>0</v>
      </c>
      <c r="BJ169" s="234">
        <v>0</v>
      </c>
      <c r="BK169" s="234">
        <v>0</v>
      </c>
      <c r="BL169" s="234">
        <v>0</v>
      </c>
      <c r="BM169" s="234">
        <v>0</v>
      </c>
      <c r="BN169" s="234">
        <v>0</v>
      </c>
      <c r="BO169" s="234">
        <v>0</v>
      </c>
      <c r="BP169" s="234"/>
      <c r="BQ169" s="234"/>
      <c r="BR169" s="237" t="s">
        <v>334</v>
      </c>
      <c r="BS169" s="238">
        <v>1</v>
      </c>
      <c r="BT169" s="239">
        <f t="shared" si="12"/>
        <v>4</v>
      </c>
      <c r="CN169" s="238">
        <f t="shared" si="9"/>
        <v>0</v>
      </c>
      <c r="CO169" s="238">
        <f t="shared" si="10"/>
        <v>0</v>
      </c>
    </row>
    <row r="170" spans="1:93" ht="13.95" customHeight="1" x14ac:dyDescent="0.2">
      <c r="A170" s="231">
        <v>2502</v>
      </c>
      <c r="B170" s="232" t="s">
        <v>314</v>
      </c>
      <c r="C170" s="232" t="s">
        <v>828</v>
      </c>
      <c r="D170" s="232" t="s">
        <v>829</v>
      </c>
      <c r="E170" s="232" t="s">
        <v>835</v>
      </c>
      <c r="F170" s="231">
        <v>527221</v>
      </c>
      <c r="G170" s="231">
        <v>172443</v>
      </c>
      <c r="H170" s="232" t="s">
        <v>180</v>
      </c>
      <c r="I170" s="233">
        <v>44286</v>
      </c>
      <c r="J170" s="231"/>
      <c r="K170" s="231">
        <v>0</v>
      </c>
      <c r="L170" s="231">
        <v>18</v>
      </c>
      <c r="M170" s="231">
        <v>18</v>
      </c>
      <c r="N170" s="231">
        <v>227</v>
      </c>
      <c r="O170" s="231">
        <v>227</v>
      </c>
      <c r="P170" s="234" t="s">
        <v>318</v>
      </c>
      <c r="Q170" s="232" t="s">
        <v>831</v>
      </c>
      <c r="R170" s="234" t="s">
        <v>517</v>
      </c>
      <c r="S170" s="235">
        <v>43971</v>
      </c>
      <c r="T170" s="235">
        <v>44127</v>
      </c>
      <c r="U170" s="234"/>
      <c r="V170" s="232" t="s">
        <v>321</v>
      </c>
      <c r="W170" s="231"/>
      <c r="X170" s="232" t="s">
        <v>322</v>
      </c>
      <c r="Y170" s="232" t="s">
        <v>323</v>
      </c>
      <c r="Z170" s="232" t="s">
        <v>323</v>
      </c>
      <c r="AA170" s="232" t="s">
        <v>324</v>
      </c>
      <c r="AB170" s="236">
        <v>0.17399999999999999</v>
      </c>
      <c r="AC170" s="235">
        <v>44286</v>
      </c>
      <c r="AD170" s="234"/>
      <c r="AE170" s="235">
        <v>45016</v>
      </c>
      <c r="AF170" s="232" t="s">
        <v>77</v>
      </c>
      <c r="AG170" s="232" t="s">
        <v>350</v>
      </c>
      <c r="AH170" s="234" t="s">
        <v>832</v>
      </c>
      <c r="AI170" s="250"/>
      <c r="AJ170" s="234">
        <v>0</v>
      </c>
      <c r="AK170" s="224"/>
      <c r="AL170" s="234">
        <v>18</v>
      </c>
      <c r="AM170" s="224"/>
      <c r="AN170" s="234">
        <v>0</v>
      </c>
      <c r="AO170" s="234">
        <v>6</v>
      </c>
      <c r="AP170" s="234">
        <v>3</v>
      </c>
      <c r="AQ170" s="234">
        <v>9</v>
      </c>
      <c r="AR170" s="234">
        <v>0</v>
      </c>
      <c r="AS170" s="234">
        <v>0</v>
      </c>
      <c r="AT170" s="234">
        <v>0</v>
      </c>
      <c r="AU170" s="234">
        <v>0</v>
      </c>
      <c r="AV170" s="234">
        <v>6</v>
      </c>
      <c r="AW170" s="234">
        <v>3</v>
      </c>
      <c r="AX170" s="234">
        <v>9</v>
      </c>
      <c r="AY170" s="234">
        <v>0</v>
      </c>
      <c r="AZ170" s="234">
        <v>0</v>
      </c>
      <c r="BA170" s="234">
        <v>0</v>
      </c>
      <c r="BB170" s="234">
        <v>0</v>
      </c>
      <c r="BC170" s="234">
        <v>0</v>
      </c>
      <c r="BD170" s="234">
        <v>0</v>
      </c>
      <c r="BE170" s="234">
        <v>0</v>
      </c>
      <c r="BF170" s="234">
        <v>0</v>
      </c>
      <c r="BG170" s="234">
        <v>0</v>
      </c>
      <c r="BH170" s="234">
        <v>0</v>
      </c>
      <c r="BI170" s="234">
        <v>0</v>
      </c>
      <c r="BJ170" s="234">
        <v>0</v>
      </c>
      <c r="BK170" s="234">
        <v>0</v>
      </c>
      <c r="BL170" s="234">
        <v>0</v>
      </c>
      <c r="BM170" s="234">
        <v>0</v>
      </c>
      <c r="BN170" s="234">
        <v>0</v>
      </c>
      <c r="BO170" s="234">
        <v>0</v>
      </c>
      <c r="BP170" s="234"/>
      <c r="BQ170" s="234"/>
      <c r="BR170" s="237" t="s">
        <v>334</v>
      </c>
      <c r="BS170" s="238">
        <v>1</v>
      </c>
      <c r="BT170" s="239">
        <f t="shared" si="12"/>
        <v>18</v>
      </c>
      <c r="CN170" s="238">
        <f t="shared" si="9"/>
        <v>0</v>
      </c>
      <c r="CO170" s="238">
        <f t="shared" si="10"/>
        <v>0</v>
      </c>
    </row>
    <row r="171" spans="1:93" ht="13.95" customHeight="1" x14ac:dyDescent="0.2">
      <c r="A171" s="231">
        <v>2502</v>
      </c>
      <c r="B171" s="232" t="s">
        <v>314</v>
      </c>
      <c r="C171" s="232" t="s">
        <v>828</v>
      </c>
      <c r="D171" s="232" t="s">
        <v>829</v>
      </c>
      <c r="E171" s="232" t="s">
        <v>835</v>
      </c>
      <c r="F171" s="231">
        <v>527221</v>
      </c>
      <c r="G171" s="231">
        <v>172443</v>
      </c>
      <c r="H171" s="232" t="s">
        <v>180</v>
      </c>
      <c r="I171" s="233">
        <v>44286</v>
      </c>
      <c r="J171" s="231"/>
      <c r="K171" s="231">
        <v>0</v>
      </c>
      <c r="L171" s="231">
        <v>2</v>
      </c>
      <c r="M171" s="231">
        <v>2</v>
      </c>
      <c r="N171" s="231">
        <v>227</v>
      </c>
      <c r="O171" s="231">
        <v>227</v>
      </c>
      <c r="P171" s="234" t="s">
        <v>318</v>
      </c>
      <c r="Q171" s="232" t="s">
        <v>831</v>
      </c>
      <c r="R171" s="234" t="s">
        <v>517</v>
      </c>
      <c r="S171" s="235">
        <v>43971</v>
      </c>
      <c r="T171" s="235">
        <v>44127</v>
      </c>
      <c r="U171" s="234"/>
      <c r="V171" s="232" t="s">
        <v>321</v>
      </c>
      <c r="W171" s="231"/>
      <c r="X171" s="232" t="s">
        <v>322</v>
      </c>
      <c r="Y171" s="232" t="s">
        <v>323</v>
      </c>
      <c r="Z171" s="232" t="s">
        <v>323</v>
      </c>
      <c r="AA171" s="232" t="s">
        <v>324</v>
      </c>
      <c r="AB171" s="236">
        <v>1.9E-2</v>
      </c>
      <c r="AC171" s="235">
        <v>44286</v>
      </c>
      <c r="AD171" s="234"/>
      <c r="AE171" s="235">
        <v>45016</v>
      </c>
      <c r="AF171" s="232" t="s">
        <v>56</v>
      </c>
      <c r="AG171" s="232" t="s">
        <v>345</v>
      </c>
      <c r="AH171" s="234" t="s">
        <v>832</v>
      </c>
      <c r="AI171" s="250"/>
      <c r="AJ171" s="234">
        <v>0</v>
      </c>
      <c r="AK171" s="224"/>
      <c r="AL171" s="234">
        <v>1</v>
      </c>
      <c r="AM171" s="224"/>
      <c r="AN171" s="234">
        <v>0</v>
      </c>
      <c r="AO171" s="234">
        <v>0</v>
      </c>
      <c r="AP171" s="234">
        <v>2</v>
      </c>
      <c r="AQ171" s="234">
        <v>0</v>
      </c>
      <c r="AR171" s="234">
        <v>0</v>
      </c>
      <c r="AS171" s="234">
        <v>0</v>
      </c>
      <c r="AT171" s="234">
        <v>0</v>
      </c>
      <c r="AU171" s="234">
        <v>0</v>
      </c>
      <c r="AV171" s="234">
        <v>0</v>
      </c>
      <c r="AW171" s="234">
        <v>2</v>
      </c>
      <c r="AX171" s="234">
        <v>0</v>
      </c>
      <c r="AY171" s="234">
        <v>0</v>
      </c>
      <c r="AZ171" s="234">
        <v>0</v>
      </c>
      <c r="BA171" s="234">
        <v>0</v>
      </c>
      <c r="BB171" s="234">
        <v>0</v>
      </c>
      <c r="BC171" s="234">
        <v>0</v>
      </c>
      <c r="BD171" s="234">
        <v>0</v>
      </c>
      <c r="BE171" s="234">
        <v>0</v>
      </c>
      <c r="BF171" s="234">
        <v>0</v>
      </c>
      <c r="BG171" s="234">
        <v>0</v>
      </c>
      <c r="BH171" s="234">
        <v>0</v>
      </c>
      <c r="BI171" s="234">
        <v>0</v>
      </c>
      <c r="BJ171" s="234">
        <v>0</v>
      </c>
      <c r="BK171" s="234">
        <v>0</v>
      </c>
      <c r="BL171" s="234">
        <v>0</v>
      </c>
      <c r="BM171" s="234">
        <v>0</v>
      </c>
      <c r="BN171" s="234">
        <v>0</v>
      </c>
      <c r="BO171" s="234">
        <v>0</v>
      </c>
      <c r="BP171" s="234"/>
      <c r="BQ171" s="234"/>
      <c r="BR171" s="237" t="s">
        <v>334</v>
      </c>
      <c r="BS171" s="238">
        <v>1</v>
      </c>
      <c r="BT171" s="239">
        <f t="shared" si="12"/>
        <v>2</v>
      </c>
      <c r="CN171" s="238">
        <f t="shared" si="9"/>
        <v>0</v>
      </c>
      <c r="CO171" s="238">
        <f t="shared" si="10"/>
        <v>0</v>
      </c>
    </row>
    <row r="172" spans="1:93" ht="13.95" customHeight="1" x14ac:dyDescent="0.2">
      <c r="A172" s="231">
        <v>2502</v>
      </c>
      <c r="B172" s="232" t="s">
        <v>314</v>
      </c>
      <c r="C172" s="232" t="s">
        <v>836</v>
      </c>
      <c r="D172" s="232" t="s">
        <v>829</v>
      </c>
      <c r="E172" s="232" t="s">
        <v>837</v>
      </c>
      <c r="F172" s="231">
        <v>527221</v>
      </c>
      <c r="G172" s="231">
        <v>172443</v>
      </c>
      <c r="H172" s="232" t="s">
        <v>180</v>
      </c>
      <c r="I172" s="233">
        <v>44286</v>
      </c>
      <c r="J172" s="233">
        <v>45016</v>
      </c>
      <c r="K172" s="231">
        <v>0</v>
      </c>
      <c r="L172" s="231">
        <v>49</v>
      </c>
      <c r="M172" s="231">
        <v>49</v>
      </c>
      <c r="N172" s="231">
        <v>71</v>
      </c>
      <c r="O172" s="231">
        <v>71</v>
      </c>
      <c r="P172" s="234" t="s">
        <v>318</v>
      </c>
      <c r="Q172" s="232" t="s">
        <v>838</v>
      </c>
      <c r="R172" s="234" t="s">
        <v>517</v>
      </c>
      <c r="S172" s="235">
        <v>43971</v>
      </c>
      <c r="T172" s="235">
        <v>44127</v>
      </c>
      <c r="U172" s="234"/>
      <c r="V172" s="232" t="s">
        <v>321</v>
      </c>
      <c r="W172" s="231"/>
      <c r="X172" s="232" t="s">
        <v>322</v>
      </c>
      <c r="Y172" s="232" t="s">
        <v>323</v>
      </c>
      <c r="Z172" s="232" t="s">
        <v>323</v>
      </c>
      <c r="AA172" s="232" t="s">
        <v>324</v>
      </c>
      <c r="AB172" s="236">
        <v>0.33500000000000002</v>
      </c>
      <c r="AC172" s="235">
        <v>44286</v>
      </c>
      <c r="AD172" s="234"/>
      <c r="AE172" s="235">
        <v>45016</v>
      </c>
      <c r="AF172" s="232" t="s">
        <v>77</v>
      </c>
      <c r="AG172" s="232" t="s">
        <v>350</v>
      </c>
      <c r="AH172" s="234" t="s">
        <v>832</v>
      </c>
      <c r="AI172" s="250"/>
      <c r="AJ172" s="234">
        <v>0</v>
      </c>
      <c r="AK172" s="224"/>
      <c r="AL172" s="234">
        <v>0</v>
      </c>
      <c r="AM172" s="224"/>
      <c r="AN172" s="234">
        <v>0</v>
      </c>
      <c r="AO172" s="234">
        <v>20</v>
      </c>
      <c r="AP172" s="234">
        <v>29</v>
      </c>
      <c r="AQ172" s="234">
        <v>0</v>
      </c>
      <c r="AR172" s="234">
        <v>0</v>
      </c>
      <c r="AS172" s="234">
        <v>0</v>
      </c>
      <c r="AT172" s="234">
        <v>0</v>
      </c>
      <c r="AU172" s="234">
        <v>0</v>
      </c>
      <c r="AV172" s="234">
        <v>20</v>
      </c>
      <c r="AW172" s="234">
        <v>29</v>
      </c>
      <c r="AX172" s="234">
        <v>0</v>
      </c>
      <c r="AY172" s="234">
        <v>0</v>
      </c>
      <c r="AZ172" s="234">
        <v>0</v>
      </c>
      <c r="BA172" s="234">
        <v>0</v>
      </c>
      <c r="BB172" s="234">
        <v>0</v>
      </c>
      <c r="BC172" s="234">
        <v>0</v>
      </c>
      <c r="BD172" s="234">
        <v>0</v>
      </c>
      <c r="BE172" s="234">
        <v>0</v>
      </c>
      <c r="BF172" s="234">
        <v>0</v>
      </c>
      <c r="BG172" s="234">
        <v>0</v>
      </c>
      <c r="BH172" s="234">
        <v>0</v>
      </c>
      <c r="BI172" s="234">
        <v>0</v>
      </c>
      <c r="BJ172" s="234">
        <v>0</v>
      </c>
      <c r="BK172" s="234">
        <v>0</v>
      </c>
      <c r="BL172" s="234">
        <v>0</v>
      </c>
      <c r="BM172" s="234">
        <v>0</v>
      </c>
      <c r="BN172" s="234">
        <v>0</v>
      </c>
      <c r="BO172" s="234">
        <v>0</v>
      </c>
      <c r="BP172" s="234"/>
      <c r="BQ172" s="234"/>
      <c r="BR172" s="237" t="s">
        <v>334</v>
      </c>
      <c r="BS172" s="238">
        <v>1</v>
      </c>
      <c r="BT172" s="239">
        <f t="shared" si="12"/>
        <v>49</v>
      </c>
      <c r="CN172" s="238">
        <f t="shared" si="9"/>
        <v>0</v>
      </c>
      <c r="CO172" s="238">
        <f t="shared" si="10"/>
        <v>0</v>
      </c>
    </row>
    <row r="173" spans="1:93" ht="13.95" customHeight="1" x14ac:dyDescent="0.2">
      <c r="A173" s="231">
        <v>2502</v>
      </c>
      <c r="B173" s="232" t="s">
        <v>314</v>
      </c>
      <c r="C173" s="232" t="s">
        <v>836</v>
      </c>
      <c r="D173" s="232" t="s">
        <v>829</v>
      </c>
      <c r="E173" s="232" t="s">
        <v>839</v>
      </c>
      <c r="F173" s="231">
        <v>527221</v>
      </c>
      <c r="G173" s="231">
        <v>172443</v>
      </c>
      <c r="H173" s="232" t="s">
        <v>180</v>
      </c>
      <c r="I173" s="233">
        <v>44286</v>
      </c>
      <c r="J173" s="233">
        <v>45016</v>
      </c>
      <c r="K173" s="231">
        <v>0</v>
      </c>
      <c r="L173" s="231">
        <v>22</v>
      </c>
      <c r="M173" s="231">
        <v>22</v>
      </c>
      <c r="N173" s="231">
        <v>71</v>
      </c>
      <c r="O173" s="231">
        <v>71</v>
      </c>
      <c r="P173" s="234" t="s">
        <v>318</v>
      </c>
      <c r="Q173" s="232" t="s">
        <v>838</v>
      </c>
      <c r="R173" s="234" t="s">
        <v>517</v>
      </c>
      <c r="S173" s="235">
        <v>43971</v>
      </c>
      <c r="T173" s="235">
        <v>44127</v>
      </c>
      <c r="U173" s="234"/>
      <c r="V173" s="232" t="s">
        <v>321</v>
      </c>
      <c r="W173" s="231"/>
      <c r="X173" s="232" t="s">
        <v>322</v>
      </c>
      <c r="Y173" s="232" t="s">
        <v>323</v>
      </c>
      <c r="Z173" s="232" t="s">
        <v>323</v>
      </c>
      <c r="AA173" s="232" t="s">
        <v>324</v>
      </c>
      <c r="AB173" s="236">
        <v>0.14899999999999999</v>
      </c>
      <c r="AC173" s="235">
        <v>44286</v>
      </c>
      <c r="AD173" s="234"/>
      <c r="AE173" s="235">
        <v>45016</v>
      </c>
      <c r="AF173" s="232" t="s">
        <v>77</v>
      </c>
      <c r="AG173" s="232" t="s">
        <v>350</v>
      </c>
      <c r="AH173" s="234" t="s">
        <v>832</v>
      </c>
      <c r="AI173" s="250"/>
      <c r="AJ173" s="234">
        <v>0</v>
      </c>
      <c r="AK173" s="224"/>
      <c r="AL173" s="234">
        <v>0</v>
      </c>
      <c r="AM173" s="224"/>
      <c r="AN173" s="234">
        <v>0</v>
      </c>
      <c r="AO173" s="234">
        <v>9</v>
      </c>
      <c r="AP173" s="234">
        <v>13</v>
      </c>
      <c r="AQ173" s="234">
        <v>0</v>
      </c>
      <c r="AR173" s="234">
        <v>0</v>
      </c>
      <c r="AS173" s="234">
        <v>0</v>
      </c>
      <c r="AT173" s="234">
        <v>0</v>
      </c>
      <c r="AU173" s="234">
        <v>0</v>
      </c>
      <c r="AV173" s="234">
        <v>9</v>
      </c>
      <c r="AW173" s="234">
        <v>13</v>
      </c>
      <c r="AX173" s="234">
        <v>0</v>
      </c>
      <c r="AY173" s="234">
        <v>0</v>
      </c>
      <c r="AZ173" s="234">
        <v>0</v>
      </c>
      <c r="BA173" s="234">
        <v>0</v>
      </c>
      <c r="BB173" s="234">
        <v>0</v>
      </c>
      <c r="BC173" s="234">
        <v>0</v>
      </c>
      <c r="BD173" s="234">
        <v>0</v>
      </c>
      <c r="BE173" s="234">
        <v>0</v>
      </c>
      <c r="BF173" s="234">
        <v>0</v>
      </c>
      <c r="BG173" s="234">
        <v>0</v>
      </c>
      <c r="BH173" s="234">
        <v>0</v>
      </c>
      <c r="BI173" s="234">
        <v>0</v>
      </c>
      <c r="BJ173" s="234">
        <v>0</v>
      </c>
      <c r="BK173" s="234">
        <v>0</v>
      </c>
      <c r="BL173" s="234">
        <v>0</v>
      </c>
      <c r="BM173" s="234">
        <v>0</v>
      </c>
      <c r="BN173" s="234">
        <v>0</v>
      </c>
      <c r="BO173" s="234">
        <v>0</v>
      </c>
      <c r="BP173" s="234"/>
      <c r="BQ173" s="234"/>
      <c r="BR173" s="237" t="s">
        <v>334</v>
      </c>
      <c r="BS173" s="238">
        <v>1</v>
      </c>
      <c r="BT173" s="239">
        <f t="shared" si="12"/>
        <v>22</v>
      </c>
      <c r="CN173" s="238">
        <f t="shared" si="9"/>
        <v>0</v>
      </c>
      <c r="CO173" s="238">
        <f t="shared" si="10"/>
        <v>0</v>
      </c>
    </row>
    <row r="174" spans="1:93" ht="13.95" customHeight="1" x14ac:dyDescent="0.2">
      <c r="A174" s="231">
        <v>2502</v>
      </c>
      <c r="B174" s="232" t="s">
        <v>314</v>
      </c>
      <c r="C174" s="232" t="s">
        <v>840</v>
      </c>
      <c r="D174" s="232" t="s">
        <v>829</v>
      </c>
      <c r="E174" s="232" t="s">
        <v>841</v>
      </c>
      <c r="F174" s="231">
        <v>527221</v>
      </c>
      <c r="G174" s="231">
        <v>172443</v>
      </c>
      <c r="H174" s="232" t="s">
        <v>180</v>
      </c>
      <c r="I174" s="233">
        <v>44286</v>
      </c>
      <c r="J174" s="231"/>
      <c r="K174" s="231">
        <v>0</v>
      </c>
      <c r="L174" s="231">
        <v>43</v>
      </c>
      <c r="M174" s="231">
        <v>43</v>
      </c>
      <c r="N174" s="231">
        <v>72</v>
      </c>
      <c r="O174" s="231">
        <v>72</v>
      </c>
      <c r="P174" s="234" t="s">
        <v>318</v>
      </c>
      <c r="Q174" s="232" t="s">
        <v>842</v>
      </c>
      <c r="R174" s="234" t="s">
        <v>517</v>
      </c>
      <c r="S174" s="235">
        <v>43948</v>
      </c>
      <c r="T174" s="235">
        <v>44039</v>
      </c>
      <c r="U174" s="234"/>
      <c r="V174" s="232" t="s">
        <v>321</v>
      </c>
      <c r="W174" s="231"/>
      <c r="X174" s="232" t="s">
        <v>322</v>
      </c>
      <c r="Y174" s="232" t="s">
        <v>378</v>
      </c>
      <c r="Z174" s="232" t="s">
        <v>843</v>
      </c>
      <c r="AA174" s="232" t="s">
        <v>324</v>
      </c>
      <c r="AB174" s="236">
        <v>1.3</v>
      </c>
      <c r="AC174" s="235">
        <v>44286</v>
      </c>
      <c r="AD174" s="234"/>
      <c r="AE174" s="235">
        <v>45016</v>
      </c>
      <c r="AF174" s="232" t="s">
        <v>77</v>
      </c>
      <c r="AG174" s="232" t="s">
        <v>350</v>
      </c>
      <c r="AH174" s="234" t="s">
        <v>832</v>
      </c>
      <c r="AI174" s="250"/>
      <c r="AJ174" s="234">
        <v>0</v>
      </c>
      <c r="AK174" s="224"/>
      <c r="AL174" s="234">
        <v>0</v>
      </c>
      <c r="AM174" s="224"/>
      <c r="AN174" s="234">
        <v>0</v>
      </c>
      <c r="AO174" s="234">
        <v>0</v>
      </c>
      <c r="AP174" s="234">
        <v>37</v>
      </c>
      <c r="AQ174" s="234">
        <v>6</v>
      </c>
      <c r="AR174" s="234">
        <v>0</v>
      </c>
      <c r="AS174" s="234">
        <v>0</v>
      </c>
      <c r="AT174" s="234">
        <v>0</v>
      </c>
      <c r="AU174" s="234">
        <v>0</v>
      </c>
      <c r="AV174" s="234">
        <v>0</v>
      </c>
      <c r="AW174" s="234">
        <v>37</v>
      </c>
      <c r="AX174" s="234">
        <v>6</v>
      </c>
      <c r="AY174" s="234">
        <v>0</v>
      </c>
      <c r="AZ174" s="234">
        <v>0</v>
      </c>
      <c r="BA174" s="234">
        <v>0</v>
      </c>
      <c r="BB174" s="234">
        <v>0</v>
      </c>
      <c r="BC174" s="234">
        <v>0</v>
      </c>
      <c r="BD174" s="234">
        <v>0</v>
      </c>
      <c r="BE174" s="234">
        <v>0</v>
      </c>
      <c r="BF174" s="234">
        <v>0</v>
      </c>
      <c r="BG174" s="234">
        <v>0</v>
      </c>
      <c r="BH174" s="234">
        <v>0</v>
      </c>
      <c r="BI174" s="234">
        <v>0</v>
      </c>
      <c r="BJ174" s="234">
        <v>0</v>
      </c>
      <c r="BK174" s="234">
        <v>0</v>
      </c>
      <c r="BL174" s="234">
        <v>0</v>
      </c>
      <c r="BM174" s="234">
        <v>0</v>
      </c>
      <c r="BN174" s="234">
        <v>0</v>
      </c>
      <c r="BO174" s="234">
        <v>0</v>
      </c>
      <c r="BP174" s="234"/>
      <c r="BQ174" s="234"/>
      <c r="BR174" s="237" t="s">
        <v>334</v>
      </c>
      <c r="BS174" s="238">
        <v>11</v>
      </c>
      <c r="BT174" s="239">
        <f t="shared" si="12"/>
        <v>43</v>
      </c>
      <c r="CN174" s="238">
        <f t="shared" si="9"/>
        <v>0</v>
      </c>
      <c r="CO174" s="238">
        <f t="shared" si="10"/>
        <v>0</v>
      </c>
    </row>
    <row r="175" spans="1:93" ht="13.95" customHeight="1" x14ac:dyDescent="0.2">
      <c r="A175" s="231">
        <v>3511</v>
      </c>
      <c r="B175" s="232" t="s">
        <v>822</v>
      </c>
      <c r="C175" s="232" t="s">
        <v>844</v>
      </c>
      <c r="D175" s="232" t="s">
        <v>824</v>
      </c>
      <c r="E175" s="232" t="s">
        <v>845</v>
      </c>
      <c r="F175" s="231">
        <v>529369</v>
      </c>
      <c r="G175" s="231">
        <v>177317</v>
      </c>
      <c r="H175" s="232" t="s">
        <v>168</v>
      </c>
      <c r="I175" s="233">
        <v>42825</v>
      </c>
      <c r="J175" s="231"/>
      <c r="K175" s="231">
        <v>0</v>
      </c>
      <c r="L175" s="231">
        <v>136</v>
      </c>
      <c r="M175" s="231">
        <v>136</v>
      </c>
      <c r="N175" s="231">
        <v>2971</v>
      </c>
      <c r="O175" s="231">
        <v>2966</v>
      </c>
      <c r="P175" s="234" t="s">
        <v>318</v>
      </c>
      <c r="Q175" s="232" t="s">
        <v>846</v>
      </c>
      <c r="R175" s="234" t="s">
        <v>847</v>
      </c>
      <c r="S175" s="235">
        <v>41774</v>
      </c>
      <c r="T175" s="235">
        <v>42046</v>
      </c>
      <c r="U175" s="234"/>
      <c r="V175" s="232" t="s">
        <v>321</v>
      </c>
      <c r="W175" s="231"/>
      <c r="X175" s="232" t="s">
        <v>322</v>
      </c>
      <c r="Y175" s="232" t="s">
        <v>323</v>
      </c>
      <c r="Z175" s="232" t="s">
        <v>323</v>
      </c>
      <c r="AA175" s="232" t="s">
        <v>324</v>
      </c>
      <c r="AB175" s="236">
        <v>0.82099999999999995</v>
      </c>
      <c r="AC175" s="235"/>
      <c r="AD175" s="234"/>
      <c r="AE175" s="234"/>
      <c r="AF175" s="232" t="s">
        <v>77</v>
      </c>
      <c r="AG175" s="232" t="s">
        <v>350</v>
      </c>
      <c r="AH175" s="234" t="s">
        <v>827</v>
      </c>
      <c r="AJ175" s="234">
        <v>0</v>
      </c>
      <c r="AK175" s="234">
        <v>122</v>
      </c>
      <c r="AL175" s="234">
        <v>0</v>
      </c>
      <c r="AM175" s="234">
        <v>14</v>
      </c>
      <c r="AN175" s="234">
        <v>17</v>
      </c>
      <c r="AO175" s="234">
        <v>27</v>
      </c>
      <c r="AP175" s="234">
        <v>82</v>
      </c>
      <c r="AQ175" s="234">
        <v>10</v>
      </c>
      <c r="AR175" s="234">
        <v>0</v>
      </c>
      <c r="AS175" s="234">
        <v>0</v>
      </c>
      <c r="AT175" s="234">
        <v>0</v>
      </c>
      <c r="AU175" s="234">
        <v>17</v>
      </c>
      <c r="AV175" s="234">
        <v>27</v>
      </c>
      <c r="AW175" s="234">
        <v>82</v>
      </c>
      <c r="AX175" s="234">
        <v>10</v>
      </c>
      <c r="AY175" s="234">
        <v>0</v>
      </c>
      <c r="AZ175" s="234">
        <v>0</v>
      </c>
      <c r="BA175" s="234">
        <v>0</v>
      </c>
      <c r="BB175" s="234">
        <v>0</v>
      </c>
      <c r="BC175" s="234">
        <v>0</v>
      </c>
      <c r="BD175" s="234">
        <v>0</v>
      </c>
      <c r="BE175" s="234">
        <v>0</v>
      </c>
      <c r="BF175" s="234">
        <v>0</v>
      </c>
      <c r="BG175" s="234">
        <v>0</v>
      </c>
      <c r="BH175" s="234">
        <v>0</v>
      </c>
      <c r="BI175" s="234">
        <v>0</v>
      </c>
      <c r="BJ175" s="234">
        <v>0</v>
      </c>
      <c r="BK175" s="234">
        <v>0</v>
      </c>
      <c r="BL175" s="234">
        <v>0</v>
      </c>
      <c r="BM175" s="234">
        <v>0</v>
      </c>
      <c r="BN175" s="234">
        <v>0</v>
      </c>
      <c r="BO175" s="234">
        <v>0</v>
      </c>
      <c r="BP175" s="234"/>
      <c r="BQ175" s="234" t="s">
        <v>318</v>
      </c>
      <c r="BR175" s="237" t="s">
        <v>151</v>
      </c>
      <c r="BS175" s="238">
        <v>8</v>
      </c>
      <c r="CB175" s="239">
        <f>M175</f>
        <v>136</v>
      </c>
      <c r="CN175" s="238">
        <f t="shared" si="9"/>
        <v>0</v>
      </c>
      <c r="CO175" s="238">
        <f t="shared" si="10"/>
        <v>136</v>
      </c>
    </row>
    <row r="176" spans="1:93" ht="13.95" customHeight="1" x14ac:dyDescent="0.2">
      <c r="A176" s="231">
        <v>2411</v>
      </c>
      <c r="B176" s="232" t="s">
        <v>848</v>
      </c>
      <c r="C176" s="232" t="s">
        <v>533</v>
      </c>
      <c r="D176" s="232" t="s">
        <v>534</v>
      </c>
      <c r="E176" s="232" t="s">
        <v>849</v>
      </c>
      <c r="F176" s="231">
        <v>528934</v>
      </c>
      <c r="G176" s="231">
        <v>177496</v>
      </c>
      <c r="H176" s="232" t="s">
        <v>168</v>
      </c>
      <c r="I176" s="233">
        <v>42506</v>
      </c>
      <c r="J176" s="231"/>
      <c r="K176" s="231">
        <v>0</v>
      </c>
      <c r="L176" s="231">
        <v>836</v>
      </c>
      <c r="M176" s="231">
        <v>836</v>
      </c>
      <c r="N176" s="231">
        <v>2027</v>
      </c>
      <c r="O176" s="231">
        <v>2027</v>
      </c>
      <c r="P176" s="234" t="s">
        <v>318</v>
      </c>
      <c r="Q176" s="232" t="s">
        <v>536</v>
      </c>
      <c r="R176" s="234" t="s">
        <v>469</v>
      </c>
      <c r="S176" s="235">
        <v>44210</v>
      </c>
      <c r="T176" s="235">
        <v>44264</v>
      </c>
      <c r="U176" s="234"/>
      <c r="V176" s="232" t="s">
        <v>321</v>
      </c>
      <c r="W176" s="231"/>
      <c r="X176" s="232" t="s">
        <v>322</v>
      </c>
      <c r="Y176" s="232" t="s">
        <v>323</v>
      </c>
      <c r="Z176" s="232" t="s">
        <v>323</v>
      </c>
      <c r="AA176" s="232" t="s">
        <v>324</v>
      </c>
      <c r="AB176" s="236">
        <v>1.4490000000000001</v>
      </c>
      <c r="AC176" s="235">
        <v>42506</v>
      </c>
      <c r="AD176" s="234"/>
      <c r="AE176" s="234"/>
      <c r="AF176" s="232" t="s">
        <v>77</v>
      </c>
      <c r="AG176" s="232" t="s">
        <v>350</v>
      </c>
      <c r="AH176" s="234" t="s">
        <v>537</v>
      </c>
      <c r="AI176" s="250"/>
      <c r="AJ176" s="234">
        <v>836</v>
      </c>
      <c r="AK176" s="224"/>
      <c r="AL176" s="234">
        <v>84</v>
      </c>
      <c r="AM176" s="224"/>
      <c r="AN176" s="234">
        <v>148</v>
      </c>
      <c r="AO176" s="234">
        <v>149</v>
      </c>
      <c r="AP176" s="234">
        <v>406</v>
      </c>
      <c r="AQ176" s="234">
        <v>87</v>
      </c>
      <c r="AR176" s="234">
        <v>11</v>
      </c>
      <c r="AS176" s="234">
        <v>35</v>
      </c>
      <c r="AT176" s="234">
        <v>0</v>
      </c>
      <c r="AU176" s="234">
        <v>148</v>
      </c>
      <c r="AV176" s="234">
        <v>149</v>
      </c>
      <c r="AW176" s="234">
        <v>406</v>
      </c>
      <c r="AX176" s="234">
        <v>87</v>
      </c>
      <c r="AY176" s="234">
        <v>11</v>
      </c>
      <c r="AZ176" s="234">
        <v>35</v>
      </c>
      <c r="BA176" s="234">
        <v>0</v>
      </c>
      <c r="BB176" s="234">
        <v>0</v>
      </c>
      <c r="BC176" s="234">
        <v>0</v>
      </c>
      <c r="BD176" s="234">
        <v>0</v>
      </c>
      <c r="BE176" s="234">
        <v>0</v>
      </c>
      <c r="BF176" s="234">
        <v>0</v>
      </c>
      <c r="BG176" s="234">
        <v>0</v>
      </c>
      <c r="BH176" s="234">
        <v>0</v>
      </c>
      <c r="BI176" s="234">
        <v>0</v>
      </c>
      <c r="BJ176" s="234">
        <v>0</v>
      </c>
      <c r="BK176" s="234">
        <v>0</v>
      </c>
      <c r="BL176" s="234">
        <v>0</v>
      </c>
      <c r="BM176" s="234">
        <v>0</v>
      </c>
      <c r="BN176" s="234">
        <v>0</v>
      </c>
      <c r="BO176" s="234">
        <v>0</v>
      </c>
      <c r="BP176" s="234"/>
      <c r="BQ176" s="234" t="s">
        <v>318</v>
      </c>
      <c r="BR176" s="237" t="s">
        <v>151</v>
      </c>
      <c r="BS176" s="238">
        <v>6</v>
      </c>
      <c r="BV176" s="239">
        <f>M176/4</f>
        <v>209</v>
      </c>
      <c r="BW176" s="239">
        <f>M176/4</f>
        <v>209</v>
      </c>
      <c r="BX176" s="239">
        <f>M176/4</f>
        <v>209</v>
      </c>
      <c r="BY176" s="239">
        <f>M176/4</f>
        <v>209</v>
      </c>
      <c r="CN176" s="238">
        <f t="shared" si="9"/>
        <v>836</v>
      </c>
      <c r="CO176" s="238">
        <f t="shared" si="10"/>
        <v>836</v>
      </c>
    </row>
    <row r="177" spans="1:93" ht="13.95" customHeight="1" x14ac:dyDescent="0.2">
      <c r="A177" s="231">
        <v>3943</v>
      </c>
      <c r="B177" s="232" t="s">
        <v>314</v>
      </c>
      <c r="C177" s="232" t="s">
        <v>465</v>
      </c>
      <c r="D177" s="232" t="s">
        <v>466</v>
      </c>
      <c r="E177" s="232" t="s">
        <v>850</v>
      </c>
      <c r="F177" s="231">
        <v>529575</v>
      </c>
      <c r="G177" s="231">
        <v>177401</v>
      </c>
      <c r="H177" s="232" t="s">
        <v>168</v>
      </c>
      <c r="I177" s="233">
        <v>43798</v>
      </c>
      <c r="J177" s="233">
        <v>44820</v>
      </c>
      <c r="K177" s="231">
        <v>0</v>
      </c>
      <c r="L177" s="231">
        <v>96</v>
      </c>
      <c r="M177" s="231">
        <v>96</v>
      </c>
      <c r="N177" s="231">
        <v>261</v>
      </c>
      <c r="O177" s="231">
        <v>261</v>
      </c>
      <c r="P177" s="234" t="s">
        <v>318</v>
      </c>
      <c r="Q177" s="232" t="s">
        <v>468</v>
      </c>
      <c r="R177" s="234" t="s">
        <v>469</v>
      </c>
      <c r="S177" s="235">
        <v>43917</v>
      </c>
      <c r="T177" s="235">
        <v>43936</v>
      </c>
      <c r="U177" s="234"/>
      <c r="V177" s="232" t="s">
        <v>321</v>
      </c>
      <c r="W177" s="231"/>
      <c r="X177" s="232" t="s">
        <v>322</v>
      </c>
      <c r="Y177" s="232" t="s">
        <v>323</v>
      </c>
      <c r="Z177" s="232" t="s">
        <v>323</v>
      </c>
      <c r="AA177" s="232" t="s">
        <v>324</v>
      </c>
      <c r="AB177" s="236">
        <v>0.104</v>
      </c>
      <c r="AC177" s="235">
        <v>43921</v>
      </c>
      <c r="AD177" s="234"/>
      <c r="AE177" s="235">
        <v>44820</v>
      </c>
      <c r="AF177" s="232" t="s">
        <v>77</v>
      </c>
      <c r="AG177" s="232" t="s">
        <v>350</v>
      </c>
      <c r="AH177" s="234" t="s">
        <v>471</v>
      </c>
      <c r="AI177" s="250"/>
      <c r="AJ177" s="234">
        <v>0</v>
      </c>
      <c r="AK177" s="234">
        <v>86</v>
      </c>
      <c r="AL177" s="234">
        <v>0</v>
      </c>
      <c r="AM177" s="234">
        <v>10</v>
      </c>
      <c r="AN177" s="234">
        <v>0</v>
      </c>
      <c r="AO177" s="234">
        <v>32</v>
      </c>
      <c r="AP177" s="234">
        <v>43</v>
      </c>
      <c r="AQ177" s="234">
        <v>21</v>
      </c>
      <c r="AR177" s="234">
        <v>0</v>
      </c>
      <c r="AS177" s="234">
        <v>0</v>
      </c>
      <c r="AT177" s="234">
        <v>0</v>
      </c>
      <c r="AU177" s="234">
        <v>0</v>
      </c>
      <c r="AV177" s="234">
        <v>32</v>
      </c>
      <c r="AW177" s="234">
        <v>43</v>
      </c>
      <c r="AX177" s="234">
        <v>21</v>
      </c>
      <c r="AY177" s="234">
        <v>0</v>
      </c>
      <c r="AZ177" s="234">
        <v>0</v>
      </c>
      <c r="BA177" s="234">
        <v>0</v>
      </c>
      <c r="BB177" s="234">
        <v>0</v>
      </c>
      <c r="BC177" s="234">
        <v>0</v>
      </c>
      <c r="BD177" s="234">
        <v>0</v>
      </c>
      <c r="BE177" s="234">
        <v>0</v>
      </c>
      <c r="BF177" s="234">
        <v>0</v>
      </c>
      <c r="BG177" s="234">
        <v>0</v>
      </c>
      <c r="BH177" s="234">
        <v>0</v>
      </c>
      <c r="BI177" s="234">
        <v>0</v>
      </c>
      <c r="BJ177" s="234">
        <v>0</v>
      </c>
      <c r="BK177" s="234">
        <v>0</v>
      </c>
      <c r="BL177" s="234">
        <v>0</v>
      </c>
      <c r="BM177" s="234">
        <v>0</v>
      </c>
      <c r="BN177" s="234">
        <v>0</v>
      </c>
      <c r="BO177" s="234">
        <v>0</v>
      </c>
      <c r="BP177" s="234"/>
      <c r="BQ177" s="234" t="s">
        <v>318</v>
      </c>
      <c r="BR177" s="237" t="s">
        <v>151</v>
      </c>
      <c r="BS177" s="238">
        <v>1</v>
      </c>
      <c r="BT177" s="239">
        <f t="shared" ref="BT177:BT183" si="13">M177</f>
        <v>96</v>
      </c>
      <c r="CN177" s="238">
        <f t="shared" si="9"/>
        <v>0</v>
      </c>
      <c r="CO177" s="238">
        <f t="shared" si="10"/>
        <v>0</v>
      </c>
    </row>
    <row r="178" spans="1:93" ht="13.95" customHeight="1" x14ac:dyDescent="0.2">
      <c r="A178" s="231">
        <v>3943</v>
      </c>
      <c r="B178" s="232" t="s">
        <v>314</v>
      </c>
      <c r="C178" s="232" t="s">
        <v>465</v>
      </c>
      <c r="D178" s="232" t="s">
        <v>466</v>
      </c>
      <c r="E178" s="232" t="s">
        <v>851</v>
      </c>
      <c r="F178" s="231">
        <v>529575</v>
      </c>
      <c r="G178" s="231">
        <v>177401</v>
      </c>
      <c r="H178" s="232" t="s">
        <v>168</v>
      </c>
      <c r="I178" s="233">
        <v>43798</v>
      </c>
      <c r="J178" s="233">
        <v>44820</v>
      </c>
      <c r="K178" s="231">
        <v>0</v>
      </c>
      <c r="L178" s="231">
        <v>99</v>
      </c>
      <c r="M178" s="231">
        <v>99</v>
      </c>
      <c r="N178" s="231">
        <v>261</v>
      </c>
      <c r="O178" s="231">
        <v>261</v>
      </c>
      <c r="P178" s="234" t="s">
        <v>318</v>
      </c>
      <c r="Q178" s="232" t="s">
        <v>468</v>
      </c>
      <c r="R178" s="234" t="s">
        <v>469</v>
      </c>
      <c r="S178" s="235">
        <v>43917</v>
      </c>
      <c r="T178" s="235">
        <v>43936</v>
      </c>
      <c r="U178" s="234"/>
      <c r="V178" s="232" t="s">
        <v>321</v>
      </c>
      <c r="W178" s="231"/>
      <c r="X178" s="232" t="s">
        <v>322</v>
      </c>
      <c r="Y178" s="232" t="s">
        <v>323</v>
      </c>
      <c r="Z178" s="232" t="s">
        <v>323</v>
      </c>
      <c r="AA178" s="232" t="s">
        <v>324</v>
      </c>
      <c r="AB178" s="236">
        <v>0.108</v>
      </c>
      <c r="AC178" s="235">
        <v>43921</v>
      </c>
      <c r="AD178" s="234"/>
      <c r="AE178" s="235">
        <v>44817</v>
      </c>
      <c r="AF178" s="232" t="s">
        <v>77</v>
      </c>
      <c r="AG178" s="232" t="s">
        <v>350</v>
      </c>
      <c r="AH178" s="234" t="s">
        <v>471</v>
      </c>
      <c r="AI178" s="250"/>
      <c r="AJ178" s="234">
        <v>0</v>
      </c>
      <c r="AK178" s="234">
        <v>90</v>
      </c>
      <c r="AL178" s="234">
        <v>0</v>
      </c>
      <c r="AM178" s="234">
        <v>9</v>
      </c>
      <c r="AN178" s="234">
        <v>0</v>
      </c>
      <c r="AO178" s="234">
        <v>31</v>
      </c>
      <c r="AP178" s="234">
        <v>67</v>
      </c>
      <c r="AQ178" s="234">
        <v>1</v>
      </c>
      <c r="AR178" s="234">
        <v>0</v>
      </c>
      <c r="AS178" s="234">
        <v>0</v>
      </c>
      <c r="AT178" s="234">
        <v>0</v>
      </c>
      <c r="AU178" s="234">
        <v>0</v>
      </c>
      <c r="AV178" s="234">
        <v>31</v>
      </c>
      <c r="AW178" s="234">
        <v>67</v>
      </c>
      <c r="AX178" s="234">
        <v>1</v>
      </c>
      <c r="AY178" s="234">
        <v>0</v>
      </c>
      <c r="AZ178" s="234">
        <v>0</v>
      </c>
      <c r="BA178" s="234">
        <v>0</v>
      </c>
      <c r="BB178" s="234">
        <v>0</v>
      </c>
      <c r="BC178" s="234">
        <v>0</v>
      </c>
      <c r="BD178" s="234">
        <v>0</v>
      </c>
      <c r="BE178" s="234">
        <v>0</v>
      </c>
      <c r="BF178" s="234">
        <v>0</v>
      </c>
      <c r="BG178" s="234">
        <v>0</v>
      </c>
      <c r="BH178" s="234">
        <v>0</v>
      </c>
      <c r="BI178" s="234">
        <v>0</v>
      </c>
      <c r="BJ178" s="234">
        <v>0</v>
      </c>
      <c r="BK178" s="234">
        <v>0</v>
      </c>
      <c r="BL178" s="234">
        <v>0</v>
      </c>
      <c r="BM178" s="234">
        <v>0</v>
      </c>
      <c r="BN178" s="234">
        <v>0</v>
      </c>
      <c r="BO178" s="234">
        <v>0</v>
      </c>
      <c r="BP178" s="234"/>
      <c r="BQ178" s="234" t="s">
        <v>318</v>
      </c>
      <c r="BR178" s="237" t="s">
        <v>151</v>
      </c>
      <c r="BS178" s="238">
        <v>1</v>
      </c>
      <c r="BT178" s="239">
        <f t="shared" si="13"/>
        <v>99</v>
      </c>
      <c r="CN178" s="238">
        <f t="shared" si="9"/>
        <v>0</v>
      </c>
      <c r="CO178" s="238">
        <f t="shared" si="10"/>
        <v>0</v>
      </c>
    </row>
    <row r="179" spans="1:93" ht="13.95" customHeight="1" x14ac:dyDescent="0.2">
      <c r="A179" s="231">
        <v>1116</v>
      </c>
      <c r="B179" s="232" t="s">
        <v>314</v>
      </c>
      <c r="C179" s="232" t="s">
        <v>852</v>
      </c>
      <c r="D179" s="232" t="s">
        <v>853</v>
      </c>
      <c r="E179" s="232" t="s">
        <v>317</v>
      </c>
      <c r="F179" s="231">
        <v>528677</v>
      </c>
      <c r="G179" s="231">
        <v>176511</v>
      </c>
      <c r="H179" s="232" t="s">
        <v>171</v>
      </c>
      <c r="I179" s="233">
        <v>44853</v>
      </c>
      <c r="J179" s="233">
        <v>44853</v>
      </c>
      <c r="K179" s="231">
        <v>3</v>
      </c>
      <c r="L179" s="231">
        <v>12</v>
      </c>
      <c r="M179" s="231">
        <v>9</v>
      </c>
      <c r="N179" s="231">
        <v>12</v>
      </c>
      <c r="O179" s="231">
        <v>9</v>
      </c>
      <c r="P179" s="234" t="s">
        <v>318</v>
      </c>
      <c r="Q179" s="232" t="s">
        <v>854</v>
      </c>
      <c r="R179" s="234" t="s">
        <v>639</v>
      </c>
      <c r="S179" s="235">
        <v>44795</v>
      </c>
      <c r="T179" s="235">
        <v>44853</v>
      </c>
      <c r="U179" s="234" t="s">
        <v>318</v>
      </c>
      <c r="V179" s="232" t="s">
        <v>321</v>
      </c>
      <c r="W179" s="231"/>
      <c r="X179" s="232" t="s">
        <v>322</v>
      </c>
      <c r="Y179" s="232" t="s">
        <v>365</v>
      </c>
      <c r="Z179" s="232" t="s">
        <v>812</v>
      </c>
      <c r="AA179" s="232" t="s">
        <v>324</v>
      </c>
      <c r="AB179" s="236">
        <v>8.7500000000000008E-3</v>
      </c>
      <c r="AC179" s="235">
        <v>44853</v>
      </c>
      <c r="AD179" s="234" t="s">
        <v>318</v>
      </c>
      <c r="AE179" s="235">
        <v>44853</v>
      </c>
      <c r="AF179" s="232" t="s">
        <v>77</v>
      </c>
      <c r="AG179" s="232" t="s">
        <v>340</v>
      </c>
      <c r="AH179" s="234" t="s">
        <v>317</v>
      </c>
      <c r="AI179" s="250"/>
      <c r="AJ179" s="234">
        <v>0</v>
      </c>
      <c r="AK179" s="224"/>
      <c r="AL179" s="234">
        <v>0</v>
      </c>
      <c r="AM179" s="224"/>
      <c r="AN179" s="234">
        <v>0</v>
      </c>
      <c r="AO179" s="234">
        <v>-1</v>
      </c>
      <c r="AP179" s="234">
        <v>-2</v>
      </c>
      <c r="AQ179" s="234">
        <v>0</v>
      </c>
      <c r="AR179" s="234">
        <v>0</v>
      </c>
      <c r="AS179" s="234">
        <v>0</v>
      </c>
      <c r="AT179" s="234">
        <v>12</v>
      </c>
      <c r="AU179" s="234">
        <v>0</v>
      </c>
      <c r="AV179" s="234">
        <v>-1</v>
      </c>
      <c r="AW179" s="234">
        <v>-2</v>
      </c>
      <c r="AX179" s="234">
        <v>0</v>
      </c>
      <c r="AY179" s="234">
        <v>0</v>
      </c>
      <c r="AZ179" s="234">
        <v>0</v>
      </c>
      <c r="BA179" s="234">
        <v>12</v>
      </c>
      <c r="BB179" s="234">
        <v>0</v>
      </c>
      <c r="BC179" s="234">
        <v>0</v>
      </c>
      <c r="BD179" s="234">
        <v>0</v>
      </c>
      <c r="BE179" s="234">
        <v>0</v>
      </c>
      <c r="BF179" s="234">
        <v>0</v>
      </c>
      <c r="BG179" s="234">
        <v>0</v>
      </c>
      <c r="BH179" s="234">
        <v>0</v>
      </c>
      <c r="BI179" s="234">
        <v>0</v>
      </c>
      <c r="BJ179" s="234">
        <v>0</v>
      </c>
      <c r="BK179" s="234">
        <v>0</v>
      </c>
      <c r="BL179" s="234">
        <v>0</v>
      </c>
      <c r="BM179" s="234">
        <v>0</v>
      </c>
      <c r="BN179" s="234">
        <v>0</v>
      </c>
      <c r="BO179" s="234">
        <v>0</v>
      </c>
      <c r="BP179" s="234"/>
      <c r="BQ179" s="234" t="s">
        <v>318</v>
      </c>
      <c r="BR179" s="237" t="s">
        <v>151</v>
      </c>
      <c r="BS179" s="238">
        <v>11</v>
      </c>
      <c r="BT179" s="239">
        <f t="shared" si="13"/>
        <v>9</v>
      </c>
      <c r="CN179" s="238">
        <f t="shared" si="9"/>
        <v>0</v>
      </c>
      <c r="CO179" s="238">
        <f t="shared" si="10"/>
        <v>0</v>
      </c>
    </row>
    <row r="180" spans="1:93" ht="13.95" customHeight="1" x14ac:dyDescent="0.2">
      <c r="A180" s="231">
        <v>3943</v>
      </c>
      <c r="B180" s="232" t="s">
        <v>314</v>
      </c>
      <c r="C180" s="232" t="s">
        <v>514</v>
      </c>
      <c r="D180" s="232" t="s">
        <v>466</v>
      </c>
      <c r="E180" s="232" t="s">
        <v>515</v>
      </c>
      <c r="F180" s="231">
        <v>529575</v>
      </c>
      <c r="G180" s="231">
        <v>177401</v>
      </c>
      <c r="H180" s="232" t="s">
        <v>168</v>
      </c>
      <c r="I180" s="233">
        <v>43711</v>
      </c>
      <c r="J180" s="231"/>
      <c r="K180" s="231">
        <v>0</v>
      </c>
      <c r="L180" s="231">
        <v>111</v>
      </c>
      <c r="M180" s="231">
        <v>111</v>
      </c>
      <c r="N180" s="231">
        <v>894</v>
      </c>
      <c r="O180" s="231">
        <v>894</v>
      </c>
      <c r="P180" s="234" t="s">
        <v>318</v>
      </c>
      <c r="Q180" s="232" t="s">
        <v>516</v>
      </c>
      <c r="R180" s="234" t="s">
        <v>517</v>
      </c>
      <c r="S180" s="235">
        <v>43081</v>
      </c>
      <c r="T180" s="235">
        <v>43553</v>
      </c>
      <c r="U180" s="234"/>
      <c r="V180" s="232" t="s">
        <v>321</v>
      </c>
      <c r="W180" s="231"/>
      <c r="X180" s="232" t="s">
        <v>322</v>
      </c>
      <c r="Y180" s="232" t="s">
        <v>323</v>
      </c>
      <c r="Z180" s="232" t="s">
        <v>323</v>
      </c>
      <c r="AA180" s="232" t="s">
        <v>324</v>
      </c>
      <c r="AB180" s="236">
        <v>0.108</v>
      </c>
      <c r="AC180" s="235">
        <v>43711</v>
      </c>
      <c r="AD180" s="234"/>
      <c r="AE180" s="235">
        <v>44932</v>
      </c>
      <c r="AF180" s="232" t="s">
        <v>77</v>
      </c>
      <c r="AG180" s="232" t="s">
        <v>340</v>
      </c>
      <c r="AH180" s="234" t="s">
        <v>471</v>
      </c>
      <c r="AI180" s="250"/>
      <c r="AJ180" s="234">
        <v>0</v>
      </c>
      <c r="AK180" s="234">
        <v>100</v>
      </c>
      <c r="AL180" s="234">
        <v>0</v>
      </c>
      <c r="AM180" s="234">
        <v>11</v>
      </c>
      <c r="AN180" s="234">
        <v>16</v>
      </c>
      <c r="AO180" s="234">
        <v>42</v>
      </c>
      <c r="AP180" s="234">
        <v>41</v>
      </c>
      <c r="AQ180" s="234">
        <v>12</v>
      </c>
      <c r="AR180" s="234">
        <v>0</v>
      </c>
      <c r="AS180" s="234">
        <v>0</v>
      </c>
      <c r="AT180" s="234">
        <v>0</v>
      </c>
      <c r="AU180" s="234">
        <v>16</v>
      </c>
      <c r="AV180" s="234">
        <v>42</v>
      </c>
      <c r="AW180" s="234">
        <v>41</v>
      </c>
      <c r="AX180" s="234">
        <v>12</v>
      </c>
      <c r="AY180" s="234">
        <v>0</v>
      </c>
      <c r="AZ180" s="234">
        <v>0</v>
      </c>
      <c r="BA180" s="234">
        <v>0</v>
      </c>
      <c r="BB180" s="234">
        <v>0</v>
      </c>
      <c r="BC180" s="234">
        <v>0</v>
      </c>
      <c r="BD180" s="234">
        <v>0</v>
      </c>
      <c r="BE180" s="234">
        <v>0</v>
      </c>
      <c r="BF180" s="234">
        <v>0</v>
      </c>
      <c r="BG180" s="234">
        <v>0</v>
      </c>
      <c r="BH180" s="234">
        <v>0</v>
      </c>
      <c r="BI180" s="234">
        <v>0</v>
      </c>
      <c r="BJ180" s="234">
        <v>0</v>
      </c>
      <c r="BK180" s="234">
        <v>0</v>
      </c>
      <c r="BL180" s="234">
        <v>0</v>
      </c>
      <c r="BM180" s="234">
        <v>0</v>
      </c>
      <c r="BN180" s="234">
        <v>0</v>
      </c>
      <c r="BO180" s="234">
        <v>0</v>
      </c>
      <c r="BP180" s="234"/>
      <c r="BQ180" s="234" t="s">
        <v>318</v>
      </c>
      <c r="BR180" s="237" t="s">
        <v>151</v>
      </c>
      <c r="BS180" s="238">
        <v>1</v>
      </c>
      <c r="BT180" s="239">
        <f t="shared" si="13"/>
        <v>111</v>
      </c>
      <c r="CN180" s="238">
        <f t="shared" si="9"/>
        <v>0</v>
      </c>
      <c r="CO180" s="238">
        <f t="shared" si="10"/>
        <v>0</v>
      </c>
    </row>
    <row r="181" spans="1:93" ht="13.95" customHeight="1" x14ac:dyDescent="0.2">
      <c r="A181" s="231">
        <v>7464</v>
      </c>
      <c r="B181" s="232" t="s">
        <v>314</v>
      </c>
      <c r="C181" s="232" t="s">
        <v>855</v>
      </c>
      <c r="D181" s="232" t="s">
        <v>856</v>
      </c>
      <c r="E181" s="232" t="s">
        <v>857</v>
      </c>
      <c r="F181" s="231">
        <v>527725</v>
      </c>
      <c r="G181" s="231">
        <v>172227</v>
      </c>
      <c r="H181" s="232" t="s">
        <v>176</v>
      </c>
      <c r="I181" s="233">
        <v>44398</v>
      </c>
      <c r="J181" s="233">
        <v>44855</v>
      </c>
      <c r="K181" s="231">
        <v>0</v>
      </c>
      <c r="L181" s="231">
        <v>1</v>
      </c>
      <c r="M181" s="231">
        <v>1</v>
      </c>
      <c r="N181" s="231">
        <v>2</v>
      </c>
      <c r="O181" s="231">
        <v>2</v>
      </c>
      <c r="P181" s="234"/>
      <c r="Q181" s="232" t="s">
        <v>858</v>
      </c>
      <c r="R181" s="234" t="s">
        <v>332</v>
      </c>
      <c r="S181" s="235">
        <v>44075</v>
      </c>
      <c r="T181" s="235">
        <v>44161</v>
      </c>
      <c r="U181" s="234"/>
      <c r="V181" s="232" t="s">
        <v>321</v>
      </c>
      <c r="W181" s="231"/>
      <c r="X181" s="232" t="s">
        <v>322</v>
      </c>
      <c r="Y181" s="232" t="s">
        <v>323</v>
      </c>
      <c r="Z181" s="232" t="s">
        <v>324</v>
      </c>
      <c r="AA181" s="232" t="s">
        <v>349</v>
      </c>
      <c r="AB181" s="236">
        <v>1.0999999999999999E-2</v>
      </c>
      <c r="AC181" s="235">
        <v>44398</v>
      </c>
      <c r="AD181" s="234"/>
      <c r="AE181" s="235">
        <v>44855</v>
      </c>
      <c r="AF181" s="232" t="s">
        <v>77</v>
      </c>
      <c r="AG181" s="232" t="s">
        <v>350</v>
      </c>
      <c r="AH181" s="234" t="s">
        <v>317</v>
      </c>
      <c r="AI181" s="250"/>
      <c r="AJ181" s="234">
        <v>0</v>
      </c>
      <c r="AK181" s="224"/>
      <c r="AL181" s="234">
        <v>0</v>
      </c>
      <c r="AM181" s="224"/>
      <c r="AN181" s="234">
        <v>0</v>
      </c>
      <c r="AO181" s="234">
        <v>0</v>
      </c>
      <c r="AP181" s="234">
        <v>0</v>
      </c>
      <c r="AQ181" s="234">
        <v>1</v>
      </c>
      <c r="AR181" s="234">
        <v>0</v>
      </c>
      <c r="AS181" s="234">
        <v>0</v>
      </c>
      <c r="AT181" s="234">
        <v>0</v>
      </c>
      <c r="AU181" s="234">
        <v>0</v>
      </c>
      <c r="AV181" s="234">
        <v>0</v>
      </c>
      <c r="AW181" s="234">
        <v>0</v>
      </c>
      <c r="AX181" s="234">
        <v>0</v>
      </c>
      <c r="AY181" s="234">
        <v>0</v>
      </c>
      <c r="AZ181" s="234">
        <v>0</v>
      </c>
      <c r="BA181" s="234">
        <v>0</v>
      </c>
      <c r="BB181" s="234">
        <v>0</v>
      </c>
      <c r="BC181" s="234">
        <v>0</v>
      </c>
      <c r="BD181" s="234">
        <v>0</v>
      </c>
      <c r="BE181" s="234">
        <v>1</v>
      </c>
      <c r="BF181" s="234">
        <v>0</v>
      </c>
      <c r="BG181" s="234">
        <v>0</v>
      </c>
      <c r="BH181" s="234">
        <v>0</v>
      </c>
      <c r="BI181" s="234">
        <v>0</v>
      </c>
      <c r="BJ181" s="234">
        <v>0</v>
      </c>
      <c r="BK181" s="234">
        <v>0</v>
      </c>
      <c r="BL181" s="234">
        <v>0</v>
      </c>
      <c r="BM181" s="234">
        <v>0</v>
      </c>
      <c r="BN181" s="234">
        <v>0</v>
      </c>
      <c r="BO181" s="234">
        <v>0</v>
      </c>
      <c r="BP181" s="234"/>
      <c r="BQ181" s="234"/>
      <c r="BR181" s="237" t="s">
        <v>334</v>
      </c>
      <c r="BS181" s="238">
        <v>1</v>
      </c>
      <c r="BT181" s="239">
        <f t="shared" si="13"/>
        <v>1</v>
      </c>
      <c r="CN181" s="238">
        <f t="shared" ref="CN181:CN244" si="14">SUM(BU181:BY181)</f>
        <v>0</v>
      </c>
      <c r="CO181" s="238">
        <f t="shared" ref="CO181:CO244" si="15">SUM(BU181:CD181)</f>
        <v>0</v>
      </c>
    </row>
    <row r="182" spans="1:93" ht="13.95" customHeight="1" x14ac:dyDescent="0.2">
      <c r="A182" s="231">
        <v>7464</v>
      </c>
      <c r="B182" s="232" t="s">
        <v>314</v>
      </c>
      <c r="C182" s="232" t="s">
        <v>855</v>
      </c>
      <c r="D182" s="232" t="s">
        <v>856</v>
      </c>
      <c r="E182" s="232" t="s">
        <v>859</v>
      </c>
      <c r="F182" s="231">
        <v>527725</v>
      </c>
      <c r="G182" s="231">
        <v>172227</v>
      </c>
      <c r="H182" s="232" t="s">
        <v>176</v>
      </c>
      <c r="I182" s="233">
        <v>44398</v>
      </c>
      <c r="J182" s="233">
        <v>44855</v>
      </c>
      <c r="K182" s="231">
        <v>0</v>
      </c>
      <c r="L182" s="231">
        <v>1</v>
      </c>
      <c r="M182" s="231">
        <v>1</v>
      </c>
      <c r="N182" s="231">
        <v>2</v>
      </c>
      <c r="O182" s="231">
        <v>2</v>
      </c>
      <c r="P182" s="234"/>
      <c r="Q182" s="232" t="s">
        <v>858</v>
      </c>
      <c r="R182" s="234" t="s">
        <v>332</v>
      </c>
      <c r="S182" s="235">
        <v>44075</v>
      </c>
      <c r="T182" s="235">
        <v>44161</v>
      </c>
      <c r="U182" s="234"/>
      <c r="V182" s="232" t="s">
        <v>321</v>
      </c>
      <c r="W182" s="231"/>
      <c r="X182" s="232" t="s">
        <v>322</v>
      </c>
      <c r="Y182" s="232" t="s">
        <v>323</v>
      </c>
      <c r="Z182" s="232" t="s">
        <v>324</v>
      </c>
      <c r="AA182" s="232" t="s">
        <v>349</v>
      </c>
      <c r="AB182" s="236">
        <v>7.0000000000000001E-3</v>
      </c>
      <c r="AC182" s="235">
        <v>44398</v>
      </c>
      <c r="AD182" s="234"/>
      <c r="AE182" s="235">
        <v>44855</v>
      </c>
      <c r="AF182" s="232" t="s">
        <v>77</v>
      </c>
      <c r="AG182" s="232" t="s">
        <v>350</v>
      </c>
      <c r="AH182" s="234" t="s">
        <v>317</v>
      </c>
      <c r="AI182" s="250"/>
      <c r="AJ182" s="234">
        <v>0</v>
      </c>
      <c r="AK182" s="224"/>
      <c r="AL182" s="234">
        <v>0</v>
      </c>
      <c r="AM182" s="224"/>
      <c r="AN182" s="234">
        <v>0</v>
      </c>
      <c r="AO182" s="234">
        <v>0</v>
      </c>
      <c r="AP182" s="234">
        <v>1</v>
      </c>
      <c r="AQ182" s="234">
        <v>0</v>
      </c>
      <c r="AR182" s="234">
        <v>0</v>
      </c>
      <c r="AS182" s="234">
        <v>0</v>
      </c>
      <c r="AT182" s="234">
        <v>0</v>
      </c>
      <c r="AU182" s="234">
        <v>0</v>
      </c>
      <c r="AV182" s="234">
        <v>0</v>
      </c>
      <c r="AW182" s="234">
        <v>0</v>
      </c>
      <c r="AX182" s="234">
        <v>0</v>
      </c>
      <c r="AY182" s="234">
        <v>0</v>
      </c>
      <c r="AZ182" s="234">
        <v>0</v>
      </c>
      <c r="BA182" s="234">
        <v>0</v>
      </c>
      <c r="BB182" s="234">
        <v>0</v>
      </c>
      <c r="BC182" s="234">
        <v>0</v>
      </c>
      <c r="BD182" s="234">
        <v>1</v>
      </c>
      <c r="BE182" s="234">
        <v>0</v>
      </c>
      <c r="BF182" s="234">
        <v>0</v>
      </c>
      <c r="BG182" s="234">
        <v>0</v>
      </c>
      <c r="BH182" s="234">
        <v>0</v>
      </c>
      <c r="BI182" s="234">
        <v>0</v>
      </c>
      <c r="BJ182" s="234">
        <v>0</v>
      </c>
      <c r="BK182" s="234">
        <v>0</v>
      </c>
      <c r="BL182" s="234">
        <v>0</v>
      </c>
      <c r="BM182" s="234">
        <v>0</v>
      </c>
      <c r="BN182" s="234">
        <v>0</v>
      </c>
      <c r="BO182" s="234">
        <v>0</v>
      </c>
      <c r="BP182" s="234"/>
      <c r="BQ182" s="234"/>
      <c r="BR182" s="237" t="s">
        <v>334</v>
      </c>
      <c r="BS182" s="238">
        <v>1</v>
      </c>
      <c r="BT182" s="239">
        <f t="shared" si="13"/>
        <v>1</v>
      </c>
      <c r="CN182" s="238">
        <f t="shared" si="14"/>
        <v>0</v>
      </c>
      <c r="CO182" s="238">
        <f t="shared" si="15"/>
        <v>0</v>
      </c>
    </row>
    <row r="183" spans="1:93" ht="13.95" customHeight="1" x14ac:dyDescent="0.2">
      <c r="A183" s="231">
        <v>6302</v>
      </c>
      <c r="B183" s="232" t="s">
        <v>314</v>
      </c>
      <c r="C183" s="232" t="s">
        <v>860</v>
      </c>
      <c r="D183" s="232" t="s">
        <v>861</v>
      </c>
      <c r="E183" s="232" t="s">
        <v>862</v>
      </c>
      <c r="F183" s="231">
        <v>525938</v>
      </c>
      <c r="G183" s="231">
        <v>173047</v>
      </c>
      <c r="H183" s="232" t="s">
        <v>179</v>
      </c>
      <c r="I183" s="233">
        <v>44389</v>
      </c>
      <c r="J183" s="233"/>
      <c r="K183" s="231">
        <v>0</v>
      </c>
      <c r="L183" s="231">
        <v>9</v>
      </c>
      <c r="M183" s="231">
        <v>9</v>
      </c>
      <c r="N183" s="231">
        <v>17</v>
      </c>
      <c r="O183" s="231">
        <v>17</v>
      </c>
      <c r="P183" s="234" t="s">
        <v>318</v>
      </c>
      <c r="Q183" s="232" t="s">
        <v>863</v>
      </c>
      <c r="R183" s="234" t="s">
        <v>864</v>
      </c>
      <c r="S183" s="235">
        <v>43553</v>
      </c>
      <c r="T183" s="235">
        <v>43672</v>
      </c>
      <c r="U183" s="234"/>
      <c r="V183" s="232" t="s">
        <v>865</v>
      </c>
      <c r="W183" s="233">
        <v>44134</v>
      </c>
      <c r="X183" s="232" t="s">
        <v>322</v>
      </c>
      <c r="Y183" s="232" t="s">
        <v>323</v>
      </c>
      <c r="Z183" s="232" t="s">
        <v>323</v>
      </c>
      <c r="AA183" s="232" t="s">
        <v>324</v>
      </c>
      <c r="AB183" s="236">
        <v>0.03</v>
      </c>
      <c r="AC183" s="235">
        <v>44389</v>
      </c>
      <c r="AD183" s="234"/>
      <c r="AE183" s="235">
        <v>45016</v>
      </c>
      <c r="AF183" s="232" t="s">
        <v>77</v>
      </c>
      <c r="AG183" s="232" t="s">
        <v>350</v>
      </c>
      <c r="AH183" s="234" t="s">
        <v>317</v>
      </c>
      <c r="AI183" s="250"/>
      <c r="AJ183" s="234">
        <v>0</v>
      </c>
      <c r="AK183" s="224"/>
      <c r="AL183" s="234">
        <v>0</v>
      </c>
      <c r="AM183" s="224"/>
      <c r="AN183" s="234">
        <v>0</v>
      </c>
      <c r="AO183" s="234">
        <v>3</v>
      </c>
      <c r="AP183" s="234">
        <v>5</v>
      </c>
      <c r="AQ183" s="234">
        <v>1</v>
      </c>
      <c r="AR183" s="234">
        <v>0</v>
      </c>
      <c r="AS183" s="234">
        <v>0</v>
      </c>
      <c r="AT183" s="234">
        <v>0</v>
      </c>
      <c r="AU183" s="234">
        <v>0</v>
      </c>
      <c r="AV183" s="234">
        <v>3</v>
      </c>
      <c r="AW183" s="234">
        <v>5</v>
      </c>
      <c r="AX183" s="234">
        <v>1</v>
      </c>
      <c r="AY183" s="234">
        <v>0</v>
      </c>
      <c r="AZ183" s="234">
        <v>0</v>
      </c>
      <c r="BA183" s="234">
        <v>0</v>
      </c>
      <c r="BB183" s="234">
        <v>0</v>
      </c>
      <c r="BC183" s="234">
        <v>0</v>
      </c>
      <c r="BD183" s="234">
        <v>0</v>
      </c>
      <c r="BE183" s="234">
        <v>0</v>
      </c>
      <c r="BF183" s="234">
        <v>0</v>
      </c>
      <c r="BG183" s="234">
        <v>0</v>
      </c>
      <c r="BH183" s="234">
        <v>0</v>
      </c>
      <c r="BI183" s="234">
        <v>0</v>
      </c>
      <c r="BJ183" s="234">
        <v>0</v>
      </c>
      <c r="BK183" s="234">
        <v>0</v>
      </c>
      <c r="BL183" s="234">
        <v>0</v>
      </c>
      <c r="BM183" s="234">
        <v>0</v>
      </c>
      <c r="BN183" s="234">
        <v>0</v>
      </c>
      <c r="BO183" s="234">
        <v>0</v>
      </c>
      <c r="BP183" s="234"/>
      <c r="BQ183" s="234"/>
      <c r="BR183" s="237" t="s">
        <v>154</v>
      </c>
      <c r="BS183" s="238">
        <v>1</v>
      </c>
      <c r="BT183" s="239">
        <f t="shared" si="13"/>
        <v>9</v>
      </c>
      <c r="CN183" s="238">
        <f t="shared" si="14"/>
        <v>0</v>
      </c>
      <c r="CO183" s="238">
        <f t="shared" si="15"/>
        <v>0</v>
      </c>
    </row>
    <row r="184" spans="1:93" ht="13.95" customHeight="1" x14ac:dyDescent="0.2">
      <c r="A184" s="231">
        <v>365</v>
      </c>
      <c r="B184" s="232" t="s">
        <v>848</v>
      </c>
      <c r="C184" s="232" t="s">
        <v>866</v>
      </c>
      <c r="D184" s="232" t="s">
        <v>867</v>
      </c>
      <c r="E184" s="232" t="s">
        <v>317</v>
      </c>
      <c r="F184" s="231">
        <v>530104</v>
      </c>
      <c r="G184" s="231">
        <v>177808</v>
      </c>
      <c r="H184" s="232" t="s">
        <v>168</v>
      </c>
      <c r="I184" s="233">
        <v>42228</v>
      </c>
      <c r="J184" s="231"/>
      <c r="K184" s="231">
        <v>0</v>
      </c>
      <c r="L184" s="231">
        <v>437</v>
      </c>
      <c r="M184" s="231">
        <v>437</v>
      </c>
      <c r="N184" s="231">
        <v>437</v>
      </c>
      <c r="O184" s="231">
        <v>437</v>
      </c>
      <c r="P184" s="234" t="s">
        <v>318</v>
      </c>
      <c r="Q184" s="232" t="s">
        <v>868</v>
      </c>
      <c r="R184" s="234" t="s">
        <v>469</v>
      </c>
      <c r="S184" s="235">
        <v>42536</v>
      </c>
      <c r="T184" s="235">
        <v>42542</v>
      </c>
      <c r="U184" s="234"/>
      <c r="V184" s="232" t="s">
        <v>321</v>
      </c>
      <c r="W184" s="231"/>
      <c r="X184" s="232" t="s">
        <v>322</v>
      </c>
      <c r="Y184" s="232" t="s">
        <v>323</v>
      </c>
      <c r="Z184" s="232" t="s">
        <v>323</v>
      </c>
      <c r="AA184" s="232" t="s">
        <v>324</v>
      </c>
      <c r="AB184" s="236">
        <v>0.252</v>
      </c>
      <c r="AC184" s="235">
        <v>42228</v>
      </c>
      <c r="AD184" s="234"/>
      <c r="AE184" s="234"/>
      <c r="AF184" s="232" t="s">
        <v>77</v>
      </c>
      <c r="AG184" s="232" t="s">
        <v>350</v>
      </c>
      <c r="AH184" s="234" t="s">
        <v>869</v>
      </c>
      <c r="AI184" s="250"/>
      <c r="AJ184" s="234">
        <v>0</v>
      </c>
      <c r="AK184" s="234">
        <v>44</v>
      </c>
      <c r="AL184" s="234">
        <v>0</v>
      </c>
      <c r="AM184" s="234">
        <v>395</v>
      </c>
      <c r="AN184" s="234">
        <v>0</v>
      </c>
      <c r="AO184" s="234">
        <v>117</v>
      </c>
      <c r="AP184" s="234">
        <v>181</v>
      </c>
      <c r="AQ184" s="234">
        <v>129</v>
      </c>
      <c r="AR184" s="234">
        <v>10</v>
      </c>
      <c r="AS184" s="234">
        <v>0</v>
      </c>
      <c r="AT184" s="234">
        <v>0</v>
      </c>
      <c r="AU184" s="234">
        <v>0</v>
      </c>
      <c r="AV184" s="234">
        <v>117</v>
      </c>
      <c r="AW184" s="234">
        <v>181</v>
      </c>
      <c r="AX184" s="234">
        <v>129</v>
      </c>
      <c r="AY184" s="234">
        <v>10</v>
      </c>
      <c r="AZ184" s="234">
        <v>0</v>
      </c>
      <c r="BA184" s="234">
        <v>0</v>
      </c>
      <c r="BB184" s="234">
        <v>0</v>
      </c>
      <c r="BC184" s="234">
        <v>0</v>
      </c>
      <c r="BD184" s="234">
        <v>0</v>
      </c>
      <c r="BE184" s="234">
        <v>0</v>
      </c>
      <c r="BF184" s="234">
        <v>0</v>
      </c>
      <c r="BG184" s="234">
        <v>0</v>
      </c>
      <c r="BH184" s="234">
        <v>0</v>
      </c>
      <c r="BI184" s="234">
        <v>0</v>
      </c>
      <c r="BJ184" s="234">
        <v>0</v>
      </c>
      <c r="BK184" s="234">
        <v>0</v>
      </c>
      <c r="BL184" s="234">
        <v>0</v>
      </c>
      <c r="BM184" s="234">
        <v>0</v>
      </c>
      <c r="BN184" s="234">
        <v>0</v>
      </c>
      <c r="BO184" s="234">
        <v>0</v>
      </c>
      <c r="BP184" s="234"/>
      <c r="BQ184" s="234" t="s">
        <v>318</v>
      </c>
      <c r="BR184" s="237" t="s">
        <v>151</v>
      </c>
      <c r="BS184" s="238">
        <v>5</v>
      </c>
      <c r="BU184" s="239">
        <f t="shared" ref="BU184:BU197" si="16">M184</f>
        <v>437</v>
      </c>
      <c r="CN184" s="238">
        <f t="shared" si="14"/>
        <v>437</v>
      </c>
      <c r="CO184" s="238">
        <f t="shared" si="15"/>
        <v>437</v>
      </c>
    </row>
    <row r="185" spans="1:93" ht="13.95" customHeight="1" x14ac:dyDescent="0.2">
      <c r="A185" s="231">
        <v>7100</v>
      </c>
      <c r="B185" s="232" t="s">
        <v>848</v>
      </c>
      <c r="C185" s="232" t="s">
        <v>870</v>
      </c>
      <c r="D185" s="232" t="s">
        <v>871</v>
      </c>
      <c r="E185" s="232" t="s">
        <v>317</v>
      </c>
      <c r="F185" s="231">
        <v>525939</v>
      </c>
      <c r="G185" s="231">
        <v>174515</v>
      </c>
      <c r="H185" s="232" t="s">
        <v>181</v>
      </c>
      <c r="I185" s="233">
        <v>44175</v>
      </c>
      <c r="J185" s="231"/>
      <c r="K185" s="231">
        <v>0</v>
      </c>
      <c r="L185" s="231">
        <v>20</v>
      </c>
      <c r="M185" s="231">
        <v>20</v>
      </c>
      <c r="N185" s="231">
        <v>22</v>
      </c>
      <c r="O185" s="231">
        <v>22</v>
      </c>
      <c r="P185" s="234" t="s">
        <v>318</v>
      </c>
      <c r="Q185" s="232" t="s">
        <v>872</v>
      </c>
      <c r="R185" s="234" t="s">
        <v>320</v>
      </c>
      <c r="S185" s="235">
        <v>44214</v>
      </c>
      <c r="T185" s="235">
        <v>44495</v>
      </c>
      <c r="U185" s="234"/>
      <c r="V185" s="232" t="s">
        <v>321</v>
      </c>
      <c r="W185" s="231"/>
      <c r="X185" s="232" t="s">
        <v>322</v>
      </c>
      <c r="Y185" s="232" t="s">
        <v>338</v>
      </c>
      <c r="Z185" s="232" t="s">
        <v>323</v>
      </c>
      <c r="AA185" s="232" t="s">
        <v>324</v>
      </c>
      <c r="AB185" s="236">
        <v>5.8999999999999997E-2</v>
      </c>
      <c r="AC185" s="235">
        <v>44175</v>
      </c>
      <c r="AD185" s="234"/>
      <c r="AE185" s="234"/>
      <c r="AF185" s="232" t="s">
        <v>77</v>
      </c>
      <c r="AG185" s="232" t="s">
        <v>350</v>
      </c>
      <c r="AH185" s="234" t="s">
        <v>317</v>
      </c>
      <c r="AI185" s="250"/>
      <c r="AJ185" s="234">
        <v>0</v>
      </c>
      <c r="AK185" s="224"/>
      <c r="AL185" s="234">
        <v>0</v>
      </c>
      <c r="AM185" s="224"/>
      <c r="AN185" s="234">
        <v>0</v>
      </c>
      <c r="AO185" s="234">
        <v>12</v>
      </c>
      <c r="AP185" s="234">
        <v>6</v>
      </c>
      <c r="AQ185" s="234">
        <v>2</v>
      </c>
      <c r="AR185" s="234">
        <v>0</v>
      </c>
      <c r="AS185" s="234">
        <v>0</v>
      </c>
      <c r="AT185" s="234">
        <v>0</v>
      </c>
      <c r="AU185" s="234">
        <v>0</v>
      </c>
      <c r="AV185" s="234">
        <v>12</v>
      </c>
      <c r="AW185" s="234">
        <v>6</v>
      </c>
      <c r="AX185" s="234">
        <v>2</v>
      </c>
      <c r="AY185" s="234">
        <v>0</v>
      </c>
      <c r="AZ185" s="234">
        <v>0</v>
      </c>
      <c r="BA185" s="234">
        <v>0</v>
      </c>
      <c r="BB185" s="234">
        <v>0</v>
      </c>
      <c r="BC185" s="234">
        <v>0</v>
      </c>
      <c r="BD185" s="234">
        <v>0</v>
      </c>
      <c r="BE185" s="234">
        <v>0</v>
      </c>
      <c r="BF185" s="234">
        <v>0</v>
      </c>
      <c r="BG185" s="234">
        <v>0</v>
      </c>
      <c r="BH185" s="234">
        <v>0</v>
      </c>
      <c r="BI185" s="234">
        <v>0</v>
      </c>
      <c r="BJ185" s="234">
        <v>0</v>
      </c>
      <c r="BK185" s="234">
        <v>0</v>
      </c>
      <c r="BL185" s="234">
        <v>0</v>
      </c>
      <c r="BM185" s="234">
        <v>0</v>
      </c>
      <c r="BN185" s="234">
        <v>0</v>
      </c>
      <c r="BO185" s="234">
        <v>0</v>
      </c>
      <c r="BP185" s="234"/>
      <c r="BQ185" s="234"/>
      <c r="BR185" s="237" t="s">
        <v>327</v>
      </c>
      <c r="BS185" s="238">
        <v>13</v>
      </c>
      <c r="BU185" s="239">
        <f t="shared" si="16"/>
        <v>20</v>
      </c>
      <c r="CN185" s="238">
        <f t="shared" si="14"/>
        <v>20</v>
      </c>
      <c r="CO185" s="238">
        <f t="shared" si="15"/>
        <v>20</v>
      </c>
    </row>
    <row r="186" spans="1:93" ht="13.95" customHeight="1" x14ac:dyDescent="0.2">
      <c r="A186" s="231">
        <v>6501</v>
      </c>
      <c r="B186" s="232" t="s">
        <v>848</v>
      </c>
      <c r="C186" s="232" t="s">
        <v>873</v>
      </c>
      <c r="D186" s="232" t="s">
        <v>874</v>
      </c>
      <c r="E186" s="232" t="s">
        <v>317</v>
      </c>
      <c r="F186" s="231">
        <v>527304</v>
      </c>
      <c r="G186" s="231">
        <v>171639</v>
      </c>
      <c r="H186" s="232" t="s">
        <v>177</v>
      </c>
      <c r="I186" s="233">
        <v>44812</v>
      </c>
      <c r="J186" s="231"/>
      <c r="K186" s="231">
        <v>0</v>
      </c>
      <c r="L186" s="231">
        <v>17</v>
      </c>
      <c r="M186" s="231">
        <v>17</v>
      </c>
      <c r="N186" s="231">
        <v>17</v>
      </c>
      <c r="O186" s="231">
        <v>17</v>
      </c>
      <c r="P186" s="234" t="s">
        <v>318</v>
      </c>
      <c r="Q186" s="232" t="s">
        <v>875</v>
      </c>
      <c r="R186" s="234" t="s">
        <v>344</v>
      </c>
      <c r="S186" s="235">
        <v>43539</v>
      </c>
      <c r="T186" s="235">
        <v>43783</v>
      </c>
      <c r="U186" s="234"/>
      <c r="V186" s="232" t="s">
        <v>321</v>
      </c>
      <c r="W186" s="231"/>
      <c r="X186" s="232" t="s">
        <v>322</v>
      </c>
      <c r="Y186" s="232" t="s">
        <v>323</v>
      </c>
      <c r="Z186" s="232" t="s">
        <v>323</v>
      </c>
      <c r="AA186" s="232" t="s">
        <v>324</v>
      </c>
      <c r="AB186" s="236">
        <v>0.156</v>
      </c>
      <c r="AC186" s="235">
        <v>44812</v>
      </c>
      <c r="AD186" s="234" t="s">
        <v>318</v>
      </c>
      <c r="AE186" s="234"/>
      <c r="AF186" s="232" t="s">
        <v>77</v>
      </c>
      <c r="AG186" s="232" t="s">
        <v>350</v>
      </c>
      <c r="AH186" s="234" t="s">
        <v>317</v>
      </c>
      <c r="AI186" s="250"/>
      <c r="AJ186" s="234">
        <v>0</v>
      </c>
      <c r="AK186" s="234">
        <v>15</v>
      </c>
      <c r="AL186" s="234">
        <v>0</v>
      </c>
      <c r="AM186" s="234">
        <v>2</v>
      </c>
      <c r="AN186" s="234">
        <v>0</v>
      </c>
      <c r="AO186" s="234">
        <v>4</v>
      </c>
      <c r="AP186" s="234">
        <v>10</v>
      </c>
      <c r="AQ186" s="234">
        <v>3</v>
      </c>
      <c r="AR186" s="234">
        <v>0</v>
      </c>
      <c r="AS186" s="234">
        <v>0</v>
      </c>
      <c r="AT186" s="234">
        <v>0</v>
      </c>
      <c r="AU186" s="234">
        <v>0</v>
      </c>
      <c r="AV186" s="234">
        <v>4</v>
      </c>
      <c r="AW186" s="234">
        <v>10</v>
      </c>
      <c r="AX186" s="234">
        <v>3</v>
      </c>
      <c r="AY186" s="234">
        <v>0</v>
      </c>
      <c r="AZ186" s="234">
        <v>0</v>
      </c>
      <c r="BA186" s="234">
        <v>0</v>
      </c>
      <c r="BB186" s="234">
        <v>0</v>
      </c>
      <c r="BC186" s="234">
        <v>0</v>
      </c>
      <c r="BD186" s="234">
        <v>0</v>
      </c>
      <c r="BE186" s="234">
        <v>0</v>
      </c>
      <c r="BF186" s="234">
        <v>0</v>
      </c>
      <c r="BG186" s="234">
        <v>0</v>
      </c>
      <c r="BH186" s="234">
        <v>0</v>
      </c>
      <c r="BI186" s="234">
        <v>0</v>
      </c>
      <c r="BJ186" s="234">
        <v>0</v>
      </c>
      <c r="BK186" s="234">
        <v>0</v>
      </c>
      <c r="BL186" s="234">
        <v>0</v>
      </c>
      <c r="BM186" s="234">
        <v>0</v>
      </c>
      <c r="BN186" s="234">
        <v>0</v>
      </c>
      <c r="BO186" s="234">
        <v>0</v>
      </c>
      <c r="BP186" s="234"/>
      <c r="BQ186" s="234"/>
      <c r="BR186" s="237" t="s">
        <v>144</v>
      </c>
      <c r="BS186" s="238">
        <v>3</v>
      </c>
      <c r="BU186" s="239">
        <f t="shared" si="16"/>
        <v>17</v>
      </c>
      <c r="CN186" s="238">
        <f t="shared" si="14"/>
        <v>17</v>
      </c>
      <c r="CO186" s="238">
        <f t="shared" si="15"/>
        <v>17</v>
      </c>
    </row>
    <row r="187" spans="1:93" ht="13.95" customHeight="1" x14ac:dyDescent="0.2">
      <c r="A187" s="231">
        <v>5589</v>
      </c>
      <c r="B187" s="232" t="s">
        <v>848</v>
      </c>
      <c r="C187" s="232" t="s">
        <v>876</v>
      </c>
      <c r="D187" s="232" t="s">
        <v>877</v>
      </c>
      <c r="E187" s="232" t="s">
        <v>317</v>
      </c>
      <c r="F187" s="231">
        <v>526329</v>
      </c>
      <c r="G187" s="231">
        <v>175625</v>
      </c>
      <c r="H187" s="232" t="s">
        <v>174</v>
      </c>
      <c r="I187" s="233">
        <v>43922</v>
      </c>
      <c r="J187" s="231"/>
      <c r="K187" s="231">
        <v>0</v>
      </c>
      <c r="L187" s="231">
        <v>14</v>
      </c>
      <c r="M187" s="231">
        <v>14</v>
      </c>
      <c r="N187" s="231">
        <v>14</v>
      </c>
      <c r="O187" s="231">
        <v>14</v>
      </c>
      <c r="P187" s="234" t="s">
        <v>318</v>
      </c>
      <c r="Q187" s="232" t="s">
        <v>878</v>
      </c>
      <c r="R187" s="234" t="s">
        <v>629</v>
      </c>
      <c r="S187" s="235">
        <v>43374</v>
      </c>
      <c r="T187" s="235">
        <v>43426</v>
      </c>
      <c r="U187" s="234"/>
      <c r="V187" s="232" t="s">
        <v>321</v>
      </c>
      <c r="W187" s="231"/>
      <c r="X187" s="232" t="s">
        <v>322</v>
      </c>
      <c r="Y187" s="232" t="s">
        <v>378</v>
      </c>
      <c r="Z187" s="232" t="s">
        <v>879</v>
      </c>
      <c r="AA187" s="232" t="s">
        <v>324</v>
      </c>
      <c r="AB187" s="236">
        <v>4.3999999999999997E-2</v>
      </c>
      <c r="AC187" s="235">
        <v>43922</v>
      </c>
      <c r="AD187" s="234"/>
      <c r="AE187" s="234"/>
      <c r="AF187" s="232" t="s">
        <v>77</v>
      </c>
      <c r="AG187" s="232" t="s">
        <v>350</v>
      </c>
      <c r="AH187" s="234" t="s">
        <v>317</v>
      </c>
      <c r="AI187" s="250"/>
      <c r="AJ187" s="234">
        <v>0</v>
      </c>
      <c r="AK187" s="224"/>
      <c r="AL187" s="234">
        <v>0</v>
      </c>
      <c r="AM187" s="224"/>
      <c r="AN187" s="234">
        <v>0</v>
      </c>
      <c r="AO187" s="234">
        <v>13</v>
      </c>
      <c r="AP187" s="234">
        <v>1</v>
      </c>
      <c r="AQ187" s="234">
        <v>0</v>
      </c>
      <c r="AR187" s="234">
        <v>0</v>
      </c>
      <c r="AS187" s="234">
        <v>0</v>
      </c>
      <c r="AT187" s="234">
        <v>0</v>
      </c>
      <c r="AU187" s="234">
        <v>0</v>
      </c>
      <c r="AV187" s="234">
        <v>13</v>
      </c>
      <c r="AW187" s="234">
        <v>1</v>
      </c>
      <c r="AX187" s="234">
        <v>0</v>
      </c>
      <c r="AY187" s="234">
        <v>0</v>
      </c>
      <c r="AZ187" s="234">
        <v>0</v>
      </c>
      <c r="BA187" s="234">
        <v>0</v>
      </c>
      <c r="BB187" s="234">
        <v>0</v>
      </c>
      <c r="BC187" s="234">
        <v>0</v>
      </c>
      <c r="BD187" s="234">
        <v>0</v>
      </c>
      <c r="BE187" s="234">
        <v>0</v>
      </c>
      <c r="BF187" s="234">
        <v>0</v>
      </c>
      <c r="BG187" s="234">
        <v>0</v>
      </c>
      <c r="BH187" s="234">
        <v>0</v>
      </c>
      <c r="BI187" s="234">
        <v>0</v>
      </c>
      <c r="BJ187" s="234">
        <v>0</v>
      </c>
      <c r="BK187" s="234">
        <v>0</v>
      </c>
      <c r="BL187" s="234">
        <v>0</v>
      </c>
      <c r="BM187" s="234">
        <v>0</v>
      </c>
      <c r="BN187" s="234">
        <v>0</v>
      </c>
      <c r="BO187" s="234">
        <v>0</v>
      </c>
      <c r="BP187" s="234"/>
      <c r="BQ187" s="234"/>
      <c r="BR187" s="237" t="s">
        <v>481</v>
      </c>
      <c r="BS187" s="238">
        <v>13</v>
      </c>
      <c r="BU187" s="239">
        <f t="shared" si="16"/>
        <v>14</v>
      </c>
      <c r="CN187" s="238">
        <f t="shared" si="14"/>
        <v>14</v>
      </c>
      <c r="CO187" s="238">
        <f t="shared" si="15"/>
        <v>14</v>
      </c>
    </row>
    <row r="188" spans="1:93" ht="13.95" customHeight="1" x14ac:dyDescent="0.2">
      <c r="A188" s="231">
        <v>4474</v>
      </c>
      <c r="B188" s="232" t="s">
        <v>848</v>
      </c>
      <c r="C188" s="232" t="s">
        <v>880</v>
      </c>
      <c r="D188" s="232" t="s">
        <v>881</v>
      </c>
      <c r="E188" s="232" t="s">
        <v>317</v>
      </c>
      <c r="F188" s="231">
        <v>527533</v>
      </c>
      <c r="G188" s="231">
        <v>171477</v>
      </c>
      <c r="H188" s="232" t="s">
        <v>177</v>
      </c>
      <c r="I188" s="233">
        <v>43683</v>
      </c>
      <c r="J188" s="231"/>
      <c r="K188" s="231">
        <v>0</v>
      </c>
      <c r="L188" s="231">
        <v>13</v>
      </c>
      <c r="M188" s="231">
        <v>13</v>
      </c>
      <c r="N188" s="231">
        <v>19</v>
      </c>
      <c r="O188" s="231">
        <v>19</v>
      </c>
      <c r="P188" s="234" t="s">
        <v>318</v>
      </c>
      <c r="Q188" s="232" t="s">
        <v>882</v>
      </c>
      <c r="R188" s="234" t="s">
        <v>320</v>
      </c>
      <c r="S188" s="235">
        <v>41891</v>
      </c>
      <c r="T188" s="235">
        <v>42594</v>
      </c>
      <c r="U188" s="234"/>
      <c r="V188" s="232" t="s">
        <v>321</v>
      </c>
      <c r="W188" s="231"/>
      <c r="X188" s="232" t="s">
        <v>322</v>
      </c>
      <c r="Y188" s="232" t="s">
        <v>378</v>
      </c>
      <c r="Z188" s="232" t="s">
        <v>843</v>
      </c>
      <c r="AA188" s="232" t="s">
        <v>324</v>
      </c>
      <c r="AB188" s="236">
        <v>0.1</v>
      </c>
      <c r="AC188" s="235">
        <v>43683</v>
      </c>
      <c r="AD188" s="234"/>
      <c r="AE188" s="234"/>
      <c r="AF188" s="232" t="s">
        <v>77</v>
      </c>
      <c r="AG188" s="232" t="s">
        <v>340</v>
      </c>
      <c r="AH188" s="234" t="s">
        <v>883</v>
      </c>
      <c r="AI188" s="250"/>
      <c r="AJ188" s="234">
        <v>9</v>
      </c>
      <c r="AK188" s="224"/>
      <c r="AL188" s="234">
        <v>2</v>
      </c>
      <c r="AM188" s="224"/>
      <c r="AN188" s="234">
        <v>1</v>
      </c>
      <c r="AO188" s="234">
        <v>1</v>
      </c>
      <c r="AP188" s="234">
        <v>11</v>
      </c>
      <c r="AQ188" s="234">
        <v>0</v>
      </c>
      <c r="AR188" s="234">
        <v>0</v>
      </c>
      <c r="AS188" s="234">
        <v>0</v>
      </c>
      <c r="AT188" s="234">
        <v>0</v>
      </c>
      <c r="AU188" s="234">
        <v>1</v>
      </c>
      <c r="AV188" s="234">
        <v>1</v>
      </c>
      <c r="AW188" s="234">
        <v>11</v>
      </c>
      <c r="AX188" s="234">
        <v>0</v>
      </c>
      <c r="AY188" s="234">
        <v>0</v>
      </c>
      <c r="AZ188" s="234">
        <v>0</v>
      </c>
      <c r="BA188" s="234">
        <v>0</v>
      </c>
      <c r="BB188" s="234">
        <v>0</v>
      </c>
      <c r="BC188" s="234">
        <v>0</v>
      </c>
      <c r="BD188" s="234">
        <v>0</v>
      </c>
      <c r="BE188" s="234">
        <v>0</v>
      </c>
      <c r="BF188" s="234">
        <v>0</v>
      </c>
      <c r="BG188" s="234">
        <v>0</v>
      </c>
      <c r="BH188" s="234">
        <v>0</v>
      </c>
      <c r="BI188" s="234">
        <v>0</v>
      </c>
      <c r="BJ188" s="234">
        <v>0</v>
      </c>
      <c r="BK188" s="234">
        <v>0</v>
      </c>
      <c r="BL188" s="234">
        <v>0</v>
      </c>
      <c r="BM188" s="234">
        <v>0</v>
      </c>
      <c r="BN188" s="234">
        <v>0</v>
      </c>
      <c r="BO188" s="234">
        <v>0</v>
      </c>
      <c r="BP188" s="234" t="s">
        <v>144</v>
      </c>
      <c r="BQ188" s="234"/>
      <c r="BR188" s="237" t="s">
        <v>144</v>
      </c>
      <c r="BS188" s="238">
        <v>12</v>
      </c>
      <c r="BU188" s="239">
        <f t="shared" si="16"/>
        <v>13</v>
      </c>
      <c r="CN188" s="238">
        <f t="shared" si="14"/>
        <v>13</v>
      </c>
      <c r="CO188" s="238">
        <f t="shared" si="15"/>
        <v>13</v>
      </c>
    </row>
    <row r="189" spans="1:93" ht="13.95" customHeight="1" x14ac:dyDescent="0.2">
      <c r="A189" s="231">
        <v>536</v>
      </c>
      <c r="B189" s="232" t="s">
        <v>848</v>
      </c>
      <c r="C189" s="232" t="s">
        <v>884</v>
      </c>
      <c r="D189" s="232" t="s">
        <v>885</v>
      </c>
      <c r="E189" s="232" t="s">
        <v>317</v>
      </c>
      <c r="F189" s="231">
        <v>525441</v>
      </c>
      <c r="G189" s="231">
        <v>174750</v>
      </c>
      <c r="H189" s="232" t="s">
        <v>181</v>
      </c>
      <c r="I189" s="233">
        <v>44595</v>
      </c>
      <c r="J189" s="231"/>
      <c r="K189" s="231">
        <v>4</v>
      </c>
      <c r="L189" s="231">
        <v>16</v>
      </c>
      <c r="M189" s="231">
        <v>12</v>
      </c>
      <c r="N189" s="231">
        <v>17</v>
      </c>
      <c r="O189" s="231">
        <v>13</v>
      </c>
      <c r="P189" s="234" t="s">
        <v>318</v>
      </c>
      <c r="Q189" s="232" t="s">
        <v>886</v>
      </c>
      <c r="R189" s="234" t="s">
        <v>320</v>
      </c>
      <c r="S189" s="235">
        <v>44483</v>
      </c>
      <c r="T189" s="235">
        <v>44733</v>
      </c>
      <c r="U189" s="234" t="s">
        <v>318</v>
      </c>
      <c r="V189" s="232" t="s">
        <v>321</v>
      </c>
      <c r="W189" s="231"/>
      <c r="X189" s="232" t="s">
        <v>322</v>
      </c>
      <c r="Y189" s="232" t="s">
        <v>323</v>
      </c>
      <c r="Z189" s="232" t="s">
        <v>323</v>
      </c>
      <c r="AA189" s="232" t="s">
        <v>324</v>
      </c>
      <c r="AB189" s="236">
        <v>4.3999999999999997E-2</v>
      </c>
      <c r="AC189" s="235">
        <v>44595</v>
      </c>
      <c r="AD189" s="234"/>
      <c r="AE189" s="234"/>
      <c r="AF189" s="232" t="s">
        <v>77</v>
      </c>
      <c r="AG189" s="232" t="s">
        <v>350</v>
      </c>
      <c r="AH189" s="234" t="s">
        <v>317</v>
      </c>
      <c r="AI189" s="250"/>
      <c r="AJ189" s="234">
        <v>16</v>
      </c>
      <c r="AK189" s="224"/>
      <c r="AL189" s="234">
        <v>1</v>
      </c>
      <c r="AM189" s="224"/>
      <c r="AN189" s="234">
        <v>2</v>
      </c>
      <c r="AO189" s="234">
        <v>2</v>
      </c>
      <c r="AP189" s="234">
        <v>7</v>
      </c>
      <c r="AQ189" s="234">
        <v>1</v>
      </c>
      <c r="AR189" s="234">
        <v>0</v>
      </c>
      <c r="AS189" s="234">
        <v>0</v>
      </c>
      <c r="AT189" s="234">
        <v>0</v>
      </c>
      <c r="AU189" s="234">
        <v>2</v>
      </c>
      <c r="AV189" s="234">
        <v>2</v>
      </c>
      <c r="AW189" s="234">
        <v>7</v>
      </c>
      <c r="AX189" s="234">
        <v>1</v>
      </c>
      <c r="AY189" s="234">
        <v>0</v>
      </c>
      <c r="AZ189" s="234">
        <v>0</v>
      </c>
      <c r="BA189" s="234">
        <v>0</v>
      </c>
      <c r="BB189" s="234">
        <v>0</v>
      </c>
      <c r="BC189" s="234">
        <v>0</v>
      </c>
      <c r="BD189" s="234">
        <v>0</v>
      </c>
      <c r="BE189" s="234">
        <v>0</v>
      </c>
      <c r="BF189" s="234">
        <v>0</v>
      </c>
      <c r="BG189" s="234">
        <v>0</v>
      </c>
      <c r="BH189" s="234">
        <v>0</v>
      </c>
      <c r="BI189" s="234">
        <v>0</v>
      </c>
      <c r="BJ189" s="234">
        <v>0</v>
      </c>
      <c r="BK189" s="234">
        <v>0</v>
      </c>
      <c r="BL189" s="234">
        <v>0</v>
      </c>
      <c r="BM189" s="234">
        <v>0</v>
      </c>
      <c r="BN189" s="234">
        <v>0</v>
      </c>
      <c r="BO189" s="234">
        <v>0</v>
      </c>
      <c r="BP189" s="234" t="s">
        <v>145</v>
      </c>
      <c r="BQ189" s="234"/>
      <c r="BR189" s="237" t="s">
        <v>327</v>
      </c>
      <c r="BS189" s="238">
        <v>2</v>
      </c>
      <c r="BU189" s="239">
        <f t="shared" si="16"/>
        <v>12</v>
      </c>
      <c r="CN189" s="238">
        <f t="shared" si="14"/>
        <v>12</v>
      </c>
      <c r="CO189" s="238">
        <f t="shared" si="15"/>
        <v>12</v>
      </c>
    </row>
    <row r="190" spans="1:93" ht="13.95" customHeight="1" x14ac:dyDescent="0.2">
      <c r="A190" s="231">
        <v>5589</v>
      </c>
      <c r="B190" s="232" t="s">
        <v>848</v>
      </c>
      <c r="C190" s="232" t="s">
        <v>887</v>
      </c>
      <c r="D190" s="232" t="s">
        <v>877</v>
      </c>
      <c r="E190" s="232" t="s">
        <v>317</v>
      </c>
      <c r="F190" s="231">
        <v>526329</v>
      </c>
      <c r="G190" s="231">
        <v>175625</v>
      </c>
      <c r="H190" s="232" t="s">
        <v>174</v>
      </c>
      <c r="I190" s="233">
        <v>43922</v>
      </c>
      <c r="J190" s="231"/>
      <c r="K190" s="231">
        <v>0</v>
      </c>
      <c r="L190" s="231">
        <v>9</v>
      </c>
      <c r="M190" s="231">
        <v>9</v>
      </c>
      <c r="N190" s="231">
        <v>9</v>
      </c>
      <c r="O190" s="231">
        <v>9</v>
      </c>
      <c r="P190" s="234"/>
      <c r="Q190" s="232" t="s">
        <v>888</v>
      </c>
      <c r="R190" s="234" t="s">
        <v>332</v>
      </c>
      <c r="S190" s="235">
        <v>42551</v>
      </c>
      <c r="T190" s="235">
        <v>42702</v>
      </c>
      <c r="U190" s="234"/>
      <c r="V190" s="232" t="s">
        <v>321</v>
      </c>
      <c r="W190" s="231"/>
      <c r="X190" s="232" t="s">
        <v>322</v>
      </c>
      <c r="Y190" s="232" t="s">
        <v>339</v>
      </c>
      <c r="Z190" s="232" t="s">
        <v>324</v>
      </c>
      <c r="AA190" s="232" t="s">
        <v>354</v>
      </c>
      <c r="AB190" s="236">
        <v>2.7E-2</v>
      </c>
      <c r="AC190" s="235">
        <v>43922</v>
      </c>
      <c r="AD190" s="234"/>
      <c r="AE190" s="234"/>
      <c r="AF190" s="232" t="s">
        <v>77</v>
      </c>
      <c r="AG190" s="232" t="s">
        <v>350</v>
      </c>
      <c r="AH190" s="234" t="s">
        <v>317</v>
      </c>
      <c r="AI190" s="250"/>
      <c r="AJ190" s="234">
        <v>9</v>
      </c>
      <c r="AK190" s="224"/>
      <c r="AL190" s="234">
        <v>0</v>
      </c>
      <c r="AM190" s="224"/>
      <c r="AN190" s="234">
        <v>0</v>
      </c>
      <c r="AO190" s="234">
        <v>2</v>
      </c>
      <c r="AP190" s="234">
        <v>5</v>
      </c>
      <c r="AQ190" s="234">
        <v>2</v>
      </c>
      <c r="AR190" s="234">
        <v>0</v>
      </c>
      <c r="AS190" s="234">
        <v>0</v>
      </c>
      <c r="AT190" s="234">
        <v>0</v>
      </c>
      <c r="AU190" s="234">
        <v>0</v>
      </c>
      <c r="AV190" s="234">
        <v>2</v>
      </c>
      <c r="AW190" s="234">
        <v>5</v>
      </c>
      <c r="AX190" s="234">
        <v>2</v>
      </c>
      <c r="AY190" s="234">
        <v>0</v>
      </c>
      <c r="AZ190" s="234">
        <v>0</v>
      </c>
      <c r="BA190" s="234">
        <v>0</v>
      </c>
      <c r="BB190" s="234">
        <v>0</v>
      </c>
      <c r="BC190" s="234">
        <v>0</v>
      </c>
      <c r="BD190" s="234">
        <v>0</v>
      </c>
      <c r="BE190" s="234">
        <v>0</v>
      </c>
      <c r="BF190" s="234">
        <v>0</v>
      </c>
      <c r="BG190" s="234">
        <v>0</v>
      </c>
      <c r="BH190" s="234">
        <v>0</v>
      </c>
      <c r="BI190" s="234">
        <v>0</v>
      </c>
      <c r="BJ190" s="234">
        <v>0</v>
      </c>
      <c r="BK190" s="234">
        <v>0</v>
      </c>
      <c r="BL190" s="234">
        <v>0</v>
      </c>
      <c r="BM190" s="234">
        <v>0</v>
      </c>
      <c r="BN190" s="234">
        <v>0</v>
      </c>
      <c r="BO190" s="234">
        <v>0</v>
      </c>
      <c r="BP190" s="234"/>
      <c r="BQ190" s="234"/>
      <c r="BR190" s="237" t="s">
        <v>481</v>
      </c>
      <c r="BS190" s="238">
        <v>13</v>
      </c>
      <c r="BU190" s="239">
        <f t="shared" si="16"/>
        <v>9</v>
      </c>
      <c r="CN190" s="238">
        <f t="shared" si="14"/>
        <v>9</v>
      </c>
      <c r="CO190" s="238">
        <f t="shared" si="15"/>
        <v>9</v>
      </c>
    </row>
    <row r="191" spans="1:93" ht="13.95" customHeight="1" x14ac:dyDescent="0.2">
      <c r="A191" s="231">
        <v>6841</v>
      </c>
      <c r="B191" s="232" t="s">
        <v>848</v>
      </c>
      <c r="C191" s="232" t="s">
        <v>889</v>
      </c>
      <c r="D191" s="232" t="s">
        <v>890</v>
      </c>
      <c r="E191" s="232" t="s">
        <v>317</v>
      </c>
      <c r="F191" s="231">
        <v>524290</v>
      </c>
      <c r="G191" s="231">
        <v>173418</v>
      </c>
      <c r="H191" s="232" t="s">
        <v>182</v>
      </c>
      <c r="I191" s="233">
        <v>44803</v>
      </c>
      <c r="J191" s="231"/>
      <c r="K191" s="231">
        <v>0</v>
      </c>
      <c r="L191" s="231">
        <v>9</v>
      </c>
      <c r="M191" s="231">
        <v>9</v>
      </c>
      <c r="N191" s="231">
        <v>9</v>
      </c>
      <c r="O191" s="231">
        <v>9</v>
      </c>
      <c r="P191" s="234"/>
      <c r="Q191" s="232" t="s">
        <v>891</v>
      </c>
      <c r="R191" s="234" t="s">
        <v>332</v>
      </c>
      <c r="S191" s="235">
        <v>44189</v>
      </c>
      <c r="T191" s="235">
        <v>44308</v>
      </c>
      <c r="U191" s="234"/>
      <c r="V191" s="232" t="s">
        <v>321</v>
      </c>
      <c r="W191" s="231"/>
      <c r="X191" s="232" t="s">
        <v>322</v>
      </c>
      <c r="Y191" s="232" t="s">
        <v>323</v>
      </c>
      <c r="Z191" s="232" t="s">
        <v>324</v>
      </c>
      <c r="AA191" s="232" t="s">
        <v>349</v>
      </c>
      <c r="AB191" s="236">
        <v>0.125</v>
      </c>
      <c r="AC191" s="235">
        <v>44803</v>
      </c>
      <c r="AD191" s="234" t="s">
        <v>318</v>
      </c>
      <c r="AE191" s="234"/>
      <c r="AF191" s="232" t="s">
        <v>57</v>
      </c>
      <c r="AG191" s="232" t="s">
        <v>333</v>
      </c>
      <c r="AH191" s="234" t="s">
        <v>317</v>
      </c>
      <c r="AI191" s="250"/>
      <c r="AJ191" s="234">
        <v>0</v>
      </c>
      <c r="AK191" s="224"/>
      <c r="AL191" s="234">
        <v>0</v>
      </c>
      <c r="AM191" s="224"/>
      <c r="AN191" s="234">
        <v>0</v>
      </c>
      <c r="AO191" s="234">
        <v>1</v>
      </c>
      <c r="AP191" s="234">
        <v>6</v>
      </c>
      <c r="AQ191" s="234">
        <v>2</v>
      </c>
      <c r="AR191" s="234">
        <v>0</v>
      </c>
      <c r="AS191" s="234">
        <v>0</v>
      </c>
      <c r="AT191" s="234">
        <v>0</v>
      </c>
      <c r="AU191" s="234">
        <v>0</v>
      </c>
      <c r="AV191" s="234">
        <v>1</v>
      </c>
      <c r="AW191" s="234">
        <v>6</v>
      </c>
      <c r="AX191" s="234">
        <v>2</v>
      </c>
      <c r="AY191" s="234">
        <v>0</v>
      </c>
      <c r="AZ191" s="234">
        <v>0</v>
      </c>
      <c r="BA191" s="234">
        <v>0</v>
      </c>
      <c r="BB191" s="234">
        <v>0</v>
      </c>
      <c r="BC191" s="234">
        <v>0</v>
      </c>
      <c r="BD191" s="234">
        <v>0</v>
      </c>
      <c r="BE191" s="234">
        <v>0</v>
      </c>
      <c r="BF191" s="234">
        <v>0</v>
      </c>
      <c r="BG191" s="234">
        <v>0</v>
      </c>
      <c r="BH191" s="234">
        <v>0</v>
      </c>
      <c r="BI191" s="234">
        <v>0</v>
      </c>
      <c r="BJ191" s="234">
        <v>0</v>
      </c>
      <c r="BK191" s="234">
        <v>0</v>
      </c>
      <c r="BL191" s="234">
        <v>0</v>
      </c>
      <c r="BM191" s="234">
        <v>0</v>
      </c>
      <c r="BN191" s="234">
        <v>0</v>
      </c>
      <c r="BO191" s="234">
        <v>0</v>
      </c>
      <c r="BP191" s="234"/>
      <c r="BQ191" s="234"/>
      <c r="BR191" s="237" t="s">
        <v>334</v>
      </c>
      <c r="BS191" s="238">
        <v>2</v>
      </c>
      <c r="BU191" s="239">
        <f t="shared" si="16"/>
        <v>9</v>
      </c>
      <c r="CN191" s="238">
        <f t="shared" si="14"/>
        <v>9</v>
      </c>
      <c r="CO191" s="238">
        <f t="shared" si="15"/>
        <v>9</v>
      </c>
    </row>
    <row r="192" spans="1:93" ht="13.95" customHeight="1" x14ac:dyDescent="0.2">
      <c r="A192" s="231">
        <v>7715</v>
      </c>
      <c r="B192" s="232" t="s">
        <v>848</v>
      </c>
      <c r="C192" s="232" t="s">
        <v>892</v>
      </c>
      <c r="D192" s="232" t="s">
        <v>893</v>
      </c>
      <c r="E192" s="232" t="s">
        <v>317</v>
      </c>
      <c r="F192" s="231">
        <v>525439</v>
      </c>
      <c r="G192" s="231">
        <v>174719</v>
      </c>
      <c r="H192" s="232" t="s">
        <v>181</v>
      </c>
      <c r="I192" s="233">
        <v>44809</v>
      </c>
      <c r="J192" s="231"/>
      <c r="K192" s="231">
        <v>0</v>
      </c>
      <c r="L192" s="231">
        <v>9</v>
      </c>
      <c r="M192" s="231">
        <v>9</v>
      </c>
      <c r="N192" s="231">
        <v>9</v>
      </c>
      <c r="O192" s="231">
        <v>9</v>
      </c>
      <c r="P192" s="234"/>
      <c r="Q192" s="232" t="s">
        <v>894</v>
      </c>
      <c r="R192" s="234" t="s">
        <v>332</v>
      </c>
      <c r="S192" s="235">
        <v>44405</v>
      </c>
      <c r="T192" s="235">
        <v>44678</v>
      </c>
      <c r="U192" s="234" t="s">
        <v>318</v>
      </c>
      <c r="V192" s="232" t="s">
        <v>321</v>
      </c>
      <c r="W192" s="231"/>
      <c r="X192" s="232" t="s">
        <v>322</v>
      </c>
      <c r="Y192" s="232" t="s">
        <v>323</v>
      </c>
      <c r="Z192" s="232" t="s">
        <v>324</v>
      </c>
      <c r="AA192" s="232" t="s">
        <v>349</v>
      </c>
      <c r="AB192" s="236">
        <v>1.2999999999999999E-2</v>
      </c>
      <c r="AC192" s="235">
        <v>44809</v>
      </c>
      <c r="AD192" s="234" t="s">
        <v>318</v>
      </c>
      <c r="AE192" s="234"/>
      <c r="AF192" s="232" t="s">
        <v>77</v>
      </c>
      <c r="AG192" s="232" t="s">
        <v>350</v>
      </c>
      <c r="AH192" s="234" t="s">
        <v>317</v>
      </c>
      <c r="AI192" s="250"/>
      <c r="AJ192" s="234">
        <v>0</v>
      </c>
      <c r="AK192" s="224"/>
      <c r="AL192" s="234">
        <v>0</v>
      </c>
      <c r="AM192" s="224"/>
      <c r="AN192" s="234">
        <v>0</v>
      </c>
      <c r="AO192" s="234">
        <v>6</v>
      </c>
      <c r="AP192" s="234">
        <v>1</v>
      </c>
      <c r="AQ192" s="234">
        <v>2</v>
      </c>
      <c r="AR192" s="234">
        <v>0</v>
      </c>
      <c r="AS192" s="234">
        <v>0</v>
      </c>
      <c r="AT192" s="234">
        <v>0</v>
      </c>
      <c r="AU192" s="234">
        <v>0</v>
      </c>
      <c r="AV192" s="234">
        <v>6</v>
      </c>
      <c r="AW192" s="234">
        <v>1</v>
      </c>
      <c r="AX192" s="234">
        <v>2</v>
      </c>
      <c r="AY192" s="234">
        <v>0</v>
      </c>
      <c r="AZ192" s="234">
        <v>0</v>
      </c>
      <c r="BA192" s="234">
        <v>0</v>
      </c>
      <c r="BB192" s="234">
        <v>0</v>
      </c>
      <c r="BC192" s="234">
        <v>0</v>
      </c>
      <c r="BD192" s="234">
        <v>0</v>
      </c>
      <c r="BE192" s="234">
        <v>0</v>
      </c>
      <c r="BF192" s="234">
        <v>0</v>
      </c>
      <c r="BG192" s="234">
        <v>0</v>
      </c>
      <c r="BH192" s="234">
        <v>0</v>
      </c>
      <c r="BI192" s="234">
        <v>0</v>
      </c>
      <c r="BJ192" s="234">
        <v>0</v>
      </c>
      <c r="BK192" s="234">
        <v>0</v>
      </c>
      <c r="BL192" s="234">
        <v>0</v>
      </c>
      <c r="BM192" s="234">
        <v>0</v>
      </c>
      <c r="BN192" s="234">
        <v>0</v>
      </c>
      <c r="BO192" s="234">
        <v>0</v>
      </c>
      <c r="BP192" s="234" t="s">
        <v>145</v>
      </c>
      <c r="BQ192" s="234"/>
      <c r="BR192" s="237" t="s">
        <v>327</v>
      </c>
      <c r="BS192" s="238">
        <v>3</v>
      </c>
      <c r="BU192" s="239">
        <f t="shared" si="16"/>
        <v>9</v>
      </c>
      <c r="CN192" s="238">
        <f t="shared" si="14"/>
        <v>9</v>
      </c>
      <c r="CO192" s="238">
        <f t="shared" si="15"/>
        <v>9</v>
      </c>
    </row>
    <row r="193" spans="1:93" ht="13.95" customHeight="1" x14ac:dyDescent="0.2">
      <c r="A193" s="231">
        <v>6765</v>
      </c>
      <c r="B193" s="232" t="s">
        <v>848</v>
      </c>
      <c r="C193" s="232" t="s">
        <v>895</v>
      </c>
      <c r="D193" s="232" t="s">
        <v>896</v>
      </c>
      <c r="E193" s="232" t="s">
        <v>317</v>
      </c>
      <c r="F193" s="231">
        <v>529291</v>
      </c>
      <c r="G193" s="231">
        <v>171713</v>
      </c>
      <c r="H193" s="232" t="s">
        <v>166</v>
      </c>
      <c r="I193" s="233">
        <v>44526</v>
      </c>
      <c r="J193" s="231"/>
      <c r="K193" s="231">
        <v>0</v>
      </c>
      <c r="L193" s="231">
        <v>8</v>
      </c>
      <c r="M193" s="231">
        <v>8</v>
      </c>
      <c r="N193" s="231">
        <v>8</v>
      </c>
      <c r="O193" s="231">
        <v>8</v>
      </c>
      <c r="P193" s="234"/>
      <c r="Q193" s="232" t="s">
        <v>897</v>
      </c>
      <c r="R193" s="234" t="s">
        <v>332</v>
      </c>
      <c r="S193" s="235">
        <v>43090</v>
      </c>
      <c r="T193" s="235">
        <v>43427</v>
      </c>
      <c r="U193" s="234"/>
      <c r="V193" s="232" t="s">
        <v>321</v>
      </c>
      <c r="W193" s="231"/>
      <c r="X193" s="232" t="s">
        <v>322</v>
      </c>
      <c r="Y193" s="232" t="s">
        <v>323</v>
      </c>
      <c r="Z193" s="232" t="s">
        <v>324</v>
      </c>
      <c r="AA193" s="232" t="s">
        <v>349</v>
      </c>
      <c r="AB193" s="236">
        <v>3.6999999999999998E-2</v>
      </c>
      <c r="AC193" s="235">
        <v>44526</v>
      </c>
      <c r="AD193" s="234"/>
      <c r="AE193" s="234"/>
      <c r="AF193" s="232" t="s">
        <v>57</v>
      </c>
      <c r="AG193" s="232" t="s">
        <v>898</v>
      </c>
      <c r="AH193" s="234" t="s">
        <v>317</v>
      </c>
      <c r="AI193" s="250"/>
      <c r="AJ193" s="234">
        <v>0</v>
      </c>
      <c r="AK193" s="224"/>
      <c r="AL193" s="234">
        <v>0</v>
      </c>
      <c r="AM193" s="224"/>
      <c r="AN193" s="234">
        <v>0</v>
      </c>
      <c r="AO193" s="234">
        <v>8</v>
      </c>
      <c r="AP193" s="234">
        <v>0</v>
      </c>
      <c r="AQ193" s="234">
        <v>0</v>
      </c>
      <c r="AR193" s="234">
        <v>0</v>
      </c>
      <c r="AS193" s="234">
        <v>0</v>
      </c>
      <c r="AT193" s="234">
        <v>0</v>
      </c>
      <c r="AU193" s="234">
        <v>0</v>
      </c>
      <c r="AV193" s="234">
        <v>8</v>
      </c>
      <c r="AW193" s="234">
        <v>0</v>
      </c>
      <c r="AX193" s="234">
        <v>0</v>
      </c>
      <c r="AY193" s="234">
        <v>0</v>
      </c>
      <c r="AZ193" s="234">
        <v>0</v>
      </c>
      <c r="BA193" s="234">
        <v>0</v>
      </c>
      <c r="BB193" s="234">
        <v>0</v>
      </c>
      <c r="BC193" s="234">
        <v>0</v>
      </c>
      <c r="BD193" s="234">
        <v>0</v>
      </c>
      <c r="BE193" s="234">
        <v>0</v>
      </c>
      <c r="BF193" s="234">
        <v>0</v>
      </c>
      <c r="BG193" s="234">
        <v>0</v>
      </c>
      <c r="BH193" s="234">
        <v>0</v>
      </c>
      <c r="BI193" s="234">
        <v>0</v>
      </c>
      <c r="BJ193" s="234">
        <v>0</v>
      </c>
      <c r="BK193" s="234">
        <v>0</v>
      </c>
      <c r="BL193" s="234">
        <v>0</v>
      </c>
      <c r="BM193" s="234">
        <v>0</v>
      </c>
      <c r="BN193" s="234">
        <v>0</v>
      </c>
      <c r="BO193" s="234">
        <v>0</v>
      </c>
      <c r="BP193" s="234"/>
      <c r="BQ193" s="234"/>
      <c r="BR193" s="237" t="s">
        <v>334</v>
      </c>
      <c r="BS193" s="238">
        <v>2</v>
      </c>
      <c r="BU193" s="239">
        <f t="shared" si="16"/>
        <v>8</v>
      </c>
      <c r="CN193" s="238">
        <f t="shared" si="14"/>
        <v>8</v>
      </c>
      <c r="CO193" s="238">
        <f t="shared" si="15"/>
        <v>8</v>
      </c>
    </row>
    <row r="194" spans="1:93" ht="13.95" customHeight="1" x14ac:dyDescent="0.2">
      <c r="A194" s="231">
        <v>7498</v>
      </c>
      <c r="B194" s="232" t="s">
        <v>848</v>
      </c>
      <c r="C194" s="232" t="s">
        <v>899</v>
      </c>
      <c r="D194" s="232" t="s">
        <v>900</v>
      </c>
      <c r="E194" s="232" t="s">
        <v>317</v>
      </c>
      <c r="F194" s="231">
        <v>527633</v>
      </c>
      <c r="G194" s="231">
        <v>172951</v>
      </c>
      <c r="H194" s="232" t="s">
        <v>178</v>
      </c>
      <c r="I194" s="233">
        <v>44651</v>
      </c>
      <c r="J194" s="231"/>
      <c r="K194" s="231">
        <v>1</v>
      </c>
      <c r="L194" s="231">
        <v>8</v>
      </c>
      <c r="M194" s="231">
        <v>7</v>
      </c>
      <c r="N194" s="231">
        <v>8</v>
      </c>
      <c r="O194" s="231">
        <v>7</v>
      </c>
      <c r="P194" s="234"/>
      <c r="Q194" s="232" t="s">
        <v>901</v>
      </c>
      <c r="R194" s="234" t="s">
        <v>332</v>
      </c>
      <c r="S194" s="235">
        <v>44249</v>
      </c>
      <c r="T194" s="235">
        <v>44369</v>
      </c>
      <c r="U194" s="234"/>
      <c r="V194" s="232" t="s">
        <v>321</v>
      </c>
      <c r="W194" s="231"/>
      <c r="X194" s="232" t="s">
        <v>322</v>
      </c>
      <c r="Y194" s="232" t="s">
        <v>338</v>
      </c>
      <c r="Z194" s="232" t="s">
        <v>324</v>
      </c>
      <c r="AA194" s="232" t="s">
        <v>15</v>
      </c>
      <c r="AB194" s="236">
        <v>6.2E-2</v>
      </c>
      <c r="AC194" s="235">
        <v>44745</v>
      </c>
      <c r="AD194" s="234" t="s">
        <v>318</v>
      </c>
      <c r="AE194" s="234"/>
      <c r="AF194" s="232" t="s">
        <v>77</v>
      </c>
      <c r="AG194" s="232" t="s">
        <v>350</v>
      </c>
      <c r="AH194" s="234" t="s">
        <v>317</v>
      </c>
      <c r="AI194" s="250"/>
      <c r="AJ194" s="234">
        <v>0</v>
      </c>
      <c r="AK194" s="224"/>
      <c r="AL194" s="234">
        <v>0</v>
      </c>
      <c r="AM194" s="224"/>
      <c r="AN194" s="234">
        <v>0</v>
      </c>
      <c r="AO194" s="234">
        <v>1</v>
      </c>
      <c r="AP194" s="234">
        <v>5</v>
      </c>
      <c r="AQ194" s="234">
        <v>2</v>
      </c>
      <c r="AR194" s="234">
        <v>0</v>
      </c>
      <c r="AS194" s="234">
        <v>-1</v>
      </c>
      <c r="AT194" s="234">
        <v>0</v>
      </c>
      <c r="AU194" s="234">
        <v>0</v>
      </c>
      <c r="AV194" s="234">
        <v>1</v>
      </c>
      <c r="AW194" s="234">
        <v>5</v>
      </c>
      <c r="AX194" s="234">
        <v>2</v>
      </c>
      <c r="AY194" s="234">
        <v>0</v>
      </c>
      <c r="AZ194" s="234">
        <v>0</v>
      </c>
      <c r="BA194" s="234">
        <v>0</v>
      </c>
      <c r="BB194" s="234">
        <v>0</v>
      </c>
      <c r="BC194" s="234">
        <v>0</v>
      </c>
      <c r="BD194" s="234">
        <v>0</v>
      </c>
      <c r="BE194" s="234">
        <v>0</v>
      </c>
      <c r="BF194" s="234">
        <v>0</v>
      </c>
      <c r="BG194" s="234">
        <v>-1</v>
      </c>
      <c r="BH194" s="234">
        <v>0</v>
      </c>
      <c r="BI194" s="234">
        <v>0</v>
      </c>
      <c r="BJ194" s="234">
        <v>0</v>
      </c>
      <c r="BK194" s="234">
        <v>0</v>
      </c>
      <c r="BL194" s="234">
        <v>0</v>
      </c>
      <c r="BM194" s="234">
        <v>0</v>
      </c>
      <c r="BN194" s="234">
        <v>0</v>
      </c>
      <c r="BO194" s="234">
        <v>0</v>
      </c>
      <c r="BP194" s="234"/>
      <c r="BQ194" s="234"/>
      <c r="BR194" s="237" t="s">
        <v>334</v>
      </c>
      <c r="BS194" s="238">
        <v>13</v>
      </c>
      <c r="BU194" s="239">
        <f t="shared" si="16"/>
        <v>7</v>
      </c>
      <c r="CN194" s="238">
        <f t="shared" si="14"/>
        <v>7</v>
      </c>
      <c r="CO194" s="238">
        <f t="shared" si="15"/>
        <v>7</v>
      </c>
    </row>
    <row r="195" spans="1:93" ht="13.95" customHeight="1" x14ac:dyDescent="0.2">
      <c r="A195" s="231">
        <v>6490</v>
      </c>
      <c r="B195" s="232" t="s">
        <v>848</v>
      </c>
      <c r="C195" s="232" t="s">
        <v>902</v>
      </c>
      <c r="D195" s="232" t="s">
        <v>903</v>
      </c>
      <c r="E195" s="232" t="s">
        <v>317</v>
      </c>
      <c r="F195" s="231">
        <v>523997</v>
      </c>
      <c r="G195" s="231">
        <v>175115</v>
      </c>
      <c r="H195" s="232" t="s">
        <v>175</v>
      </c>
      <c r="I195" s="233">
        <v>44263</v>
      </c>
      <c r="J195" s="231"/>
      <c r="K195" s="231">
        <v>0</v>
      </c>
      <c r="L195" s="231">
        <v>7</v>
      </c>
      <c r="M195" s="231">
        <v>7</v>
      </c>
      <c r="N195" s="231">
        <v>9</v>
      </c>
      <c r="O195" s="231">
        <v>9</v>
      </c>
      <c r="P195" s="234"/>
      <c r="Q195" s="232" t="s">
        <v>904</v>
      </c>
      <c r="R195" s="234" t="s">
        <v>332</v>
      </c>
      <c r="S195" s="235">
        <v>43692</v>
      </c>
      <c r="T195" s="235">
        <v>43768</v>
      </c>
      <c r="U195" s="234"/>
      <c r="V195" s="232" t="s">
        <v>321</v>
      </c>
      <c r="W195" s="231"/>
      <c r="X195" s="232" t="s">
        <v>322</v>
      </c>
      <c r="Y195" s="232" t="s">
        <v>338</v>
      </c>
      <c r="Z195" s="232" t="s">
        <v>324</v>
      </c>
      <c r="AA195" s="232" t="s">
        <v>349</v>
      </c>
      <c r="AB195" s="236">
        <v>1.2E-2</v>
      </c>
      <c r="AC195" s="235">
        <v>44263</v>
      </c>
      <c r="AD195" s="234"/>
      <c r="AE195" s="234"/>
      <c r="AF195" s="232" t="s">
        <v>77</v>
      </c>
      <c r="AG195" s="232" t="s">
        <v>350</v>
      </c>
      <c r="AH195" s="234" t="s">
        <v>317</v>
      </c>
      <c r="AI195" s="250"/>
      <c r="AJ195" s="234">
        <v>0</v>
      </c>
      <c r="AK195" s="224"/>
      <c r="AL195" s="234">
        <v>0</v>
      </c>
      <c r="AM195" s="224"/>
      <c r="AN195" s="234">
        <v>0</v>
      </c>
      <c r="AO195" s="234">
        <v>0</v>
      </c>
      <c r="AP195" s="234">
        <v>6</v>
      </c>
      <c r="AQ195" s="234">
        <v>1</v>
      </c>
      <c r="AR195" s="234">
        <v>0</v>
      </c>
      <c r="AS195" s="234">
        <v>0</v>
      </c>
      <c r="AT195" s="234">
        <v>0</v>
      </c>
      <c r="AU195" s="234">
        <v>0</v>
      </c>
      <c r="AV195" s="234">
        <v>0</v>
      </c>
      <c r="AW195" s="234">
        <v>6</v>
      </c>
      <c r="AX195" s="234">
        <v>1</v>
      </c>
      <c r="AY195" s="234">
        <v>0</v>
      </c>
      <c r="AZ195" s="234">
        <v>0</v>
      </c>
      <c r="BA195" s="234">
        <v>0</v>
      </c>
      <c r="BB195" s="234">
        <v>0</v>
      </c>
      <c r="BC195" s="234">
        <v>0</v>
      </c>
      <c r="BD195" s="234">
        <v>0</v>
      </c>
      <c r="BE195" s="234">
        <v>0</v>
      </c>
      <c r="BF195" s="234">
        <v>0</v>
      </c>
      <c r="BG195" s="234">
        <v>0</v>
      </c>
      <c r="BH195" s="234">
        <v>0</v>
      </c>
      <c r="BI195" s="234">
        <v>0</v>
      </c>
      <c r="BJ195" s="234">
        <v>0</v>
      </c>
      <c r="BK195" s="234">
        <v>0</v>
      </c>
      <c r="BL195" s="234">
        <v>0</v>
      </c>
      <c r="BM195" s="234">
        <v>0</v>
      </c>
      <c r="BN195" s="234">
        <v>0</v>
      </c>
      <c r="BO195" s="234">
        <v>0</v>
      </c>
      <c r="BP195" s="234" t="s">
        <v>143</v>
      </c>
      <c r="BQ195" s="234"/>
      <c r="BR195" s="237" t="s">
        <v>152</v>
      </c>
      <c r="BS195" s="238">
        <v>12</v>
      </c>
      <c r="BU195" s="239">
        <f t="shared" si="16"/>
        <v>7</v>
      </c>
      <c r="CN195" s="238">
        <f t="shared" si="14"/>
        <v>7</v>
      </c>
      <c r="CO195" s="238">
        <f t="shared" si="15"/>
        <v>7</v>
      </c>
    </row>
    <row r="196" spans="1:93" ht="13.95" customHeight="1" x14ac:dyDescent="0.2">
      <c r="A196" s="231">
        <v>6988</v>
      </c>
      <c r="B196" s="232" t="s">
        <v>848</v>
      </c>
      <c r="C196" s="232" t="s">
        <v>905</v>
      </c>
      <c r="D196" s="232" t="s">
        <v>906</v>
      </c>
      <c r="E196" s="232" t="s">
        <v>317</v>
      </c>
      <c r="F196" s="231">
        <v>526452</v>
      </c>
      <c r="G196" s="231">
        <v>173866</v>
      </c>
      <c r="H196" s="232" t="s">
        <v>179</v>
      </c>
      <c r="I196" s="233">
        <v>44740</v>
      </c>
      <c r="J196" s="231"/>
      <c r="K196" s="231">
        <v>1</v>
      </c>
      <c r="L196" s="231">
        <v>8</v>
      </c>
      <c r="M196" s="231">
        <v>7</v>
      </c>
      <c r="N196" s="231">
        <v>8</v>
      </c>
      <c r="O196" s="231">
        <v>7</v>
      </c>
      <c r="P196" s="234"/>
      <c r="Q196" s="232" t="s">
        <v>907</v>
      </c>
      <c r="R196" s="234" t="s">
        <v>332</v>
      </c>
      <c r="S196" s="235">
        <v>44298</v>
      </c>
      <c r="T196" s="235">
        <v>44404</v>
      </c>
      <c r="U196" s="234"/>
      <c r="V196" s="232" t="s">
        <v>321</v>
      </c>
      <c r="W196" s="231"/>
      <c r="X196" s="232" t="s">
        <v>322</v>
      </c>
      <c r="Y196" s="232" t="s">
        <v>338</v>
      </c>
      <c r="Z196" s="232" t="s">
        <v>324</v>
      </c>
      <c r="AA196" s="232" t="s">
        <v>15</v>
      </c>
      <c r="AB196" s="236">
        <v>1.6199999999999999E-2</v>
      </c>
      <c r="AC196" s="235">
        <v>44740</v>
      </c>
      <c r="AD196" s="234" t="s">
        <v>318</v>
      </c>
      <c r="AE196" s="234"/>
      <c r="AF196" s="232" t="s">
        <v>77</v>
      </c>
      <c r="AG196" s="232" t="s">
        <v>350</v>
      </c>
      <c r="AH196" s="234" t="s">
        <v>317</v>
      </c>
      <c r="AI196" s="250"/>
      <c r="AJ196" s="234">
        <v>0</v>
      </c>
      <c r="AK196" s="224"/>
      <c r="AL196" s="234">
        <v>0</v>
      </c>
      <c r="AM196" s="224"/>
      <c r="AN196" s="234">
        <v>0</v>
      </c>
      <c r="AO196" s="234">
        <v>3</v>
      </c>
      <c r="AP196" s="234">
        <v>2</v>
      </c>
      <c r="AQ196" s="234">
        <v>3</v>
      </c>
      <c r="AR196" s="234">
        <v>0</v>
      </c>
      <c r="AS196" s="234">
        <v>-1</v>
      </c>
      <c r="AT196" s="234">
        <v>0</v>
      </c>
      <c r="AU196" s="234">
        <v>0</v>
      </c>
      <c r="AV196" s="234">
        <v>3</v>
      </c>
      <c r="AW196" s="234">
        <v>2</v>
      </c>
      <c r="AX196" s="234">
        <v>3</v>
      </c>
      <c r="AY196" s="234">
        <v>0</v>
      </c>
      <c r="AZ196" s="234">
        <v>0</v>
      </c>
      <c r="BA196" s="234">
        <v>0</v>
      </c>
      <c r="BB196" s="234">
        <v>0</v>
      </c>
      <c r="BC196" s="234">
        <v>0</v>
      </c>
      <c r="BD196" s="234">
        <v>0</v>
      </c>
      <c r="BE196" s="234">
        <v>0</v>
      </c>
      <c r="BF196" s="234">
        <v>0</v>
      </c>
      <c r="BG196" s="234">
        <v>-1</v>
      </c>
      <c r="BH196" s="234">
        <v>0</v>
      </c>
      <c r="BI196" s="234">
        <v>0</v>
      </c>
      <c r="BJ196" s="234">
        <v>0</v>
      </c>
      <c r="BK196" s="234">
        <v>0</v>
      </c>
      <c r="BL196" s="234">
        <v>0</v>
      </c>
      <c r="BM196" s="234">
        <v>0</v>
      </c>
      <c r="BN196" s="234">
        <v>0</v>
      </c>
      <c r="BO196" s="234">
        <v>0</v>
      </c>
      <c r="BP196" s="234"/>
      <c r="BQ196" s="234"/>
      <c r="BR196" s="237" t="s">
        <v>334</v>
      </c>
      <c r="BS196" s="238">
        <v>13</v>
      </c>
      <c r="BU196" s="239">
        <f t="shared" si="16"/>
        <v>7</v>
      </c>
      <c r="CN196" s="238">
        <f t="shared" si="14"/>
        <v>7</v>
      </c>
      <c r="CO196" s="238">
        <f t="shared" si="15"/>
        <v>7</v>
      </c>
    </row>
    <row r="197" spans="1:93" ht="13.95" customHeight="1" x14ac:dyDescent="0.2">
      <c r="A197" s="231">
        <v>2304</v>
      </c>
      <c r="B197" s="232" t="s">
        <v>848</v>
      </c>
      <c r="C197" s="232" t="s">
        <v>908</v>
      </c>
      <c r="D197" s="232" t="s">
        <v>909</v>
      </c>
      <c r="E197" s="232" t="s">
        <v>317</v>
      </c>
      <c r="F197" s="231">
        <v>528666</v>
      </c>
      <c r="G197" s="231">
        <v>177450</v>
      </c>
      <c r="H197" s="232" t="s">
        <v>163</v>
      </c>
      <c r="I197" s="233">
        <v>43555</v>
      </c>
      <c r="J197" s="231"/>
      <c r="K197" s="231">
        <v>0</v>
      </c>
      <c r="L197" s="231">
        <v>7</v>
      </c>
      <c r="M197" s="231">
        <v>7</v>
      </c>
      <c r="N197" s="231">
        <v>7</v>
      </c>
      <c r="O197" s="231">
        <v>7</v>
      </c>
      <c r="P197" s="234"/>
      <c r="Q197" s="232" t="s">
        <v>910</v>
      </c>
      <c r="R197" s="234" t="s">
        <v>320</v>
      </c>
      <c r="S197" s="235">
        <v>42296</v>
      </c>
      <c r="T197" s="235">
        <v>42465</v>
      </c>
      <c r="U197" s="234"/>
      <c r="V197" s="232" t="s">
        <v>321</v>
      </c>
      <c r="W197" s="231"/>
      <c r="X197" s="232" t="s">
        <v>322</v>
      </c>
      <c r="Y197" s="232" t="s">
        <v>378</v>
      </c>
      <c r="Z197" s="232" t="s">
        <v>324</v>
      </c>
      <c r="AA197" s="232" t="s">
        <v>28</v>
      </c>
      <c r="AB197" s="236">
        <v>5.8999999999999997E-2</v>
      </c>
      <c r="AC197" s="235">
        <v>43555</v>
      </c>
      <c r="AD197" s="234"/>
      <c r="AE197" s="234"/>
      <c r="AF197" s="232" t="s">
        <v>77</v>
      </c>
      <c r="AG197" s="232" t="s">
        <v>350</v>
      </c>
      <c r="AH197" s="234" t="s">
        <v>317</v>
      </c>
      <c r="AI197" s="250"/>
      <c r="AJ197" s="234">
        <v>7</v>
      </c>
      <c r="AK197" s="224"/>
      <c r="AL197" s="234">
        <v>0</v>
      </c>
      <c r="AM197" s="224"/>
      <c r="AN197" s="234">
        <v>0</v>
      </c>
      <c r="AO197" s="234">
        <v>3</v>
      </c>
      <c r="AP197" s="234">
        <v>4</v>
      </c>
      <c r="AQ197" s="234">
        <v>0</v>
      </c>
      <c r="AR197" s="234">
        <v>0</v>
      </c>
      <c r="AS197" s="234">
        <v>0</v>
      </c>
      <c r="AT197" s="234">
        <v>0</v>
      </c>
      <c r="AU197" s="234">
        <v>0</v>
      </c>
      <c r="AV197" s="234">
        <v>3</v>
      </c>
      <c r="AW197" s="234">
        <v>4</v>
      </c>
      <c r="AX197" s="234">
        <v>0</v>
      </c>
      <c r="AY197" s="234">
        <v>0</v>
      </c>
      <c r="AZ197" s="234">
        <v>0</v>
      </c>
      <c r="BA197" s="234">
        <v>0</v>
      </c>
      <c r="BB197" s="234">
        <v>0</v>
      </c>
      <c r="BC197" s="234">
        <v>0</v>
      </c>
      <c r="BD197" s="234">
        <v>0</v>
      </c>
      <c r="BE197" s="234">
        <v>0</v>
      </c>
      <c r="BF197" s="234">
        <v>0</v>
      </c>
      <c r="BG197" s="234">
        <v>0</v>
      </c>
      <c r="BH197" s="234">
        <v>0</v>
      </c>
      <c r="BI197" s="234">
        <v>0</v>
      </c>
      <c r="BJ197" s="234">
        <v>0</v>
      </c>
      <c r="BK197" s="234">
        <v>0</v>
      </c>
      <c r="BL197" s="234">
        <v>0</v>
      </c>
      <c r="BM197" s="234">
        <v>0</v>
      </c>
      <c r="BN197" s="234">
        <v>0</v>
      </c>
      <c r="BO197" s="234">
        <v>0</v>
      </c>
      <c r="BP197" s="234"/>
      <c r="BQ197" s="234" t="s">
        <v>318</v>
      </c>
      <c r="BR197" s="237" t="s">
        <v>151</v>
      </c>
      <c r="BS197" s="238">
        <v>13</v>
      </c>
      <c r="BU197" s="239">
        <f t="shared" si="16"/>
        <v>7</v>
      </c>
      <c r="CN197" s="238">
        <f t="shared" si="14"/>
        <v>7</v>
      </c>
      <c r="CO197" s="238">
        <f t="shared" si="15"/>
        <v>7</v>
      </c>
    </row>
    <row r="198" spans="1:93" ht="13.95" customHeight="1" x14ac:dyDescent="0.2">
      <c r="A198" s="231">
        <v>6955</v>
      </c>
      <c r="B198" s="232" t="s">
        <v>848</v>
      </c>
      <c r="C198" s="232" t="s">
        <v>911</v>
      </c>
      <c r="D198" s="232" t="s">
        <v>912</v>
      </c>
      <c r="E198" s="232" t="s">
        <v>317</v>
      </c>
      <c r="F198" s="231">
        <v>526542</v>
      </c>
      <c r="G198" s="231">
        <v>174943</v>
      </c>
      <c r="H198" s="232" t="s">
        <v>181</v>
      </c>
      <c r="I198" s="233">
        <v>44553</v>
      </c>
      <c r="J198" s="231"/>
      <c r="K198" s="231">
        <v>0</v>
      </c>
      <c r="L198" s="231">
        <v>8</v>
      </c>
      <c r="M198" s="231">
        <v>8</v>
      </c>
      <c r="N198" s="231">
        <v>8</v>
      </c>
      <c r="O198" s="231">
        <v>8</v>
      </c>
      <c r="P198" s="234"/>
      <c r="Q198" s="232" t="s">
        <v>913</v>
      </c>
      <c r="R198" s="234" t="s">
        <v>332</v>
      </c>
      <c r="S198" s="235">
        <v>43605</v>
      </c>
      <c r="T198" s="235">
        <v>43700</v>
      </c>
      <c r="U198" s="234"/>
      <c r="V198" s="232" t="s">
        <v>321</v>
      </c>
      <c r="W198" s="231"/>
      <c r="X198" s="232" t="s">
        <v>322</v>
      </c>
      <c r="Y198" s="232" t="s">
        <v>323</v>
      </c>
      <c r="Z198" s="232" t="s">
        <v>324</v>
      </c>
      <c r="AA198" s="232" t="s">
        <v>349</v>
      </c>
      <c r="AB198" s="236">
        <v>2.5000000000000001E-2</v>
      </c>
      <c r="AC198" s="235">
        <v>44553</v>
      </c>
      <c r="AD198" s="234"/>
      <c r="AE198" s="234"/>
      <c r="AF198" s="232" t="s">
        <v>77</v>
      </c>
      <c r="AG198" s="232" t="s">
        <v>350</v>
      </c>
      <c r="AH198" s="234" t="s">
        <v>317</v>
      </c>
      <c r="AI198" s="250"/>
      <c r="AJ198" s="234">
        <v>0</v>
      </c>
      <c r="AK198" s="224"/>
      <c r="AL198" s="234">
        <v>0</v>
      </c>
      <c r="AM198" s="224"/>
      <c r="AN198" s="234">
        <v>0</v>
      </c>
      <c r="AO198" s="234">
        <v>2</v>
      </c>
      <c r="AP198" s="234">
        <v>5</v>
      </c>
      <c r="AQ198" s="234">
        <v>1</v>
      </c>
      <c r="AR198" s="234">
        <v>0</v>
      </c>
      <c r="AS198" s="234">
        <v>0</v>
      </c>
      <c r="AT198" s="234">
        <v>0</v>
      </c>
      <c r="AU198" s="234">
        <v>0</v>
      </c>
      <c r="AV198" s="234">
        <v>2</v>
      </c>
      <c r="AW198" s="234">
        <v>5</v>
      </c>
      <c r="AX198" s="234">
        <v>1</v>
      </c>
      <c r="AY198" s="234">
        <v>0</v>
      </c>
      <c r="AZ198" s="234">
        <v>0</v>
      </c>
      <c r="BA198" s="234">
        <v>0</v>
      </c>
      <c r="BB198" s="234">
        <v>0</v>
      </c>
      <c r="BC198" s="234">
        <v>0</v>
      </c>
      <c r="BD198" s="234">
        <v>0</v>
      </c>
      <c r="BE198" s="234">
        <v>0</v>
      </c>
      <c r="BF198" s="234">
        <v>0</v>
      </c>
      <c r="BG198" s="234">
        <v>0</v>
      </c>
      <c r="BH198" s="234">
        <v>0</v>
      </c>
      <c r="BI198" s="234">
        <v>0</v>
      </c>
      <c r="BJ198" s="234">
        <v>0</v>
      </c>
      <c r="BK198" s="234">
        <v>0</v>
      </c>
      <c r="BL198" s="234">
        <v>0</v>
      </c>
      <c r="BM198" s="234">
        <v>0</v>
      </c>
      <c r="BN198" s="234">
        <v>0</v>
      </c>
      <c r="BO198" s="234">
        <v>0</v>
      </c>
      <c r="BP198" s="234"/>
      <c r="BQ198" s="234"/>
      <c r="BR198" s="237" t="s">
        <v>334</v>
      </c>
      <c r="BS198" s="238">
        <v>2</v>
      </c>
      <c r="BV198" s="239">
        <f>M198</f>
        <v>8</v>
      </c>
      <c r="CN198" s="238">
        <f t="shared" si="14"/>
        <v>8</v>
      </c>
      <c r="CO198" s="238">
        <f t="shared" si="15"/>
        <v>8</v>
      </c>
    </row>
    <row r="199" spans="1:93" ht="13.95" customHeight="1" x14ac:dyDescent="0.2">
      <c r="A199" s="231">
        <v>4474</v>
      </c>
      <c r="B199" s="232" t="s">
        <v>848</v>
      </c>
      <c r="C199" s="232" t="s">
        <v>880</v>
      </c>
      <c r="D199" s="232" t="s">
        <v>881</v>
      </c>
      <c r="E199" s="232" t="s">
        <v>317</v>
      </c>
      <c r="F199" s="231">
        <v>527533</v>
      </c>
      <c r="G199" s="231">
        <v>171477</v>
      </c>
      <c r="H199" s="232" t="s">
        <v>177</v>
      </c>
      <c r="I199" s="233">
        <v>43683</v>
      </c>
      <c r="J199" s="231"/>
      <c r="K199" s="231">
        <v>0</v>
      </c>
      <c r="L199" s="231">
        <v>6</v>
      </c>
      <c r="M199" s="231">
        <v>6</v>
      </c>
      <c r="N199" s="231">
        <v>19</v>
      </c>
      <c r="O199" s="231">
        <v>19</v>
      </c>
      <c r="P199" s="234" t="s">
        <v>318</v>
      </c>
      <c r="Q199" s="232" t="s">
        <v>882</v>
      </c>
      <c r="R199" s="234" t="s">
        <v>320</v>
      </c>
      <c r="S199" s="235">
        <v>41891</v>
      </c>
      <c r="T199" s="235">
        <v>42594</v>
      </c>
      <c r="U199" s="234"/>
      <c r="V199" s="232" t="s">
        <v>321</v>
      </c>
      <c r="W199" s="231"/>
      <c r="X199" s="232" t="s">
        <v>322</v>
      </c>
      <c r="Y199" s="232" t="s">
        <v>378</v>
      </c>
      <c r="Z199" s="232" t="s">
        <v>843</v>
      </c>
      <c r="AA199" s="232" t="s">
        <v>324</v>
      </c>
      <c r="AB199" s="236">
        <v>4.2999999999999997E-2</v>
      </c>
      <c r="AC199" s="235">
        <v>43683</v>
      </c>
      <c r="AD199" s="234"/>
      <c r="AE199" s="234"/>
      <c r="AF199" s="232" t="s">
        <v>56</v>
      </c>
      <c r="AG199" s="232" t="s">
        <v>355</v>
      </c>
      <c r="AH199" s="234" t="s">
        <v>883</v>
      </c>
      <c r="AI199" s="250"/>
      <c r="AJ199" s="234">
        <v>0</v>
      </c>
      <c r="AK199" s="224"/>
      <c r="AL199" s="234">
        <v>0</v>
      </c>
      <c r="AM199" s="224"/>
      <c r="AN199" s="234">
        <v>0</v>
      </c>
      <c r="AO199" s="234">
        <v>3</v>
      </c>
      <c r="AP199" s="234">
        <v>3</v>
      </c>
      <c r="AQ199" s="234">
        <v>0</v>
      </c>
      <c r="AR199" s="234">
        <v>0</v>
      </c>
      <c r="AS199" s="234">
        <v>0</v>
      </c>
      <c r="AT199" s="234">
        <v>0</v>
      </c>
      <c r="AU199" s="234">
        <v>0</v>
      </c>
      <c r="AV199" s="234">
        <v>3</v>
      </c>
      <c r="AW199" s="234">
        <v>3</v>
      </c>
      <c r="AX199" s="234">
        <v>0</v>
      </c>
      <c r="AY199" s="234">
        <v>0</v>
      </c>
      <c r="AZ199" s="234">
        <v>0</v>
      </c>
      <c r="BA199" s="234">
        <v>0</v>
      </c>
      <c r="BB199" s="234">
        <v>0</v>
      </c>
      <c r="BC199" s="234">
        <v>0</v>
      </c>
      <c r="BD199" s="234">
        <v>0</v>
      </c>
      <c r="BE199" s="234">
        <v>0</v>
      </c>
      <c r="BF199" s="234">
        <v>0</v>
      </c>
      <c r="BG199" s="234">
        <v>0</v>
      </c>
      <c r="BH199" s="234">
        <v>0</v>
      </c>
      <c r="BI199" s="234">
        <v>0</v>
      </c>
      <c r="BJ199" s="234">
        <v>0</v>
      </c>
      <c r="BK199" s="234">
        <v>0</v>
      </c>
      <c r="BL199" s="234">
        <v>0</v>
      </c>
      <c r="BM199" s="234">
        <v>0</v>
      </c>
      <c r="BN199" s="234">
        <v>0</v>
      </c>
      <c r="BO199" s="234">
        <v>0</v>
      </c>
      <c r="BP199" s="234" t="s">
        <v>144</v>
      </c>
      <c r="BQ199" s="234"/>
      <c r="BR199" s="237" t="s">
        <v>144</v>
      </c>
      <c r="BS199" s="238">
        <v>12</v>
      </c>
      <c r="BU199" s="239">
        <f t="shared" ref="BU199:BU204" si="17">M199</f>
        <v>6</v>
      </c>
      <c r="CN199" s="238">
        <f t="shared" si="14"/>
        <v>6</v>
      </c>
      <c r="CO199" s="238">
        <f t="shared" si="15"/>
        <v>6</v>
      </c>
    </row>
    <row r="200" spans="1:93" ht="13.95" customHeight="1" x14ac:dyDescent="0.2">
      <c r="A200" s="231">
        <v>7364</v>
      </c>
      <c r="B200" s="232" t="s">
        <v>848</v>
      </c>
      <c r="C200" s="232" t="s">
        <v>914</v>
      </c>
      <c r="D200" s="232" t="s">
        <v>915</v>
      </c>
      <c r="E200" s="232" t="s">
        <v>317</v>
      </c>
      <c r="F200" s="231">
        <v>527592</v>
      </c>
      <c r="G200" s="231">
        <v>175427</v>
      </c>
      <c r="H200" s="232" t="s">
        <v>167</v>
      </c>
      <c r="I200" s="233">
        <v>44652</v>
      </c>
      <c r="J200" s="231"/>
      <c r="K200" s="231">
        <v>1</v>
      </c>
      <c r="L200" s="231">
        <v>7</v>
      </c>
      <c r="M200" s="231">
        <v>6</v>
      </c>
      <c r="N200" s="231">
        <v>7</v>
      </c>
      <c r="O200" s="231">
        <v>6</v>
      </c>
      <c r="P200" s="234"/>
      <c r="Q200" s="232" t="s">
        <v>916</v>
      </c>
      <c r="R200" s="234" t="s">
        <v>332</v>
      </c>
      <c r="S200" s="235">
        <v>44225</v>
      </c>
      <c r="T200" s="235">
        <v>44344</v>
      </c>
      <c r="U200" s="234"/>
      <c r="V200" s="232" t="s">
        <v>321</v>
      </c>
      <c r="W200" s="231"/>
      <c r="X200" s="232" t="s">
        <v>322</v>
      </c>
      <c r="Y200" s="232" t="s">
        <v>323</v>
      </c>
      <c r="Z200" s="232" t="s">
        <v>324</v>
      </c>
      <c r="AA200" s="232" t="s">
        <v>349</v>
      </c>
      <c r="AB200" s="236">
        <v>3.2000000000000001E-2</v>
      </c>
      <c r="AC200" s="235">
        <v>44652</v>
      </c>
      <c r="AD200" s="234" t="s">
        <v>318</v>
      </c>
      <c r="AE200" s="235"/>
      <c r="AF200" s="232" t="s">
        <v>77</v>
      </c>
      <c r="AG200" s="232" t="s">
        <v>350</v>
      </c>
      <c r="AH200" s="234" t="s">
        <v>317</v>
      </c>
      <c r="AI200" s="250"/>
      <c r="AJ200" s="234">
        <v>0</v>
      </c>
      <c r="AK200" s="224"/>
      <c r="AL200" s="234">
        <v>0</v>
      </c>
      <c r="AM200" s="224"/>
      <c r="AN200" s="234">
        <v>0</v>
      </c>
      <c r="AO200" s="234">
        <v>1</v>
      </c>
      <c r="AP200" s="234">
        <v>4</v>
      </c>
      <c r="AQ200" s="234">
        <v>1</v>
      </c>
      <c r="AR200" s="234">
        <v>0</v>
      </c>
      <c r="AS200" s="234">
        <v>0</v>
      </c>
      <c r="AT200" s="234">
        <v>0</v>
      </c>
      <c r="AU200" s="234">
        <v>0</v>
      </c>
      <c r="AV200" s="234">
        <v>1</v>
      </c>
      <c r="AW200" s="234">
        <v>4</v>
      </c>
      <c r="AX200" s="234">
        <v>2</v>
      </c>
      <c r="AY200" s="234">
        <v>0</v>
      </c>
      <c r="AZ200" s="234">
        <v>0</v>
      </c>
      <c r="BA200" s="234">
        <v>0</v>
      </c>
      <c r="BB200" s="234">
        <v>0</v>
      </c>
      <c r="BC200" s="234">
        <v>0</v>
      </c>
      <c r="BD200" s="234">
        <v>0</v>
      </c>
      <c r="BE200" s="234">
        <v>-1</v>
      </c>
      <c r="BF200" s="234">
        <v>0</v>
      </c>
      <c r="BG200" s="234">
        <v>0</v>
      </c>
      <c r="BH200" s="234">
        <v>0</v>
      </c>
      <c r="BI200" s="234">
        <v>0</v>
      </c>
      <c r="BJ200" s="234">
        <v>0</v>
      </c>
      <c r="BK200" s="234">
        <v>0</v>
      </c>
      <c r="BL200" s="234">
        <v>0</v>
      </c>
      <c r="BM200" s="234">
        <v>0</v>
      </c>
      <c r="BN200" s="234">
        <v>0</v>
      </c>
      <c r="BO200" s="234">
        <v>0</v>
      </c>
      <c r="BP200" s="234"/>
      <c r="BQ200" s="234"/>
      <c r="BR200" s="237" t="s">
        <v>150</v>
      </c>
      <c r="BS200" s="238">
        <v>3</v>
      </c>
      <c r="BU200" s="239">
        <f t="shared" si="17"/>
        <v>6</v>
      </c>
      <c r="CN200" s="238">
        <f t="shared" si="14"/>
        <v>6</v>
      </c>
      <c r="CO200" s="238">
        <f t="shared" si="15"/>
        <v>6</v>
      </c>
    </row>
    <row r="201" spans="1:93" ht="13.95" customHeight="1" x14ac:dyDescent="0.2">
      <c r="A201" s="231">
        <v>7299</v>
      </c>
      <c r="B201" s="232" t="s">
        <v>848</v>
      </c>
      <c r="C201" s="232" t="s">
        <v>917</v>
      </c>
      <c r="D201" s="232" t="s">
        <v>918</v>
      </c>
      <c r="E201" s="232" t="s">
        <v>317</v>
      </c>
      <c r="F201" s="231">
        <v>524756</v>
      </c>
      <c r="G201" s="231">
        <v>173258</v>
      </c>
      <c r="H201" s="232" t="s">
        <v>173</v>
      </c>
      <c r="I201" s="233">
        <v>44146</v>
      </c>
      <c r="J201" s="231"/>
      <c r="K201" s="231">
        <v>0</v>
      </c>
      <c r="L201" s="231">
        <v>5</v>
      </c>
      <c r="M201" s="231">
        <v>5</v>
      </c>
      <c r="N201" s="231">
        <v>5</v>
      </c>
      <c r="O201" s="231">
        <v>5</v>
      </c>
      <c r="P201" s="234"/>
      <c r="Q201" s="232" t="s">
        <v>919</v>
      </c>
      <c r="R201" s="234" t="s">
        <v>332</v>
      </c>
      <c r="S201" s="235">
        <v>43790</v>
      </c>
      <c r="T201" s="235">
        <v>43949</v>
      </c>
      <c r="U201" s="234"/>
      <c r="V201" s="232" t="s">
        <v>321</v>
      </c>
      <c r="W201" s="231"/>
      <c r="X201" s="232" t="s">
        <v>322</v>
      </c>
      <c r="Y201" s="232" t="s">
        <v>378</v>
      </c>
      <c r="Z201" s="232" t="s">
        <v>324</v>
      </c>
      <c r="AA201" s="232" t="s">
        <v>28</v>
      </c>
      <c r="AB201" s="236">
        <v>1.4E-2</v>
      </c>
      <c r="AC201" s="235">
        <v>44146</v>
      </c>
      <c r="AD201" s="234"/>
      <c r="AE201" s="234"/>
      <c r="AF201" s="232" t="s">
        <v>77</v>
      </c>
      <c r="AG201" s="232" t="s">
        <v>350</v>
      </c>
      <c r="AH201" s="234" t="s">
        <v>317</v>
      </c>
      <c r="AI201" s="250"/>
      <c r="AJ201" s="234">
        <v>0</v>
      </c>
      <c r="AK201" s="224"/>
      <c r="AL201" s="234">
        <v>0</v>
      </c>
      <c r="AM201" s="224"/>
      <c r="AN201" s="234">
        <v>1</v>
      </c>
      <c r="AO201" s="234">
        <v>1</v>
      </c>
      <c r="AP201" s="234">
        <v>2</v>
      </c>
      <c r="AQ201" s="234">
        <v>1</v>
      </c>
      <c r="AR201" s="234">
        <v>0</v>
      </c>
      <c r="AS201" s="234">
        <v>0</v>
      </c>
      <c r="AT201" s="234">
        <v>0</v>
      </c>
      <c r="AU201" s="234">
        <v>1</v>
      </c>
      <c r="AV201" s="234">
        <v>1</v>
      </c>
      <c r="AW201" s="234">
        <v>2</v>
      </c>
      <c r="AX201" s="234">
        <v>1</v>
      </c>
      <c r="AY201" s="234">
        <v>0</v>
      </c>
      <c r="AZ201" s="234">
        <v>0</v>
      </c>
      <c r="BA201" s="234">
        <v>0</v>
      </c>
      <c r="BB201" s="234">
        <v>0</v>
      </c>
      <c r="BC201" s="234">
        <v>0</v>
      </c>
      <c r="BD201" s="234">
        <v>0</v>
      </c>
      <c r="BE201" s="234">
        <v>0</v>
      </c>
      <c r="BF201" s="234">
        <v>0</v>
      </c>
      <c r="BG201" s="234">
        <v>0</v>
      </c>
      <c r="BH201" s="234">
        <v>0</v>
      </c>
      <c r="BI201" s="234">
        <v>0</v>
      </c>
      <c r="BJ201" s="234">
        <v>0</v>
      </c>
      <c r="BK201" s="234">
        <v>0</v>
      </c>
      <c r="BL201" s="234">
        <v>0</v>
      </c>
      <c r="BM201" s="234">
        <v>0</v>
      </c>
      <c r="BN201" s="234">
        <v>0</v>
      </c>
      <c r="BO201" s="234">
        <v>0</v>
      </c>
      <c r="BP201" s="234"/>
      <c r="BQ201" s="234"/>
      <c r="BR201" s="237" t="s">
        <v>334</v>
      </c>
      <c r="BS201" s="238">
        <v>13</v>
      </c>
      <c r="BU201" s="239">
        <f t="shared" si="17"/>
        <v>5</v>
      </c>
      <c r="CN201" s="238">
        <f t="shared" si="14"/>
        <v>5</v>
      </c>
      <c r="CO201" s="238">
        <f t="shared" si="15"/>
        <v>5</v>
      </c>
    </row>
    <row r="202" spans="1:93" ht="13.95" customHeight="1" x14ac:dyDescent="0.2">
      <c r="A202" s="231">
        <v>3066</v>
      </c>
      <c r="B202" s="232" t="s">
        <v>848</v>
      </c>
      <c r="C202" s="232" t="s">
        <v>920</v>
      </c>
      <c r="D202" s="232" t="s">
        <v>921</v>
      </c>
      <c r="E202" s="232" t="s">
        <v>317</v>
      </c>
      <c r="F202" s="231">
        <v>523512</v>
      </c>
      <c r="G202" s="231">
        <v>175269</v>
      </c>
      <c r="H202" s="232" t="s">
        <v>183</v>
      </c>
      <c r="I202" s="233">
        <v>44651</v>
      </c>
      <c r="J202" s="231"/>
      <c r="K202" s="231">
        <v>2</v>
      </c>
      <c r="L202" s="231">
        <v>7</v>
      </c>
      <c r="M202" s="231">
        <v>5</v>
      </c>
      <c r="N202" s="231">
        <v>7</v>
      </c>
      <c r="O202" s="231">
        <v>5</v>
      </c>
      <c r="P202" s="234"/>
      <c r="Q202" s="232" t="s">
        <v>922</v>
      </c>
      <c r="R202" s="234" t="s">
        <v>332</v>
      </c>
      <c r="S202" s="235">
        <v>44362</v>
      </c>
      <c r="T202" s="235">
        <v>44439</v>
      </c>
      <c r="U202" s="234"/>
      <c r="V202" s="232" t="s">
        <v>321</v>
      </c>
      <c r="W202" s="231"/>
      <c r="X202" s="232" t="s">
        <v>322</v>
      </c>
      <c r="Y202" s="232" t="s">
        <v>338</v>
      </c>
      <c r="Z202" s="232" t="s">
        <v>324</v>
      </c>
      <c r="AA202" s="232" t="s">
        <v>31</v>
      </c>
      <c r="AB202" s="236">
        <v>6.6000000000000003E-2</v>
      </c>
      <c r="AC202" s="235">
        <v>44651</v>
      </c>
      <c r="AD202" s="234"/>
      <c r="AE202" s="235"/>
      <c r="AF202" s="232" t="s">
        <v>77</v>
      </c>
      <c r="AG202" s="232" t="s">
        <v>350</v>
      </c>
      <c r="AH202" s="234" t="s">
        <v>317</v>
      </c>
      <c r="AI202" s="250"/>
      <c r="AJ202" s="234">
        <v>0</v>
      </c>
      <c r="AK202" s="224"/>
      <c r="AL202" s="234">
        <v>0</v>
      </c>
      <c r="AM202" s="224"/>
      <c r="AN202" s="234">
        <v>0</v>
      </c>
      <c r="AO202" s="234">
        <v>3</v>
      </c>
      <c r="AP202" s="234">
        <v>1</v>
      </c>
      <c r="AQ202" s="234">
        <v>1</v>
      </c>
      <c r="AR202" s="234">
        <v>0</v>
      </c>
      <c r="AS202" s="234">
        <v>0</v>
      </c>
      <c r="AT202" s="234">
        <v>0</v>
      </c>
      <c r="AU202" s="234">
        <v>0</v>
      </c>
      <c r="AV202" s="234">
        <v>3</v>
      </c>
      <c r="AW202" s="234">
        <v>1</v>
      </c>
      <c r="AX202" s="234">
        <v>1</v>
      </c>
      <c r="AY202" s="234">
        <v>0</v>
      </c>
      <c r="AZ202" s="234">
        <v>0</v>
      </c>
      <c r="BA202" s="234">
        <v>0</v>
      </c>
      <c r="BB202" s="234">
        <v>0</v>
      </c>
      <c r="BC202" s="234">
        <v>0</v>
      </c>
      <c r="BD202" s="234">
        <v>0</v>
      </c>
      <c r="BE202" s="234">
        <v>0</v>
      </c>
      <c r="BF202" s="234">
        <v>0</v>
      </c>
      <c r="BG202" s="234">
        <v>0</v>
      </c>
      <c r="BH202" s="234">
        <v>0</v>
      </c>
      <c r="BI202" s="234">
        <v>0</v>
      </c>
      <c r="BJ202" s="234">
        <v>0</v>
      </c>
      <c r="BK202" s="234">
        <v>0</v>
      </c>
      <c r="BL202" s="234">
        <v>0</v>
      </c>
      <c r="BM202" s="234">
        <v>0</v>
      </c>
      <c r="BN202" s="234">
        <v>0</v>
      </c>
      <c r="BO202" s="234">
        <v>0</v>
      </c>
      <c r="BP202" s="234"/>
      <c r="BQ202" s="234"/>
      <c r="BR202" s="237" t="s">
        <v>334</v>
      </c>
      <c r="BS202" s="238">
        <v>13</v>
      </c>
      <c r="BU202" s="239">
        <f t="shared" si="17"/>
        <v>5</v>
      </c>
      <c r="CN202" s="238">
        <f t="shared" si="14"/>
        <v>5</v>
      </c>
      <c r="CO202" s="238">
        <f t="shared" si="15"/>
        <v>5</v>
      </c>
    </row>
    <row r="203" spans="1:93" ht="13.95" customHeight="1" x14ac:dyDescent="0.2">
      <c r="A203" s="231">
        <v>6188</v>
      </c>
      <c r="B203" s="232" t="s">
        <v>848</v>
      </c>
      <c r="C203" s="232" t="s">
        <v>923</v>
      </c>
      <c r="D203" s="232" t="s">
        <v>924</v>
      </c>
      <c r="E203" s="232" t="s">
        <v>317</v>
      </c>
      <c r="F203" s="231">
        <v>525924</v>
      </c>
      <c r="G203" s="231">
        <v>173800</v>
      </c>
      <c r="H203" s="232" t="s">
        <v>179</v>
      </c>
      <c r="I203" s="233">
        <v>44651</v>
      </c>
      <c r="J203" s="231"/>
      <c r="K203" s="231">
        <v>0</v>
      </c>
      <c r="L203" s="231">
        <v>5</v>
      </c>
      <c r="M203" s="231">
        <v>5</v>
      </c>
      <c r="N203" s="231">
        <v>5</v>
      </c>
      <c r="O203" s="231">
        <v>5</v>
      </c>
      <c r="P203" s="234"/>
      <c r="Q203" s="232" t="s">
        <v>925</v>
      </c>
      <c r="R203" s="234" t="s">
        <v>332</v>
      </c>
      <c r="S203" s="235">
        <v>44370</v>
      </c>
      <c r="T203" s="235">
        <v>44439</v>
      </c>
      <c r="U203" s="234"/>
      <c r="V203" s="232" t="s">
        <v>321</v>
      </c>
      <c r="W203" s="231"/>
      <c r="X203" s="232" t="s">
        <v>322</v>
      </c>
      <c r="Y203" s="232" t="s">
        <v>338</v>
      </c>
      <c r="Z203" s="232" t="s">
        <v>324</v>
      </c>
      <c r="AA203" s="232" t="s">
        <v>28</v>
      </c>
      <c r="AB203" s="236">
        <v>8.0000000000000002E-3</v>
      </c>
      <c r="AC203" s="235">
        <v>44651</v>
      </c>
      <c r="AD203" s="234"/>
      <c r="AE203" s="234"/>
      <c r="AF203" s="232" t="s">
        <v>77</v>
      </c>
      <c r="AG203" s="232" t="s">
        <v>350</v>
      </c>
      <c r="AH203" s="234" t="s">
        <v>317</v>
      </c>
      <c r="AI203" s="250"/>
      <c r="AJ203" s="234">
        <v>0</v>
      </c>
      <c r="AK203" s="224"/>
      <c r="AL203" s="234">
        <v>0</v>
      </c>
      <c r="AM203" s="224"/>
      <c r="AN203" s="234">
        <v>0</v>
      </c>
      <c r="AO203" s="234">
        <v>1</v>
      </c>
      <c r="AP203" s="234">
        <v>4</v>
      </c>
      <c r="AQ203" s="234">
        <v>0</v>
      </c>
      <c r="AR203" s="234">
        <v>0</v>
      </c>
      <c r="AS203" s="234">
        <v>0</v>
      </c>
      <c r="AT203" s="234">
        <v>0</v>
      </c>
      <c r="AU203" s="234">
        <v>0</v>
      </c>
      <c r="AV203" s="234">
        <v>1</v>
      </c>
      <c r="AW203" s="234">
        <v>4</v>
      </c>
      <c r="AX203" s="234">
        <v>0</v>
      </c>
      <c r="AY203" s="234">
        <v>0</v>
      </c>
      <c r="AZ203" s="234">
        <v>0</v>
      </c>
      <c r="BA203" s="234">
        <v>0</v>
      </c>
      <c r="BB203" s="234">
        <v>0</v>
      </c>
      <c r="BC203" s="234">
        <v>0</v>
      </c>
      <c r="BD203" s="234">
        <v>0</v>
      </c>
      <c r="BE203" s="234">
        <v>0</v>
      </c>
      <c r="BF203" s="234">
        <v>0</v>
      </c>
      <c r="BG203" s="234">
        <v>0</v>
      </c>
      <c r="BH203" s="234">
        <v>0</v>
      </c>
      <c r="BI203" s="234">
        <v>0</v>
      </c>
      <c r="BJ203" s="234">
        <v>0</v>
      </c>
      <c r="BK203" s="234">
        <v>0</v>
      </c>
      <c r="BL203" s="234">
        <v>0</v>
      </c>
      <c r="BM203" s="234">
        <v>0</v>
      </c>
      <c r="BN203" s="234">
        <v>0</v>
      </c>
      <c r="BO203" s="234">
        <v>0</v>
      </c>
      <c r="BP203" s="234"/>
      <c r="BQ203" s="234"/>
      <c r="BR203" s="237" t="s">
        <v>154</v>
      </c>
      <c r="BS203" s="238">
        <v>13</v>
      </c>
      <c r="BU203" s="239">
        <f t="shared" si="17"/>
        <v>5</v>
      </c>
      <c r="CN203" s="238">
        <f t="shared" si="14"/>
        <v>5</v>
      </c>
      <c r="CO203" s="238">
        <f t="shared" si="15"/>
        <v>5</v>
      </c>
    </row>
    <row r="204" spans="1:93" ht="13.95" customHeight="1" x14ac:dyDescent="0.2">
      <c r="A204" s="231">
        <v>7653</v>
      </c>
      <c r="B204" s="232" t="s">
        <v>848</v>
      </c>
      <c r="C204" s="232" t="s">
        <v>926</v>
      </c>
      <c r="D204" s="232" t="s">
        <v>927</v>
      </c>
      <c r="E204" s="232" t="s">
        <v>317</v>
      </c>
      <c r="F204" s="231">
        <v>527507</v>
      </c>
      <c r="G204" s="231">
        <v>170721</v>
      </c>
      <c r="H204" s="232" t="s">
        <v>177</v>
      </c>
      <c r="I204" s="233">
        <v>44743</v>
      </c>
      <c r="J204" s="231"/>
      <c r="K204" s="231">
        <v>0</v>
      </c>
      <c r="L204" s="231">
        <v>5</v>
      </c>
      <c r="M204" s="231">
        <v>5</v>
      </c>
      <c r="N204" s="231">
        <v>5</v>
      </c>
      <c r="O204" s="231">
        <v>5</v>
      </c>
      <c r="P204" s="234"/>
      <c r="Q204" s="232" t="s">
        <v>928</v>
      </c>
      <c r="R204" s="234" t="s">
        <v>332</v>
      </c>
      <c r="S204" s="235">
        <v>44361</v>
      </c>
      <c r="T204" s="235">
        <v>44523</v>
      </c>
      <c r="U204" s="234"/>
      <c r="V204" s="232" t="s">
        <v>321</v>
      </c>
      <c r="W204" s="231"/>
      <c r="X204" s="232" t="s">
        <v>322</v>
      </c>
      <c r="Y204" s="232" t="s">
        <v>323</v>
      </c>
      <c r="Z204" s="232" t="s">
        <v>324</v>
      </c>
      <c r="AA204" s="232" t="s">
        <v>349</v>
      </c>
      <c r="AB204" s="236">
        <v>1.4999999999999999E-2</v>
      </c>
      <c r="AC204" s="235">
        <v>44743</v>
      </c>
      <c r="AD204" s="234" t="s">
        <v>318</v>
      </c>
      <c r="AE204" s="234"/>
      <c r="AF204" s="232" t="s">
        <v>77</v>
      </c>
      <c r="AG204" s="232" t="s">
        <v>350</v>
      </c>
      <c r="AH204" s="234" t="s">
        <v>317</v>
      </c>
      <c r="AI204" s="250"/>
      <c r="AJ204" s="234">
        <v>0</v>
      </c>
      <c r="AK204" s="224"/>
      <c r="AL204" s="234">
        <v>0</v>
      </c>
      <c r="AM204" s="224"/>
      <c r="AN204" s="234">
        <v>0</v>
      </c>
      <c r="AO204" s="234">
        <v>3</v>
      </c>
      <c r="AP204" s="234">
        <v>2</v>
      </c>
      <c r="AQ204" s="234">
        <v>0</v>
      </c>
      <c r="AR204" s="234">
        <v>0</v>
      </c>
      <c r="AS204" s="234">
        <v>0</v>
      </c>
      <c r="AT204" s="234">
        <v>0</v>
      </c>
      <c r="AU204" s="234">
        <v>0</v>
      </c>
      <c r="AV204" s="234">
        <v>3</v>
      </c>
      <c r="AW204" s="234">
        <v>2</v>
      </c>
      <c r="AX204" s="234">
        <v>0</v>
      </c>
      <c r="AY204" s="234">
        <v>0</v>
      </c>
      <c r="AZ204" s="234">
        <v>0</v>
      </c>
      <c r="BA204" s="234">
        <v>0</v>
      </c>
      <c r="BB204" s="234">
        <v>0</v>
      </c>
      <c r="BC204" s="234">
        <v>0</v>
      </c>
      <c r="BD204" s="234">
        <v>0</v>
      </c>
      <c r="BE204" s="234">
        <v>0</v>
      </c>
      <c r="BF204" s="234">
        <v>0</v>
      </c>
      <c r="BG204" s="234">
        <v>0</v>
      </c>
      <c r="BH204" s="234">
        <v>0</v>
      </c>
      <c r="BI204" s="234">
        <v>0</v>
      </c>
      <c r="BJ204" s="234">
        <v>0</v>
      </c>
      <c r="BK204" s="234">
        <v>0</v>
      </c>
      <c r="BL204" s="234">
        <v>0</v>
      </c>
      <c r="BM204" s="234">
        <v>0</v>
      </c>
      <c r="BN204" s="234">
        <v>0</v>
      </c>
      <c r="BO204" s="234">
        <v>0</v>
      </c>
      <c r="BP204" s="234"/>
      <c r="BQ204" s="234"/>
      <c r="BR204" s="237" t="s">
        <v>334</v>
      </c>
      <c r="BS204" s="238">
        <v>3</v>
      </c>
      <c r="BU204" s="239">
        <f t="shared" si="17"/>
        <v>5</v>
      </c>
      <c r="CN204" s="238">
        <f t="shared" si="14"/>
        <v>5</v>
      </c>
      <c r="CO204" s="238">
        <f t="shared" si="15"/>
        <v>5</v>
      </c>
    </row>
    <row r="205" spans="1:93" ht="13.95" customHeight="1" x14ac:dyDescent="0.2">
      <c r="A205" s="231">
        <v>7679</v>
      </c>
      <c r="B205" s="232" t="s">
        <v>848</v>
      </c>
      <c r="C205" s="232" t="s">
        <v>929</v>
      </c>
      <c r="D205" s="232" t="s">
        <v>930</v>
      </c>
      <c r="E205" s="232" t="s">
        <v>317</v>
      </c>
      <c r="F205" s="231">
        <v>529371</v>
      </c>
      <c r="G205" s="231">
        <v>171218</v>
      </c>
      <c r="H205" s="232" t="s">
        <v>166</v>
      </c>
      <c r="I205" s="233">
        <v>44869</v>
      </c>
      <c r="J205" s="231"/>
      <c r="K205" s="231">
        <v>0</v>
      </c>
      <c r="L205" s="231">
        <v>9</v>
      </c>
      <c r="M205" s="231">
        <v>9</v>
      </c>
      <c r="N205" s="231">
        <v>9</v>
      </c>
      <c r="O205" s="231">
        <v>9</v>
      </c>
      <c r="P205" s="234"/>
      <c r="Q205" s="232" t="s">
        <v>931</v>
      </c>
      <c r="R205" s="234" t="s">
        <v>629</v>
      </c>
      <c r="S205" s="235">
        <v>44376</v>
      </c>
      <c r="T205" s="235">
        <v>44447</v>
      </c>
      <c r="U205" s="234"/>
      <c r="V205" s="232" t="s">
        <v>321</v>
      </c>
      <c r="W205" s="231"/>
      <c r="X205" s="232" t="s">
        <v>322</v>
      </c>
      <c r="Y205" s="232" t="s">
        <v>323</v>
      </c>
      <c r="Z205" s="232" t="s">
        <v>324</v>
      </c>
      <c r="AA205" s="232" t="s">
        <v>349</v>
      </c>
      <c r="AB205" s="236">
        <v>1.6E-2</v>
      </c>
      <c r="AC205" s="235">
        <v>44869</v>
      </c>
      <c r="AD205" s="234" t="s">
        <v>318</v>
      </c>
      <c r="AE205" s="234"/>
      <c r="AF205" s="232" t="s">
        <v>77</v>
      </c>
      <c r="AG205" s="232" t="s">
        <v>350</v>
      </c>
      <c r="AH205" s="234" t="s">
        <v>317</v>
      </c>
      <c r="AI205" s="250"/>
      <c r="AJ205" s="234">
        <v>0</v>
      </c>
      <c r="AK205" s="224"/>
      <c r="AL205" s="234">
        <v>0</v>
      </c>
      <c r="AM205" s="224"/>
      <c r="AN205" s="234">
        <v>0</v>
      </c>
      <c r="AO205" s="234">
        <v>8</v>
      </c>
      <c r="AP205" s="234">
        <v>1</v>
      </c>
      <c r="AQ205" s="234">
        <v>0</v>
      </c>
      <c r="AR205" s="234">
        <v>0</v>
      </c>
      <c r="AS205" s="234">
        <v>0</v>
      </c>
      <c r="AT205" s="234">
        <v>0</v>
      </c>
      <c r="AU205" s="234">
        <v>0</v>
      </c>
      <c r="AV205" s="234">
        <v>8</v>
      </c>
      <c r="AW205" s="234">
        <v>1</v>
      </c>
      <c r="AX205" s="234">
        <v>0</v>
      </c>
      <c r="AY205" s="234">
        <v>0</v>
      </c>
      <c r="AZ205" s="234">
        <v>0</v>
      </c>
      <c r="BA205" s="234">
        <v>0</v>
      </c>
      <c r="BB205" s="234">
        <v>0</v>
      </c>
      <c r="BC205" s="234">
        <v>0</v>
      </c>
      <c r="BD205" s="234">
        <v>0</v>
      </c>
      <c r="BE205" s="234">
        <v>0</v>
      </c>
      <c r="BF205" s="234">
        <v>0</v>
      </c>
      <c r="BG205" s="234">
        <v>0</v>
      </c>
      <c r="BH205" s="234">
        <v>0</v>
      </c>
      <c r="BI205" s="234">
        <v>0</v>
      </c>
      <c r="BJ205" s="234">
        <v>0</v>
      </c>
      <c r="BK205" s="234">
        <v>0</v>
      </c>
      <c r="BL205" s="234">
        <v>0</v>
      </c>
      <c r="BM205" s="234">
        <v>0</v>
      </c>
      <c r="BN205" s="234">
        <v>0</v>
      </c>
      <c r="BO205" s="234">
        <v>0</v>
      </c>
      <c r="BP205" s="234"/>
      <c r="BQ205" s="234"/>
      <c r="BR205" s="237" t="s">
        <v>334</v>
      </c>
      <c r="BS205" s="238">
        <v>4</v>
      </c>
      <c r="BU205" s="239">
        <f>M205/2</f>
        <v>4.5</v>
      </c>
      <c r="BV205" s="239">
        <f>M205/2</f>
        <v>4.5</v>
      </c>
      <c r="CN205" s="238">
        <f t="shared" si="14"/>
        <v>9</v>
      </c>
      <c r="CO205" s="238">
        <f t="shared" si="15"/>
        <v>9</v>
      </c>
    </row>
    <row r="206" spans="1:93" ht="13.95" customHeight="1" x14ac:dyDescent="0.2">
      <c r="A206" s="231">
        <v>6318</v>
      </c>
      <c r="B206" s="232" t="s">
        <v>848</v>
      </c>
      <c r="C206" s="232" t="s">
        <v>932</v>
      </c>
      <c r="D206" s="232" t="s">
        <v>933</v>
      </c>
      <c r="E206" s="232" t="s">
        <v>317</v>
      </c>
      <c r="F206" s="231">
        <v>528567</v>
      </c>
      <c r="G206" s="231">
        <v>173770</v>
      </c>
      <c r="H206" s="232" t="s">
        <v>141</v>
      </c>
      <c r="I206" s="233">
        <v>44652</v>
      </c>
      <c r="J206" s="231"/>
      <c r="K206" s="231">
        <v>1</v>
      </c>
      <c r="L206" s="231">
        <v>5</v>
      </c>
      <c r="M206" s="231">
        <v>4</v>
      </c>
      <c r="N206" s="231">
        <v>5</v>
      </c>
      <c r="O206" s="231">
        <v>4</v>
      </c>
      <c r="P206" s="234"/>
      <c r="Q206" s="232" t="s">
        <v>934</v>
      </c>
      <c r="R206" s="234" t="s">
        <v>332</v>
      </c>
      <c r="S206" s="235">
        <v>42891</v>
      </c>
      <c r="T206" s="235">
        <v>43032</v>
      </c>
      <c r="U206" s="234"/>
      <c r="V206" s="232" t="s">
        <v>321</v>
      </c>
      <c r="W206" s="231"/>
      <c r="X206" s="232" t="s">
        <v>322</v>
      </c>
      <c r="Y206" s="232" t="s">
        <v>323</v>
      </c>
      <c r="Z206" s="232" t="s">
        <v>324</v>
      </c>
      <c r="AA206" s="232" t="s">
        <v>349</v>
      </c>
      <c r="AB206" s="236">
        <v>0.01</v>
      </c>
      <c r="AC206" s="235">
        <v>44652</v>
      </c>
      <c r="AD206" s="234" t="s">
        <v>318</v>
      </c>
      <c r="AE206" s="234"/>
      <c r="AF206" s="232" t="s">
        <v>77</v>
      </c>
      <c r="AG206" s="232" t="s">
        <v>350</v>
      </c>
      <c r="AH206" s="234" t="s">
        <v>317</v>
      </c>
      <c r="AI206" s="250"/>
      <c r="AJ206" s="234">
        <v>0</v>
      </c>
      <c r="AK206" s="224"/>
      <c r="AL206" s="234">
        <v>0</v>
      </c>
      <c r="AM206" s="224"/>
      <c r="AN206" s="234">
        <v>1</v>
      </c>
      <c r="AO206" s="234">
        <v>2</v>
      </c>
      <c r="AP206" s="234">
        <v>1</v>
      </c>
      <c r="AQ206" s="234">
        <v>0</v>
      </c>
      <c r="AR206" s="234">
        <v>0</v>
      </c>
      <c r="AS206" s="234">
        <v>0</v>
      </c>
      <c r="AT206" s="234">
        <v>0</v>
      </c>
      <c r="AU206" s="234">
        <v>1</v>
      </c>
      <c r="AV206" s="234">
        <v>1</v>
      </c>
      <c r="AW206" s="234">
        <v>2</v>
      </c>
      <c r="AX206" s="234">
        <v>0</v>
      </c>
      <c r="AY206" s="234">
        <v>0</v>
      </c>
      <c r="AZ206" s="234">
        <v>0</v>
      </c>
      <c r="BA206" s="234">
        <v>0</v>
      </c>
      <c r="BB206" s="234">
        <v>0</v>
      </c>
      <c r="BC206" s="234">
        <v>1</v>
      </c>
      <c r="BD206" s="234">
        <v>-1</v>
      </c>
      <c r="BE206" s="234">
        <v>0</v>
      </c>
      <c r="BF206" s="234">
        <v>0</v>
      </c>
      <c r="BG206" s="234">
        <v>0</v>
      </c>
      <c r="BH206" s="234">
        <v>0</v>
      </c>
      <c r="BI206" s="234">
        <v>0</v>
      </c>
      <c r="BJ206" s="234">
        <v>0</v>
      </c>
      <c r="BK206" s="234">
        <v>0</v>
      </c>
      <c r="BL206" s="234">
        <v>0</v>
      </c>
      <c r="BM206" s="234">
        <v>0</v>
      </c>
      <c r="BN206" s="234">
        <v>0</v>
      </c>
      <c r="BO206" s="234">
        <v>0</v>
      </c>
      <c r="BP206" s="234"/>
      <c r="BQ206" s="234"/>
      <c r="BR206" s="237" t="s">
        <v>334</v>
      </c>
      <c r="BS206" s="238">
        <v>3</v>
      </c>
      <c r="BU206" s="239">
        <f>M206</f>
        <v>4</v>
      </c>
      <c r="CN206" s="238">
        <f t="shared" si="14"/>
        <v>4</v>
      </c>
      <c r="CO206" s="238">
        <f t="shared" si="15"/>
        <v>4</v>
      </c>
    </row>
    <row r="207" spans="1:93" ht="13.95" customHeight="1" x14ac:dyDescent="0.2">
      <c r="A207" s="231">
        <v>5142</v>
      </c>
      <c r="B207" s="232" t="s">
        <v>848</v>
      </c>
      <c r="C207" s="232" t="s">
        <v>935</v>
      </c>
      <c r="D207" s="232" t="s">
        <v>936</v>
      </c>
      <c r="E207" s="232" t="s">
        <v>317</v>
      </c>
      <c r="F207" s="231">
        <v>528703</v>
      </c>
      <c r="G207" s="231">
        <v>173473</v>
      </c>
      <c r="H207" s="232" t="s">
        <v>141</v>
      </c>
      <c r="I207" s="233">
        <v>44652</v>
      </c>
      <c r="J207" s="231"/>
      <c r="K207" s="231">
        <v>1</v>
      </c>
      <c r="L207" s="231">
        <v>5</v>
      </c>
      <c r="M207" s="231">
        <v>4</v>
      </c>
      <c r="N207" s="231">
        <v>5</v>
      </c>
      <c r="O207" s="231">
        <v>4</v>
      </c>
      <c r="P207" s="234"/>
      <c r="Q207" s="232" t="s">
        <v>937</v>
      </c>
      <c r="R207" s="234" t="s">
        <v>332</v>
      </c>
      <c r="S207" s="235">
        <v>43084</v>
      </c>
      <c r="T207" s="235">
        <v>43140</v>
      </c>
      <c r="U207" s="234"/>
      <c r="V207" s="232" t="s">
        <v>321</v>
      </c>
      <c r="W207" s="231"/>
      <c r="X207" s="232" t="s">
        <v>322</v>
      </c>
      <c r="Y207" s="232" t="s">
        <v>338</v>
      </c>
      <c r="Z207" s="232" t="s">
        <v>324</v>
      </c>
      <c r="AA207" s="232" t="s">
        <v>15</v>
      </c>
      <c r="AB207" s="236">
        <v>3.6999999999999998E-2</v>
      </c>
      <c r="AC207" s="235">
        <v>44652</v>
      </c>
      <c r="AD207" s="234" t="s">
        <v>318</v>
      </c>
      <c r="AE207" s="234"/>
      <c r="AF207" s="232" t="s">
        <v>77</v>
      </c>
      <c r="AG207" s="232" t="s">
        <v>350</v>
      </c>
      <c r="AH207" s="234" t="s">
        <v>317</v>
      </c>
      <c r="AI207" s="250"/>
      <c r="AJ207" s="234">
        <v>0</v>
      </c>
      <c r="AK207" s="224"/>
      <c r="AL207" s="234">
        <v>0</v>
      </c>
      <c r="AM207" s="224"/>
      <c r="AN207" s="234">
        <v>0</v>
      </c>
      <c r="AO207" s="234">
        <v>1</v>
      </c>
      <c r="AP207" s="234">
        <v>2</v>
      </c>
      <c r="AQ207" s="234">
        <v>2</v>
      </c>
      <c r="AR207" s="234">
        <v>0</v>
      </c>
      <c r="AS207" s="234">
        <v>-1</v>
      </c>
      <c r="AT207" s="234">
        <v>0</v>
      </c>
      <c r="AU207" s="234">
        <v>0</v>
      </c>
      <c r="AV207" s="234">
        <v>1</v>
      </c>
      <c r="AW207" s="234">
        <v>2</v>
      </c>
      <c r="AX207" s="234">
        <v>2</v>
      </c>
      <c r="AY207" s="234">
        <v>0</v>
      </c>
      <c r="AZ207" s="234">
        <v>0</v>
      </c>
      <c r="BA207" s="234">
        <v>0</v>
      </c>
      <c r="BB207" s="234">
        <v>0</v>
      </c>
      <c r="BC207" s="234">
        <v>0</v>
      </c>
      <c r="BD207" s="234">
        <v>0</v>
      </c>
      <c r="BE207" s="234">
        <v>0</v>
      </c>
      <c r="BF207" s="234">
        <v>0</v>
      </c>
      <c r="BG207" s="234">
        <v>-1</v>
      </c>
      <c r="BH207" s="234">
        <v>0</v>
      </c>
      <c r="BI207" s="234">
        <v>0</v>
      </c>
      <c r="BJ207" s="234">
        <v>0</v>
      </c>
      <c r="BK207" s="234">
        <v>0</v>
      </c>
      <c r="BL207" s="234">
        <v>0</v>
      </c>
      <c r="BM207" s="234">
        <v>0</v>
      </c>
      <c r="BN207" s="234">
        <v>0</v>
      </c>
      <c r="BO207" s="234">
        <v>0</v>
      </c>
      <c r="BP207" s="234"/>
      <c r="BQ207" s="234"/>
      <c r="BR207" s="237" t="s">
        <v>141</v>
      </c>
      <c r="BS207" s="238">
        <v>13</v>
      </c>
      <c r="BU207" s="239">
        <f>M207</f>
        <v>4</v>
      </c>
      <c r="CN207" s="238">
        <f t="shared" si="14"/>
        <v>4</v>
      </c>
      <c r="CO207" s="238">
        <f t="shared" si="15"/>
        <v>4</v>
      </c>
    </row>
    <row r="208" spans="1:93" ht="13.95" customHeight="1" x14ac:dyDescent="0.2">
      <c r="A208" s="231">
        <v>7093</v>
      </c>
      <c r="B208" s="232" t="s">
        <v>848</v>
      </c>
      <c r="C208" s="232" t="s">
        <v>938</v>
      </c>
      <c r="D208" s="232" t="s">
        <v>939</v>
      </c>
      <c r="E208" s="232" t="s">
        <v>317</v>
      </c>
      <c r="F208" s="231">
        <v>527391</v>
      </c>
      <c r="G208" s="231">
        <v>171716</v>
      </c>
      <c r="H208" s="232" t="s">
        <v>176</v>
      </c>
      <c r="I208" s="233">
        <v>44753</v>
      </c>
      <c r="J208" s="231"/>
      <c r="K208" s="231">
        <v>1</v>
      </c>
      <c r="L208" s="231">
        <v>5</v>
      </c>
      <c r="M208" s="231">
        <v>4</v>
      </c>
      <c r="N208" s="231">
        <v>5</v>
      </c>
      <c r="O208" s="231">
        <v>4</v>
      </c>
      <c r="P208" s="234"/>
      <c r="Q208" s="232" t="s">
        <v>940</v>
      </c>
      <c r="R208" s="234" t="s">
        <v>332</v>
      </c>
      <c r="S208" s="235">
        <v>44117</v>
      </c>
      <c r="T208" s="235">
        <v>44256</v>
      </c>
      <c r="U208" s="234"/>
      <c r="V208" s="232" t="s">
        <v>321</v>
      </c>
      <c r="W208" s="231"/>
      <c r="X208" s="232" t="s">
        <v>322</v>
      </c>
      <c r="Y208" s="232" t="s">
        <v>323</v>
      </c>
      <c r="Z208" s="232" t="s">
        <v>324</v>
      </c>
      <c r="AA208" s="232" t="s">
        <v>349</v>
      </c>
      <c r="AB208" s="236">
        <v>0.02</v>
      </c>
      <c r="AC208" s="235">
        <v>44753</v>
      </c>
      <c r="AD208" s="234" t="s">
        <v>318</v>
      </c>
      <c r="AE208" s="234"/>
      <c r="AF208" s="232" t="s">
        <v>77</v>
      </c>
      <c r="AG208" s="232" t="s">
        <v>350</v>
      </c>
      <c r="AH208" s="234" t="s">
        <v>317</v>
      </c>
      <c r="AI208" s="250"/>
      <c r="AJ208" s="234">
        <v>0</v>
      </c>
      <c r="AK208" s="224"/>
      <c r="AL208" s="234">
        <v>0</v>
      </c>
      <c r="AM208" s="224"/>
      <c r="AN208" s="234">
        <v>0</v>
      </c>
      <c r="AO208" s="234">
        <v>3</v>
      </c>
      <c r="AP208" s="234">
        <v>0</v>
      </c>
      <c r="AQ208" s="234">
        <v>2</v>
      </c>
      <c r="AR208" s="234">
        <v>-1</v>
      </c>
      <c r="AS208" s="234">
        <v>0</v>
      </c>
      <c r="AT208" s="234">
        <v>0</v>
      </c>
      <c r="AU208" s="234">
        <v>0</v>
      </c>
      <c r="AV208" s="234">
        <v>3</v>
      </c>
      <c r="AW208" s="234">
        <v>0</v>
      </c>
      <c r="AX208" s="234">
        <v>2</v>
      </c>
      <c r="AY208" s="234">
        <v>0</v>
      </c>
      <c r="AZ208" s="234">
        <v>0</v>
      </c>
      <c r="BA208" s="234">
        <v>0</v>
      </c>
      <c r="BB208" s="234">
        <v>0</v>
      </c>
      <c r="BC208" s="234">
        <v>0</v>
      </c>
      <c r="BD208" s="234">
        <v>0</v>
      </c>
      <c r="BE208" s="234">
        <v>0</v>
      </c>
      <c r="BF208" s="234">
        <v>-1</v>
      </c>
      <c r="BG208" s="234">
        <v>0</v>
      </c>
      <c r="BH208" s="234">
        <v>0</v>
      </c>
      <c r="BI208" s="234">
        <v>0</v>
      </c>
      <c r="BJ208" s="234">
        <v>0</v>
      </c>
      <c r="BK208" s="234">
        <v>0</v>
      </c>
      <c r="BL208" s="234">
        <v>0</v>
      </c>
      <c r="BM208" s="234">
        <v>0</v>
      </c>
      <c r="BN208" s="234">
        <v>0</v>
      </c>
      <c r="BO208" s="234">
        <v>0</v>
      </c>
      <c r="BP208" s="234"/>
      <c r="BQ208" s="234"/>
      <c r="BR208" s="237" t="s">
        <v>334</v>
      </c>
      <c r="BS208" s="238">
        <v>3</v>
      </c>
      <c r="BU208" s="239">
        <f>M208</f>
        <v>4</v>
      </c>
      <c r="CN208" s="238">
        <f t="shared" si="14"/>
        <v>4</v>
      </c>
      <c r="CO208" s="238">
        <f t="shared" si="15"/>
        <v>4</v>
      </c>
    </row>
    <row r="209" spans="1:93" ht="13.95" customHeight="1" x14ac:dyDescent="0.2">
      <c r="A209" s="231">
        <v>7679</v>
      </c>
      <c r="B209" s="232" t="s">
        <v>848</v>
      </c>
      <c r="C209" s="232" t="s">
        <v>941</v>
      </c>
      <c r="D209" s="232" t="s">
        <v>930</v>
      </c>
      <c r="E209" s="232" t="s">
        <v>317</v>
      </c>
      <c r="F209" s="231">
        <v>529371</v>
      </c>
      <c r="G209" s="231">
        <v>171218</v>
      </c>
      <c r="H209" s="232" t="s">
        <v>166</v>
      </c>
      <c r="I209" s="233">
        <v>44869</v>
      </c>
      <c r="J209" s="231"/>
      <c r="K209" s="231">
        <v>0</v>
      </c>
      <c r="L209" s="231">
        <v>8</v>
      </c>
      <c r="M209" s="231">
        <v>8</v>
      </c>
      <c r="N209" s="231">
        <v>8</v>
      </c>
      <c r="O209" s="231">
        <v>8</v>
      </c>
      <c r="P209" s="234"/>
      <c r="Q209" s="232" t="s">
        <v>942</v>
      </c>
      <c r="R209" s="234" t="s">
        <v>332</v>
      </c>
      <c r="S209" s="235">
        <v>44627</v>
      </c>
      <c r="T209" s="235">
        <v>44742</v>
      </c>
      <c r="U209" s="234" t="s">
        <v>318</v>
      </c>
      <c r="V209" s="232" t="s">
        <v>321</v>
      </c>
      <c r="W209" s="231"/>
      <c r="X209" s="232" t="s">
        <v>322</v>
      </c>
      <c r="Y209" s="232" t="s">
        <v>338</v>
      </c>
      <c r="Z209" s="232" t="s">
        <v>324</v>
      </c>
      <c r="AA209" s="232" t="s">
        <v>25</v>
      </c>
      <c r="AB209" s="236">
        <v>1.7649999999999999E-2</v>
      </c>
      <c r="AC209" s="235">
        <v>44869</v>
      </c>
      <c r="AD209" s="234" t="s">
        <v>318</v>
      </c>
      <c r="AE209" s="234"/>
      <c r="AF209" s="232" t="s">
        <v>77</v>
      </c>
      <c r="AG209" s="232" t="s">
        <v>350</v>
      </c>
      <c r="AH209" s="234" t="s">
        <v>317</v>
      </c>
      <c r="AI209" s="250"/>
      <c r="AJ209" s="234">
        <v>0</v>
      </c>
      <c r="AK209" s="224"/>
      <c r="AL209" s="234">
        <v>0</v>
      </c>
      <c r="AM209" s="224"/>
      <c r="AN209" s="234">
        <v>0</v>
      </c>
      <c r="AO209" s="234">
        <v>1</v>
      </c>
      <c r="AP209" s="234">
        <v>6</v>
      </c>
      <c r="AQ209" s="234">
        <v>1</v>
      </c>
      <c r="AR209" s="234">
        <v>0</v>
      </c>
      <c r="AS209" s="234">
        <v>0</v>
      </c>
      <c r="AT209" s="234">
        <v>0</v>
      </c>
      <c r="AU209" s="234">
        <v>0</v>
      </c>
      <c r="AV209" s="234">
        <v>1</v>
      </c>
      <c r="AW209" s="234">
        <v>6</v>
      </c>
      <c r="AX209" s="234">
        <v>1</v>
      </c>
      <c r="AY209" s="234">
        <v>0</v>
      </c>
      <c r="AZ209" s="234">
        <v>0</v>
      </c>
      <c r="BA209" s="234">
        <v>0</v>
      </c>
      <c r="BB209" s="234">
        <v>0</v>
      </c>
      <c r="BC209" s="234">
        <v>0</v>
      </c>
      <c r="BD209" s="234">
        <v>0</v>
      </c>
      <c r="BE209" s="234">
        <v>0</v>
      </c>
      <c r="BF209" s="234">
        <v>0</v>
      </c>
      <c r="BG209" s="234">
        <v>0</v>
      </c>
      <c r="BH209" s="234">
        <v>0</v>
      </c>
      <c r="BI209" s="234">
        <v>0</v>
      </c>
      <c r="BJ209" s="234">
        <v>0</v>
      </c>
      <c r="BK209" s="234">
        <v>0</v>
      </c>
      <c r="BL209" s="234">
        <v>0</v>
      </c>
      <c r="BM209" s="234">
        <v>0</v>
      </c>
      <c r="BN209" s="234">
        <v>0</v>
      </c>
      <c r="BO209" s="234">
        <v>0</v>
      </c>
      <c r="BP209" s="234"/>
      <c r="BQ209" s="234"/>
      <c r="BR209" s="237" t="s">
        <v>334</v>
      </c>
      <c r="BS209" s="238">
        <v>14</v>
      </c>
      <c r="BU209" s="239">
        <f>M209/2</f>
        <v>4</v>
      </c>
      <c r="BV209" s="239">
        <f>M209/2</f>
        <v>4</v>
      </c>
      <c r="CN209" s="238">
        <f t="shared" si="14"/>
        <v>8</v>
      </c>
      <c r="CO209" s="238">
        <f t="shared" si="15"/>
        <v>8</v>
      </c>
    </row>
    <row r="210" spans="1:93" ht="13.95" customHeight="1" x14ac:dyDescent="0.2">
      <c r="A210" s="231">
        <v>6317</v>
      </c>
      <c r="B210" s="232" t="s">
        <v>848</v>
      </c>
      <c r="C210" s="232" t="s">
        <v>943</v>
      </c>
      <c r="D210" s="232" t="s">
        <v>944</v>
      </c>
      <c r="E210" s="232" t="s">
        <v>317</v>
      </c>
      <c r="F210" s="231">
        <v>522879</v>
      </c>
      <c r="G210" s="231">
        <v>174549</v>
      </c>
      <c r="H210" s="232" t="s">
        <v>183</v>
      </c>
      <c r="I210" s="233">
        <v>44452</v>
      </c>
      <c r="J210" s="231"/>
      <c r="K210" s="231">
        <v>0</v>
      </c>
      <c r="L210" s="231">
        <v>4</v>
      </c>
      <c r="M210" s="231">
        <v>4</v>
      </c>
      <c r="N210" s="231">
        <v>4</v>
      </c>
      <c r="O210" s="231">
        <v>4</v>
      </c>
      <c r="P210" s="234"/>
      <c r="Q210" s="232" t="s">
        <v>945</v>
      </c>
      <c r="R210" s="234" t="s">
        <v>332</v>
      </c>
      <c r="S210" s="235">
        <v>43276</v>
      </c>
      <c r="T210" s="235">
        <v>43396</v>
      </c>
      <c r="U210" s="234"/>
      <c r="V210" s="232" t="s">
        <v>321</v>
      </c>
      <c r="W210" s="231"/>
      <c r="X210" s="232" t="s">
        <v>322</v>
      </c>
      <c r="Y210" s="232" t="s">
        <v>323</v>
      </c>
      <c r="Z210" s="232" t="s">
        <v>324</v>
      </c>
      <c r="AA210" s="232" t="s">
        <v>349</v>
      </c>
      <c r="AB210" s="236">
        <v>5.6000000000000001E-2</v>
      </c>
      <c r="AC210" s="235">
        <v>44452</v>
      </c>
      <c r="AD210" s="234"/>
      <c r="AE210" s="234"/>
      <c r="AF210" s="232" t="s">
        <v>77</v>
      </c>
      <c r="AG210" s="232" t="s">
        <v>350</v>
      </c>
      <c r="AH210" s="234" t="s">
        <v>317</v>
      </c>
      <c r="AI210" s="250"/>
      <c r="AJ210" s="234">
        <v>0</v>
      </c>
      <c r="AK210" s="224"/>
      <c r="AL210" s="234">
        <v>0</v>
      </c>
      <c r="AM210" s="224"/>
      <c r="AN210" s="234">
        <v>0</v>
      </c>
      <c r="AO210" s="234">
        <v>0</v>
      </c>
      <c r="AP210" s="234">
        <v>4</v>
      </c>
      <c r="AQ210" s="234">
        <v>0</v>
      </c>
      <c r="AR210" s="234">
        <v>0</v>
      </c>
      <c r="AS210" s="234">
        <v>0</v>
      </c>
      <c r="AT210" s="234">
        <v>0</v>
      </c>
      <c r="AU210" s="234">
        <v>0</v>
      </c>
      <c r="AV210" s="234">
        <v>0</v>
      </c>
      <c r="AW210" s="234">
        <v>0</v>
      </c>
      <c r="AX210" s="234">
        <v>0</v>
      </c>
      <c r="AY210" s="234">
        <v>0</v>
      </c>
      <c r="AZ210" s="234">
        <v>0</v>
      </c>
      <c r="BA210" s="234">
        <v>0</v>
      </c>
      <c r="BB210" s="234">
        <v>0</v>
      </c>
      <c r="BC210" s="234">
        <v>0</v>
      </c>
      <c r="BD210" s="234">
        <v>4</v>
      </c>
      <c r="BE210" s="234">
        <v>0</v>
      </c>
      <c r="BF210" s="234">
        <v>0</v>
      </c>
      <c r="BG210" s="234">
        <v>0</v>
      </c>
      <c r="BH210" s="234">
        <v>0</v>
      </c>
      <c r="BI210" s="234">
        <v>0</v>
      </c>
      <c r="BJ210" s="234">
        <v>0</v>
      </c>
      <c r="BK210" s="234">
        <v>0</v>
      </c>
      <c r="BL210" s="234">
        <v>0</v>
      </c>
      <c r="BM210" s="234">
        <v>0</v>
      </c>
      <c r="BN210" s="234">
        <v>0</v>
      </c>
      <c r="BO210" s="234">
        <v>0</v>
      </c>
      <c r="BP210" s="234"/>
      <c r="BQ210" s="234"/>
      <c r="BR210" s="237" t="s">
        <v>334</v>
      </c>
      <c r="BS210" s="238">
        <v>3</v>
      </c>
      <c r="BU210" s="239">
        <f t="shared" ref="BU210:BU227" si="18">M210</f>
        <v>4</v>
      </c>
      <c r="CN210" s="238">
        <f t="shared" si="14"/>
        <v>4</v>
      </c>
      <c r="CO210" s="238">
        <f t="shared" si="15"/>
        <v>4</v>
      </c>
    </row>
    <row r="211" spans="1:93" ht="13.95" customHeight="1" x14ac:dyDescent="0.2">
      <c r="A211" s="231">
        <v>2154</v>
      </c>
      <c r="B211" s="232" t="s">
        <v>848</v>
      </c>
      <c r="C211" s="232" t="s">
        <v>946</v>
      </c>
      <c r="D211" s="232" t="s">
        <v>947</v>
      </c>
      <c r="E211" s="232" t="s">
        <v>317</v>
      </c>
      <c r="F211" s="231">
        <v>527691</v>
      </c>
      <c r="G211" s="231">
        <v>171695</v>
      </c>
      <c r="H211" s="232" t="s">
        <v>176</v>
      </c>
      <c r="I211" s="233">
        <v>42989</v>
      </c>
      <c r="J211" s="231"/>
      <c r="K211" s="231">
        <v>0</v>
      </c>
      <c r="L211" s="231">
        <v>4</v>
      </c>
      <c r="M211" s="231">
        <v>4</v>
      </c>
      <c r="N211" s="231">
        <v>4</v>
      </c>
      <c r="O211" s="231">
        <v>4</v>
      </c>
      <c r="P211" s="234"/>
      <c r="Q211" s="232" t="s">
        <v>948</v>
      </c>
      <c r="R211" s="234" t="s">
        <v>332</v>
      </c>
      <c r="S211" s="235">
        <v>41765</v>
      </c>
      <c r="T211" s="235">
        <v>41838</v>
      </c>
      <c r="U211" s="234"/>
      <c r="V211" s="232" t="s">
        <v>321</v>
      </c>
      <c r="W211" s="231"/>
      <c r="X211" s="232" t="s">
        <v>322</v>
      </c>
      <c r="Y211" s="232" t="s">
        <v>338</v>
      </c>
      <c r="Z211" s="232" t="s">
        <v>324</v>
      </c>
      <c r="AA211" s="232" t="s">
        <v>349</v>
      </c>
      <c r="AB211" s="236">
        <v>1.9E-2</v>
      </c>
      <c r="AC211" s="235">
        <v>42989</v>
      </c>
      <c r="AD211" s="234"/>
      <c r="AE211" s="234"/>
      <c r="AF211" s="232" t="s">
        <v>77</v>
      </c>
      <c r="AG211" s="232" t="s">
        <v>350</v>
      </c>
      <c r="AH211" s="234" t="s">
        <v>317</v>
      </c>
      <c r="AI211" s="250"/>
      <c r="AJ211" s="234">
        <v>0</v>
      </c>
      <c r="AK211" s="224"/>
      <c r="AL211" s="234">
        <v>0</v>
      </c>
      <c r="AM211" s="224"/>
      <c r="AN211" s="234">
        <v>0</v>
      </c>
      <c r="AO211" s="234">
        <v>0</v>
      </c>
      <c r="AP211" s="234">
        <v>2</v>
      </c>
      <c r="AQ211" s="234">
        <v>2</v>
      </c>
      <c r="AR211" s="234">
        <v>0</v>
      </c>
      <c r="AS211" s="234">
        <v>0</v>
      </c>
      <c r="AT211" s="234">
        <v>0</v>
      </c>
      <c r="AU211" s="234">
        <v>0</v>
      </c>
      <c r="AV211" s="234">
        <v>0</v>
      </c>
      <c r="AW211" s="234">
        <v>2</v>
      </c>
      <c r="AX211" s="234">
        <v>2</v>
      </c>
      <c r="AY211" s="234">
        <v>0</v>
      </c>
      <c r="AZ211" s="234">
        <v>0</v>
      </c>
      <c r="BA211" s="234">
        <v>0</v>
      </c>
      <c r="BB211" s="234">
        <v>0</v>
      </c>
      <c r="BC211" s="234">
        <v>0</v>
      </c>
      <c r="BD211" s="234">
        <v>0</v>
      </c>
      <c r="BE211" s="234">
        <v>0</v>
      </c>
      <c r="BF211" s="234">
        <v>0</v>
      </c>
      <c r="BG211" s="234">
        <v>0</v>
      </c>
      <c r="BH211" s="234">
        <v>0</v>
      </c>
      <c r="BI211" s="234">
        <v>0</v>
      </c>
      <c r="BJ211" s="234">
        <v>0</v>
      </c>
      <c r="BK211" s="234">
        <v>0</v>
      </c>
      <c r="BL211" s="234">
        <v>0</v>
      </c>
      <c r="BM211" s="234">
        <v>0</v>
      </c>
      <c r="BN211" s="234">
        <v>0</v>
      </c>
      <c r="BO211" s="234">
        <v>0</v>
      </c>
      <c r="BP211" s="234"/>
      <c r="BQ211" s="234"/>
      <c r="BR211" s="237" t="s">
        <v>144</v>
      </c>
      <c r="BS211" s="238">
        <v>13</v>
      </c>
      <c r="BU211" s="239">
        <f t="shared" si="18"/>
        <v>4</v>
      </c>
      <c r="CN211" s="238">
        <f t="shared" si="14"/>
        <v>4</v>
      </c>
      <c r="CO211" s="238">
        <f t="shared" si="15"/>
        <v>4</v>
      </c>
    </row>
    <row r="212" spans="1:93" ht="13.95" customHeight="1" x14ac:dyDescent="0.2">
      <c r="A212" s="231">
        <v>1188</v>
      </c>
      <c r="B212" s="232" t="s">
        <v>848</v>
      </c>
      <c r="C212" s="232" t="s">
        <v>949</v>
      </c>
      <c r="D212" s="232" t="s">
        <v>950</v>
      </c>
      <c r="E212" s="232" t="s">
        <v>317</v>
      </c>
      <c r="F212" s="231">
        <v>526940</v>
      </c>
      <c r="G212" s="231">
        <v>175148</v>
      </c>
      <c r="H212" s="232" t="s">
        <v>181</v>
      </c>
      <c r="I212" s="233">
        <v>44652</v>
      </c>
      <c r="J212" s="231"/>
      <c r="K212" s="231">
        <v>0</v>
      </c>
      <c r="L212" s="231">
        <v>3</v>
      </c>
      <c r="M212" s="231">
        <v>3</v>
      </c>
      <c r="N212" s="231">
        <v>3</v>
      </c>
      <c r="O212" s="231">
        <v>3</v>
      </c>
      <c r="P212" s="234"/>
      <c r="Q212" s="232" t="s">
        <v>951</v>
      </c>
      <c r="R212" s="234" t="s">
        <v>332</v>
      </c>
      <c r="S212" s="235">
        <v>43468</v>
      </c>
      <c r="T212" s="235">
        <v>43644</v>
      </c>
      <c r="U212" s="234"/>
      <c r="V212" s="232" t="s">
        <v>321</v>
      </c>
      <c r="W212" s="231"/>
      <c r="X212" s="232" t="s">
        <v>322</v>
      </c>
      <c r="Y212" s="232" t="s">
        <v>338</v>
      </c>
      <c r="Z212" s="232" t="s">
        <v>324</v>
      </c>
      <c r="AA212" s="232" t="s">
        <v>349</v>
      </c>
      <c r="AB212" s="236">
        <v>7.0000000000000001E-3</v>
      </c>
      <c r="AC212" s="235">
        <v>44652</v>
      </c>
      <c r="AD212" s="234" t="s">
        <v>318</v>
      </c>
      <c r="AE212" s="234"/>
      <c r="AF212" s="232" t="s">
        <v>77</v>
      </c>
      <c r="AG212" s="232" t="s">
        <v>350</v>
      </c>
      <c r="AH212" s="234" t="s">
        <v>317</v>
      </c>
      <c r="AI212" s="250"/>
      <c r="AJ212" s="234">
        <v>0</v>
      </c>
      <c r="AK212" s="224"/>
      <c r="AL212" s="234">
        <v>0</v>
      </c>
      <c r="AM212" s="224"/>
      <c r="AN212" s="234">
        <v>0</v>
      </c>
      <c r="AO212" s="234">
        <v>0</v>
      </c>
      <c r="AP212" s="234">
        <v>3</v>
      </c>
      <c r="AQ212" s="234">
        <v>0</v>
      </c>
      <c r="AR212" s="234">
        <v>0</v>
      </c>
      <c r="AS212" s="234">
        <v>0</v>
      </c>
      <c r="AT212" s="234">
        <v>0</v>
      </c>
      <c r="AU212" s="234">
        <v>0</v>
      </c>
      <c r="AV212" s="234">
        <v>0</v>
      </c>
      <c r="AW212" s="234">
        <v>3</v>
      </c>
      <c r="AX212" s="234">
        <v>0</v>
      </c>
      <c r="AY212" s="234">
        <v>0</v>
      </c>
      <c r="AZ212" s="234">
        <v>0</v>
      </c>
      <c r="BA212" s="234">
        <v>0</v>
      </c>
      <c r="BB212" s="234">
        <v>0</v>
      </c>
      <c r="BC212" s="234">
        <v>0</v>
      </c>
      <c r="BD212" s="234">
        <v>0</v>
      </c>
      <c r="BE212" s="234">
        <v>0</v>
      </c>
      <c r="BF212" s="234">
        <v>0</v>
      </c>
      <c r="BG212" s="234">
        <v>0</v>
      </c>
      <c r="BH212" s="234">
        <v>0</v>
      </c>
      <c r="BI212" s="234">
        <v>0</v>
      </c>
      <c r="BJ212" s="234">
        <v>0</v>
      </c>
      <c r="BK212" s="234">
        <v>0</v>
      </c>
      <c r="BL212" s="234">
        <v>0</v>
      </c>
      <c r="BM212" s="234">
        <v>0</v>
      </c>
      <c r="BN212" s="234">
        <v>0</v>
      </c>
      <c r="BO212" s="234">
        <v>0</v>
      </c>
      <c r="BP212" s="234"/>
      <c r="BQ212" s="234"/>
      <c r="BR212" s="237" t="s">
        <v>334</v>
      </c>
      <c r="BS212" s="238">
        <v>13</v>
      </c>
      <c r="BU212" s="239">
        <f t="shared" si="18"/>
        <v>3</v>
      </c>
      <c r="CN212" s="238">
        <f t="shared" si="14"/>
        <v>3</v>
      </c>
      <c r="CO212" s="238">
        <f t="shared" si="15"/>
        <v>3</v>
      </c>
    </row>
    <row r="213" spans="1:93" ht="13.95" customHeight="1" x14ac:dyDescent="0.2">
      <c r="A213" s="231">
        <v>4260</v>
      </c>
      <c r="B213" s="232" t="s">
        <v>848</v>
      </c>
      <c r="C213" s="232" t="s">
        <v>952</v>
      </c>
      <c r="D213" s="232" t="s">
        <v>953</v>
      </c>
      <c r="E213" s="232" t="s">
        <v>317</v>
      </c>
      <c r="F213" s="231">
        <v>526461</v>
      </c>
      <c r="G213" s="231">
        <v>172543</v>
      </c>
      <c r="H213" s="232" t="s">
        <v>180</v>
      </c>
      <c r="I213" s="233">
        <v>43190</v>
      </c>
      <c r="J213" s="231"/>
      <c r="K213" s="231">
        <v>0</v>
      </c>
      <c r="L213" s="231">
        <v>3</v>
      </c>
      <c r="M213" s="231">
        <v>3</v>
      </c>
      <c r="N213" s="231">
        <v>3</v>
      </c>
      <c r="O213" s="231">
        <v>3</v>
      </c>
      <c r="P213" s="234"/>
      <c r="Q213" s="232" t="s">
        <v>954</v>
      </c>
      <c r="R213" s="234" t="s">
        <v>332</v>
      </c>
      <c r="S213" s="235">
        <v>41568</v>
      </c>
      <c r="T213" s="235">
        <v>41568</v>
      </c>
      <c r="U213" s="234"/>
      <c r="V213" s="232" t="s">
        <v>321</v>
      </c>
      <c r="W213" s="231"/>
      <c r="X213" s="232" t="s">
        <v>322</v>
      </c>
      <c r="Y213" s="232" t="s">
        <v>338</v>
      </c>
      <c r="Z213" s="232" t="s">
        <v>324</v>
      </c>
      <c r="AA213" s="232" t="s">
        <v>25</v>
      </c>
      <c r="AB213" s="236">
        <v>3.4000000000000002E-2</v>
      </c>
      <c r="AC213" s="235">
        <v>43190</v>
      </c>
      <c r="AD213" s="234"/>
      <c r="AE213" s="234"/>
      <c r="AF213" s="232" t="s">
        <v>77</v>
      </c>
      <c r="AG213" s="232" t="s">
        <v>350</v>
      </c>
      <c r="AH213" s="234" t="s">
        <v>317</v>
      </c>
      <c r="AI213" s="250"/>
      <c r="AJ213" s="234">
        <v>0</v>
      </c>
      <c r="AK213" s="224"/>
      <c r="AL213" s="234">
        <v>0</v>
      </c>
      <c r="AM213" s="224"/>
      <c r="AN213" s="234">
        <v>0</v>
      </c>
      <c r="AO213" s="234">
        <v>0</v>
      </c>
      <c r="AP213" s="234">
        <v>2</v>
      </c>
      <c r="AQ213" s="234">
        <v>1</v>
      </c>
      <c r="AR213" s="234">
        <v>0</v>
      </c>
      <c r="AS213" s="234">
        <v>0</v>
      </c>
      <c r="AT213" s="234">
        <v>0</v>
      </c>
      <c r="AU213" s="234">
        <v>0</v>
      </c>
      <c r="AV213" s="234">
        <v>0</v>
      </c>
      <c r="AW213" s="234">
        <v>2</v>
      </c>
      <c r="AX213" s="234">
        <v>1</v>
      </c>
      <c r="AY213" s="234">
        <v>0</v>
      </c>
      <c r="AZ213" s="234">
        <v>0</v>
      </c>
      <c r="BA213" s="234">
        <v>0</v>
      </c>
      <c r="BB213" s="234">
        <v>0</v>
      </c>
      <c r="BC213" s="234">
        <v>0</v>
      </c>
      <c r="BD213" s="234">
        <v>0</v>
      </c>
      <c r="BE213" s="234">
        <v>0</v>
      </c>
      <c r="BF213" s="234">
        <v>0</v>
      </c>
      <c r="BG213" s="234">
        <v>0</v>
      </c>
      <c r="BH213" s="234">
        <v>0</v>
      </c>
      <c r="BI213" s="234">
        <v>0</v>
      </c>
      <c r="BJ213" s="234">
        <v>0</v>
      </c>
      <c r="BK213" s="234">
        <v>0</v>
      </c>
      <c r="BL213" s="234">
        <v>0</v>
      </c>
      <c r="BM213" s="234">
        <v>0</v>
      </c>
      <c r="BN213" s="234">
        <v>0</v>
      </c>
      <c r="BO213" s="234">
        <v>0</v>
      </c>
      <c r="BP213" s="234"/>
      <c r="BQ213" s="234"/>
      <c r="BR213" s="237" t="s">
        <v>334</v>
      </c>
      <c r="BS213" s="238">
        <v>13</v>
      </c>
      <c r="BU213" s="239">
        <f t="shared" si="18"/>
        <v>3</v>
      </c>
      <c r="CN213" s="238">
        <f t="shared" si="14"/>
        <v>3</v>
      </c>
      <c r="CO213" s="238">
        <f t="shared" si="15"/>
        <v>3</v>
      </c>
    </row>
    <row r="214" spans="1:93" ht="13.95" customHeight="1" x14ac:dyDescent="0.2">
      <c r="A214" s="231">
        <v>7781</v>
      </c>
      <c r="B214" s="232" t="s">
        <v>848</v>
      </c>
      <c r="C214" s="232" t="s">
        <v>955</v>
      </c>
      <c r="D214" s="232" t="s">
        <v>956</v>
      </c>
      <c r="E214" s="232" t="s">
        <v>317</v>
      </c>
      <c r="F214" s="231">
        <v>527713</v>
      </c>
      <c r="G214" s="231">
        <v>175549</v>
      </c>
      <c r="H214" s="232" t="s">
        <v>171</v>
      </c>
      <c r="I214" s="233">
        <v>44652</v>
      </c>
      <c r="J214" s="231"/>
      <c r="K214" s="231">
        <v>1</v>
      </c>
      <c r="L214" s="231">
        <v>4</v>
      </c>
      <c r="M214" s="231">
        <v>3</v>
      </c>
      <c r="N214" s="231">
        <v>4</v>
      </c>
      <c r="O214" s="231">
        <v>3</v>
      </c>
      <c r="P214" s="234"/>
      <c r="Q214" s="232" t="s">
        <v>957</v>
      </c>
      <c r="R214" s="234" t="s">
        <v>332</v>
      </c>
      <c r="S214" s="235">
        <v>44494</v>
      </c>
      <c r="T214" s="235">
        <v>44623</v>
      </c>
      <c r="U214" s="234"/>
      <c r="V214" s="232" t="s">
        <v>321</v>
      </c>
      <c r="W214" s="231"/>
      <c r="X214" s="232" t="s">
        <v>322</v>
      </c>
      <c r="Y214" s="232" t="s">
        <v>338</v>
      </c>
      <c r="Z214" s="232" t="s">
        <v>324</v>
      </c>
      <c r="AA214" s="232" t="s">
        <v>553</v>
      </c>
      <c r="AB214" s="236">
        <v>5.3499999999999997E-3</v>
      </c>
      <c r="AC214" s="235">
        <v>44652</v>
      </c>
      <c r="AD214" s="234" t="s">
        <v>318</v>
      </c>
      <c r="AE214" s="235"/>
      <c r="AF214" s="232" t="s">
        <v>77</v>
      </c>
      <c r="AG214" s="232" t="s">
        <v>350</v>
      </c>
      <c r="AH214" s="234" t="s">
        <v>317</v>
      </c>
      <c r="AI214" s="250"/>
      <c r="AJ214" s="234">
        <v>0</v>
      </c>
      <c r="AK214" s="224"/>
      <c r="AL214" s="234">
        <v>0</v>
      </c>
      <c r="AM214" s="224"/>
      <c r="AN214" s="234">
        <v>0</v>
      </c>
      <c r="AO214" s="234">
        <v>2</v>
      </c>
      <c r="AP214" s="234">
        <v>2</v>
      </c>
      <c r="AQ214" s="234">
        <v>0</v>
      </c>
      <c r="AR214" s="234">
        <v>0</v>
      </c>
      <c r="AS214" s="234">
        <v>-1</v>
      </c>
      <c r="AT214" s="234">
        <v>0</v>
      </c>
      <c r="AU214" s="234">
        <v>0</v>
      </c>
      <c r="AV214" s="234">
        <v>2</v>
      </c>
      <c r="AW214" s="234">
        <v>2</v>
      </c>
      <c r="AX214" s="234">
        <v>0</v>
      </c>
      <c r="AY214" s="234">
        <v>0</v>
      </c>
      <c r="AZ214" s="234">
        <v>-1</v>
      </c>
      <c r="BA214" s="234">
        <v>0</v>
      </c>
      <c r="BB214" s="234">
        <v>0</v>
      </c>
      <c r="BC214" s="234">
        <v>0</v>
      </c>
      <c r="BD214" s="234">
        <v>0</v>
      </c>
      <c r="BE214" s="234">
        <v>0</v>
      </c>
      <c r="BF214" s="234">
        <v>0</v>
      </c>
      <c r="BG214" s="234">
        <v>0</v>
      </c>
      <c r="BH214" s="234">
        <v>0</v>
      </c>
      <c r="BI214" s="234">
        <v>0</v>
      </c>
      <c r="BJ214" s="234">
        <v>0</v>
      </c>
      <c r="BK214" s="234">
        <v>0</v>
      </c>
      <c r="BL214" s="234">
        <v>0</v>
      </c>
      <c r="BM214" s="234">
        <v>0</v>
      </c>
      <c r="BN214" s="234">
        <v>0</v>
      </c>
      <c r="BO214" s="234">
        <v>0</v>
      </c>
      <c r="BP214" s="234" t="s">
        <v>142</v>
      </c>
      <c r="BQ214" s="234"/>
      <c r="BR214" s="237" t="s">
        <v>150</v>
      </c>
      <c r="BS214" s="238">
        <v>13</v>
      </c>
      <c r="BU214" s="239">
        <f t="shared" si="18"/>
        <v>3</v>
      </c>
      <c r="CN214" s="238">
        <f t="shared" si="14"/>
        <v>3</v>
      </c>
      <c r="CO214" s="238">
        <f t="shared" si="15"/>
        <v>3</v>
      </c>
    </row>
    <row r="215" spans="1:93" ht="13.95" customHeight="1" x14ac:dyDescent="0.2">
      <c r="A215" s="231">
        <v>4693</v>
      </c>
      <c r="B215" s="232" t="s">
        <v>848</v>
      </c>
      <c r="C215" s="232" t="s">
        <v>958</v>
      </c>
      <c r="D215" s="232" t="s">
        <v>959</v>
      </c>
      <c r="E215" s="232" t="s">
        <v>317</v>
      </c>
      <c r="F215" s="231">
        <v>524887</v>
      </c>
      <c r="G215" s="231">
        <v>174632</v>
      </c>
      <c r="H215" s="232" t="s">
        <v>164</v>
      </c>
      <c r="I215" s="233">
        <v>44652</v>
      </c>
      <c r="J215" s="231"/>
      <c r="K215" s="231">
        <v>0</v>
      </c>
      <c r="L215" s="231">
        <v>3</v>
      </c>
      <c r="M215" s="231">
        <v>3</v>
      </c>
      <c r="N215" s="231">
        <v>3</v>
      </c>
      <c r="O215" s="231">
        <v>3</v>
      </c>
      <c r="P215" s="234"/>
      <c r="Q215" s="232" t="s">
        <v>960</v>
      </c>
      <c r="R215" s="234" t="s">
        <v>332</v>
      </c>
      <c r="S215" s="235">
        <v>44186</v>
      </c>
      <c r="T215" s="235">
        <v>44264</v>
      </c>
      <c r="U215" s="234"/>
      <c r="V215" s="232" t="s">
        <v>321</v>
      </c>
      <c r="W215" s="231"/>
      <c r="X215" s="232" t="s">
        <v>322</v>
      </c>
      <c r="Y215" s="232" t="s">
        <v>338</v>
      </c>
      <c r="Z215" s="232" t="s">
        <v>324</v>
      </c>
      <c r="AA215" s="232" t="s">
        <v>349</v>
      </c>
      <c r="AB215" s="236">
        <v>5.0000000000000001E-3</v>
      </c>
      <c r="AC215" s="235">
        <v>44652</v>
      </c>
      <c r="AD215" s="234" t="s">
        <v>318</v>
      </c>
      <c r="AE215" s="235"/>
      <c r="AF215" s="232" t="s">
        <v>77</v>
      </c>
      <c r="AG215" s="232" t="s">
        <v>350</v>
      </c>
      <c r="AH215" s="234" t="s">
        <v>317</v>
      </c>
      <c r="AI215" s="250"/>
      <c r="AJ215" s="234">
        <v>0</v>
      </c>
      <c r="AK215" s="224"/>
      <c r="AL215" s="234">
        <v>0</v>
      </c>
      <c r="AM215" s="224"/>
      <c r="AN215" s="234">
        <v>2</v>
      </c>
      <c r="AO215" s="234">
        <v>1</v>
      </c>
      <c r="AP215" s="234">
        <v>0</v>
      </c>
      <c r="AQ215" s="234">
        <v>0</v>
      </c>
      <c r="AR215" s="234">
        <v>0</v>
      </c>
      <c r="AS215" s="234">
        <v>0</v>
      </c>
      <c r="AT215" s="234">
        <v>0</v>
      </c>
      <c r="AU215" s="234">
        <v>2</v>
      </c>
      <c r="AV215" s="234">
        <v>1</v>
      </c>
      <c r="AW215" s="234">
        <v>0</v>
      </c>
      <c r="AX215" s="234">
        <v>0</v>
      </c>
      <c r="AY215" s="234">
        <v>0</v>
      </c>
      <c r="AZ215" s="234">
        <v>0</v>
      </c>
      <c r="BA215" s="234">
        <v>0</v>
      </c>
      <c r="BB215" s="234">
        <v>0</v>
      </c>
      <c r="BC215" s="234">
        <v>0</v>
      </c>
      <c r="BD215" s="234">
        <v>0</v>
      </c>
      <c r="BE215" s="234">
        <v>0</v>
      </c>
      <c r="BF215" s="234">
        <v>0</v>
      </c>
      <c r="BG215" s="234">
        <v>0</v>
      </c>
      <c r="BH215" s="234">
        <v>0</v>
      </c>
      <c r="BI215" s="234">
        <v>0</v>
      </c>
      <c r="BJ215" s="234">
        <v>0</v>
      </c>
      <c r="BK215" s="234">
        <v>0</v>
      </c>
      <c r="BL215" s="234">
        <v>0</v>
      </c>
      <c r="BM215" s="234">
        <v>0</v>
      </c>
      <c r="BN215" s="234">
        <v>0</v>
      </c>
      <c r="BO215" s="234">
        <v>0</v>
      </c>
      <c r="BP215" s="234"/>
      <c r="BQ215" s="234"/>
      <c r="BR215" s="237" t="s">
        <v>334</v>
      </c>
      <c r="BS215" s="238">
        <v>13</v>
      </c>
      <c r="BU215" s="239">
        <f t="shared" si="18"/>
        <v>3</v>
      </c>
      <c r="CN215" s="238">
        <f t="shared" si="14"/>
        <v>3</v>
      </c>
      <c r="CO215" s="238">
        <f t="shared" si="15"/>
        <v>3</v>
      </c>
    </row>
    <row r="216" spans="1:93" ht="13.95" customHeight="1" x14ac:dyDescent="0.2">
      <c r="A216" s="231">
        <v>6767</v>
      </c>
      <c r="B216" s="232" t="s">
        <v>848</v>
      </c>
      <c r="C216" s="232" t="s">
        <v>961</v>
      </c>
      <c r="D216" s="232" t="s">
        <v>962</v>
      </c>
      <c r="E216" s="232" t="s">
        <v>317</v>
      </c>
      <c r="F216" s="231">
        <v>527493</v>
      </c>
      <c r="G216" s="231">
        <v>173327</v>
      </c>
      <c r="H216" s="232" t="s">
        <v>178</v>
      </c>
      <c r="I216" s="233">
        <v>44287</v>
      </c>
      <c r="J216" s="231"/>
      <c r="K216" s="231">
        <v>1</v>
      </c>
      <c r="L216" s="231">
        <v>4</v>
      </c>
      <c r="M216" s="231">
        <v>3</v>
      </c>
      <c r="N216" s="231">
        <v>4</v>
      </c>
      <c r="O216" s="231">
        <v>3</v>
      </c>
      <c r="P216" s="234"/>
      <c r="Q216" s="232" t="s">
        <v>963</v>
      </c>
      <c r="R216" s="234" t="s">
        <v>332</v>
      </c>
      <c r="S216" s="235">
        <v>44368</v>
      </c>
      <c r="T216" s="235">
        <v>44743</v>
      </c>
      <c r="U216" s="234" t="s">
        <v>318</v>
      </c>
      <c r="V216" s="232" t="s">
        <v>321</v>
      </c>
      <c r="W216" s="231"/>
      <c r="X216" s="232" t="s">
        <v>322</v>
      </c>
      <c r="Y216" s="232" t="s">
        <v>338</v>
      </c>
      <c r="Z216" s="232" t="s">
        <v>324</v>
      </c>
      <c r="AA216" s="232" t="s">
        <v>354</v>
      </c>
      <c r="AB216" s="236">
        <v>7.0000000000000001E-3</v>
      </c>
      <c r="AC216" s="235">
        <v>44287</v>
      </c>
      <c r="AD216" s="234"/>
      <c r="AE216" s="234"/>
      <c r="AF216" s="232" t="s">
        <v>77</v>
      </c>
      <c r="AG216" s="232" t="s">
        <v>350</v>
      </c>
      <c r="AH216" s="234" t="s">
        <v>317</v>
      </c>
      <c r="AI216" s="250"/>
      <c r="AJ216" s="234">
        <v>0</v>
      </c>
      <c r="AK216" s="224"/>
      <c r="AL216" s="234">
        <v>0</v>
      </c>
      <c r="AM216" s="224"/>
      <c r="AN216" s="234">
        <v>0</v>
      </c>
      <c r="AO216" s="234">
        <v>1</v>
      </c>
      <c r="AP216" s="234">
        <v>1</v>
      </c>
      <c r="AQ216" s="234">
        <v>2</v>
      </c>
      <c r="AR216" s="234">
        <v>-1</v>
      </c>
      <c r="AS216" s="234">
        <v>0</v>
      </c>
      <c r="AT216" s="234">
        <v>0</v>
      </c>
      <c r="AU216" s="234">
        <v>0</v>
      </c>
      <c r="AV216" s="234">
        <v>1</v>
      </c>
      <c r="AW216" s="234">
        <v>1</v>
      </c>
      <c r="AX216" s="234">
        <v>2</v>
      </c>
      <c r="AY216" s="234">
        <v>0</v>
      </c>
      <c r="AZ216" s="234">
        <v>0</v>
      </c>
      <c r="BA216" s="234">
        <v>0</v>
      </c>
      <c r="BB216" s="234">
        <v>0</v>
      </c>
      <c r="BC216" s="234">
        <v>0</v>
      </c>
      <c r="BD216" s="234">
        <v>0</v>
      </c>
      <c r="BE216" s="234">
        <v>0</v>
      </c>
      <c r="BF216" s="234">
        <v>-1</v>
      </c>
      <c r="BG216" s="234">
        <v>0</v>
      </c>
      <c r="BH216" s="234">
        <v>0</v>
      </c>
      <c r="BI216" s="234">
        <v>0</v>
      </c>
      <c r="BJ216" s="234">
        <v>0</v>
      </c>
      <c r="BK216" s="234">
        <v>0</v>
      </c>
      <c r="BL216" s="234">
        <v>0</v>
      </c>
      <c r="BM216" s="234">
        <v>0</v>
      </c>
      <c r="BN216" s="234">
        <v>0</v>
      </c>
      <c r="BO216" s="234">
        <v>0</v>
      </c>
      <c r="BP216" s="234"/>
      <c r="BQ216" s="234"/>
      <c r="BR216" s="237" t="s">
        <v>334</v>
      </c>
      <c r="BS216" s="238">
        <v>13</v>
      </c>
      <c r="BU216" s="239">
        <f t="shared" si="18"/>
        <v>3</v>
      </c>
      <c r="CN216" s="238">
        <f t="shared" si="14"/>
        <v>3</v>
      </c>
      <c r="CO216" s="238">
        <f t="shared" si="15"/>
        <v>3</v>
      </c>
    </row>
    <row r="217" spans="1:93" ht="13.95" customHeight="1" x14ac:dyDescent="0.2">
      <c r="A217" s="231">
        <v>7593</v>
      </c>
      <c r="B217" s="232" t="s">
        <v>848</v>
      </c>
      <c r="C217" s="232" t="s">
        <v>964</v>
      </c>
      <c r="D217" s="232" t="s">
        <v>965</v>
      </c>
      <c r="E217" s="232" t="s">
        <v>317</v>
      </c>
      <c r="F217" s="231">
        <v>524313</v>
      </c>
      <c r="G217" s="231">
        <v>175351</v>
      </c>
      <c r="H217" s="232" t="s">
        <v>175</v>
      </c>
      <c r="I217" s="233">
        <v>44651</v>
      </c>
      <c r="J217" s="231"/>
      <c r="K217" s="231">
        <v>0</v>
      </c>
      <c r="L217" s="231">
        <v>3</v>
      </c>
      <c r="M217" s="231">
        <v>3</v>
      </c>
      <c r="N217" s="231">
        <v>3</v>
      </c>
      <c r="O217" s="231">
        <v>3</v>
      </c>
      <c r="P217" s="234"/>
      <c r="Q217" s="232" t="s">
        <v>966</v>
      </c>
      <c r="R217" s="234" t="s">
        <v>332</v>
      </c>
      <c r="S217" s="235">
        <v>44474</v>
      </c>
      <c r="T217" s="235">
        <v>44553</v>
      </c>
      <c r="U217" s="234"/>
      <c r="V217" s="232" t="s">
        <v>321</v>
      </c>
      <c r="W217" s="231"/>
      <c r="X217" s="232" t="s">
        <v>322</v>
      </c>
      <c r="Y217" s="232" t="s">
        <v>338</v>
      </c>
      <c r="Z217" s="232" t="s">
        <v>324</v>
      </c>
      <c r="AA217" s="232" t="s">
        <v>25</v>
      </c>
      <c r="AB217" s="236">
        <v>2.8000000000000001E-2</v>
      </c>
      <c r="AC217" s="235">
        <v>44651</v>
      </c>
      <c r="AD217" s="234"/>
      <c r="AE217" s="234"/>
      <c r="AF217" s="232" t="s">
        <v>77</v>
      </c>
      <c r="AG217" s="232" t="s">
        <v>350</v>
      </c>
      <c r="AH217" s="234" t="s">
        <v>317</v>
      </c>
      <c r="AI217" s="250"/>
      <c r="AJ217" s="234">
        <v>0</v>
      </c>
      <c r="AK217" s="224"/>
      <c r="AL217" s="234">
        <v>0</v>
      </c>
      <c r="AM217" s="224"/>
      <c r="AN217" s="234">
        <v>0</v>
      </c>
      <c r="AO217" s="234">
        <v>0</v>
      </c>
      <c r="AP217" s="234">
        <v>2</v>
      </c>
      <c r="AQ217" s="234">
        <v>1</v>
      </c>
      <c r="AR217" s="234">
        <v>0</v>
      </c>
      <c r="AS217" s="234">
        <v>0</v>
      </c>
      <c r="AT217" s="234">
        <v>0</v>
      </c>
      <c r="AU217" s="234">
        <v>0</v>
      </c>
      <c r="AV217" s="234">
        <v>0</v>
      </c>
      <c r="AW217" s="234">
        <v>2</v>
      </c>
      <c r="AX217" s="234">
        <v>1</v>
      </c>
      <c r="AY217" s="234">
        <v>0</v>
      </c>
      <c r="AZ217" s="234">
        <v>0</v>
      </c>
      <c r="BA217" s="234">
        <v>0</v>
      </c>
      <c r="BB217" s="234">
        <v>0</v>
      </c>
      <c r="BC217" s="234">
        <v>0</v>
      </c>
      <c r="BD217" s="234">
        <v>0</v>
      </c>
      <c r="BE217" s="234">
        <v>0</v>
      </c>
      <c r="BF217" s="234">
        <v>0</v>
      </c>
      <c r="BG217" s="234">
        <v>0</v>
      </c>
      <c r="BH217" s="234">
        <v>0</v>
      </c>
      <c r="BI217" s="234">
        <v>0</v>
      </c>
      <c r="BJ217" s="234">
        <v>0</v>
      </c>
      <c r="BK217" s="234">
        <v>0</v>
      </c>
      <c r="BL217" s="234">
        <v>0</v>
      </c>
      <c r="BM217" s="234">
        <v>0</v>
      </c>
      <c r="BN217" s="234">
        <v>0</v>
      </c>
      <c r="BO217" s="234">
        <v>0</v>
      </c>
      <c r="BP217" s="234"/>
      <c r="BQ217" s="234"/>
      <c r="BR217" s="237" t="s">
        <v>334</v>
      </c>
      <c r="BS217" s="238">
        <v>13</v>
      </c>
      <c r="BU217" s="239">
        <f t="shared" si="18"/>
        <v>3</v>
      </c>
      <c r="CN217" s="238">
        <f t="shared" si="14"/>
        <v>3</v>
      </c>
      <c r="CO217" s="238">
        <f t="shared" si="15"/>
        <v>3</v>
      </c>
    </row>
    <row r="218" spans="1:93" ht="13.95" customHeight="1" x14ac:dyDescent="0.2">
      <c r="A218" s="231">
        <v>6305</v>
      </c>
      <c r="B218" s="232" t="s">
        <v>848</v>
      </c>
      <c r="C218" s="232" t="s">
        <v>967</v>
      </c>
      <c r="D218" s="232" t="s">
        <v>968</v>
      </c>
      <c r="E218" s="232" t="s">
        <v>317</v>
      </c>
      <c r="F218" s="231">
        <v>522122</v>
      </c>
      <c r="G218" s="231">
        <v>175335</v>
      </c>
      <c r="H218" s="232" t="s">
        <v>170</v>
      </c>
      <c r="I218" s="233">
        <v>44713</v>
      </c>
      <c r="J218" s="231"/>
      <c r="K218" s="231">
        <v>1</v>
      </c>
      <c r="L218" s="231">
        <v>4</v>
      </c>
      <c r="M218" s="231">
        <v>3</v>
      </c>
      <c r="N218" s="231">
        <v>4</v>
      </c>
      <c r="O218" s="231">
        <v>3</v>
      </c>
      <c r="P218" s="234"/>
      <c r="Q218" s="232" t="s">
        <v>969</v>
      </c>
      <c r="R218" s="234" t="s">
        <v>332</v>
      </c>
      <c r="S218" s="235">
        <v>44154</v>
      </c>
      <c r="T218" s="235">
        <v>44228</v>
      </c>
      <c r="U218" s="234"/>
      <c r="V218" s="232" t="s">
        <v>321</v>
      </c>
      <c r="W218" s="231"/>
      <c r="X218" s="232" t="s">
        <v>322</v>
      </c>
      <c r="Y218" s="232" t="s">
        <v>365</v>
      </c>
      <c r="Z218" s="232" t="s">
        <v>324</v>
      </c>
      <c r="AA218" s="232" t="s">
        <v>15</v>
      </c>
      <c r="AB218" s="236">
        <v>4.3999999999999997E-2</v>
      </c>
      <c r="AC218" s="235">
        <v>44713</v>
      </c>
      <c r="AD218" s="234" t="s">
        <v>318</v>
      </c>
      <c r="AE218" s="234"/>
      <c r="AF218" s="232" t="s">
        <v>77</v>
      </c>
      <c r="AG218" s="232" t="s">
        <v>350</v>
      </c>
      <c r="AH218" s="234" t="s">
        <v>317</v>
      </c>
      <c r="AI218" s="250"/>
      <c r="AJ218" s="234">
        <v>0</v>
      </c>
      <c r="AK218" s="224"/>
      <c r="AL218" s="234">
        <v>0</v>
      </c>
      <c r="AM218" s="224"/>
      <c r="AN218" s="234">
        <v>0</v>
      </c>
      <c r="AO218" s="234">
        <v>1</v>
      </c>
      <c r="AP218" s="234">
        <v>3</v>
      </c>
      <c r="AQ218" s="234">
        <v>0</v>
      </c>
      <c r="AR218" s="234">
        <v>0</v>
      </c>
      <c r="AS218" s="234">
        <v>-1</v>
      </c>
      <c r="AT218" s="234">
        <v>0</v>
      </c>
      <c r="AU218" s="234">
        <v>0</v>
      </c>
      <c r="AV218" s="234">
        <v>1</v>
      </c>
      <c r="AW218" s="234">
        <v>3</v>
      </c>
      <c r="AX218" s="234">
        <v>0</v>
      </c>
      <c r="AY218" s="234">
        <v>0</v>
      </c>
      <c r="AZ218" s="234">
        <v>0</v>
      </c>
      <c r="BA218" s="234">
        <v>0</v>
      </c>
      <c r="BB218" s="234">
        <v>0</v>
      </c>
      <c r="BC218" s="234">
        <v>0</v>
      </c>
      <c r="BD218" s="234">
        <v>0</v>
      </c>
      <c r="BE218" s="234">
        <v>0</v>
      </c>
      <c r="BF218" s="234">
        <v>0</v>
      </c>
      <c r="BG218" s="234">
        <v>-1</v>
      </c>
      <c r="BH218" s="234">
        <v>0</v>
      </c>
      <c r="BI218" s="234">
        <v>0</v>
      </c>
      <c r="BJ218" s="234">
        <v>0</v>
      </c>
      <c r="BK218" s="234">
        <v>0</v>
      </c>
      <c r="BL218" s="234">
        <v>0</v>
      </c>
      <c r="BM218" s="234">
        <v>0</v>
      </c>
      <c r="BN218" s="234">
        <v>0</v>
      </c>
      <c r="BO218" s="234">
        <v>0</v>
      </c>
      <c r="BP218" s="234"/>
      <c r="BQ218" s="234"/>
      <c r="BR218" s="237" t="s">
        <v>334</v>
      </c>
      <c r="BS218" s="238">
        <v>13</v>
      </c>
      <c r="BU218" s="239">
        <f t="shared" si="18"/>
        <v>3</v>
      </c>
      <c r="CN218" s="238">
        <f t="shared" si="14"/>
        <v>3</v>
      </c>
      <c r="CO218" s="238">
        <f t="shared" si="15"/>
        <v>3</v>
      </c>
    </row>
    <row r="219" spans="1:93" ht="13.95" customHeight="1" x14ac:dyDescent="0.2">
      <c r="A219" s="231">
        <v>7733</v>
      </c>
      <c r="B219" s="232" t="s">
        <v>848</v>
      </c>
      <c r="C219" s="232" t="s">
        <v>970</v>
      </c>
      <c r="D219" s="232" t="s">
        <v>971</v>
      </c>
      <c r="E219" s="232" t="s">
        <v>317</v>
      </c>
      <c r="F219" s="231">
        <v>527503</v>
      </c>
      <c r="G219" s="231">
        <v>174993</v>
      </c>
      <c r="H219" s="232" t="s">
        <v>167</v>
      </c>
      <c r="I219" s="233">
        <v>44652</v>
      </c>
      <c r="J219" s="231"/>
      <c r="K219" s="231">
        <v>2</v>
      </c>
      <c r="L219" s="231">
        <v>5</v>
      </c>
      <c r="M219" s="231">
        <v>3</v>
      </c>
      <c r="N219" s="231">
        <v>5</v>
      </c>
      <c r="O219" s="231">
        <v>3</v>
      </c>
      <c r="P219" s="234"/>
      <c r="Q219" s="232" t="s">
        <v>972</v>
      </c>
      <c r="R219" s="234" t="s">
        <v>332</v>
      </c>
      <c r="S219" s="235">
        <v>44509</v>
      </c>
      <c r="T219" s="235">
        <v>44648</v>
      </c>
      <c r="U219" s="234"/>
      <c r="V219" s="232" t="s">
        <v>321</v>
      </c>
      <c r="W219" s="231"/>
      <c r="X219" s="232" t="s">
        <v>322</v>
      </c>
      <c r="Y219" s="232" t="s">
        <v>323</v>
      </c>
      <c r="Z219" s="232" t="s">
        <v>324</v>
      </c>
      <c r="AA219" s="232" t="s">
        <v>349</v>
      </c>
      <c r="AB219" s="236">
        <v>1.1730000000000001E-2</v>
      </c>
      <c r="AC219" s="235">
        <v>44652</v>
      </c>
      <c r="AD219" s="234" t="s">
        <v>318</v>
      </c>
      <c r="AE219" s="234"/>
      <c r="AF219" s="232" t="s">
        <v>77</v>
      </c>
      <c r="AG219" s="232" t="s">
        <v>350</v>
      </c>
      <c r="AH219" s="234" t="s">
        <v>317</v>
      </c>
      <c r="AI219" s="250"/>
      <c r="AJ219" s="234">
        <v>0</v>
      </c>
      <c r="AK219" s="224"/>
      <c r="AL219" s="234">
        <v>0</v>
      </c>
      <c r="AM219" s="224"/>
      <c r="AN219" s="234">
        <v>0</v>
      </c>
      <c r="AO219" s="234">
        <v>1</v>
      </c>
      <c r="AP219" s="234">
        <v>3</v>
      </c>
      <c r="AQ219" s="234">
        <v>-1</v>
      </c>
      <c r="AR219" s="234">
        <v>0</v>
      </c>
      <c r="AS219" s="234">
        <v>0</v>
      </c>
      <c r="AT219" s="234">
        <v>0</v>
      </c>
      <c r="AU219" s="234">
        <v>0</v>
      </c>
      <c r="AV219" s="234">
        <v>1</v>
      </c>
      <c r="AW219" s="234">
        <v>3</v>
      </c>
      <c r="AX219" s="234">
        <v>-1</v>
      </c>
      <c r="AY219" s="234">
        <v>0</v>
      </c>
      <c r="AZ219" s="234">
        <v>0</v>
      </c>
      <c r="BA219" s="234">
        <v>0</v>
      </c>
      <c r="BB219" s="234">
        <v>0</v>
      </c>
      <c r="BC219" s="234">
        <v>0</v>
      </c>
      <c r="BD219" s="234">
        <v>0</v>
      </c>
      <c r="BE219" s="234">
        <v>0</v>
      </c>
      <c r="BF219" s="234">
        <v>0</v>
      </c>
      <c r="BG219" s="234">
        <v>0</v>
      </c>
      <c r="BH219" s="234">
        <v>0</v>
      </c>
      <c r="BI219" s="234">
        <v>0</v>
      </c>
      <c r="BJ219" s="234">
        <v>0</v>
      </c>
      <c r="BK219" s="234">
        <v>0</v>
      </c>
      <c r="BL219" s="234">
        <v>0</v>
      </c>
      <c r="BM219" s="234">
        <v>0</v>
      </c>
      <c r="BN219" s="234">
        <v>0</v>
      </c>
      <c r="BO219" s="234">
        <v>0</v>
      </c>
      <c r="BP219" s="234" t="s">
        <v>142</v>
      </c>
      <c r="BQ219" s="234"/>
      <c r="BR219" s="237" t="s">
        <v>150</v>
      </c>
      <c r="BS219" s="238">
        <v>3</v>
      </c>
      <c r="BU219" s="239">
        <f t="shared" si="18"/>
        <v>3</v>
      </c>
      <c r="CN219" s="238">
        <f t="shared" si="14"/>
        <v>3</v>
      </c>
      <c r="CO219" s="238">
        <f t="shared" si="15"/>
        <v>3</v>
      </c>
    </row>
    <row r="220" spans="1:93" ht="13.95" customHeight="1" x14ac:dyDescent="0.2">
      <c r="A220" s="231">
        <v>7291</v>
      </c>
      <c r="B220" s="232" t="s">
        <v>848</v>
      </c>
      <c r="C220" s="232" t="s">
        <v>973</v>
      </c>
      <c r="D220" s="232" t="s">
        <v>974</v>
      </c>
      <c r="E220" s="232" t="s">
        <v>317</v>
      </c>
      <c r="F220" s="231">
        <v>524705</v>
      </c>
      <c r="G220" s="231">
        <v>173268</v>
      </c>
      <c r="H220" s="232" t="s">
        <v>182</v>
      </c>
      <c r="I220" s="233">
        <v>44743</v>
      </c>
      <c r="J220" s="231"/>
      <c r="K220" s="231">
        <v>0</v>
      </c>
      <c r="L220" s="231">
        <v>3</v>
      </c>
      <c r="M220" s="231">
        <v>3</v>
      </c>
      <c r="N220" s="231">
        <v>3</v>
      </c>
      <c r="O220" s="231">
        <v>3</v>
      </c>
      <c r="P220" s="234"/>
      <c r="Q220" s="232" t="s">
        <v>975</v>
      </c>
      <c r="R220" s="234" t="s">
        <v>332</v>
      </c>
      <c r="S220" s="235">
        <v>44189</v>
      </c>
      <c r="T220" s="235">
        <v>44270</v>
      </c>
      <c r="U220" s="234"/>
      <c r="V220" s="232" t="s">
        <v>321</v>
      </c>
      <c r="W220" s="231"/>
      <c r="X220" s="232" t="s">
        <v>322</v>
      </c>
      <c r="Y220" s="232" t="s">
        <v>338</v>
      </c>
      <c r="Z220" s="232" t="s">
        <v>324</v>
      </c>
      <c r="AA220" s="232" t="s">
        <v>354</v>
      </c>
      <c r="AB220" s="236">
        <v>7.0000000000000001E-3</v>
      </c>
      <c r="AC220" s="235">
        <v>44743</v>
      </c>
      <c r="AD220" s="234" t="s">
        <v>318</v>
      </c>
      <c r="AE220" s="235"/>
      <c r="AF220" s="232" t="s">
        <v>77</v>
      </c>
      <c r="AG220" s="232" t="s">
        <v>350</v>
      </c>
      <c r="AH220" s="234" t="s">
        <v>317</v>
      </c>
      <c r="AI220" s="250"/>
      <c r="AJ220" s="234">
        <v>0</v>
      </c>
      <c r="AK220" s="224"/>
      <c r="AL220" s="234">
        <v>0</v>
      </c>
      <c r="AM220" s="224"/>
      <c r="AN220" s="234">
        <v>0</v>
      </c>
      <c r="AO220" s="234">
        <v>3</v>
      </c>
      <c r="AP220" s="234">
        <v>0</v>
      </c>
      <c r="AQ220" s="234">
        <v>0</v>
      </c>
      <c r="AR220" s="234">
        <v>0</v>
      </c>
      <c r="AS220" s="234">
        <v>0</v>
      </c>
      <c r="AT220" s="234">
        <v>0</v>
      </c>
      <c r="AU220" s="234">
        <v>0</v>
      </c>
      <c r="AV220" s="234">
        <v>3</v>
      </c>
      <c r="AW220" s="234">
        <v>0</v>
      </c>
      <c r="AX220" s="234">
        <v>0</v>
      </c>
      <c r="AY220" s="234">
        <v>0</v>
      </c>
      <c r="AZ220" s="234">
        <v>0</v>
      </c>
      <c r="BA220" s="234">
        <v>0</v>
      </c>
      <c r="BB220" s="234">
        <v>0</v>
      </c>
      <c r="BC220" s="234">
        <v>0</v>
      </c>
      <c r="BD220" s="234">
        <v>0</v>
      </c>
      <c r="BE220" s="234">
        <v>0</v>
      </c>
      <c r="BF220" s="234">
        <v>0</v>
      </c>
      <c r="BG220" s="234">
        <v>0</v>
      </c>
      <c r="BH220" s="234">
        <v>0</v>
      </c>
      <c r="BI220" s="234">
        <v>0</v>
      </c>
      <c r="BJ220" s="234">
        <v>0</v>
      </c>
      <c r="BK220" s="234">
        <v>0</v>
      </c>
      <c r="BL220" s="234">
        <v>0</v>
      </c>
      <c r="BM220" s="234">
        <v>0</v>
      </c>
      <c r="BN220" s="234">
        <v>0</v>
      </c>
      <c r="BO220" s="234">
        <v>0</v>
      </c>
      <c r="BP220" s="234"/>
      <c r="BQ220" s="234"/>
      <c r="BR220" s="237" t="s">
        <v>334</v>
      </c>
      <c r="BS220" s="238">
        <v>13</v>
      </c>
      <c r="BU220" s="239">
        <f t="shared" si="18"/>
        <v>3</v>
      </c>
      <c r="CN220" s="238">
        <f t="shared" si="14"/>
        <v>3</v>
      </c>
      <c r="CO220" s="238">
        <f t="shared" si="15"/>
        <v>3</v>
      </c>
    </row>
    <row r="221" spans="1:93" ht="13.95" customHeight="1" x14ac:dyDescent="0.2">
      <c r="A221" s="231">
        <v>7488</v>
      </c>
      <c r="B221" s="232" t="s">
        <v>848</v>
      </c>
      <c r="C221" s="232" t="s">
        <v>976</v>
      </c>
      <c r="D221" s="232" t="s">
        <v>977</v>
      </c>
      <c r="E221" s="232" t="s">
        <v>317</v>
      </c>
      <c r="F221" s="231">
        <v>526356</v>
      </c>
      <c r="G221" s="231">
        <v>173676</v>
      </c>
      <c r="H221" s="232" t="s">
        <v>179</v>
      </c>
      <c r="I221" s="233">
        <v>44306</v>
      </c>
      <c r="J221" s="231"/>
      <c r="K221" s="231">
        <v>0</v>
      </c>
      <c r="L221" s="231">
        <v>2</v>
      </c>
      <c r="M221" s="231">
        <v>2</v>
      </c>
      <c r="N221" s="231">
        <v>4</v>
      </c>
      <c r="O221" s="231">
        <v>3</v>
      </c>
      <c r="P221" s="234"/>
      <c r="Q221" s="232" t="s">
        <v>978</v>
      </c>
      <c r="R221" s="234" t="s">
        <v>332</v>
      </c>
      <c r="S221" s="235">
        <v>44144</v>
      </c>
      <c r="T221" s="235">
        <v>44201</v>
      </c>
      <c r="U221" s="234"/>
      <c r="V221" s="232" t="s">
        <v>321</v>
      </c>
      <c r="W221" s="231"/>
      <c r="X221" s="232" t="s">
        <v>322</v>
      </c>
      <c r="Y221" s="232" t="s">
        <v>365</v>
      </c>
      <c r="Z221" s="232" t="s">
        <v>324</v>
      </c>
      <c r="AA221" s="232" t="s">
        <v>354</v>
      </c>
      <c r="AB221" s="236">
        <v>1.6E-2</v>
      </c>
      <c r="AC221" s="235">
        <v>44306</v>
      </c>
      <c r="AD221" s="234"/>
      <c r="AE221" s="234"/>
      <c r="AF221" s="232" t="s">
        <v>77</v>
      </c>
      <c r="AG221" s="232" t="s">
        <v>350</v>
      </c>
      <c r="AH221" s="234" t="s">
        <v>317</v>
      </c>
      <c r="AI221" s="250"/>
      <c r="AJ221" s="234">
        <v>0</v>
      </c>
      <c r="AK221" s="224"/>
      <c r="AL221" s="234">
        <v>0</v>
      </c>
      <c r="AM221" s="224"/>
      <c r="AN221" s="234">
        <v>0</v>
      </c>
      <c r="AO221" s="234">
        <v>1</v>
      </c>
      <c r="AP221" s="234">
        <v>0</v>
      </c>
      <c r="AQ221" s="234">
        <v>1</v>
      </c>
      <c r="AR221" s="234">
        <v>0</v>
      </c>
      <c r="AS221" s="234">
        <v>0</v>
      </c>
      <c r="AT221" s="234">
        <v>0</v>
      </c>
      <c r="AU221" s="234">
        <v>0</v>
      </c>
      <c r="AV221" s="234">
        <v>1</v>
      </c>
      <c r="AW221" s="234">
        <v>0</v>
      </c>
      <c r="AX221" s="234">
        <v>1</v>
      </c>
      <c r="AY221" s="234">
        <v>0</v>
      </c>
      <c r="AZ221" s="234">
        <v>0</v>
      </c>
      <c r="BA221" s="234">
        <v>0</v>
      </c>
      <c r="BB221" s="234">
        <v>0</v>
      </c>
      <c r="BC221" s="234">
        <v>0</v>
      </c>
      <c r="BD221" s="234">
        <v>0</v>
      </c>
      <c r="BE221" s="234">
        <v>0</v>
      </c>
      <c r="BF221" s="234">
        <v>0</v>
      </c>
      <c r="BG221" s="234">
        <v>0</v>
      </c>
      <c r="BH221" s="234">
        <v>0</v>
      </c>
      <c r="BI221" s="234">
        <v>0</v>
      </c>
      <c r="BJ221" s="234">
        <v>0</v>
      </c>
      <c r="BK221" s="234">
        <v>0</v>
      </c>
      <c r="BL221" s="234">
        <v>0</v>
      </c>
      <c r="BM221" s="234">
        <v>0</v>
      </c>
      <c r="BN221" s="234">
        <v>0</v>
      </c>
      <c r="BO221" s="234">
        <v>0</v>
      </c>
      <c r="BP221" s="234"/>
      <c r="BQ221" s="234"/>
      <c r="BR221" s="237" t="s">
        <v>334</v>
      </c>
      <c r="BS221" s="238">
        <v>13</v>
      </c>
      <c r="BU221" s="239">
        <f t="shared" si="18"/>
        <v>2</v>
      </c>
      <c r="CN221" s="238">
        <f t="shared" si="14"/>
        <v>2</v>
      </c>
      <c r="CO221" s="238">
        <f t="shared" si="15"/>
        <v>2</v>
      </c>
    </row>
    <row r="222" spans="1:93" ht="13.95" customHeight="1" x14ac:dyDescent="0.2">
      <c r="A222" s="231">
        <v>6490</v>
      </c>
      <c r="B222" s="232" t="s">
        <v>848</v>
      </c>
      <c r="C222" s="232" t="s">
        <v>902</v>
      </c>
      <c r="D222" s="232" t="s">
        <v>903</v>
      </c>
      <c r="E222" s="232" t="s">
        <v>317</v>
      </c>
      <c r="F222" s="231">
        <v>523997</v>
      </c>
      <c r="G222" s="231">
        <v>175115</v>
      </c>
      <c r="H222" s="232" t="s">
        <v>175</v>
      </c>
      <c r="I222" s="233">
        <v>44263</v>
      </c>
      <c r="J222" s="231"/>
      <c r="K222" s="231">
        <v>0</v>
      </c>
      <c r="L222" s="231">
        <v>2</v>
      </c>
      <c r="M222" s="231">
        <v>2</v>
      </c>
      <c r="N222" s="231">
        <v>9</v>
      </c>
      <c r="O222" s="231">
        <v>9</v>
      </c>
      <c r="P222" s="234"/>
      <c r="Q222" s="232" t="s">
        <v>904</v>
      </c>
      <c r="R222" s="234" t="s">
        <v>332</v>
      </c>
      <c r="S222" s="235">
        <v>43692</v>
      </c>
      <c r="T222" s="235">
        <v>43768</v>
      </c>
      <c r="U222" s="234"/>
      <c r="V222" s="232" t="s">
        <v>321</v>
      </c>
      <c r="W222" s="231"/>
      <c r="X222" s="232" t="s">
        <v>322</v>
      </c>
      <c r="Y222" s="232" t="s">
        <v>338</v>
      </c>
      <c r="Z222" s="232" t="s">
        <v>324</v>
      </c>
      <c r="AA222" s="232" t="s">
        <v>28</v>
      </c>
      <c r="AB222" s="236">
        <v>3.0000000000000001E-3</v>
      </c>
      <c r="AC222" s="235">
        <v>44263</v>
      </c>
      <c r="AD222" s="234"/>
      <c r="AE222" s="234"/>
      <c r="AF222" s="232" t="s">
        <v>77</v>
      </c>
      <c r="AG222" s="232" t="s">
        <v>350</v>
      </c>
      <c r="AH222" s="234" t="s">
        <v>317</v>
      </c>
      <c r="AI222" s="250"/>
      <c r="AJ222" s="234">
        <v>0</v>
      </c>
      <c r="AK222" s="224"/>
      <c r="AL222" s="234">
        <v>0</v>
      </c>
      <c r="AM222" s="224"/>
      <c r="AN222" s="234">
        <v>0</v>
      </c>
      <c r="AO222" s="234">
        <v>2</v>
      </c>
      <c r="AP222" s="234">
        <v>0</v>
      </c>
      <c r="AQ222" s="234">
        <v>0</v>
      </c>
      <c r="AR222" s="234">
        <v>0</v>
      </c>
      <c r="AS222" s="234">
        <v>0</v>
      </c>
      <c r="AT222" s="234">
        <v>0</v>
      </c>
      <c r="AU222" s="234">
        <v>0</v>
      </c>
      <c r="AV222" s="234">
        <v>2</v>
      </c>
      <c r="AW222" s="234">
        <v>0</v>
      </c>
      <c r="AX222" s="234">
        <v>0</v>
      </c>
      <c r="AY222" s="234">
        <v>0</v>
      </c>
      <c r="AZ222" s="234">
        <v>0</v>
      </c>
      <c r="BA222" s="234">
        <v>0</v>
      </c>
      <c r="BB222" s="234">
        <v>0</v>
      </c>
      <c r="BC222" s="234">
        <v>0</v>
      </c>
      <c r="BD222" s="234">
        <v>0</v>
      </c>
      <c r="BE222" s="234">
        <v>0</v>
      </c>
      <c r="BF222" s="234">
        <v>0</v>
      </c>
      <c r="BG222" s="234">
        <v>0</v>
      </c>
      <c r="BH222" s="234">
        <v>0</v>
      </c>
      <c r="BI222" s="234">
        <v>0</v>
      </c>
      <c r="BJ222" s="234">
        <v>0</v>
      </c>
      <c r="BK222" s="234">
        <v>0</v>
      </c>
      <c r="BL222" s="234">
        <v>0</v>
      </c>
      <c r="BM222" s="234">
        <v>0</v>
      </c>
      <c r="BN222" s="234">
        <v>0</v>
      </c>
      <c r="BO222" s="234">
        <v>0</v>
      </c>
      <c r="BP222" s="234" t="s">
        <v>143</v>
      </c>
      <c r="BQ222" s="234"/>
      <c r="BR222" s="237" t="s">
        <v>152</v>
      </c>
      <c r="BS222" s="238">
        <v>12</v>
      </c>
      <c r="BU222" s="239">
        <f t="shared" si="18"/>
        <v>2</v>
      </c>
      <c r="CN222" s="238">
        <f t="shared" si="14"/>
        <v>2</v>
      </c>
      <c r="CO222" s="238">
        <f t="shared" si="15"/>
        <v>2</v>
      </c>
    </row>
    <row r="223" spans="1:93" ht="13.95" customHeight="1" x14ac:dyDescent="0.2">
      <c r="A223" s="231">
        <v>7693</v>
      </c>
      <c r="B223" s="232" t="s">
        <v>848</v>
      </c>
      <c r="C223" s="232" t="s">
        <v>979</v>
      </c>
      <c r="D223" s="232" t="s">
        <v>980</v>
      </c>
      <c r="E223" s="232" t="s">
        <v>317</v>
      </c>
      <c r="F223" s="231">
        <v>524931</v>
      </c>
      <c r="G223" s="231">
        <v>174479</v>
      </c>
      <c r="H223" s="232" t="s">
        <v>164</v>
      </c>
      <c r="I223" s="233">
        <v>44651</v>
      </c>
      <c r="J223" s="231"/>
      <c r="K223" s="231">
        <v>1</v>
      </c>
      <c r="L223" s="231">
        <v>3</v>
      </c>
      <c r="M223" s="231">
        <v>2</v>
      </c>
      <c r="N223" s="231">
        <v>3</v>
      </c>
      <c r="O223" s="231">
        <v>2</v>
      </c>
      <c r="P223" s="234"/>
      <c r="Q223" s="232" t="s">
        <v>981</v>
      </c>
      <c r="R223" s="234" t="s">
        <v>332</v>
      </c>
      <c r="S223" s="235">
        <v>44536</v>
      </c>
      <c r="T223" s="235">
        <v>44592</v>
      </c>
      <c r="U223" s="234"/>
      <c r="V223" s="232" t="s">
        <v>321</v>
      </c>
      <c r="W223" s="231"/>
      <c r="X223" s="232" t="s">
        <v>322</v>
      </c>
      <c r="Y223" s="232" t="s">
        <v>338</v>
      </c>
      <c r="Z223" s="232" t="s">
        <v>324</v>
      </c>
      <c r="AA223" s="232" t="s">
        <v>15</v>
      </c>
      <c r="AB223" s="236">
        <v>5.0000000000000001E-3</v>
      </c>
      <c r="AC223" s="235">
        <v>44651</v>
      </c>
      <c r="AD223" s="234"/>
      <c r="AE223" s="235"/>
      <c r="AF223" s="232" t="s">
        <v>77</v>
      </c>
      <c r="AG223" s="232" t="s">
        <v>350</v>
      </c>
      <c r="AH223" s="234" t="s">
        <v>317</v>
      </c>
      <c r="AI223" s="250"/>
      <c r="AJ223" s="234">
        <v>0</v>
      </c>
      <c r="AK223" s="224"/>
      <c r="AL223" s="234">
        <v>0</v>
      </c>
      <c r="AM223" s="224"/>
      <c r="AN223" s="234">
        <v>0</v>
      </c>
      <c r="AO223" s="234">
        <v>1</v>
      </c>
      <c r="AP223" s="234">
        <v>0</v>
      </c>
      <c r="AQ223" s="234">
        <v>2</v>
      </c>
      <c r="AR223" s="234">
        <v>0</v>
      </c>
      <c r="AS223" s="234">
        <v>-1</v>
      </c>
      <c r="AT223" s="234">
        <v>0</v>
      </c>
      <c r="AU223" s="234">
        <v>0</v>
      </c>
      <c r="AV223" s="234">
        <v>1</v>
      </c>
      <c r="AW223" s="234">
        <v>0</v>
      </c>
      <c r="AX223" s="234">
        <v>2</v>
      </c>
      <c r="AY223" s="234">
        <v>0</v>
      </c>
      <c r="AZ223" s="234">
        <v>0</v>
      </c>
      <c r="BA223" s="234">
        <v>0</v>
      </c>
      <c r="BB223" s="234">
        <v>0</v>
      </c>
      <c r="BC223" s="234">
        <v>0</v>
      </c>
      <c r="BD223" s="234">
        <v>0</v>
      </c>
      <c r="BE223" s="234">
        <v>0</v>
      </c>
      <c r="BF223" s="234">
        <v>0</v>
      </c>
      <c r="BG223" s="234">
        <v>-1</v>
      </c>
      <c r="BH223" s="234">
        <v>0</v>
      </c>
      <c r="BI223" s="234">
        <v>0</v>
      </c>
      <c r="BJ223" s="234">
        <v>0</v>
      </c>
      <c r="BK223" s="234">
        <v>0</v>
      </c>
      <c r="BL223" s="234">
        <v>0</v>
      </c>
      <c r="BM223" s="234">
        <v>0</v>
      </c>
      <c r="BN223" s="234">
        <v>0</v>
      </c>
      <c r="BO223" s="234">
        <v>0</v>
      </c>
      <c r="BP223" s="234"/>
      <c r="BQ223" s="234"/>
      <c r="BR223" s="237" t="s">
        <v>334</v>
      </c>
      <c r="BS223" s="238">
        <v>13</v>
      </c>
      <c r="BU223" s="239">
        <f t="shared" si="18"/>
        <v>2</v>
      </c>
      <c r="CN223" s="238">
        <f t="shared" si="14"/>
        <v>2</v>
      </c>
      <c r="CO223" s="238">
        <f t="shared" si="15"/>
        <v>2</v>
      </c>
    </row>
    <row r="224" spans="1:93" ht="13.95" customHeight="1" x14ac:dyDescent="0.2">
      <c r="A224" s="231">
        <v>7100</v>
      </c>
      <c r="B224" s="232" t="s">
        <v>848</v>
      </c>
      <c r="C224" s="232" t="s">
        <v>870</v>
      </c>
      <c r="D224" s="232" t="s">
        <v>871</v>
      </c>
      <c r="E224" s="232" t="s">
        <v>317</v>
      </c>
      <c r="F224" s="231">
        <v>525939</v>
      </c>
      <c r="G224" s="231">
        <v>174515</v>
      </c>
      <c r="H224" s="232" t="s">
        <v>181</v>
      </c>
      <c r="I224" s="233">
        <v>44175</v>
      </c>
      <c r="J224" s="231"/>
      <c r="K224" s="231">
        <v>0</v>
      </c>
      <c r="L224" s="231">
        <v>2</v>
      </c>
      <c r="M224" s="231">
        <v>2</v>
      </c>
      <c r="N224" s="231">
        <v>22</v>
      </c>
      <c r="O224" s="231">
        <v>22</v>
      </c>
      <c r="P224" s="234" t="s">
        <v>318</v>
      </c>
      <c r="Q224" s="232" t="s">
        <v>872</v>
      </c>
      <c r="R224" s="234" t="s">
        <v>320</v>
      </c>
      <c r="S224" s="235">
        <v>44214</v>
      </c>
      <c r="T224" s="235">
        <v>44495</v>
      </c>
      <c r="U224" s="234"/>
      <c r="V224" s="232" t="s">
        <v>321</v>
      </c>
      <c r="W224" s="231"/>
      <c r="X224" s="232" t="s">
        <v>322</v>
      </c>
      <c r="Y224" s="232" t="s">
        <v>338</v>
      </c>
      <c r="Z224" s="232" t="s">
        <v>323</v>
      </c>
      <c r="AA224" s="232" t="s">
        <v>324</v>
      </c>
      <c r="AB224" s="236">
        <v>5.8999999999999999E-3</v>
      </c>
      <c r="AC224" s="235">
        <v>44175</v>
      </c>
      <c r="AD224" s="234"/>
      <c r="AE224" s="234"/>
      <c r="AF224" s="232" t="s">
        <v>56</v>
      </c>
      <c r="AG224" s="232" t="s">
        <v>325</v>
      </c>
      <c r="AH224" s="234" t="s">
        <v>317</v>
      </c>
      <c r="AI224" s="250"/>
      <c r="AJ224" s="234">
        <v>0</v>
      </c>
      <c r="AK224" s="224"/>
      <c r="AL224" s="234">
        <v>0</v>
      </c>
      <c r="AM224" s="224"/>
      <c r="AN224" s="234">
        <v>0</v>
      </c>
      <c r="AO224" s="234">
        <v>1</v>
      </c>
      <c r="AP224" s="234">
        <v>1</v>
      </c>
      <c r="AQ224" s="234">
        <v>0</v>
      </c>
      <c r="AR224" s="234">
        <v>0</v>
      </c>
      <c r="AS224" s="234">
        <v>0</v>
      </c>
      <c r="AT224" s="234">
        <v>0</v>
      </c>
      <c r="AU224" s="234">
        <v>0</v>
      </c>
      <c r="AV224" s="234">
        <v>1</v>
      </c>
      <c r="AW224" s="234">
        <v>1</v>
      </c>
      <c r="AX224" s="234">
        <v>0</v>
      </c>
      <c r="AY224" s="234">
        <v>0</v>
      </c>
      <c r="AZ224" s="234">
        <v>0</v>
      </c>
      <c r="BA224" s="234">
        <v>0</v>
      </c>
      <c r="BB224" s="234">
        <v>0</v>
      </c>
      <c r="BC224" s="234">
        <v>0</v>
      </c>
      <c r="BD224" s="234">
        <v>0</v>
      </c>
      <c r="BE224" s="234">
        <v>0</v>
      </c>
      <c r="BF224" s="234">
        <v>0</v>
      </c>
      <c r="BG224" s="234">
        <v>0</v>
      </c>
      <c r="BH224" s="234">
        <v>0</v>
      </c>
      <c r="BI224" s="234">
        <v>0</v>
      </c>
      <c r="BJ224" s="234">
        <v>0</v>
      </c>
      <c r="BK224" s="234">
        <v>0</v>
      </c>
      <c r="BL224" s="234">
        <v>0</v>
      </c>
      <c r="BM224" s="234">
        <v>0</v>
      </c>
      <c r="BN224" s="234">
        <v>0</v>
      </c>
      <c r="BO224" s="234">
        <v>0</v>
      </c>
      <c r="BP224" s="234"/>
      <c r="BQ224" s="234"/>
      <c r="BR224" s="237" t="s">
        <v>327</v>
      </c>
      <c r="BS224" s="238">
        <v>13</v>
      </c>
      <c r="BU224" s="239">
        <f t="shared" si="18"/>
        <v>2</v>
      </c>
      <c r="CN224" s="238">
        <f t="shared" si="14"/>
        <v>2</v>
      </c>
      <c r="CO224" s="238">
        <f t="shared" si="15"/>
        <v>2</v>
      </c>
    </row>
    <row r="225" spans="1:93" ht="13.95" customHeight="1" x14ac:dyDescent="0.2">
      <c r="A225" s="231">
        <v>6032</v>
      </c>
      <c r="B225" s="232" t="s">
        <v>848</v>
      </c>
      <c r="C225" s="232" t="s">
        <v>982</v>
      </c>
      <c r="D225" s="232" t="s">
        <v>983</v>
      </c>
      <c r="E225" s="232" t="s">
        <v>317</v>
      </c>
      <c r="F225" s="231">
        <v>524386</v>
      </c>
      <c r="G225" s="231">
        <v>175298</v>
      </c>
      <c r="H225" s="232" t="s">
        <v>175</v>
      </c>
      <c r="I225" s="233">
        <v>44208</v>
      </c>
      <c r="J225" s="231"/>
      <c r="K225" s="231">
        <v>0</v>
      </c>
      <c r="L225" s="231">
        <v>2</v>
      </c>
      <c r="M225" s="231">
        <v>2</v>
      </c>
      <c r="N225" s="231">
        <v>4</v>
      </c>
      <c r="O225" s="231">
        <v>3</v>
      </c>
      <c r="P225" s="234"/>
      <c r="Q225" s="232" t="s">
        <v>984</v>
      </c>
      <c r="R225" s="234" t="s">
        <v>332</v>
      </c>
      <c r="S225" s="235">
        <v>43886</v>
      </c>
      <c r="T225" s="235">
        <v>44027</v>
      </c>
      <c r="U225" s="234"/>
      <c r="V225" s="232" t="s">
        <v>321</v>
      </c>
      <c r="W225" s="231"/>
      <c r="X225" s="232" t="s">
        <v>322</v>
      </c>
      <c r="Y225" s="232" t="s">
        <v>378</v>
      </c>
      <c r="Z225" s="232" t="s">
        <v>324</v>
      </c>
      <c r="AA225" s="232" t="s">
        <v>25</v>
      </c>
      <c r="AB225" s="236">
        <v>5.0000000000000001E-3</v>
      </c>
      <c r="AC225" s="235">
        <v>44208</v>
      </c>
      <c r="AD225" s="234"/>
      <c r="AE225" s="235"/>
      <c r="AF225" s="232" t="s">
        <v>77</v>
      </c>
      <c r="AG225" s="232" t="s">
        <v>350</v>
      </c>
      <c r="AH225" s="234" t="s">
        <v>317</v>
      </c>
      <c r="AI225" s="250"/>
      <c r="AJ225" s="234">
        <v>0</v>
      </c>
      <c r="AK225" s="224"/>
      <c r="AL225" s="234">
        <v>0</v>
      </c>
      <c r="AM225" s="224"/>
      <c r="AN225" s="234">
        <v>1</v>
      </c>
      <c r="AO225" s="234">
        <v>1</v>
      </c>
      <c r="AP225" s="234">
        <v>0</v>
      </c>
      <c r="AQ225" s="234">
        <v>0</v>
      </c>
      <c r="AR225" s="234">
        <v>0</v>
      </c>
      <c r="AS225" s="234">
        <v>0</v>
      </c>
      <c r="AT225" s="234">
        <v>0</v>
      </c>
      <c r="AU225" s="234">
        <v>1</v>
      </c>
      <c r="AV225" s="234">
        <v>1</v>
      </c>
      <c r="AW225" s="234">
        <v>0</v>
      </c>
      <c r="AX225" s="234">
        <v>0</v>
      </c>
      <c r="AY225" s="234">
        <v>0</v>
      </c>
      <c r="AZ225" s="234">
        <v>0</v>
      </c>
      <c r="BA225" s="234">
        <v>0</v>
      </c>
      <c r="BB225" s="234">
        <v>0</v>
      </c>
      <c r="BC225" s="234">
        <v>0</v>
      </c>
      <c r="BD225" s="234">
        <v>0</v>
      </c>
      <c r="BE225" s="234">
        <v>0</v>
      </c>
      <c r="BF225" s="234">
        <v>0</v>
      </c>
      <c r="BG225" s="234">
        <v>0</v>
      </c>
      <c r="BH225" s="234">
        <v>0</v>
      </c>
      <c r="BI225" s="234">
        <v>0</v>
      </c>
      <c r="BJ225" s="234">
        <v>0</v>
      </c>
      <c r="BK225" s="234">
        <v>0</v>
      </c>
      <c r="BL225" s="234">
        <v>0</v>
      </c>
      <c r="BM225" s="234">
        <v>0</v>
      </c>
      <c r="BN225" s="234">
        <v>0</v>
      </c>
      <c r="BO225" s="234">
        <v>0</v>
      </c>
      <c r="BP225" s="234"/>
      <c r="BQ225" s="234"/>
      <c r="BR225" s="237" t="s">
        <v>334</v>
      </c>
      <c r="BS225" s="238">
        <v>13</v>
      </c>
      <c r="BU225" s="239">
        <f t="shared" si="18"/>
        <v>2</v>
      </c>
      <c r="CN225" s="238">
        <f t="shared" si="14"/>
        <v>2</v>
      </c>
      <c r="CO225" s="238">
        <f t="shared" si="15"/>
        <v>2</v>
      </c>
    </row>
    <row r="226" spans="1:93" ht="13.95" customHeight="1" x14ac:dyDescent="0.2">
      <c r="A226" s="231">
        <v>5561</v>
      </c>
      <c r="B226" s="232" t="s">
        <v>848</v>
      </c>
      <c r="C226" s="232" t="s">
        <v>985</v>
      </c>
      <c r="D226" s="232" t="s">
        <v>986</v>
      </c>
      <c r="E226" s="232" t="s">
        <v>317</v>
      </c>
      <c r="F226" s="231">
        <v>528467</v>
      </c>
      <c r="G226" s="231">
        <v>172710</v>
      </c>
      <c r="H226" s="232" t="s">
        <v>172</v>
      </c>
      <c r="I226" s="233">
        <v>44235</v>
      </c>
      <c r="J226" s="231"/>
      <c r="K226" s="231">
        <v>1</v>
      </c>
      <c r="L226" s="231">
        <v>3</v>
      </c>
      <c r="M226" s="231">
        <v>2</v>
      </c>
      <c r="N226" s="231">
        <v>3</v>
      </c>
      <c r="O226" s="231">
        <v>2</v>
      </c>
      <c r="P226" s="234"/>
      <c r="Q226" s="232" t="s">
        <v>987</v>
      </c>
      <c r="R226" s="234" t="s">
        <v>332</v>
      </c>
      <c r="S226" s="235">
        <v>43102</v>
      </c>
      <c r="T226" s="235">
        <v>43158</v>
      </c>
      <c r="U226" s="234"/>
      <c r="V226" s="232" t="s">
        <v>321</v>
      </c>
      <c r="W226" s="231"/>
      <c r="X226" s="232" t="s">
        <v>322</v>
      </c>
      <c r="Y226" s="232" t="s">
        <v>338</v>
      </c>
      <c r="Z226" s="232" t="s">
        <v>324</v>
      </c>
      <c r="AA226" s="232" t="s">
        <v>15</v>
      </c>
      <c r="AB226" s="236">
        <v>1.7000000000000001E-2</v>
      </c>
      <c r="AC226" s="235">
        <v>44235</v>
      </c>
      <c r="AD226" s="234"/>
      <c r="AE226" s="234"/>
      <c r="AF226" s="232" t="s">
        <v>77</v>
      </c>
      <c r="AG226" s="232" t="s">
        <v>350</v>
      </c>
      <c r="AH226" s="234" t="s">
        <v>317</v>
      </c>
      <c r="AI226" s="250"/>
      <c r="AJ226" s="234">
        <v>0</v>
      </c>
      <c r="AK226" s="224"/>
      <c r="AL226" s="234">
        <v>0</v>
      </c>
      <c r="AM226" s="224"/>
      <c r="AN226" s="234">
        <v>0</v>
      </c>
      <c r="AO226" s="234">
        <v>0</v>
      </c>
      <c r="AP226" s="234">
        <v>2</v>
      </c>
      <c r="AQ226" s="234">
        <v>1</v>
      </c>
      <c r="AR226" s="234">
        <v>-1</v>
      </c>
      <c r="AS226" s="234">
        <v>0</v>
      </c>
      <c r="AT226" s="234">
        <v>0</v>
      </c>
      <c r="AU226" s="234">
        <v>0</v>
      </c>
      <c r="AV226" s="234">
        <v>0</v>
      </c>
      <c r="AW226" s="234">
        <v>2</v>
      </c>
      <c r="AX226" s="234">
        <v>1</v>
      </c>
      <c r="AY226" s="234">
        <v>0</v>
      </c>
      <c r="AZ226" s="234">
        <v>0</v>
      </c>
      <c r="BA226" s="234">
        <v>0</v>
      </c>
      <c r="BB226" s="234">
        <v>0</v>
      </c>
      <c r="BC226" s="234">
        <v>0</v>
      </c>
      <c r="BD226" s="234">
        <v>0</v>
      </c>
      <c r="BE226" s="234">
        <v>0</v>
      </c>
      <c r="BF226" s="234">
        <v>-1</v>
      </c>
      <c r="BG226" s="234">
        <v>0</v>
      </c>
      <c r="BH226" s="234">
        <v>0</v>
      </c>
      <c r="BI226" s="234">
        <v>0</v>
      </c>
      <c r="BJ226" s="234">
        <v>0</v>
      </c>
      <c r="BK226" s="234">
        <v>0</v>
      </c>
      <c r="BL226" s="234">
        <v>0</v>
      </c>
      <c r="BM226" s="234">
        <v>0</v>
      </c>
      <c r="BN226" s="234">
        <v>0</v>
      </c>
      <c r="BO226" s="234">
        <v>0</v>
      </c>
      <c r="BP226" s="234"/>
      <c r="BQ226" s="234"/>
      <c r="BR226" s="237" t="s">
        <v>334</v>
      </c>
      <c r="BS226" s="238">
        <v>13</v>
      </c>
      <c r="BU226" s="239">
        <f t="shared" si="18"/>
        <v>2</v>
      </c>
      <c r="CN226" s="238">
        <f t="shared" si="14"/>
        <v>2</v>
      </c>
      <c r="CO226" s="238">
        <f t="shared" si="15"/>
        <v>2</v>
      </c>
    </row>
    <row r="227" spans="1:93" ht="13.95" customHeight="1" x14ac:dyDescent="0.2">
      <c r="A227" s="231">
        <v>5377</v>
      </c>
      <c r="B227" s="232" t="s">
        <v>848</v>
      </c>
      <c r="C227" s="232" t="s">
        <v>988</v>
      </c>
      <c r="D227" s="232" t="s">
        <v>989</v>
      </c>
      <c r="E227" s="232" t="s">
        <v>317</v>
      </c>
      <c r="F227" s="231">
        <v>528146</v>
      </c>
      <c r="G227" s="231">
        <v>172290</v>
      </c>
      <c r="H227" s="232" t="s">
        <v>176</v>
      </c>
      <c r="I227" s="233">
        <v>43190</v>
      </c>
      <c r="J227" s="231"/>
      <c r="K227" s="231">
        <v>1</v>
      </c>
      <c r="L227" s="231">
        <v>3</v>
      </c>
      <c r="M227" s="231">
        <v>2</v>
      </c>
      <c r="N227" s="231">
        <v>3</v>
      </c>
      <c r="O227" s="231">
        <v>2</v>
      </c>
      <c r="P227" s="234"/>
      <c r="Q227" s="232" t="s">
        <v>990</v>
      </c>
      <c r="R227" s="234" t="s">
        <v>332</v>
      </c>
      <c r="S227" s="235">
        <v>42587</v>
      </c>
      <c r="T227" s="235">
        <v>42667</v>
      </c>
      <c r="U227" s="234"/>
      <c r="V227" s="232" t="s">
        <v>321</v>
      </c>
      <c r="W227" s="231"/>
      <c r="X227" s="232" t="s">
        <v>322</v>
      </c>
      <c r="Y227" s="232" t="s">
        <v>338</v>
      </c>
      <c r="Z227" s="232" t="s">
        <v>324</v>
      </c>
      <c r="AA227" s="232" t="s">
        <v>411</v>
      </c>
      <c r="AB227" s="236">
        <v>7.0000000000000001E-3</v>
      </c>
      <c r="AC227" s="235">
        <v>43190</v>
      </c>
      <c r="AD227" s="234"/>
      <c r="AE227" s="234"/>
      <c r="AF227" s="232" t="s">
        <v>77</v>
      </c>
      <c r="AG227" s="232" t="s">
        <v>350</v>
      </c>
      <c r="AH227" s="234" t="s">
        <v>317</v>
      </c>
      <c r="AI227" s="250"/>
      <c r="AJ227" s="234">
        <v>0</v>
      </c>
      <c r="AK227" s="224"/>
      <c r="AL227" s="234">
        <v>0</v>
      </c>
      <c r="AM227" s="224"/>
      <c r="AN227" s="234">
        <v>0</v>
      </c>
      <c r="AO227" s="234">
        <v>2</v>
      </c>
      <c r="AP227" s="234">
        <v>1</v>
      </c>
      <c r="AQ227" s="234">
        <v>-1</v>
      </c>
      <c r="AR227" s="234">
        <v>0</v>
      </c>
      <c r="AS227" s="234">
        <v>0</v>
      </c>
      <c r="AT227" s="234">
        <v>0</v>
      </c>
      <c r="AU227" s="234">
        <v>0</v>
      </c>
      <c r="AV227" s="234">
        <v>2</v>
      </c>
      <c r="AW227" s="234">
        <v>1</v>
      </c>
      <c r="AX227" s="234">
        <v>-1</v>
      </c>
      <c r="AY227" s="234">
        <v>0</v>
      </c>
      <c r="AZ227" s="234">
        <v>0</v>
      </c>
      <c r="BA227" s="234">
        <v>0</v>
      </c>
      <c r="BB227" s="234">
        <v>0</v>
      </c>
      <c r="BC227" s="234">
        <v>0</v>
      </c>
      <c r="BD227" s="234">
        <v>0</v>
      </c>
      <c r="BE227" s="234">
        <v>0</v>
      </c>
      <c r="BF227" s="234">
        <v>0</v>
      </c>
      <c r="BG227" s="234">
        <v>0</v>
      </c>
      <c r="BH227" s="234">
        <v>0</v>
      </c>
      <c r="BI227" s="234">
        <v>0</v>
      </c>
      <c r="BJ227" s="234">
        <v>0</v>
      </c>
      <c r="BK227" s="234">
        <v>0</v>
      </c>
      <c r="BL227" s="234">
        <v>0</v>
      </c>
      <c r="BM227" s="234">
        <v>0</v>
      </c>
      <c r="BN227" s="234">
        <v>0</v>
      </c>
      <c r="BO227" s="234">
        <v>0</v>
      </c>
      <c r="BP227" s="234"/>
      <c r="BQ227" s="234"/>
      <c r="BR227" s="237" t="s">
        <v>334</v>
      </c>
      <c r="BS227" s="238">
        <v>13</v>
      </c>
      <c r="BU227" s="239">
        <f t="shared" si="18"/>
        <v>2</v>
      </c>
      <c r="CN227" s="238">
        <f t="shared" si="14"/>
        <v>2</v>
      </c>
      <c r="CO227" s="238">
        <f t="shared" si="15"/>
        <v>2</v>
      </c>
    </row>
    <row r="228" spans="1:93" ht="13.95" customHeight="1" x14ac:dyDescent="0.2">
      <c r="A228" s="231">
        <v>7276</v>
      </c>
      <c r="B228" s="232" t="s">
        <v>848</v>
      </c>
      <c r="C228" s="232" t="s">
        <v>991</v>
      </c>
      <c r="D228" s="232" t="s">
        <v>992</v>
      </c>
      <c r="E228" s="232" t="s">
        <v>317</v>
      </c>
      <c r="F228" s="231">
        <v>527309</v>
      </c>
      <c r="G228" s="231">
        <v>170807</v>
      </c>
      <c r="H228" s="232" t="s">
        <v>177</v>
      </c>
      <c r="I228" s="233">
        <v>44979</v>
      </c>
      <c r="J228" s="231"/>
      <c r="K228" s="231">
        <v>1</v>
      </c>
      <c r="L228" s="231">
        <v>5</v>
      </c>
      <c r="M228" s="231">
        <v>4</v>
      </c>
      <c r="N228" s="231">
        <v>5</v>
      </c>
      <c r="O228" s="231">
        <v>4</v>
      </c>
      <c r="P228" s="234"/>
      <c r="Q228" s="232" t="s">
        <v>993</v>
      </c>
      <c r="R228" s="234" t="s">
        <v>332</v>
      </c>
      <c r="S228" s="235">
        <v>43941</v>
      </c>
      <c r="T228" s="235">
        <v>44057</v>
      </c>
      <c r="U228" s="234"/>
      <c r="V228" s="232" t="s">
        <v>321</v>
      </c>
      <c r="W228" s="231"/>
      <c r="X228" s="232" t="s">
        <v>322</v>
      </c>
      <c r="Y228" s="232" t="s">
        <v>338</v>
      </c>
      <c r="Z228" s="232" t="s">
        <v>324</v>
      </c>
      <c r="AA228" s="232" t="s">
        <v>15</v>
      </c>
      <c r="AB228" s="236">
        <v>7.9000000000000001E-2</v>
      </c>
      <c r="AC228" s="235">
        <v>44979</v>
      </c>
      <c r="AD228" s="234" t="s">
        <v>318</v>
      </c>
      <c r="AE228" s="234"/>
      <c r="AF228" s="232" t="s">
        <v>77</v>
      </c>
      <c r="AG228" s="232" t="s">
        <v>350</v>
      </c>
      <c r="AH228" s="234" t="s">
        <v>317</v>
      </c>
      <c r="AI228" s="250"/>
      <c r="AJ228" s="234">
        <v>0</v>
      </c>
      <c r="AK228" s="224"/>
      <c r="AL228" s="234">
        <v>0</v>
      </c>
      <c r="AM228" s="224"/>
      <c r="AN228" s="234">
        <v>0</v>
      </c>
      <c r="AO228" s="234">
        <v>1</v>
      </c>
      <c r="AP228" s="234">
        <v>2</v>
      </c>
      <c r="AQ228" s="234">
        <v>2</v>
      </c>
      <c r="AR228" s="234">
        <v>-1</v>
      </c>
      <c r="AS228" s="234">
        <v>0</v>
      </c>
      <c r="AT228" s="234">
        <v>0</v>
      </c>
      <c r="AU228" s="234">
        <v>0</v>
      </c>
      <c r="AV228" s="234">
        <v>1</v>
      </c>
      <c r="AW228" s="234">
        <v>2</v>
      </c>
      <c r="AX228" s="234">
        <v>2</v>
      </c>
      <c r="AY228" s="234">
        <v>0</v>
      </c>
      <c r="AZ228" s="234">
        <v>0</v>
      </c>
      <c r="BA228" s="234">
        <v>0</v>
      </c>
      <c r="BB228" s="234">
        <v>0</v>
      </c>
      <c r="BC228" s="234">
        <v>0</v>
      </c>
      <c r="BD228" s="234">
        <v>0</v>
      </c>
      <c r="BE228" s="234">
        <v>0</v>
      </c>
      <c r="BF228" s="234">
        <v>-1</v>
      </c>
      <c r="BG228" s="234">
        <v>0</v>
      </c>
      <c r="BH228" s="234">
        <v>0</v>
      </c>
      <c r="BI228" s="234">
        <v>0</v>
      </c>
      <c r="BJ228" s="234">
        <v>0</v>
      </c>
      <c r="BK228" s="234">
        <v>0</v>
      </c>
      <c r="BL228" s="234">
        <v>0</v>
      </c>
      <c r="BM228" s="234">
        <v>0</v>
      </c>
      <c r="BN228" s="234">
        <v>0</v>
      </c>
      <c r="BO228" s="234">
        <v>0</v>
      </c>
      <c r="BP228" s="234"/>
      <c r="BQ228" s="234"/>
      <c r="BR228" s="237" t="s">
        <v>334</v>
      </c>
      <c r="BS228" s="238">
        <v>14</v>
      </c>
      <c r="BU228" s="239">
        <f>M228/2</f>
        <v>2</v>
      </c>
      <c r="BV228" s="239">
        <f>M228/2</f>
        <v>2</v>
      </c>
      <c r="CN228" s="238">
        <f t="shared" si="14"/>
        <v>4</v>
      </c>
      <c r="CO228" s="238">
        <f t="shared" si="15"/>
        <v>4</v>
      </c>
    </row>
    <row r="229" spans="1:93" ht="13.95" customHeight="1" x14ac:dyDescent="0.2">
      <c r="A229" s="231">
        <v>7360</v>
      </c>
      <c r="B229" s="232" t="s">
        <v>848</v>
      </c>
      <c r="C229" s="232" t="s">
        <v>994</v>
      </c>
      <c r="D229" s="232" t="s">
        <v>995</v>
      </c>
      <c r="E229" s="232" t="s">
        <v>317</v>
      </c>
      <c r="F229" s="231">
        <v>527443</v>
      </c>
      <c r="G229" s="231">
        <v>176347</v>
      </c>
      <c r="H229" s="232" t="s">
        <v>174</v>
      </c>
      <c r="I229" s="233">
        <v>44368</v>
      </c>
      <c r="J229" s="231"/>
      <c r="K229" s="231">
        <v>0</v>
      </c>
      <c r="L229" s="231">
        <v>2</v>
      </c>
      <c r="M229" s="231">
        <v>2</v>
      </c>
      <c r="N229" s="231">
        <v>2</v>
      </c>
      <c r="O229" s="231">
        <v>2</v>
      </c>
      <c r="P229" s="234"/>
      <c r="Q229" s="232" t="s">
        <v>996</v>
      </c>
      <c r="R229" s="234" t="s">
        <v>332</v>
      </c>
      <c r="S229" s="235">
        <v>43889</v>
      </c>
      <c r="T229" s="235">
        <v>44091</v>
      </c>
      <c r="U229" s="234"/>
      <c r="V229" s="232" t="s">
        <v>321</v>
      </c>
      <c r="W229" s="231"/>
      <c r="X229" s="232" t="s">
        <v>322</v>
      </c>
      <c r="Y229" s="232" t="s">
        <v>338</v>
      </c>
      <c r="Z229" s="232" t="s">
        <v>324</v>
      </c>
      <c r="AA229" s="232" t="s">
        <v>354</v>
      </c>
      <c r="AB229" s="236">
        <v>1.2E-2</v>
      </c>
      <c r="AC229" s="235">
        <v>44368</v>
      </c>
      <c r="AD229" s="234"/>
      <c r="AE229" s="234"/>
      <c r="AF229" s="232" t="s">
        <v>77</v>
      </c>
      <c r="AG229" s="232" t="s">
        <v>350</v>
      </c>
      <c r="AH229" s="234" t="s">
        <v>317</v>
      </c>
      <c r="AI229" s="250"/>
      <c r="AJ229" s="234">
        <v>0</v>
      </c>
      <c r="AK229" s="224"/>
      <c r="AL229" s="234">
        <v>0</v>
      </c>
      <c r="AM229" s="224"/>
      <c r="AN229" s="234">
        <v>0</v>
      </c>
      <c r="AO229" s="234">
        <v>2</v>
      </c>
      <c r="AP229" s="234">
        <v>0</v>
      </c>
      <c r="AQ229" s="234">
        <v>0</v>
      </c>
      <c r="AR229" s="234">
        <v>0</v>
      </c>
      <c r="AS229" s="234">
        <v>0</v>
      </c>
      <c r="AT229" s="234">
        <v>0</v>
      </c>
      <c r="AU229" s="234">
        <v>0</v>
      </c>
      <c r="AV229" s="234">
        <v>2</v>
      </c>
      <c r="AW229" s="234">
        <v>0</v>
      </c>
      <c r="AX229" s="234">
        <v>0</v>
      </c>
      <c r="AY229" s="234">
        <v>0</v>
      </c>
      <c r="AZ229" s="234">
        <v>0</v>
      </c>
      <c r="BA229" s="234">
        <v>0</v>
      </c>
      <c r="BB229" s="234">
        <v>0</v>
      </c>
      <c r="BC229" s="234">
        <v>0</v>
      </c>
      <c r="BD229" s="234">
        <v>0</v>
      </c>
      <c r="BE229" s="234">
        <v>0</v>
      </c>
      <c r="BF229" s="234">
        <v>0</v>
      </c>
      <c r="BG229" s="234">
        <v>0</v>
      </c>
      <c r="BH229" s="234">
        <v>0</v>
      </c>
      <c r="BI229" s="234">
        <v>0</v>
      </c>
      <c r="BJ229" s="234">
        <v>0</v>
      </c>
      <c r="BK229" s="234">
        <v>0</v>
      </c>
      <c r="BL229" s="234">
        <v>0</v>
      </c>
      <c r="BM229" s="234">
        <v>0</v>
      </c>
      <c r="BN229" s="234">
        <v>0</v>
      </c>
      <c r="BO229" s="234">
        <v>0</v>
      </c>
      <c r="BP229" s="234"/>
      <c r="BQ229" s="234"/>
      <c r="BR229" s="237" t="s">
        <v>334</v>
      </c>
      <c r="BS229" s="238">
        <v>13</v>
      </c>
      <c r="BU229" s="239">
        <f>M229</f>
        <v>2</v>
      </c>
      <c r="CN229" s="238">
        <f t="shared" si="14"/>
        <v>2</v>
      </c>
      <c r="CO229" s="238">
        <f t="shared" si="15"/>
        <v>2</v>
      </c>
    </row>
    <row r="230" spans="1:93" ht="13.95" customHeight="1" x14ac:dyDescent="0.2">
      <c r="A230" s="231">
        <v>6812</v>
      </c>
      <c r="B230" s="232" t="s">
        <v>848</v>
      </c>
      <c r="C230" s="232" t="s">
        <v>997</v>
      </c>
      <c r="D230" s="232" t="s">
        <v>998</v>
      </c>
      <c r="E230" s="232" t="s">
        <v>317</v>
      </c>
      <c r="F230" s="231">
        <v>525084</v>
      </c>
      <c r="G230" s="231">
        <v>173575</v>
      </c>
      <c r="H230" s="232" t="s">
        <v>173</v>
      </c>
      <c r="I230" s="233">
        <v>44655</v>
      </c>
      <c r="J230" s="231"/>
      <c r="K230" s="231">
        <v>1</v>
      </c>
      <c r="L230" s="231">
        <v>3</v>
      </c>
      <c r="M230" s="231">
        <v>2</v>
      </c>
      <c r="N230" s="231">
        <v>3</v>
      </c>
      <c r="O230" s="231">
        <v>2</v>
      </c>
      <c r="P230" s="234"/>
      <c r="Q230" s="232" t="s">
        <v>999</v>
      </c>
      <c r="R230" s="234" t="s">
        <v>332</v>
      </c>
      <c r="S230" s="235">
        <v>43545</v>
      </c>
      <c r="T230" s="235">
        <v>43767</v>
      </c>
      <c r="U230" s="234"/>
      <c r="V230" s="232" t="s">
        <v>321</v>
      </c>
      <c r="W230" s="231"/>
      <c r="X230" s="232" t="s">
        <v>322</v>
      </c>
      <c r="Y230" s="232" t="s">
        <v>323</v>
      </c>
      <c r="Z230" s="232" t="s">
        <v>324</v>
      </c>
      <c r="AA230" s="232" t="s">
        <v>349</v>
      </c>
      <c r="AB230" s="236">
        <v>1.0999999999999999E-2</v>
      </c>
      <c r="AC230" s="235">
        <v>44655</v>
      </c>
      <c r="AD230" s="234" t="s">
        <v>318</v>
      </c>
      <c r="AE230" s="234"/>
      <c r="AF230" s="232" t="s">
        <v>77</v>
      </c>
      <c r="AG230" s="232" t="s">
        <v>350</v>
      </c>
      <c r="AH230" s="234" t="s">
        <v>317</v>
      </c>
      <c r="AI230" s="250"/>
      <c r="AJ230" s="234">
        <v>0</v>
      </c>
      <c r="AK230" s="224"/>
      <c r="AL230" s="234">
        <v>0</v>
      </c>
      <c r="AM230" s="224"/>
      <c r="AN230" s="234">
        <v>0</v>
      </c>
      <c r="AO230" s="234">
        <v>2</v>
      </c>
      <c r="AP230" s="234">
        <v>0</v>
      </c>
      <c r="AQ230" s="234">
        <v>0</v>
      </c>
      <c r="AR230" s="234">
        <v>0</v>
      </c>
      <c r="AS230" s="234">
        <v>0</v>
      </c>
      <c r="AT230" s="234">
        <v>0</v>
      </c>
      <c r="AU230" s="234">
        <v>0</v>
      </c>
      <c r="AV230" s="234">
        <v>2</v>
      </c>
      <c r="AW230" s="234">
        <v>0</v>
      </c>
      <c r="AX230" s="234">
        <v>1</v>
      </c>
      <c r="AY230" s="234">
        <v>0</v>
      </c>
      <c r="AZ230" s="234">
        <v>0</v>
      </c>
      <c r="BA230" s="234">
        <v>0</v>
      </c>
      <c r="BB230" s="234">
        <v>0</v>
      </c>
      <c r="BC230" s="234">
        <v>0</v>
      </c>
      <c r="BD230" s="234">
        <v>0</v>
      </c>
      <c r="BE230" s="234">
        <v>-1</v>
      </c>
      <c r="BF230" s="234">
        <v>0</v>
      </c>
      <c r="BG230" s="234">
        <v>0</v>
      </c>
      <c r="BH230" s="234">
        <v>0</v>
      </c>
      <c r="BI230" s="234">
        <v>0</v>
      </c>
      <c r="BJ230" s="234">
        <v>0</v>
      </c>
      <c r="BK230" s="234">
        <v>0</v>
      </c>
      <c r="BL230" s="234">
        <v>0</v>
      </c>
      <c r="BM230" s="234">
        <v>0</v>
      </c>
      <c r="BN230" s="234">
        <v>0</v>
      </c>
      <c r="BO230" s="234">
        <v>0</v>
      </c>
      <c r="BP230" s="234"/>
      <c r="BQ230" s="234"/>
      <c r="BR230" s="237" t="s">
        <v>334</v>
      </c>
      <c r="BS230" s="238">
        <v>3</v>
      </c>
      <c r="BU230" s="239">
        <f>M230</f>
        <v>2</v>
      </c>
      <c r="CN230" s="238">
        <f t="shared" si="14"/>
        <v>2</v>
      </c>
      <c r="CO230" s="238">
        <f t="shared" si="15"/>
        <v>2</v>
      </c>
    </row>
    <row r="231" spans="1:93" ht="13.95" customHeight="1" x14ac:dyDescent="0.2">
      <c r="A231" s="231">
        <v>6030</v>
      </c>
      <c r="B231" s="232" t="s">
        <v>848</v>
      </c>
      <c r="C231" s="232" t="s">
        <v>1000</v>
      </c>
      <c r="D231" s="232" t="s">
        <v>1001</v>
      </c>
      <c r="E231" s="232" t="s">
        <v>317</v>
      </c>
      <c r="F231" s="231">
        <v>522262</v>
      </c>
      <c r="G231" s="231">
        <v>173980</v>
      </c>
      <c r="H231" s="232" t="s">
        <v>170</v>
      </c>
      <c r="I231" s="233">
        <v>44354</v>
      </c>
      <c r="J231" s="231"/>
      <c r="K231" s="231">
        <v>0</v>
      </c>
      <c r="L231" s="231">
        <v>2</v>
      </c>
      <c r="M231" s="231">
        <v>2</v>
      </c>
      <c r="N231" s="231">
        <v>2</v>
      </c>
      <c r="O231" s="231">
        <v>2</v>
      </c>
      <c r="P231" s="234"/>
      <c r="Q231" s="232" t="s">
        <v>1002</v>
      </c>
      <c r="R231" s="234" t="s">
        <v>332</v>
      </c>
      <c r="S231" s="235">
        <v>42810</v>
      </c>
      <c r="T231" s="235">
        <v>43278</v>
      </c>
      <c r="U231" s="234"/>
      <c r="V231" s="232" t="s">
        <v>321</v>
      </c>
      <c r="W231" s="231"/>
      <c r="X231" s="232" t="s">
        <v>322</v>
      </c>
      <c r="Y231" s="232" t="s">
        <v>323</v>
      </c>
      <c r="Z231" s="232" t="s">
        <v>324</v>
      </c>
      <c r="AA231" s="232" t="s">
        <v>349</v>
      </c>
      <c r="AB231" s="236">
        <v>6.8000000000000005E-2</v>
      </c>
      <c r="AC231" s="235">
        <v>44354</v>
      </c>
      <c r="AD231" s="234"/>
      <c r="AE231" s="234"/>
      <c r="AF231" s="232" t="s">
        <v>77</v>
      </c>
      <c r="AG231" s="232" t="s">
        <v>350</v>
      </c>
      <c r="AH231" s="234" t="s">
        <v>317</v>
      </c>
      <c r="AI231" s="250"/>
      <c r="AJ231" s="234">
        <v>0</v>
      </c>
      <c r="AK231" s="224"/>
      <c r="AL231" s="234">
        <v>0</v>
      </c>
      <c r="AM231" s="224"/>
      <c r="AN231" s="234">
        <v>0</v>
      </c>
      <c r="AO231" s="234">
        <v>0</v>
      </c>
      <c r="AP231" s="234">
        <v>0</v>
      </c>
      <c r="AQ231" s="234">
        <v>0</v>
      </c>
      <c r="AR231" s="234">
        <v>0</v>
      </c>
      <c r="AS231" s="234">
        <v>2</v>
      </c>
      <c r="AT231" s="234">
        <v>0</v>
      </c>
      <c r="AU231" s="234">
        <v>0</v>
      </c>
      <c r="AV231" s="234">
        <v>0</v>
      </c>
      <c r="AW231" s="234">
        <v>0</v>
      </c>
      <c r="AX231" s="234">
        <v>0</v>
      </c>
      <c r="AY231" s="234">
        <v>0</v>
      </c>
      <c r="AZ231" s="234">
        <v>0</v>
      </c>
      <c r="BA231" s="234">
        <v>0</v>
      </c>
      <c r="BB231" s="234">
        <v>0</v>
      </c>
      <c r="BC231" s="234">
        <v>0</v>
      </c>
      <c r="BD231" s="234">
        <v>0</v>
      </c>
      <c r="BE231" s="234">
        <v>0</v>
      </c>
      <c r="BF231" s="234">
        <v>0</v>
      </c>
      <c r="BG231" s="234">
        <v>2</v>
      </c>
      <c r="BH231" s="234">
        <v>0</v>
      </c>
      <c r="BI231" s="234">
        <v>0</v>
      </c>
      <c r="BJ231" s="234">
        <v>0</v>
      </c>
      <c r="BK231" s="234">
        <v>0</v>
      </c>
      <c r="BL231" s="234">
        <v>0</v>
      </c>
      <c r="BM231" s="234">
        <v>0</v>
      </c>
      <c r="BN231" s="234">
        <v>0</v>
      </c>
      <c r="BO231" s="234">
        <v>0</v>
      </c>
      <c r="BP231" s="234"/>
      <c r="BQ231" s="234"/>
      <c r="BR231" s="237" t="s">
        <v>334</v>
      </c>
      <c r="BS231" s="238">
        <v>3</v>
      </c>
      <c r="BU231" s="239">
        <f>M231</f>
        <v>2</v>
      </c>
      <c r="CN231" s="238">
        <f t="shared" si="14"/>
        <v>2</v>
      </c>
      <c r="CO231" s="238">
        <f t="shared" si="15"/>
        <v>2</v>
      </c>
    </row>
    <row r="232" spans="1:93" ht="13.95" customHeight="1" x14ac:dyDescent="0.2">
      <c r="A232" s="231">
        <v>6969</v>
      </c>
      <c r="B232" s="232" t="s">
        <v>848</v>
      </c>
      <c r="C232" s="232" t="s">
        <v>1003</v>
      </c>
      <c r="D232" s="232" t="s">
        <v>1004</v>
      </c>
      <c r="E232" s="232" t="s">
        <v>317</v>
      </c>
      <c r="F232" s="231">
        <v>527156</v>
      </c>
      <c r="G232" s="231">
        <v>171085</v>
      </c>
      <c r="H232" s="232" t="s">
        <v>177</v>
      </c>
      <c r="I232" s="233">
        <v>44652</v>
      </c>
      <c r="J232" s="231"/>
      <c r="K232" s="231">
        <v>0</v>
      </c>
      <c r="L232" s="231">
        <v>2</v>
      </c>
      <c r="M232" s="231">
        <v>2</v>
      </c>
      <c r="N232" s="231">
        <v>2</v>
      </c>
      <c r="O232" s="231">
        <v>2</v>
      </c>
      <c r="P232" s="234"/>
      <c r="Q232" s="232" t="s">
        <v>1005</v>
      </c>
      <c r="R232" s="234" t="s">
        <v>332</v>
      </c>
      <c r="S232" s="235">
        <v>43251</v>
      </c>
      <c r="T232" s="235">
        <v>43346</v>
      </c>
      <c r="U232" s="234"/>
      <c r="V232" s="232" t="s">
        <v>321</v>
      </c>
      <c r="W232" s="231"/>
      <c r="X232" s="232" t="s">
        <v>322</v>
      </c>
      <c r="Y232" s="232" t="s">
        <v>323</v>
      </c>
      <c r="Z232" s="232" t="s">
        <v>324</v>
      </c>
      <c r="AA232" s="232" t="s">
        <v>349</v>
      </c>
      <c r="AB232" s="236">
        <v>2.8000000000000001E-2</v>
      </c>
      <c r="AC232" s="235">
        <v>44652</v>
      </c>
      <c r="AD232" s="234" t="s">
        <v>318</v>
      </c>
      <c r="AE232" s="234"/>
      <c r="AF232" s="232" t="s">
        <v>77</v>
      </c>
      <c r="AG232" s="232" t="s">
        <v>350</v>
      </c>
      <c r="AH232" s="234" t="s">
        <v>317</v>
      </c>
      <c r="AI232" s="250"/>
      <c r="AJ232" s="234">
        <v>0</v>
      </c>
      <c r="AK232" s="224"/>
      <c r="AL232" s="234">
        <v>0</v>
      </c>
      <c r="AM232" s="224"/>
      <c r="AN232" s="234">
        <v>0</v>
      </c>
      <c r="AO232" s="234">
        <v>0</v>
      </c>
      <c r="AP232" s="234">
        <v>2</v>
      </c>
      <c r="AQ232" s="234">
        <v>0</v>
      </c>
      <c r="AR232" s="234">
        <v>0</v>
      </c>
      <c r="AS232" s="234">
        <v>0</v>
      </c>
      <c r="AT232" s="234">
        <v>0</v>
      </c>
      <c r="AU232" s="234">
        <v>0</v>
      </c>
      <c r="AV232" s="234">
        <v>0</v>
      </c>
      <c r="AW232" s="234">
        <v>0</v>
      </c>
      <c r="AX232" s="234">
        <v>0</v>
      </c>
      <c r="AY232" s="234">
        <v>0</v>
      </c>
      <c r="AZ232" s="234">
        <v>0</v>
      </c>
      <c r="BA232" s="234">
        <v>0</v>
      </c>
      <c r="BB232" s="234">
        <v>0</v>
      </c>
      <c r="BC232" s="234">
        <v>0</v>
      </c>
      <c r="BD232" s="234">
        <v>2</v>
      </c>
      <c r="BE232" s="234">
        <v>0</v>
      </c>
      <c r="BF232" s="234">
        <v>0</v>
      </c>
      <c r="BG232" s="234">
        <v>0</v>
      </c>
      <c r="BH232" s="234">
        <v>0</v>
      </c>
      <c r="BI232" s="234">
        <v>0</v>
      </c>
      <c r="BJ232" s="234">
        <v>0</v>
      </c>
      <c r="BK232" s="234">
        <v>0</v>
      </c>
      <c r="BL232" s="234">
        <v>0</v>
      </c>
      <c r="BM232" s="234">
        <v>0</v>
      </c>
      <c r="BN232" s="234">
        <v>0</v>
      </c>
      <c r="BO232" s="234">
        <v>0</v>
      </c>
      <c r="BP232" s="234"/>
      <c r="BQ232" s="234"/>
      <c r="BR232" s="237" t="s">
        <v>144</v>
      </c>
      <c r="BS232" s="238">
        <v>3</v>
      </c>
      <c r="BU232" s="239">
        <f>M232</f>
        <v>2</v>
      </c>
      <c r="CN232" s="238">
        <f t="shared" si="14"/>
        <v>2</v>
      </c>
      <c r="CO232" s="238">
        <f t="shared" si="15"/>
        <v>2</v>
      </c>
    </row>
    <row r="233" spans="1:93" ht="13.95" customHeight="1" x14ac:dyDescent="0.2">
      <c r="A233" s="231">
        <v>6804</v>
      </c>
      <c r="B233" s="232" t="s">
        <v>848</v>
      </c>
      <c r="C233" s="232" t="s">
        <v>1006</v>
      </c>
      <c r="D233" s="232" t="s">
        <v>1007</v>
      </c>
      <c r="E233" s="232" t="s">
        <v>317</v>
      </c>
      <c r="F233" s="231">
        <v>523594</v>
      </c>
      <c r="G233" s="231">
        <v>175801</v>
      </c>
      <c r="H233" s="232" t="s">
        <v>175</v>
      </c>
      <c r="I233" s="233">
        <v>45016</v>
      </c>
      <c r="J233" s="231"/>
      <c r="K233" s="231">
        <v>2</v>
      </c>
      <c r="L233" s="231">
        <v>5</v>
      </c>
      <c r="M233" s="231">
        <v>3</v>
      </c>
      <c r="N233" s="231">
        <v>5</v>
      </c>
      <c r="O233" s="231">
        <v>3</v>
      </c>
      <c r="P233" s="234"/>
      <c r="Q233" s="232" t="s">
        <v>1008</v>
      </c>
      <c r="R233" s="234" t="s">
        <v>332</v>
      </c>
      <c r="S233" s="235">
        <v>44368</v>
      </c>
      <c r="T233" s="235">
        <v>44519</v>
      </c>
      <c r="U233" s="234"/>
      <c r="V233" s="232" t="s">
        <v>321</v>
      </c>
      <c r="W233" s="231"/>
      <c r="X233" s="232" t="s">
        <v>322</v>
      </c>
      <c r="Y233" s="232" t="s">
        <v>338</v>
      </c>
      <c r="Z233" s="232" t="s">
        <v>324</v>
      </c>
      <c r="AA233" s="232" t="s">
        <v>31</v>
      </c>
      <c r="AB233" s="236">
        <v>6.8275000000000002E-3</v>
      </c>
      <c r="AC233" s="235">
        <v>45016</v>
      </c>
      <c r="AD233" s="234" t="s">
        <v>318</v>
      </c>
      <c r="AE233" s="234"/>
      <c r="AF233" s="232" t="s">
        <v>77</v>
      </c>
      <c r="AG233" s="232" t="s">
        <v>350</v>
      </c>
      <c r="AH233" s="234" t="s">
        <v>317</v>
      </c>
      <c r="AI233" s="250"/>
      <c r="AJ233" s="234">
        <v>0</v>
      </c>
      <c r="AK233" s="224"/>
      <c r="AL233" s="234">
        <v>0</v>
      </c>
      <c r="AM233" s="224"/>
      <c r="AN233" s="234">
        <v>0</v>
      </c>
      <c r="AO233" s="234">
        <v>2</v>
      </c>
      <c r="AP233" s="234">
        <v>0</v>
      </c>
      <c r="AQ233" s="234">
        <v>1</v>
      </c>
      <c r="AR233" s="234">
        <v>0</v>
      </c>
      <c r="AS233" s="234">
        <v>0</v>
      </c>
      <c r="AT233" s="234">
        <v>0</v>
      </c>
      <c r="AU233" s="234">
        <v>0</v>
      </c>
      <c r="AV233" s="234">
        <v>2</v>
      </c>
      <c r="AW233" s="234">
        <v>0</v>
      </c>
      <c r="AX233" s="234">
        <v>1</v>
      </c>
      <c r="AY233" s="234">
        <v>0</v>
      </c>
      <c r="AZ233" s="234">
        <v>0</v>
      </c>
      <c r="BA233" s="234">
        <v>0</v>
      </c>
      <c r="BB233" s="234">
        <v>0</v>
      </c>
      <c r="BC233" s="234">
        <v>0</v>
      </c>
      <c r="BD233" s="234">
        <v>0</v>
      </c>
      <c r="BE233" s="234">
        <v>0</v>
      </c>
      <c r="BF233" s="234">
        <v>0</v>
      </c>
      <c r="BG233" s="234">
        <v>0</v>
      </c>
      <c r="BH233" s="234">
        <v>0</v>
      </c>
      <c r="BI233" s="234">
        <v>0</v>
      </c>
      <c r="BJ233" s="234">
        <v>0</v>
      </c>
      <c r="BK233" s="234">
        <v>0</v>
      </c>
      <c r="BL233" s="234">
        <v>0</v>
      </c>
      <c r="BM233" s="234">
        <v>0</v>
      </c>
      <c r="BN233" s="234">
        <v>0</v>
      </c>
      <c r="BO233" s="234">
        <v>0</v>
      </c>
      <c r="BP233" s="234"/>
      <c r="BQ233" s="234"/>
      <c r="BR233" s="237" t="s">
        <v>334</v>
      </c>
      <c r="BS233" s="238">
        <v>14</v>
      </c>
      <c r="BU233" s="239">
        <f>M233/2</f>
        <v>1.5</v>
      </c>
      <c r="BV233" s="239">
        <f>M233/2</f>
        <v>1.5</v>
      </c>
      <c r="CN233" s="238">
        <f t="shared" si="14"/>
        <v>3</v>
      </c>
      <c r="CO233" s="238">
        <f t="shared" si="15"/>
        <v>3</v>
      </c>
    </row>
    <row r="234" spans="1:93" ht="13.95" customHeight="1" x14ac:dyDescent="0.2">
      <c r="A234" s="231">
        <v>7211</v>
      </c>
      <c r="B234" s="232" t="s">
        <v>848</v>
      </c>
      <c r="C234" s="232" t="s">
        <v>1009</v>
      </c>
      <c r="D234" s="232" t="s">
        <v>1010</v>
      </c>
      <c r="E234" s="232" t="s">
        <v>317</v>
      </c>
      <c r="F234" s="231">
        <v>527235</v>
      </c>
      <c r="G234" s="231">
        <v>171597</v>
      </c>
      <c r="H234" s="232" t="s">
        <v>177</v>
      </c>
      <c r="I234" s="233">
        <v>44964</v>
      </c>
      <c r="J234" s="231"/>
      <c r="K234" s="231">
        <v>1</v>
      </c>
      <c r="L234" s="231">
        <v>4</v>
      </c>
      <c r="M234" s="231">
        <v>3</v>
      </c>
      <c r="N234" s="231">
        <v>4</v>
      </c>
      <c r="O234" s="231">
        <v>3</v>
      </c>
      <c r="P234" s="234"/>
      <c r="Q234" s="232" t="s">
        <v>1011</v>
      </c>
      <c r="R234" s="234" t="s">
        <v>332</v>
      </c>
      <c r="S234" s="235">
        <v>44126</v>
      </c>
      <c r="T234" s="235">
        <v>44134</v>
      </c>
      <c r="U234" s="234"/>
      <c r="V234" s="232" t="s">
        <v>321</v>
      </c>
      <c r="W234" s="231"/>
      <c r="X234" s="232" t="s">
        <v>322</v>
      </c>
      <c r="Y234" s="232" t="s">
        <v>323</v>
      </c>
      <c r="Z234" s="232" t="s">
        <v>324</v>
      </c>
      <c r="AA234" s="232" t="s">
        <v>349</v>
      </c>
      <c r="AB234" s="236">
        <v>0.02</v>
      </c>
      <c r="AC234" s="235">
        <v>44964</v>
      </c>
      <c r="AD234" s="234" t="s">
        <v>318</v>
      </c>
      <c r="AE234" s="234"/>
      <c r="AF234" s="232" t="s">
        <v>77</v>
      </c>
      <c r="AG234" s="232" t="s">
        <v>350</v>
      </c>
      <c r="AH234" s="234" t="s">
        <v>317</v>
      </c>
      <c r="AI234" s="250"/>
      <c r="AJ234" s="234">
        <v>0</v>
      </c>
      <c r="AK234" s="224"/>
      <c r="AL234" s="234">
        <v>0</v>
      </c>
      <c r="AM234" s="224"/>
      <c r="AN234" s="234">
        <v>2</v>
      </c>
      <c r="AO234" s="234">
        <v>0</v>
      </c>
      <c r="AP234" s="234">
        <v>1</v>
      </c>
      <c r="AQ234" s="234">
        <v>0</v>
      </c>
      <c r="AR234" s="234">
        <v>0</v>
      </c>
      <c r="AS234" s="234">
        <v>0</v>
      </c>
      <c r="AT234" s="234">
        <v>0</v>
      </c>
      <c r="AU234" s="234">
        <v>2</v>
      </c>
      <c r="AV234" s="234">
        <v>0</v>
      </c>
      <c r="AW234" s="234">
        <v>1</v>
      </c>
      <c r="AX234" s="234">
        <v>1</v>
      </c>
      <c r="AY234" s="234">
        <v>0</v>
      </c>
      <c r="AZ234" s="234">
        <v>0</v>
      </c>
      <c r="BA234" s="234">
        <v>0</v>
      </c>
      <c r="BB234" s="234">
        <v>0</v>
      </c>
      <c r="BC234" s="234">
        <v>0</v>
      </c>
      <c r="BD234" s="234">
        <v>0</v>
      </c>
      <c r="BE234" s="234">
        <v>-1</v>
      </c>
      <c r="BF234" s="234">
        <v>0</v>
      </c>
      <c r="BG234" s="234">
        <v>0</v>
      </c>
      <c r="BH234" s="234">
        <v>0</v>
      </c>
      <c r="BI234" s="234">
        <v>0</v>
      </c>
      <c r="BJ234" s="234">
        <v>0</v>
      </c>
      <c r="BK234" s="234">
        <v>0</v>
      </c>
      <c r="BL234" s="234">
        <v>0</v>
      </c>
      <c r="BM234" s="234">
        <v>0</v>
      </c>
      <c r="BN234" s="234">
        <v>0</v>
      </c>
      <c r="BO234" s="234">
        <v>0</v>
      </c>
      <c r="BP234" s="234"/>
      <c r="BQ234" s="234"/>
      <c r="BR234" s="237" t="s">
        <v>144</v>
      </c>
      <c r="BS234" s="238">
        <v>4</v>
      </c>
      <c r="BU234" s="239">
        <f>M234/2</f>
        <v>1.5</v>
      </c>
      <c r="BV234" s="239">
        <f>M234/2</f>
        <v>1.5</v>
      </c>
      <c r="CN234" s="238">
        <f t="shared" si="14"/>
        <v>3</v>
      </c>
      <c r="CO234" s="238">
        <f t="shared" si="15"/>
        <v>3</v>
      </c>
    </row>
    <row r="235" spans="1:93" ht="13.95" customHeight="1" x14ac:dyDescent="0.2">
      <c r="A235" s="231">
        <v>7361</v>
      </c>
      <c r="B235" s="232" t="s">
        <v>848</v>
      </c>
      <c r="C235" s="232" t="s">
        <v>1012</v>
      </c>
      <c r="D235" s="232" t="s">
        <v>1013</v>
      </c>
      <c r="E235" s="232" t="s">
        <v>317</v>
      </c>
      <c r="F235" s="231">
        <v>526027</v>
      </c>
      <c r="G235" s="231">
        <v>175089</v>
      </c>
      <c r="H235" s="232" t="s">
        <v>181</v>
      </c>
      <c r="I235" s="233">
        <v>44757</v>
      </c>
      <c r="J235" s="231"/>
      <c r="K235" s="231">
        <v>0</v>
      </c>
      <c r="L235" s="231">
        <v>1</v>
      </c>
      <c r="M235" s="231">
        <v>1</v>
      </c>
      <c r="N235" s="231">
        <v>1</v>
      </c>
      <c r="O235" s="231">
        <v>1</v>
      </c>
      <c r="P235" s="234"/>
      <c r="Q235" s="232" t="s">
        <v>1014</v>
      </c>
      <c r="R235" s="234" t="s">
        <v>428</v>
      </c>
      <c r="S235" s="235">
        <v>44272</v>
      </c>
      <c r="T235" s="235">
        <v>44327</v>
      </c>
      <c r="U235" s="234"/>
      <c r="V235" s="232" t="s">
        <v>321</v>
      </c>
      <c r="W235" s="231"/>
      <c r="X235" s="232" t="s">
        <v>322</v>
      </c>
      <c r="Y235" s="232" t="s">
        <v>378</v>
      </c>
      <c r="Z235" s="232" t="s">
        <v>324</v>
      </c>
      <c r="AA235" s="232" t="s">
        <v>28</v>
      </c>
      <c r="AB235" s="236">
        <v>6.0000000000000001E-3</v>
      </c>
      <c r="AC235" s="235">
        <v>44757</v>
      </c>
      <c r="AD235" s="234" t="s">
        <v>318</v>
      </c>
      <c r="AE235" s="235"/>
      <c r="AF235" s="232" t="s">
        <v>77</v>
      </c>
      <c r="AG235" s="232" t="s">
        <v>350</v>
      </c>
      <c r="AH235" s="234" t="s">
        <v>317</v>
      </c>
      <c r="AI235" s="250"/>
      <c r="AJ235" s="234">
        <v>0</v>
      </c>
      <c r="AK235" s="224"/>
      <c r="AL235" s="234">
        <v>0</v>
      </c>
      <c r="AM235" s="224"/>
      <c r="AN235" s="234">
        <v>0</v>
      </c>
      <c r="AO235" s="234">
        <v>0</v>
      </c>
      <c r="AP235" s="234">
        <v>1</v>
      </c>
      <c r="AQ235" s="234">
        <v>0</v>
      </c>
      <c r="AR235" s="234">
        <v>0</v>
      </c>
      <c r="AS235" s="234">
        <v>0</v>
      </c>
      <c r="AT235" s="234">
        <v>0</v>
      </c>
      <c r="AU235" s="234">
        <v>0</v>
      </c>
      <c r="AV235" s="234">
        <v>0</v>
      </c>
      <c r="AW235" s="234">
        <v>1</v>
      </c>
      <c r="AX235" s="234">
        <v>0</v>
      </c>
      <c r="AY235" s="234">
        <v>0</v>
      </c>
      <c r="AZ235" s="234">
        <v>0</v>
      </c>
      <c r="BA235" s="234">
        <v>0</v>
      </c>
      <c r="BB235" s="234">
        <v>0</v>
      </c>
      <c r="BC235" s="234">
        <v>0</v>
      </c>
      <c r="BD235" s="234">
        <v>0</v>
      </c>
      <c r="BE235" s="234">
        <v>0</v>
      </c>
      <c r="BF235" s="234">
        <v>0</v>
      </c>
      <c r="BG235" s="234">
        <v>0</v>
      </c>
      <c r="BH235" s="234">
        <v>0</v>
      </c>
      <c r="BI235" s="234">
        <v>0</v>
      </c>
      <c r="BJ235" s="234">
        <v>0</v>
      </c>
      <c r="BK235" s="234">
        <v>0</v>
      </c>
      <c r="BL235" s="234">
        <v>0</v>
      </c>
      <c r="BM235" s="234">
        <v>0</v>
      </c>
      <c r="BN235" s="234">
        <v>0</v>
      </c>
      <c r="BO235" s="234">
        <v>0</v>
      </c>
      <c r="BP235" s="234"/>
      <c r="BQ235" s="234"/>
      <c r="BR235" s="237" t="s">
        <v>327</v>
      </c>
      <c r="BS235" s="238">
        <v>13</v>
      </c>
      <c r="BU235" s="239">
        <f>M235</f>
        <v>1</v>
      </c>
      <c r="CN235" s="238">
        <f t="shared" si="14"/>
        <v>1</v>
      </c>
      <c r="CO235" s="238">
        <f t="shared" si="15"/>
        <v>1</v>
      </c>
    </row>
    <row r="236" spans="1:93" ht="13.95" customHeight="1" x14ac:dyDescent="0.2">
      <c r="A236" s="231">
        <v>7361</v>
      </c>
      <c r="B236" s="232" t="s">
        <v>848</v>
      </c>
      <c r="C236" s="232" t="s">
        <v>1015</v>
      </c>
      <c r="D236" s="232" t="s">
        <v>1013</v>
      </c>
      <c r="E236" s="232" t="s">
        <v>317</v>
      </c>
      <c r="F236" s="231">
        <v>526027</v>
      </c>
      <c r="G236" s="231">
        <v>175089</v>
      </c>
      <c r="H236" s="232" t="s">
        <v>181</v>
      </c>
      <c r="I236" s="233">
        <v>44757</v>
      </c>
      <c r="J236" s="231"/>
      <c r="K236" s="231">
        <v>1</v>
      </c>
      <c r="L236" s="231">
        <v>2</v>
      </c>
      <c r="M236" s="231">
        <v>1</v>
      </c>
      <c r="N236" s="231">
        <v>2</v>
      </c>
      <c r="O236" s="231">
        <v>1</v>
      </c>
      <c r="P236" s="234"/>
      <c r="Q236" s="232" t="s">
        <v>1016</v>
      </c>
      <c r="R236" s="234" t="s">
        <v>332</v>
      </c>
      <c r="S236" s="235">
        <v>44475</v>
      </c>
      <c r="T236" s="235">
        <v>44684</v>
      </c>
      <c r="U236" s="234" t="s">
        <v>318</v>
      </c>
      <c r="V236" s="232" t="s">
        <v>321</v>
      </c>
      <c r="W236" s="231"/>
      <c r="X236" s="232" t="s">
        <v>322</v>
      </c>
      <c r="Y236" s="232" t="s">
        <v>339</v>
      </c>
      <c r="Z236" s="232" t="s">
        <v>324</v>
      </c>
      <c r="AA236" s="232" t="s">
        <v>354</v>
      </c>
      <c r="AB236" s="236">
        <v>3.0000000000000001E-3</v>
      </c>
      <c r="AC236" s="235">
        <v>44757</v>
      </c>
      <c r="AD236" s="234" t="s">
        <v>318</v>
      </c>
      <c r="AE236" s="235"/>
      <c r="AF236" s="232" t="s">
        <v>77</v>
      </c>
      <c r="AG236" s="232" t="s">
        <v>350</v>
      </c>
      <c r="AH236" s="234" t="s">
        <v>317</v>
      </c>
      <c r="AI236" s="250"/>
      <c r="AJ236" s="234">
        <v>0</v>
      </c>
      <c r="AK236" s="224"/>
      <c r="AL236" s="234">
        <v>0</v>
      </c>
      <c r="AM236" s="224"/>
      <c r="AN236" s="234">
        <v>0</v>
      </c>
      <c r="AO236" s="234">
        <v>1</v>
      </c>
      <c r="AP236" s="234">
        <v>0</v>
      </c>
      <c r="AQ236" s="234">
        <v>0</v>
      </c>
      <c r="AR236" s="234">
        <v>0</v>
      </c>
      <c r="AS236" s="234">
        <v>0</v>
      </c>
      <c r="AT236" s="234">
        <v>0</v>
      </c>
      <c r="AU236" s="234">
        <v>0</v>
      </c>
      <c r="AV236" s="234">
        <v>1</v>
      </c>
      <c r="AW236" s="234">
        <v>0</v>
      </c>
      <c r="AX236" s="234">
        <v>0</v>
      </c>
      <c r="AY236" s="234">
        <v>0</v>
      </c>
      <c r="AZ236" s="234">
        <v>0</v>
      </c>
      <c r="BA236" s="234">
        <v>0</v>
      </c>
      <c r="BB236" s="234">
        <v>0</v>
      </c>
      <c r="BC236" s="234">
        <v>0</v>
      </c>
      <c r="BD236" s="234">
        <v>0</v>
      </c>
      <c r="BE236" s="234">
        <v>0</v>
      </c>
      <c r="BF236" s="234">
        <v>0</v>
      </c>
      <c r="BG236" s="234">
        <v>0</v>
      </c>
      <c r="BH236" s="234">
        <v>0</v>
      </c>
      <c r="BI236" s="234">
        <v>0</v>
      </c>
      <c r="BJ236" s="234">
        <v>0</v>
      </c>
      <c r="BK236" s="234">
        <v>0</v>
      </c>
      <c r="BL236" s="234">
        <v>0</v>
      </c>
      <c r="BM236" s="234">
        <v>0</v>
      </c>
      <c r="BN236" s="234">
        <v>0</v>
      </c>
      <c r="BO236" s="234">
        <v>0</v>
      </c>
      <c r="BP236" s="234"/>
      <c r="BQ236" s="234"/>
      <c r="BR236" s="237" t="s">
        <v>327</v>
      </c>
      <c r="BS236" s="238">
        <v>13</v>
      </c>
      <c r="BU236" s="239">
        <f>M236</f>
        <v>1</v>
      </c>
      <c r="CN236" s="238">
        <f t="shared" si="14"/>
        <v>1</v>
      </c>
      <c r="CO236" s="238">
        <f t="shared" si="15"/>
        <v>1</v>
      </c>
    </row>
    <row r="237" spans="1:93" ht="13.95" customHeight="1" x14ac:dyDescent="0.2">
      <c r="A237" s="231">
        <v>4865</v>
      </c>
      <c r="B237" s="232" t="s">
        <v>848</v>
      </c>
      <c r="C237" s="232" t="s">
        <v>1017</v>
      </c>
      <c r="D237" s="232" t="s">
        <v>1018</v>
      </c>
      <c r="E237" s="232" t="s">
        <v>317</v>
      </c>
      <c r="F237" s="231">
        <v>523686</v>
      </c>
      <c r="G237" s="231">
        <v>173656</v>
      </c>
      <c r="H237" s="232" t="s">
        <v>182</v>
      </c>
      <c r="I237" s="233">
        <v>43921</v>
      </c>
      <c r="J237" s="231"/>
      <c r="K237" s="231">
        <v>1</v>
      </c>
      <c r="L237" s="231">
        <v>2</v>
      </c>
      <c r="M237" s="231">
        <v>1</v>
      </c>
      <c r="N237" s="231">
        <v>2</v>
      </c>
      <c r="O237" s="231">
        <v>1</v>
      </c>
      <c r="P237" s="234"/>
      <c r="Q237" s="232" t="s">
        <v>1019</v>
      </c>
      <c r="R237" s="234" t="s">
        <v>332</v>
      </c>
      <c r="S237" s="235">
        <v>42626</v>
      </c>
      <c r="T237" s="235">
        <v>42682</v>
      </c>
      <c r="U237" s="234"/>
      <c r="V237" s="232" t="s">
        <v>321</v>
      </c>
      <c r="W237" s="231"/>
      <c r="X237" s="232" t="s">
        <v>322</v>
      </c>
      <c r="Y237" s="232" t="s">
        <v>323</v>
      </c>
      <c r="Z237" s="232" t="s">
        <v>324</v>
      </c>
      <c r="AA237" s="232" t="s">
        <v>349</v>
      </c>
      <c r="AB237" s="236">
        <v>2.4E-2</v>
      </c>
      <c r="AC237" s="235">
        <v>43921</v>
      </c>
      <c r="AD237" s="234"/>
      <c r="AE237" s="234"/>
      <c r="AF237" s="232" t="s">
        <v>77</v>
      </c>
      <c r="AG237" s="232" t="s">
        <v>350</v>
      </c>
      <c r="AH237" s="234" t="s">
        <v>317</v>
      </c>
      <c r="AI237" s="250"/>
      <c r="AJ237" s="234">
        <v>2</v>
      </c>
      <c r="AK237" s="224"/>
      <c r="AL237" s="234">
        <v>0</v>
      </c>
      <c r="AM237" s="224"/>
      <c r="AN237" s="234">
        <v>0</v>
      </c>
      <c r="AO237" s="234">
        <v>0</v>
      </c>
      <c r="AP237" s="234">
        <v>-1</v>
      </c>
      <c r="AQ237" s="234">
        <v>2</v>
      </c>
      <c r="AR237" s="234">
        <v>0</v>
      </c>
      <c r="AS237" s="234">
        <v>0</v>
      </c>
      <c r="AT237" s="234">
        <v>0</v>
      </c>
      <c r="AU237" s="234">
        <v>0</v>
      </c>
      <c r="AV237" s="234">
        <v>0</v>
      </c>
      <c r="AW237" s="234">
        <v>0</v>
      </c>
      <c r="AX237" s="234">
        <v>0</v>
      </c>
      <c r="AY237" s="234">
        <v>0</v>
      </c>
      <c r="AZ237" s="234">
        <v>0</v>
      </c>
      <c r="BA237" s="234">
        <v>0</v>
      </c>
      <c r="BB237" s="234">
        <v>0</v>
      </c>
      <c r="BC237" s="234">
        <v>0</v>
      </c>
      <c r="BD237" s="234">
        <v>-1</v>
      </c>
      <c r="BE237" s="234">
        <v>2</v>
      </c>
      <c r="BF237" s="234">
        <v>0</v>
      </c>
      <c r="BG237" s="234">
        <v>0</v>
      </c>
      <c r="BH237" s="234">
        <v>0</v>
      </c>
      <c r="BI237" s="234">
        <v>0</v>
      </c>
      <c r="BJ237" s="234">
        <v>0</v>
      </c>
      <c r="BK237" s="234">
        <v>0</v>
      </c>
      <c r="BL237" s="234">
        <v>0</v>
      </c>
      <c r="BM237" s="234">
        <v>0</v>
      </c>
      <c r="BN237" s="234">
        <v>0</v>
      </c>
      <c r="BO237" s="234">
        <v>0</v>
      </c>
      <c r="BP237" s="234"/>
      <c r="BQ237" s="234"/>
      <c r="BR237" s="237" t="s">
        <v>334</v>
      </c>
      <c r="BS237" s="238">
        <v>3</v>
      </c>
      <c r="BU237" s="239">
        <f>M237</f>
        <v>1</v>
      </c>
      <c r="CN237" s="238">
        <f t="shared" si="14"/>
        <v>1</v>
      </c>
      <c r="CO237" s="238">
        <f t="shared" si="15"/>
        <v>1</v>
      </c>
    </row>
    <row r="238" spans="1:93" ht="13.95" customHeight="1" x14ac:dyDescent="0.2">
      <c r="A238" s="231">
        <v>3571</v>
      </c>
      <c r="B238" s="232" t="s">
        <v>848</v>
      </c>
      <c r="C238" s="232" t="s">
        <v>1020</v>
      </c>
      <c r="D238" s="232" t="s">
        <v>1021</v>
      </c>
      <c r="E238" s="232" t="s">
        <v>317</v>
      </c>
      <c r="F238" s="231">
        <v>527317</v>
      </c>
      <c r="G238" s="231">
        <v>171389</v>
      </c>
      <c r="H238" s="232" t="s">
        <v>177</v>
      </c>
      <c r="I238" s="233">
        <v>44916</v>
      </c>
      <c r="J238" s="231"/>
      <c r="K238" s="231">
        <v>2</v>
      </c>
      <c r="L238" s="231">
        <v>4</v>
      </c>
      <c r="M238" s="231">
        <v>2</v>
      </c>
      <c r="N238" s="231">
        <v>4</v>
      </c>
      <c r="O238" s="231">
        <v>2</v>
      </c>
      <c r="P238" s="234"/>
      <c r="Q238" s="232" t="s">
        <v>1022</v>
      </c>
      <c r="R238" s="234" t="s">
        <v>332</v>
      </c>
      <c r="S238" s="235">
        <v>44539</v>
      </c>
      <c r="T238" s="235">
        <v>44600</v>
      </c>
      <c r="U238" s="234"/>
      <c r="V238" s="232" t="s">
        <v>321</v>
      </c>
      <c r="W238" s="231"/>
      <c r="X238" s="232" t="s">
        <v>322</v>
      </c>
      <c r="Y238" s="232" t="s">
        <v>339</v>
      </c>
      <c r="Z238" s="232" t="s">
        <v>324</v>
      </c>
      <c r="AA238" s="232" t="s">
        <v>354</v>
      </c>
      <c r="AB238" s="236">
        <v>0.01</v>
      </c>
      <c r="AC238" s="235">
        <v>44916</v>
      </c>
      <c r="AD238" s="234" t="s">
        <v>318</v>
      </c>
      <c r="AE238" s="234"/>
      <c r="AF238" s="232" t="s">
        <v>77</v>
      </c>
      <c r="AG238" s="232" t="s">
        <v>350</v>
      </c>
      <c r="AH238" s="234" t="s">
        <v>317</v>
      </c>
      <c r="AI238" s="250"/>
      <c r="AJ238" s="234">
        <v>0</v>
      </c>
      <c r="AK238" s="224"/>
      <c r="AL238" s="234">
        <v>0</v>
      </c>
      <c r="AM238" s="224"/>
      <c r="AN238" s="234">
        <v>1</v>
      </c>
      <c r="AO238" s="234">
        <v>1</v>
      </c>
      <c r="AP238" s="234">
        <v>0</v>
      </c>
      <c r="AQ238" s="234">
        <v>0</v>
      </c>
      <c r="AR238" s="234">
        <v>0</v>
      </c>
      <c r="AS238" s="234">
        <v>0</v>
      </c>
      <c r="AT238" s="234">
        <v>0</v>
      </c>
      <c r="AU238" s="234">
        <v>1</v>
      </c>
      <c r="AV238" s="234">
        <v>1</v>
      </c>
      <c r="AW238" s="234">
        <v>0</v>
      </c>
      <c r="AX238" s="234">
        <v>0</v>
      </c>
      <c r="AY238" s="234">
        <v>0</v>
      </c>
      <c r="AZ238" s="234">
        <v>0</v>
      </c>
      <c r="BA238" s="234">
        <v>0</v>
      </c>
      <c r="BB238" s="234">
        <v>0</v>
      </c>
      <c r="BC238" s="234">
        <v>0</v>
      </c>
      <c r="BD238" s="234">
        <v>0</v>
      </c>
      <c r="BE238" s="234">
        <v>0</v>
      </c>
      <c r="BF238" s="234">
        <v>0</v>
      </c>
      <c r="BG238" s="234">
        <v>0</v>
      </c>
      <c r="BH238" s="234">
        <v>0</v>
      </c>
      <c r="BI238" s="234">
        <v>0</v>
      </c>
      <c r="BJ238" s="234">
        <v>0</v>
      </c>
      <c r="BK238" s="234">
        <v>0</v>
      </c>
      <c r="BL238" s="234">
        <v>0</v>
      </c>
      <c r="BM238" s="234">
        <v>0</v>
      </c>
      <c r="BN238" s="234">
        <v>0</v>
      </c>
      <c r="BO238" s="234">
        <v>0</v>
      </c>
      <c r="BP238" s="234"/>
      <c r="BQ238" s="234"/>
      <c r="BR238" s="237" t="s">
        <v>144</v>
      </c>
      <c r="BS238" s="238">
        <v>14</v>
      </c>
      <c r="BU238" s="239">
        <f>M238/2</f>
        <v>1</v>
      </c>
      <c r="BV238" s="239">
        <f>M238/2</f>
        <v>1</v>
      </c>
      <c r="CN238" s="238">
        <f t="shared" si="14"/>
        <v>2</v>
      </c>
      <c r="CO238" s="238">
        <f t="shared" si="15"/>
        <v>2</v>
      </c>
    </row>
    <row r="239" spans="1:93" ht="13.95" customHeight="1" x14ac:dyDescent="0.2">
      <c r="A239" s="231">
        <v>7488</v>
      </c>
      <c r="B239" s="232" t="s">
        <v>848</v>
      </c>
      <c r="C239" s="232" t="s">
        <v>976</v>
      </c>
      <c r="D239" s="232" t="s">
        <v>977</v>
      </c>
      <c r="E239" s="232" t="s">
        <v>317</v>
      </c>
      <c r="F239" s="231">
        <v>526356</v>
      </c>
      <c r="G239" s="231">
        <v>173676</v>
      </c>
      <c r="H239" s="232" t="s">
        <v>179</v>
      </c>
      <c r="I239" s="233">
        <v>44306</v>
      </c>
      <c r="J239" s="231"/>
      <c r="K239" s="231">
        <v>1</v>
      </c>
      <c r="L239" s="231">
        <v>2</v>
      </c>
      <c r="M239" s="231">
        <v>1</v>
      </c>
      <c r="N239" s="231">
        <v>4</v>
      </c>
      <c r="O239" s="231">
        <v>3</v>
      </c>
      <c r="P239" s="234"/>
      <c r="Q239" s="232" t="s">
        <v>978</v>
      </c>
      <c r="R239" s="234" t="s">
        <v>332</v>
      </c>
      <c r="S239" s="235">
        <v>44144</v>
      </c>
      <c r="T239" s="235">
        <v>44201</v>
      </c>
      <c r="U239" s="234"/>
      <c r="V239" s="232" t="s">
        <v>321</v>
      </c>
      <c r="W239" s="231"/>
      <c r="X239" s="232" t="s">
        <v>322</v>
      </c>
      <c r="Y239" s="232" t="s">
        <v>365</v>
      </c>
      <c r="Z239" s="232" t="s">
        <v>324</v>
      </c>
      <c r="AA239" s="232" t="s">
        <v>15</v>
      </c>
      <c r="AB239" s="236">
        <v>1.6E-2</v>
      </c>
      <c r="AC239" s="235">
        <v>44306</v>
      </c>
      <c r="AD239" s="234"/>
      <c r="AE239" s="234"/>
      <c r="AF239" s="232" t="s">
        <v>77</v>
      </c>
      <c r="AG239" s="232" t="s">
        <v>350</v>
      </c>
      <c r="AH239" s="234" t="s">
        <v>317</v>
      </c>
      <c r="AI239" s="250"/>
      <c r="AJ239" s="234">
        <v>0</v>
      </c>
      <c r="AK239" s="224"/>
      <c r="AL239" s="234">
        <v>0</v>
      </c>
      <c r="AM239" s="224"/>
      <c r="AN239" s="234">
        <v>0</v>
      </c>
      <c r="AO239" s="234">
        <v>0</v>
      </c>
      <c r="AP239" s="234">
        <v>1</v>
      </c>
      <c r="AQ239" s="234">
        <v>1</v>
      </c>
      <c r="AR239" s="234">
        <v>0</v>
      </c>
      <c r="AS239" s="234">
        <v>-1</v>
      </c>
      <c r="AT239" s="234">
        <v>0</v>
      </c>
      <c r="AU239" s="234">
        <v>0</v>
      </c>
      <c r="AV239" s="234">
        <v>0</v>
      </c>
      <c r="AW239" s="234">
        <v>1</v>
      </c>
      <c r="AX239" s="234">
        <v>1</v>
      </c>
      <c r="AY239" s="234">
        <v>0</v>
      </c>
      <c r="AZ239" s="234">
        <v>0</v>
      </c>
      <c r="BA239" s="234">
        <v>0</v>
      </c>
      <c r="BB239" s="234">
        <v>0</v>
      </c>
      <c r="BC239" s="234">
        <v>0</v>
      </c>
      <c r="BD239" s="234">
        <v>0</v>
      </c>
      <c r="BE239" s="234">
        <v>0</v>
      </c>
      <c r="BF239" s="234">
        <v>0</v>
      </c>
      <c r="BG239" s="234">
        <v>-1</v>
      </c>
      <c r="BH239" s="234">
        <v>0</v>
      </c>
      <c r="BI239" s="234">
        <v>0</v>
      </c>
      <c r="BJ239" s="234">
        <v>0</v>
      </c>
      <c r="BK239" s="234">
        <v>0</v>
      </c>
      <c r="BL239" s="234">
        <v>0</v>
      </c>
      <c r="BM239" s="234">
        <v>0</v>
      </c>
      <c r="BN239" s="234">
        <v>0</v>
      </c>
      <c r="BO239" s="234">
        <v>0</v>
      </c>
      <c r="BP239" s="234"/>
      <c r="BQ239" s="234"/>
      <c r="BR239" s="237" t="s">
        <v>334</v>
      </c>
      <c r="BS239" s="238">
        <v>13</v>
      </c>
      <c r="BU239" s="239">
        <f t="shared" ref="BU239:BU258" si="19">M239</f>
        <v>1</v>
      </c>
      <c r="CN239" s="238">
        <f t="shared" si="14"/>
        <v>1</v>
      </c>
      <c r="CO239" s="238">
        <f t="shared" si="15"/>
        <v>1</v>
      </c>
    </row>
    <row r="240" spans="1:93" ht="13.95" customHeight="1" x14ac:dyDescent="0.2">
      <c r="A240" s="231">
        <v>7006</v>
      </c>
      <c r="B240" s="232" t="s">
        <v>848</v>
      </c>
      <c r="C240" s="232" t="s">
        <v>1023</v>
      </c>
      <c r="D240" s="232" t="s">
        <v>1024</v>
      </c>
      <c r="E240" s="232" t="s">
        <v>317</v>
      </c>
      <c r="F240" s="231">
        <v>527643</v>
      </c>
      <c r="G240" s="231">
        <v>171169</v>
      </c>
      <c r="H240" s="232" t="s">
        <v>177</v>
      </c>
      <c r="I240" s="233">
        <v>44440</v>
      </c>
      <c r="J240" s="231"/>
      <c r="K240" s="231">
        <v>1</v>
      </c>
      <c r="L240" s="231">
        <v>2</v>
      </c>
      <c r="M240" s="231">
        <v>1</v>
      </c>
      <c r="N240" s="231">
        <v>2</v>
      </c>
      <c r="O240" s="231">
        <v>1</v>
      </c>
      <c r="P240" s="234"/>
      <c r="Q240" s="232" t="s">
        <v>1025</v>
      </c>
      <c r="R240" s="234" t="s">
        <v>332</v>
      </c>
      <c r="S240" s="235">
        <v>43332</v>
      </c>
      <c r="T240" s="235">
        <v>43388</v>
      </c>
      <c r="U240" s="234"/>
      <c r="V240" s="232" t="s">
        <v>321</v>
      </c>
      <c r="W240" s="231"/>
      <c r="X240" s="232" t="s">
        <v>322</v>
      </c>
      <c r="Y240" s="232" t="s">
        <v>365</v>
      </c>
      <c r="Z240" s="232" t="s">
        <v>324</v>
      </c>
      <c r="AA240" s="232" t="s">
        <v>411</v>
      </c>
      <c r="AB240" s="236">
        <v>8.0000000000000002E-3</v>
      </c>
      <c r="AC240" s="235">
        <v>44440</v>
      </c>
      <c r="AD240" s="234"/>
      <c r="AE240" s="234"/>
      <c r="AF240" s="232" t="s">
        <v>77</v>
      </c>
      <c r="AG240" s="232" t="s">
        <v>350</v>
      </c>
      <c r="AH240" s="234" t="s">
        <v>317</v>
      </c>
      <c r="AI240" s="250"/>
      <c r="AJ240" s="234">
        <v>0</v>
      </c>
      <c r="AK240" s="224"/>
      <c r="AL240" s="234">
        <v>0</v>
      </c>
      <c r="AM240" s="224"/>
      <c r="AN240" s="234">
        <v>0</v>
      </c>
      <c r="AO240" s="234">
        <v>0</v>
      </c>
      <c r="AP240" s="234">
        <v>1</v>
      </c>
      <c r="AQ240" s="234">
        <v>0</v>
      </c>
      <c r="AR240" s="234">
        <v>0</v>
      </c>
      <c r="AS240" s="234">
        <v>0</v>
      </c>
      <c r="AT240" s="234">
        <v>0</v>
      </c>
      <c r="AU240" s="234">
        <v>0</v>
      </c>
      <c r="AV240" s="234">
        <v>0</v>
      </c>
      <c r="AW240" s="234">
        <v>1</v>
      </c>
      <c r="AX240" s="234">
        <v>0</v>
      </c>
      <c r="AY240" s="234">
        <v>0</v>
      </c>
      <c r="AZ240" s="234">
        <v>0</v>
      </c>
      <c r="BA240" s="234">
        <v>0</v>
      </c>
      <c r="BB240" s="234">
        <v>0</v>
      </c>
      <c r="BC240" s="234">
        <v>0</v>
      </c>
      <c r="BD240" s="234">
        <v>0</v>
      </c>
      <c r="BE240" s="234">
        <v>0</v>
      </c>
      <c r="BF240" s="234">
        <v>0</v>
      </c>
      <c r="BG240" s="234">
        <v>0</v>
      </c>
      <c r="BH240" s="234">
        <v>0</v>
      </c>
      <c r="BI240" s="234">
        <v>0</v>
      </c>
      <c r="BJ240" s="234">
        <v>0</v>
      </c>
      <c r="BK240" s="234">
        <v>0</v>
      </c>
      <c r="BL240" s="234">
        <v>0</v>
      </c>
      <c r="BM240" s="234">
        <v>0</v>
      </c>
      <c r="BN240" s="234">
        <v>0</v>
      </c>
      <c r="BO240" s="234">
        <v>0</v>
      </c>
      <c r="BP240" s="234"/>
      <c r="BQ240" s="234"/>
      <c r="BR240" s="237" t="s">
        <v>144</v>
      </c>
      <c r="BS240" s="238">
        <v>13</v>
      </c>
      <c r="BU240" s="239">
        <f t="shared" si="19"/>
        <v>1</v>
      </c>
      <c r="CN240" s="238">
        <f t="shared" si="14"/>
        <v>1</v>
      </c>
      <c r="CO240" s="238">
        <f t="shared" si="15"/>
        <v>1</v>
      </c>
    </row>
    <row r="241" spans="1:93" ht="13.95" customHeight="1" x14ac:dyDescent="0.2">
      <c r="A241" s="231">
        <v>6375</v>
      </c>
      <c r="B241" s="232" t="s">
        <v>848</v>
      </c>
      <c r="C241" s="232" t="s">
        <v>1026</v>
      </c>
      <c r="D241" s="232" t="s">
        <v>1027</v>
      </c>
      <c r="E241" s="232" t="s">
        <v>317</v>
      </c>
      <c r="F241" s="231">
        <v>523565</v>
      </c>
      <c r="G241" s="231">
        <v>175816</v>
      </c>
      <c r="H241" s="232" t="s">
        <v>175</v>
      </c>
      <c r="I241" s="233">
        <v>42983</v>
      </c>
      <c r="J241" s="231"/>
      <c r="K241" s="231">
        <v>1</v>
      </c>
      <c r="L241" s="231">
        <v>2</v>
      </c>
      <c r="M241" s="231">
        <v>1</v>
      </c>
      <c r="N241" s="231">
        <v>2</v>
      </c>
      <c r="O241" s="231">
        <v>1</v>
      </c>
      <c r="P241" s="234"/>
      <c r="Q241" s="232" t="s">
        <v>1028</v>
      </c>
      <c r="R241" s="234" t="s">
        <v>673</v>
      </c>
      <c r="S241" s="235">
        <v>42583</v>
      </c>
      <c r="T241" s="235">
        <v>42660</v>
      </c>
      <c r="U241" s="234"/>
      <c r="V241" s="232" t="s">
        <v>321</v>
      </c>
      <c r="W241" s="231"/>
      <c r="X241" s="232" t="s">
        <v>322</v>
      </c>
      <c r="Y241" s="232" t="s">
        <v>378</v>
      </c>
      <c r="Z241" s="232" t="s">
        <v>324</v>
      </c>
      <c r="AA241" s="232" t="s">
        <v>22</v>
      </c>
      <c r="AB241" s="236">
        <v>7.0000000000000001E-3</v>
      </c>
      <c r="AC241" s="235">
        <v>42983</v>
      </c>
      <c r="AD241" s="234"/>
      <c r="AE241" s="235"/>
      <c r="AF241" s="232" t="s">
        <v>77</v>
      </c>
      <c r="AG241" s="232" t="s">
        <v>350</v>
      </c>
      <c r="AH241" s="234" t="s">
        <v>317</v>
      </c>
      <c r="AI241" s="250"/>
      <c r="AJ241" s="234">
        <v>0</v>
      </c>
      <c r="AK241" s="224"/>
      <c r="AL241" s="234">
        <v>0</v>
      </c>
      <c r="AM241" s="224"/>
      <c r="AN241" s="234">
        <v>0</v>
      </c>
      <c r="AO241" s="234">
        <v>0</v>
      </c>
      <c r="AP241" s="234">
        <v>2</v>
      </c>
      <c r="AQ241" s="234">
        <v>0</v>
      </c>
      <c r="AR241" s="234">
        <v>0</v>
      </c>
      <c r="AS241" s="234">
        <v>-1</v>
      </c>
      <c r="AT241" s="234">
        <v>0</v>
      </c>
      <c r="AU241" s="234">
        <v>0</v>
      </c>
      <c r="AV241" s="234">
        <v>0</v>
      </c>
      <c r="AW241" s="234">
        <v>2</v>
      </c>
      <c r="AX241" s="234">
        <v>0</v>
      </c>
      <c r="AY241" s="234">
        <v>0</v>
      </c>
      <c r="AZ241" s="234">
        <v>-1</v>
      </c>
      <c r="BA241" s="234">
        <v>0</v>
      </c>
      <c r="BB241" s="234">
        <v>0</v>
      </c>
      <c r="BC241" s="234">
        <v>0</v>
      </c>
      <c r="BD241" s="234">
        <v>0</v>
      </c>
      <c r="BE241" s="234">
        <v>0</v>
      </c>
      <c r="BF241" s="234">
        <v>0</v>
      </c>
      <c r="BG241" s="234">
        <v>0</v>
      </c>
      <c r="BH241" s="234">
        <v>0</v>
      </c>
      <c r="BI241" s="234">
        <v>0</v>
      </c>
      <c r="BJ241" s="234">
        <v>0</v>
      </c>
      <c r="BK241" s="234">
        <v>0</v>
      </c>
      <c r="BL241" s="234">
        <v>0</v>
      </c>
      <c r="BM241" s="234">
        <v>0</v>
      </c>
      <c r="BN241" s="234">
        <v>0</v>
      </c>
      <c r="BO241" s="234">
        <v>0</v>
      </c>
      <c r="BP241" s="234"/>
      <c r="BQ241" s="234"/>
      <c r="BR241" s="237" t="s">
        <v>334</v>
      </c>
      <c r="BS241" s="238">
        <v>13</v>
      </c>
      <c r="BU241" s="239">
        <f t="shared" si="19"/>
        <v>1</v>
      </c>
      <c r="CN241" s="238">
        <f t="shared" si="14"/>
        <v>1</v>
      </c>
      <c r="CO241" s="238">
        <f t="shared" si="15"/>
        <v>1</v>
      </c>
    </row>
    <row r="242" spans="1:93" ht="13.95" customHeight="1" x14ac:dyDescent="0.2">
      <c r="A242" s="231">
        <v>5514</v>
      </c>
      <c r="B242" s="232" t="s">
        <v>848</v>
      </c>
      <c r="C242" s="232" t="s">
        <v>1029</v>
      </c>
      <c r="D242" s="232" t="s">
        <v>1030</v>
      </c>
      <c r="E242" s="232" t="s">
        <v>317</v>
      </c>
      <c r="F242" s="231">
        <v>529246</v>
      </c>
      <c r="G242" s="231">
        <v>170855</v>
      </c>
      <c r="H242" s="232" t="s">
        <v>166</v>
      </c>
      <c r="I242" s="233">
        <v>42826</v>
      </c>
      <c r="J242" s="231"/>
      <c r="K242" s="231">
        <v>0</v>
      </c>
      <c r="L242" s="231">
        <v>1</v>
      </c>
      <c r="M242" s="231">
        <v>1</v>
      </c>
      <c r="N242" s="231">
        <v>1</v>
      </c>
      <c r="O242" s="231">
        <v>1</v>
      </c>
      <c r="P242" s="234"/>
      <c r="Q242" s="232" t="s">
        <v>1031</v>
      </c>
      <c r="R242" s="234" t="s">
        <v>332</v>
      </c>
      <c r="S242" s="235">
        <v>41647</v>
      </c>
      <c r="T242" s="235">
        <v>42107</v>
      </c>
      <c r="U242" s="234"/>
      <c r="V242" s="232" t="s">
        <v>321</v>
      </c>
      <c r="W242" s="231"/>
      <c r="X242" s="232" t="s">
        <v>322</v>
      </c>
      <c r="Y242" s="232" t="s">
        <v>338</v>
      </c>
      <c r="Z242" s="232" t="s">
        <v>324</v>
      </c>
      <c r="AA242" s="232" t="s">
        <v>349</v>
      </c>
      <c r="AB242" s="236">
        <v>7.0000000000000001E-3</v>
      </c>
      <c r="AC242" s="235">
        <v>42826</v>
      </c>
      <c r="AD242" s="234"/>
      <c r="AE242" s="234"/>
      <c r="AF242" s="232" t="s">
        <v>77</v>
      </c>
      <c r="AG242" s="232" t="s">
        <v>350</v>
      </c>
      <c r="AH242" s="234" t="s">
        <v>317</v>
      </c>
      <c r="AI242" s="250"/>
      <c r="AJ242" s="234">
        <v>1</v>
      </c>
      <c r="AK242" s="224"/>
      <c r="AL242" s="234">
        <v>0</v>
      </c>
      <c r="AM242" s="224"/>
      <c r="AN242" s="234">
        <v>0</v>
      </c>
      <c r="AO242" s="234">
        <v>0</v>
      </c>
      <c r="AP242" s="234">
        <v>1</v>
      </c>
      <c r="AQ242" s="234">
        <v>0</v>
      </c>
      <c r="AR242" s="234">
        <v>0</v>
      </c>
      <c r="AS242" s="234">
        <v>0</v>
      </c>
      <c r="AT242" s="234">
        <v>0</v>
      </c>
      <c r="AU242" s="234">
        <v>0</v>
      </c>
      <c r="AV242" s="234">
        <v>0</v>
      </c>
      <c r="AW242" s="234">
        <v>0</v>
      </c>
      <c r="AX242" s="234">
        <v>0</v>
      </c>
      <c r="AY242" s="234">
        <v>0</v>
      </c>
      <c r="AZ242" s="234">
        <v>0</v>
      </c>
      <c r="BA242" s="234">
        <v>0</v>
      </c>
      <c r="BB242" s="234">
        <v>0</v>
      </c>
      <c r="BC242" s="234">
        <v>0</v>
      </c>
      <c r="BD242" s="234">
        <v>1</v>
      </c>
      <c r="BE242" s="234">
        <v>0</v>
      </c>
      <c r="BF242" s="234">
        <v>0</v>
      </c>
      <c r="BG242" s="234">
        <v>0</v>
      </c>
      <c r="BH242" s="234">
        <v>0</v>
      </c>
      <c r="BI242" s="234">
        <v>0</v>
      </c>
      <c r="BJ242" s="234">
        <v>0</v>
      </c>
      <c r="BK242" s="234">
        <v>0</v>
      </c>
      <c r="BL242" s="234">
        <v>0</v>
      </c>
      <c r="BM242" s="234">
        <v>0</v>
      </c>
      <c r="BN242" s="234">
        <v>0</v>
      </c>
      <c r="BO242" s="234">
        <v>0</v>
      </c>
      <c r="BP242" s="234"/>
      <c r="BQ242" s="234"/>
      <c r="BR242" s="237" t="s">
        <v>334</v>
      </c>
      <c r="BS242" s="238">
        <v>13</v>
      </c>
      <c r="BU242" s="239">
        <f t="shared" si="19"/>
        <v>1</v>
      </c>
      <c r="CN242" s="238">
        <f t="shared" si="14"/>
        <v>1</v>
      </c>
      <c r="CO242" s="238">
        <f t="shared" si="15"/>
        <v>1</v>
      </c>
    </row>
    <row r="243" spans="1:93" ht="13.95" customHeight="1" x14ac:dyDescent="0.2">
      <c r="A243" s="231">
        <v>3695</v>
      </c>
      <c r="B243" s="232" t="s">
        <v>848</v>
      </c>
      <c r="C243" s="232" t="s">
        <v>1032</v>
      </c>
      <c r="D243" s="232" t="s">
        <v>1033</v>
      </c>
      <c r="E243" s="232" t="s">
        <v>317</v>
      </c>
      <c r="F243" s="231">
        <v>525409</v>
      </c>
      <c r="G243" s="231">
        <v>174671</v>
      </c>
      <c r="H243" s="232" t="s">
        <v>181</v>
      </c>
      <c r="I243" s="233">
        <v>44819</v>
      </c>
      <c r="J243" s="231"/>
      <c r="K243" s="231">
        <v>0</v>
      </c>
      <c r="L243" s="231">
        <v>1</v>
      </c>
      <c r="M243" s="231">
        <v>1</v>
      </c>
      <c r="N243" s="231">
        <v>1</v>
      </c>
      <c r="O243" s="231">
        <v>1</v>
      </c>
      <c r="P243" s="234"/>
      <c r="Q243" s="232" t="s">
        <v>1034</v>
      </c>
      <c r="R243" s="234" t="s">
        <v>428</v>
      </c>
      <c r="S243" s="235">
        <v>44621</v>
      </c>
      <c r="T243" s="235">
        <v>44676</v>
      </c>
      <c r="U243" s="234" t="s">
        <v>318</v>
      </c>
      <c r="V243" s="232" t="s">
        <v>321</v>
      </c>
      <c r="W243" s="231"/>
      <c r="X243" s="232" t="s">
        <v>322</v>
      </c>
      <c r="Y243" s="232" t="s">
        <v>378</v>
      </c>
      <c r="Z243" s="232" t="s">
        <v>324</v>
      </c>
      <c r="AA243" s="232" t="s">
        <v>28</v>
      </c>
      <c r="AB243" s="236">
        <v>2E-3</v>
      </c>
      <c r="AC243" s="235">
        <v>44819</v>
      </c>
      <c r="AD243" s="234" t="s">
        <v>318</v>
      </c>
      <c r="AE243" s="234"/>
      <c r="AF243" s="232" t="s">
        <v>77</v>
      </c>
      <c r="AG243" s="232" t="s">
        <v>350</v>
      </c>
      <c r="AH243" s="234" t="s">
        <v>317</v>
      </c>
      <c r="AI243" s="250"/>
      <c r="AJ243" s="234">
        <v>0</v>
      </c>
      <c r="AK243" s="224"/>
      <c r="AL243" s="234">
        <v>0</v>
      </c>
      <c r="AM243" s="224"/>
      <c r="AN243" s="234">
        <v>1</v>
      </c>
      <c r="AO243" s="234">
        <v>0</v>
      </c>
      <c r="AP243" s="234">
        <v>0</v>
      </c>
      <c r="AQ243" s="234">
        <v>0</v>
      </c>
      <c r="AR243" s="234">
        <v>0</v>
      </c>
      <c r="AS243" s="234">
        <v>0</v>
      </c>
      <c r="AT243" s="234">
        <v>0</v>
      </c>
      <c r="AU243" s="234">
        <v>1</v>
      </c>
      <c r="AV243" s="234">
        <v>0</v>
      </c>
      <c r="AW243" s="234">
        <v>0</v>
      </c>
      <c r="AX243" s="234">
        <v>0</v>
      </c>
      <c r="AY243" s="234">
        <v>0</v>
      </c>
      <c r="AZ243" s="234">
        <v>0</v>
      </c>
      <c r="BA243" s="234">
        <v>0</v>
      </c>
      <c r="BB243" s="234">
        <v>0</v>
      </c>
      <c r="BC243" s="234">
        <v>0</v>
      </c>
      <c r="BD243" s="234">
        <v>0</v>
      </c>
      <c r="BE243" s="234">
        <v>0</v>
      </c>
      <c r="BF243" s="234">
        <v>0</v>
      </c>
      <c r="BG243" s="234">
        <v>0</v>
      </c>
      <c r="BH243" s="234">
        <v>0</v>
      </c>
      <c r="BI243" s="234">
        <v>0</v>
      </c>
      <c r="BJ243" s="234">
        <v>0</v>
      </c>
      <c r="BK243" s="234">
        <v>0</v>
      </c>
      <c r="BL243" s="234">
        <v>0</v>
      </c>
      <c r="BM243" s="234">
        <v>0</v>
      </c>
      <c r="BN243" s="234">
        <v>0</v>
      </c>
      <c r="BO243" s="234">
        <v>0</v>
      </c>
      <c r="BP243" s="234" t="s">
        <v>145</v>
      </c>
      <c r="BQ243" s="234"/>
      <c r="BR243" s="237" t="s">
        <v>327</v>
      </c>
      <c r="BS243" s="238">
        <v>13</v>
      </c>
      <c r="BU243" s="239">
        <f t="shared" si="19"/>
        <v>1</v>
      </c>
      <c r="CN243" s="238">
        <f t="shared" si="14"/>
        <v>1</v>
      </c>
      <c r="CO243" s="238">
        <f t="shared" si="15"/>
        <v>1</v>
      </c>
    </row>
    <row r="244" spans="1:93" ht="13.95" customHeight="1" x14ac:dyDescent="0.2">
      <c r="A244" s="231">
        <v>3695</v>
      </c>
      <c r="B244" s="232" t="s">
        <v>848</v>
      </c>
      <c r="C244" s="232" t="s">
        <v>1035</v>
      </c>
      <c r="D244" s="232" t="s">
        <v>1033</v>
      </c>
      <c r="E244" s="232" t="s">
        <v>317</v>
      </c>
      <c r="F244" s="231">
        <v>525409</v>
      </c>
      <c r="G244" s="231">
        <v>174671</v>
      </c>
      <c r="H244" s="232" t="s">
        <v>181</v>
      </c>
      <c r="I244" s="233">
        <v>44819</v>
      </c>
      <c r="J244" s="231"/>
      <c r="K244" s="231">
        <v>0</v>
      </c>
      <c r="L244" s="231">
        <v>1</v>
      </c>
      <c r="M244" s="231">
        <v>1</v>
      </c>
      <c r="N244" s="231">
        <v>1</v>
      </c>
      <c r="O244" s="231">
        <v>1</v>
      </c>
      <c r="P244" s="234"/>
      <c r="Q244" s="232" t="s">
        <v>1036</v>
      </c>
      <c r="R244" s="234" t="s">
        <v>428</v>
      </c>
      <c r="S244" s="235">
        <v>44621</v>
      </c>
      <c r="T244" s="235">
        <v>44676</v>
      </c>
      <c r="U244" s="234" t="s">
        <v>318</v>
      </c>
      <c r="V244" s="232" t="s">
        <v>321</v>
      </c>
      <c r="W244" s="231"/>
      <c r="X244" s="232" t="s">
        <v>322</v>
      </c>
      <c r="Y244" s="232" t="s">
        <v>378</v>
      </c>
      <c r="Z244" s="232" t="s">
        <v>324</v>
      </c>
      <c r="AA244" s="232" t="s">
        <v>28</v>
      </c>
      <c r="AB244" s="236">
        <v>3.0000000000000001E-3</v>
      </c>
      <c r="AC244" s="235">
        <v>44819</v>
      </c>
      <c r="AD244" s="234" t="s">
        <v>318</v>
      </c>
      <c r="AE244" s="234"/>
      <c r="AF244" s="232" t="s">
        <v>77</v>
      </c>
      <c r="AG244" s="232" t="s">
        <v>350</v>
      </c>
      <c r="AH244" s="234" t="s">
        <v>317</v>
      </c>
      <c r="AI244" s="250"/>
      <c r="AJ244" s="234">
        <v>0</v>
      </c>
      <c r="AK244" s="224"/>
      <c r="AL244" s="234">
        <v>0</v>
      </c>
      <c r="AM244" s="224"/>
      <c r="AN244" s="234">
        <v>0</v>
      </c>
      <c r="AO244" s="234">
        <v>1</v>
      </c>
      <c r="AP244" s="234">
        <v>0</v>
      </c>
      <c r="AQ244" s="234">
        <v>0</v>
      </c>
      <c r="AR244" s="234">
        <v>0</v>
      </c>
      <c r="AS244" s="234">
        <v>0</v>
      </c>
      <c r="AT244" s="234">
        <v>0</v>
      </c>
      <c r="AU244" s="234">
        <v>0</v>
      </c>
      <c r="AV244" s="234">
        <v>1</v>
      </c>
      <c r="AW244" s="234">
        <v>0</v>
      </c>
      <c r="AX244" s="234">
        <v>0</v>
      </c>
      <c r="AY244" s="234">
        <v>0</v>
      </c>
      <c r="AZ244" s="234">
        <v>0</v>
      </c>
      <c r="BA244" s="234">
        <v>0</v>
      </c>
      <c r="BB244" s="234">
        <v>0</v>
      </c>
      <c r="BC244" s="234">
        <v>0</v>
      </c>
      <c r="BD244" s="234">
        <v>0</v>
      </c>
      <c r="BE244" s="234">
        <v>0</v>
      </c>
      <c r="BF244" s="234">
        <v>0</v>
      </c>
      <c r="BG244" s="234">
        <v>0</v>
      </c>
      <c r="BH244" s="234">
        <v>0</v>
      </c>
      <c r="BI244" s="234">
        <v>0</v>
      </c>
      <c r="BJ244" s="234">
        <v>0</v>
      </c>
      <c r="BK244" s="234">
        <v>0</v>
      </c>
      <c r="BL244" s="234">
        <v>0</v>
      </c>
      <c r="BM244" s="234">
        <v>0</v>
      </c>
      <c r="BN244" s="234">
        <v>0</v>
      </c>
      <c r="BO244" s="234">
        <v>0</v>
      </c>
      <c r="BP244" s="234" t="s">
        <v>145</v>
      </c>
      <c r="BQ244" s="234"/>
      <c r="BR244" s="237" t="s">
        <v>327</v>
      </c>
      <c r="BS244" s="238">
        <v>13</v>
      </c>
      <c r="BU244" s="239">
        <f t="shared" si="19"/>
        <v>1</v>
      </c>
      <c r="CN244" s="238">
        <f t="shared" si="14"/>
        <v>1</v>
      </c>
      <c r="CO244" s="238">
        <f t="shared" si="15"/>
        <v>1</v>
      </c>
    </row>
    <row r="245" spans="1:93" ht="13.95" customHeight="1" x14ac:dyDescent="0.2">
      <c r="A245" s="231">
        <v>5298</v>
      </c>
      <c r="B245" s="232" t="s">
        <v>848</v>
      </c>
      <c r="C245" s="232" t="s">
        <v>1037</v>
      </c>
      <c r="D245" s="232" t="s">
        <v>1038</v>
      </c>
      <c r="E245" s="232" t="s">
        <v>317</v>
      </c>
      <c r="F245" s="231">
        <v>521254</v>
      </c>
      <c r="G245" s="231">
        <v>174526</v>
      </c>
      <c r="H245" s="232" t="s">
        <v>170</v>
      </c>
      <c r="I245" s="233">
        <v>43780</v>
      </c>
      <c r="J245" s="231"/>
      <c r="K245" s="231">
        <v>0</v>
      </c>
      <c r="L245" s="231">
        <v>1</v>
      </c>
      <c r="M245" s="231">
        <v>1</v>
      </c>
      <c r="N245" s="231">
        <v>1</v>
      </c>
      <c r="O245" s="231">
        <v>1</v>
      </c>
      <c r="P245" s="234"/>
      <c r="Q245" s="232" t="s">
        <v>1039</v>
      </c>
      <c r="R245" s="234" t="s">
        <v>332</v>
      </c>
      <c r="S245" s="235">
        <v>42590</v>
      </c>
      <c r="T245" s="235">
        <v>42691</v>
      </c>
      <c r="U245" s="234"/>
      <c r="V245" s="232" t="s">
        <v>321</v>
      </c>
      <c r="W245" s="231"/>
      <c r="X245" s="232" t="s">
        <v>322</v>
      </c>
      <c r="Y245" s="232" t="s">
        <v>323</v>
      </c>
      <c r="Z245" s="232" t="s">
        <v>324</v>
      </c>
      <c r="AA245" s="232" t="s">
        <v>349</v>
      </c>
      <c r="AB245" s="236">
        <v>0.108</v>
      </c>
      <c r="AC245" s="235">
        <v>43780</v>
      </c>
      <c r="AD245" s="234"/>
      <c r="AE245" s="234"/>
      <c r="AF245" s="232" t="s">
        <v>77</v>
      </c>
      <c r="AG245" s="232" t="s">
        <v>350</v>
      </c>
      <c r="AH245" s="234" t="s">
        <v>317</v>
      </c>
      <c r="AI245" s="250"/>
      <c r="AJ245" s="234">
        <v>1</v>
      </c>
      <c r="AK245" s="224"/>
      <c r="AL245" s="234">
        <v>1</v>
      </c>
      <c r="AM245" s="224"/>
      <c r="AN245" s="234">
        <v>0</v>
      </c>
      <c r="AO245" s="234">
        <v>0</v>
      </c>
      <c r="AP245" s="234">
        <v>0</v>
      </c>
      <c r="AQ245" s="234">
        <v>0</v>
      </c>
      <c r="AR245" s="234">
        <v>0</v>
      </c>
      <c r="AS245" s="234">
        <v>1</v>
      </c>
      <c r="AT245" s="234">
        <v>0</v>
      </c>
      <c r="AU245" s="234">
        <v>0</v>
      </c>
      <c r="AV245" s="234">
        <v>0</v>
      </c>
      <c r="AW245" s="234">
        <v>0</v>
      </c>
      <c r="AX245" s="234">
        <v>0</v>
      </c>
      <c r="AY245" s="234">
        <v>0</v>
      </c>
      <c r="AZ245" s="234">
        <v>0</v>
      </c>
      <c r="BA245" s="234">
        <v>0</v>
      </c>
      <c r="BB245" s="234">
        <v>0</v>
      </c>
      <c r="BC245" s="234">
        <v>0</v>
      </c>
      <c r="BD245" s="234">
        <v>0</v>
      </c>
      <c r="BE245" s="234">
        <v>0</v>
      </c>
      <c r="BF245" s="234">
        <v>0</v>
      </c>
      <c r="BG245" s="234">
        <v>1</v>
      </c>
      <c r="BH245" s="234">
        <v>0</v>
      </c>
      <c r="BI245" s="234">
        <v>0</v>
      </c>
      <c r="BJ245" s="234">
        <v>0</v>
      </c>
      <c r="BK245" s="234">
        <v>0</v>
      </c>
      <c r="BL245" s="234">
        <v>0</v>
      </c>
      <c r="BM245" s="234">
        <v>0</v>
      </c>
      <c r="BN245" s="234">
        <v>0</v>
      </c>
      <c r="BO245" s="234">
        <v>0</v>
      </c>
      <c r="BP245" s="234"/>
      <c r="BQ245" s="234"/>
      <c r="BR245" s="237" t="s">
        <v>334</v>
      </c>
      <c r="BS245" s="238">
        <v>3</v>
      </c>
      <c r="BU245" s="239">
        <f t="shared" si="19"/>
        <v>1</v>
      </c>
      <c r="CN245" s="238">
        <f t="shared" ref="CN245:CN308" si="20">SUM(BU245:BY245)</f>
        <v>1</v>
      </c>
      <c r="CO245" s="238">
        <f t="shared" ref="CO245:CO308" si="21">SUM(BU245:CD245)</f>
        <v>1</v>
      </c>
    </row>
    <row r="246" spans="1:93" ht="13.95" customHeight="1" x14ac:dyDescent="0.2">
      <c r="A246" s="231">
        <v>1882</v>
      </c>
      <c r="B246" s="232" t="s">
        <v>848</v>
      </c>
      <c r="C246" s="232" t="s">
        <v>1040</v>
      </c>
      <c r="D246" s="232" t="s">
        <v>1041</v>
      </c>
      <c r="E246" s="232" t="s">
        <v>317</v>
      </c>
      <c r="F246" s="231">
        <v>525371</v>
      </c>
      <c r="G246" s="231">
        <v>174659</v>
      </c>
      <c r="H246" s="232" t="s">
        <v>181</v>
      </c>
      <c r="I246" s="233">
        <v>43191</v>
      </c>
      <c r="J246" s="231"/>
      <c r="K246" s="231">
        <v>0</v>
      </c>
      <c r="L246" s="231">
        <v>1</v>
      </c>
      <c r="M246" s="231">
        <v>1</v>
      </c>
      <c r="N246" s="231">
        <v>1</v>
      </c>
      <c r="O246" s="231">
        <v>1</v>
      </c>
      <c r="P246" s="234"/>
      <c r="Q246" s="232" t="s">
        <v>1042</v>
      </c>
      <c r="R246" s="234" t="s">
        <v>344</v>
      </c>
      <c r="S246" s="235">
        <v>43536</v>
      </c>
      <c r="T246" s="235">
        <v>43600</v>
      </c>
      <c r="U246" s="234"/>
      <c r="V246" s="232" t="s">
        <v>321</v>
      </c>
      <c r="W246" s="231"/>
      <c r="X246" s="232" t="s">
        <v>322</v>
      </c>
      <c r="Y246" s="232" t="s">
        <v>378</v>
      </c>
      <c r="Z246" s="232" t="s">
        <v>324</v>
      </c>
      <c r="AA246" s="232" t="s">
        <v>31</v>
      </c>
      <c r="AB246" s="236">
        <v>5.0000000000000001E-3</v>
      </c>
      <c r="AC246" s="235">
        <v>43191</v>
      </c>
      <c r="AD246" s="234"/>
      <c r="AE246" s="234"/>
      <c r="AF246" s="232" t="s">
        <v>77</v>
      </c>
      <c r="AG246" s="232" t="s">
        <v>350</v>
      </c>
      <c r="AH246" s="234" t="s">
        <v>317</v>
      </c>
      <c r="AI246" s="250"/>
      <c r="AJ246" s="234">
        <v>0</v>
      </c>
      <c r="AK246" s="224"/>
      <c r="AL246" s="234">
        <v>0</v>
      </c>
      <c r="AM246" s="224"/>
      <c r="AN246" s="234">
        <v>0</v>
      </c>
      <c r="AO246" s="234">
        <v>1</v>
      </c>
      <c r="AP246" s="234">
        <v>0</v>
      </c>
      <c r="AQ246" s="234">
        <v>0</v>
      </c>
      <c r="AR246" s="234">
        <v>0</v>
      </c>
      <c r="AS246" s="234">
        <v>0</v>
      </c>
      <c r="AT246" s="234">
        <v>0</v>
      </c>
      <c r="AU246" s="234">
        <v>0</v>
      </c>
      <c r="AV246" s="234">
        <v>1</v>
      </c>
      <c r="AW246" s="234">
        <v>0</v>
      </c>
      <c r="AX246" s="234">
        <v>0</v>
      </c>
      <c r="AY246" s="234">
        <v>0</v>
      </c>
      <c r="AZ246" s="234">
        <v>0</v>
      </c>
      <c r="BA246" s="234">
        <v>0</v>
      </c>
      <c r="BB246" s="234">
        <v>0</v>
      </c>
      <c r="BC246" s="234">
        <v>0</v>
      </c>
      <c r="BD246" s="234">
        <v>0</v>
      </c>
      <c r="BE246" s="234">
        <v>0</v>
      </c>
      <c r="BF246" s="234">
        <v>0</v>
      </c>
      <c r="BG246" s="234">
        <v>0</v>
      </c>
      <c r="BH246" s="234">
        <v>0</v>
      </c>
      <c r="BI246" s="234">
        <v>0</v>
      </c>
      <c r="BJ246" s="234">
        <v>0</v>
      </c>
      <c r="BK246" s="234">
        <v>0</v>
      </c>
      <c r="BL246" s="234">
        <v>0</v>
      </c>
      <c r="BM246" s="234">
        <v>0</v>
      </c>
      <c r="BN246" s="234">
        <v>0</v>
      </c>
      <c r="BO246" s="234">
        <v>0</v>
      </c>
      <c r="BP246" s="234" t="s">
        <v>145</v>
      </c>
      <c r="BQ246" s="234"/>
      <c r="BR246" s="237" t="s">
        <v>327</v>
      </c>
      <c r="BS246" s="238">
        <v>13</v>
      </c>
      <c r="BU246" s="239">
        <f t="shared" si="19"/>
        <v>1</v>
      </c>
      <c r="CN246" s="238">
        <f t="shared" si="20"/>
        <v>1</v>
      </c>
      <c r="CO246" s="238">
        <f t="shared" si="21"/>
        <v>1</v>
      </c>
    </row>
    <row r="247" spans="1:93" ht="13.95" customHeight="1" x14ac:dyDescent="0.2">
      <c r="A247" s="231">
        <v>6381</v>
      </c>
      <c r="B247" s="232" t="s">
        <v>848</v>
      </c>
      <c r="C247" s="232" t="s">
        <v>1043</v>
      </c>
      <c r="D247" s="232" t="s">
        <v>1044</v>
      </c>
      <c r="E247" s="232" t="s">
        <v>317</v>
      </c>
      <c r="F247" s="231">
        <v>528420</v>
      </c>
      <c r="G247" s="231">
        <v>173036</v>
      </c>
      <c r="H247" s="232" t="s">
        <v>172</v>
      </c>
      <c r="I247" s="233">
        <v>44773</v>
      </c>
      <c r="J247" s="231"/>
      <c r="K247" s="231">
        <v>0</v>
      </c>
      <c r="L247" s="231">
        <v>1</v>
      </c>
      <c r="M247" s="231">
        <v>1</v>
      </c>
      <c r="N247" s="231">
        <v>1</v>
      </c>
      <c r="O247" s="231">
        <v>1</v>
      </c>
      <c r="P247" s="234"/>
      <c r="Q247" s="232" t="s">
        <v>1045</v>
      </c>
      <c r="R247" s="234" t="s">
        <v>332</v>
      </c>
      <c r="S247" s="235">
        <v>44433</v>
      </c>
      <c r="T247" s="235">
        <v>44578</v>
      </c>
      <c r="U247" s="234"/>
      <c r="V247" s="232" t="s">
        <v>321</v>
      </c>
      <c r="W247" s="231"/>
      <c r="X247" s="232" t="s">
        <v>322</v>
      </c>
      <c r="Y247" s="232" t="s">
        <v>378</v>
      </c>
      <c r="Z247" s="232" t="s">
        <v>324</v>
      </c>
      <c r="AA247" s="232" t="s">
        <v>31</v>
      </c>
      <c r="AB247" s="236">
        <v>6.0000000000000001E-3</v>
      </c>
      <c r="AC247" s="235">
        <v>44773</v>
      </c>
      <c r="AD247" s="234" t="s">
        <v>318</v>
      </c>
      <c r="AE247" s="234"/>
      <c r="AF247" s="232" t="s">
        <v>77</v>
      </c>
      <c r="AG247" s="232" t="s">
        <v>350</v>
      </c>
      <c r="AH247" s="234" t="s">
        <v>317</v>
      </c>
      <c r="AI247" s="250"/>
      <c r="AJ247" s="234">
        <v>0</v>
      </c>
      <c r="AK247" s="224"/>
      <c r="AL247" s="234">
        <v>0</v>
      </c>
      <c r="AM247" s="224"/>
      <c r="AN247" s="234">
        <v>0</v>
      </c>
      <c r="AO247" s="234">
        <v>0</v>
      </c>
      <c r="AP247" s="234">
        <v>0</v>
      </c>
      <c r="AQ247" s="234">
        <v>1</v>
      </c>
      <c r="AR247" s="234">
        <v>0</v>
      </c>
      <c r="AS247" s="234">
        <v>0</v>
      </c>
      <c r="AT247" s="234">
        <v>0</v>
      </c>
      <c r="AU247" s="234">
        <v>0</v>
      </c>
      <c r="AV247" s="234">
        <v>0</v>
      </c>
      <c r="AW247" s="234">
        <v>0</v>
      </c>
      <c r="AX247" s="234">
        <v>0</v>
      </c>
      <c r="AY247" s="234">
        <v>0</v>
      </c>
      <c r="AZ247" s="234">
        <v>0</v>
      </c>
      <c r="BA247" s="234">
        <v>0</v>
      </c>
      <c r="BB247" s="234">
        <v>0</v>
      </c>
      <c r="BC247" s="234">
        <v>0</v>
      </c>
      <c r="BD247" s="234">
        <v>0</v>
      </c>
      <c r="BE247" s="234">
        <v>1</v>
      </c>
      <c r="BF247" s="234">
        <v>0</v>
      </c>
      <c r="BG247" s="234">
        <v>0</v>
      </c>
      <c r="BH247" s="234">
        <v>0</v>
      </c>
      <c r="BI247" s="234">
        <v>0</v>
      </c>
      <c r="BJ247" s="234">
        <v>0</v>
      </c>
      <c r="BK247" s="234">
        <v>0</v>
      </c>
      <c r="BL247" s="234">
        <v>0</v>
      </c>
      <c r="BM247" s="234">
        <v>0</v>
      </c>
      <c r="BN247" s="234">
        <v>0</v>
      </c>
      <c r="BO247" s="234">
        <v>0</v>
      </c>
      <c r="BP247" s="234"/>
      <c r="BQ247" s="234"/>
      <c r="BR247" s="237" t="s">
        <v>334</v>
      </c>
      <c r="BS247" s="238">
        <v>13</v>
      </c>
      <c r="BU247" s="239">
        <f t="shared" si="19"/>
        <v>1</v>
      </c>
      <c r="CN247" s="238">
        <f t="shared" si="20"/>
        <v>1</v>
      </c>
      <c r="CO247" s="238">
        <f t="shared" si="21"/>
        <v>1</v>
      </c>
    </row>
    <row r="248" spans="1:93" ht="13.95" customHeight="1" x14ac:dyDescent="0.2">
      <c r="A248" s="231">
        <v>7027</v>
      </c>
      <c r="B248" s="232" t="s">
        <v>848</v>
      </c>
      <c r="C248" s="232" t="s">
        <v>1046</v>
      </c>
      <c r="D248" s="232" t="s">
        <v>1047</v>
      </c>
      <c r="E248" s="232" t="s">
        <v>317</v>
      </c>
      <c r="F248" s="231">
        <v>527173</v>
      </c>
      <c r="G248" s="231">
        <v>171043</v>
      </c>
      <c r="H248" s="232" t="s">
        <v>177</v>
      </c>
      <c r="I248" s="233">
        <v>44287</v>
      </c>
      <c r="J248" s="231"/>
      <c r="K248" s="231">
        <v>0</v>
      </c>
      <c r="L248" s="231">
        <v>1</v>
      </c>
      <c r="M248" s="231">
        <v>1</v>
      </c>
      <c r="N248" s="231">
        <v>1</v>
      </c>
      <c r="O248" s="231">
        <v>1</v>
      </c>
      <c r="P248" s="234"/>
      <c r="Q248" s="232" t="s">
        <v>1048</v>
      </c>
      <c r="R248" s="234" t="s">
        <v>332</v>
      </c>
      <c r="S248" s="235">
        <v>43374</v>
      </c>
      <c r="T248" s="235">
        <v>43488</v>
      </c>
      <c r="U248" s="234"/>
      <c r="V248" s="232" t="s">
        <v>321</v>
      </c>
      <c r="W248" s="231"/>
      <c r="X248" s="232" t="s">
        <v>322</v>
      </c>
      <c r="Y248" s="232" t="s">
        <v>338</v>
      </c>
      <c r="Z248" s="232" t="s">
        <v>324</v>
      </c>
      <c r="AA248" s="232" t="s">
        <v>354</v>
      </c>
      <c r="AB248" s="236">
        <v>5.3E-3</v>
      </c>
      <c r="AC248" s="235">
        <v>44287</v>
      </c>
      <c r="AD248" s="234"/>
      <c r="AE248" s="234"/>
      <c r="AF248" s="232" t="s">
        <v>77</v>
      </c>
      <c r="AG248" s="232" t="s">
        <v>350</v>
      </c>
      <c r="AH248" s="234" t="s">
        <v>317</v>
      </c>
      <c r="AI248" s="250"/>
      <c r="AJ248" s="234">
        <v>0</v>
      </c>
      <c r="AK248" s="224"/>
      <c r="AL248" s="234">
        <v>0</v>
      </c>
      <c r="AM248" s="224"/>
      <c r="AN248" s="234">
        <v>0</v>
      </c>
      <c r="AO248" s="234">
        <v>1</v>
      </c>
      <c r="AP248" s="234">
        <v>0</v>
      </c>
      <c r="AQ248" s="234">
        <v>0</v>
      </c>
      <c r="AR248" s="234">
        <v>0</v>
      </c>
      <c r="AS248" s="234">
        <v>0</v>
      </c>
      <c r="AT248" s="234">
        <v>0</v>
      </c>
      <c r="AU248" s="234">
        <v>0</v>
      </c>
      <c r="AV248" s="234">
        <v>1</v>
      </c>
      <c r="AW248" s="234">
        <v>0</v>
      </c>
      <c r="AX248" s="234">
        <v>0</v>
      </c>
      <c r="AY248" s="234">
        <v>0</v>
      </c>
      <c r="AZ248" s="234">
        <v>0</v>
      </c>
      <c r="BA248" s="234">
        <v>0</v>
      </c>
      <c r="BB248" s="234">
        <v>0</v>
      </c>
      <c r="BC248" s="234">
        <v>0</v>
      </c>
      <c r="BD248" s="234">
        <v>0</v>
      </c>
      <c r="BE248" s="234">
        <v>0</v>
      </c>
      <c r="BF248" s="234">
        <v>0</v>
      </c>
      <c r="BG248" s="234">
        <v>0</v>
      </c>
      <c r="BH248" s="234">
        <v>0</v>
      </c>
      <c r="BI248" s="234">
        <v>0</v>
      </c>
      <c r="BJ248" s="234">
        <v>0</v>
      </c>
      <c r="BK248" s="234">
        <v>0</v>
      </c>
      <c r="BL248" s="234">
        <v>0</v>
      </c>
      <c r="BM248" s="234">
        <v>0</v>
      </c>
      <c r="BN248" s="234">
        <v>0</v>
      </c>
      <c r="BO248" s="234">
        <v>0</v>
      </c>
      <c r="BP248" s="234"/>
      <c r="BQ248" s="234"/>
      <c r="BR248" s="237" t="s">
        <v>144</v>
      </c>
      <c r="BS248" s="238">
        <v>13</v>
      </c>
      <c r="BU248" s="239">
        <f t="shared" si="19"/>
        <v>1</v>
      </c>
      <c r="CN248" s="238">
        <f t="shared" si="20"/>
        <v>1</v>
      </c>
      <c r="CO248" s="238">
        <f t="shared" si="21"/>
        <v>1</v>
      </c>
    </row>
    <row r="249" spans="1:93" ht="13.95" customHeight="1" x14ac:dyDescent="0.2">
      <c r="A249" s="231">
        <v>4735</v>
      </c>
      <c r="B249" s="232" t="s">
        <v>848</v>
      </c>
      <c r="C249" s="232" t="s">
        <v>1049</v>
      </c>
      <c r="D249" s="232" t="s">
        <v>1050</v>
      </c>
      <c r="E249" s="232" t="s">
        <v>317</v>
      </c>
      <c r="F249" s="231">
        <v>529233</v>
      </c>
      <c r="G249" s="231">
        <v>171130</v>
      </c>
      <c r="H249" s="232" t="s">
        <v>166</v>
      </c>
      <c r="I249" s="233">
        <v>43872</v>
      </c>
      <c r="J249" s="231"/>
      <c r="K249" s="231">
        <v>0</v>
      </c>
      <c r="L249" s="231">
        <v>1</v>
      </c>
      <c r="M249" s="231">
        <v>1</v>
      </c>
      <c r="N249" s="231">
        <v>1</v>
      </c>
      <c r="O249" s="231">
        <v>1</v>
      </c>
      <c r="P249" s="234"/>
      <c r="Q249" s="232" t="s">
        <v>1051</v>
      </c>
      <c r="R249" s="234" t="s">
        <v>332</v>
      </c>
      <c r="S249" s="235">
        <v>43661</v>
      </c>
      <c r="T249" s="235">
        <v>43696</v>
      </c>
      <c r="U249" s="234"/>
      <c r="V249" s="232" t="s">
        <v>321</v>
      </c>
      <c r="W249" s="231"/>
      <c r="X249" s="232" t="s">
        <v>322</v>
      </c>
      <c r="Y249" s="232" t="s">
        <v>378</v>
      </c>
      <c r="Z249" s="232" t="s">
        <v>324</v>
      </c>
      <c r="AA249" s="232" t="s">
        <v>28</v>
      </c>
      <c r="AB249" s="236">
        <v>2E-3</v>
      </c>
      <c r="AC249" s="235">
        <v>43872</v>
      </c>
      <c r="AD249" s="234"/>
      <c r="AE249" s="234"/>
      <c r="AF249" s="232" t="s">
        <v>77</v>
      </c>
      <c r="AG249" s="232" t="s">
        <v>350</v>
      </c>
      <c r="AH249" s="234" t="s">
        <v>317</v>
      </c>
      <c r="AI249" s="250"/>
      <c r="AJ249" s="234">
        <v>0</v>
      </c>
      <c r="AK249" s="224"/>
      <c r="AL249" s="234">
        <v>0</v>
      </c>
      <c r="AM249" s="224"/>
      <c r="AN249" s="234">
        <v>0</v>
      </c>
      <c r="AO249" s="234">
        <v>1</v>
      </c>
      <c r="AP249" s="234">
        <v>0</v>
      </c>
      <c r="AQ249" s="234">
        <v>0</v>
      </c>
      <c r="AR249" s="234">
        <v>0</v>
      </c>
      <c r="AS249" s="234">
        <v>0</v>
      </c>
      <c r="AT249" s="234">
        <v>0</v>
      </c>
      <c r="AU249" s="234">
        <v>0</v>
      </c>
      <c r="AV249" s="234">
        <v>0</v>
      </c>
      <c r="AW249" s="234">
        <v>0</v>
      </c>
      <c r="AX249" s="234">
        <v>0</v>
      </c>
      <c r="AY249" s="234">
        <v>0</v>
      </c>
      <c r="AZ249" s="234">
        <v>0</v>
      </c>
      <c r="BA249" s="234">
        <v>0</v>
      </c>
      <c r="BB249" s="234">
        <v>0</v>
      </c>
      <c r="BC249" s="234">
        <v>1</v>
      </c>
      <c r="BD249" s="234">
        <v>0</v>
      </c>
      <c r="BE249" s="234">
        <v>0</v>
      </c>
      <c r="BF249" s="234">
        <v>0</v>
      </c>
      <c r="BG249" s="234">
        <v>0</v>
      </c>
      <c r="BH249" s="234">
        <v>0</v>
      </c>
      <c r="BI249" s="234">
        <v>0</v>
      </c>
      <c r="BJ249" s="234">
        <v>0</v>
      </c>
      <c r="BK249" s="234">
        <v>0</v>
      </c>
      <c r="BL249" s="234">
        <v>0</v>
      </c>
      <c r="BM249" s="234">
        <v>0</v>
      </c>
      <c r="BN249" s="234">
        <v>0</v>
      </c>
      <c r="BO249" s="234">
        <v>0</v>
      </c>
      <c r="BP249" s="234"/>
      <c r="BQ249" s="234"/>
      <c r="BR249" s="237" t="s">
        <v>334</v>
      </c>
      <c r="BS249" s="238">
        <v>13</v>
      </c>
      <c r="BU249" s="239">
        <f t="shared" si="19"/>
        <v>1</v>
      </c>
      <c r="CN249" s="238">
        <f t="shared" si="20"/>
        <v>1</v>
      </c>
      <c r="CO249" s="238">
        <f t="shared" si="21"/>
        <v>1</v>
      </c>
    </row>
    <row r="250" spans="1:93" ht="13.95" customHeight="1" x14ac:dyDescent="0.2">
      <c r="A250" s="231">
        <v>4084</v>
      </c>
      <c r="B250" s="232" t="s">
        <v>848</v>
      </c>
      <c r="C250" s="232" t="s">
        <v>1052</v>
      </c>
      <c r="D250" s="232" t="s">
        <v>1053</v>
      </c>
      <c r="E250" s="232" t="s">
        <v>317</v>
      </c>
      <c r="F250" s="231">
        <v>527971</v>
      </c>
      <c r="G250" s="231">
        <v>172408</v>
      </c>
      <c r="H250" s="232" t="s">
        <v>178</v>
      </c>
      <c r="I250" s="233">
        <v>43210</v>
      </c>
      <c r="J250" s="231"/>
      <c r="K250" s="231">
        <v>0</v>
      </c>
      <c r="L250" s="231">
        <v>1</v>
      </c>
      <c r="M250" s="231">
        <v>1</v>
      </c>
      <c r="N250" s="231">
        <v>3</v>
      </c>
      <c r="O250" s="231">
        <v>2</v>
      </c>
      <c r="P250" s="234"/>
      <c r="Q250" s="232" t="s">
        <v>1054</v>
      </c>
      <c r="R250" s="234" t="s">
        <v>332</v>
      </c>
      <c r="S250" s="235">
        <v>43115</v>
      </c>
      <c r="T250" s="235">
        <v>43210</v>
      </c>
      <c r="U250" s="234"/>
      <c r="V250" s="232" t="s">
        <v>321</v>
      </c>
      <c r="W250" s="231"/>
      <c r="X250" s="232" t="s">
        <v>322</v>
      </c>
      <c r="Y250" s="232" t="s">
        <v>338</v>
      </c>
      <c r="Z250" s="232" t="s">
        <v>324</v>
      </c>
      <c r="AA250" s="232" t="s">
        <v>349</v>
      </c>
      <c r="AB250" s="236">
        <v>3.0000000000000001E-3</v>
      </c>
      <c r="AC250" s="235">
        <v>43210</v>
      </c>
      <c r="AD250" s="234"/>
      <c r="AE250" s="235"/>
      <c r="AF250" s="232" t="s">
        <v>77</v>
      </c>
      <c r="AG250" s="232" t="s">
        <v>350</v>
      </c>
      <c r="AH250" s="234" t="s">
        <v>317</v>
      </c>
      <c r="AI250" s="250"/>
      <c r="AJ250" s="234">
        <v>0</v>
      </c>
      <c r="AK250" s="224"/>
      <c r="AL250" s="234">
        <v>0</v>
      </c>
      <c r="AM250" s="224"/>
      <c r="AN250" s="234">
        <v>1</v>
      </c>
      <c r="AO250" s="234">
        <v>0</v>
      </c>
      <c r="AP250" s="234">
        <v>0</v>
      </c>
      <c r="AQ250" s="234">
        <v>0</v>
      </c>
      <c r="AR250" s="234">
        <v>0</v>
      </c>
      <c r="AS250" s="234">
        <v>0</v>
      </c>
      <c r="AT250" s="234">
        <v>0</v>
      </c>
      <c r="AU250" s="234">
        <v>1</v>
      </c>
      <c r="AV250" s="234">
        <v>0</v>
      </c>
      <c r="AW250" s="234">
        <v>0</v>
      </c>
      <c r="AX250" s="234">
        <v>0</v>
      </c>
      <c r="AY250" s="234">
        <v>0</v>
      </c>
      <c r="AZ250" s="234">
        <v>0</v>
      </c>
      <c r="BA250" s="234">
        <v>0</v>
      </c>
      <c r="BB250" s="234">
        <v>0</v>
      </c>
      <c r="BC250" s="234">
        <v>0</v>
      </c>
      <c r="BD250" s="234">
        <v>0</v>
      </c>
      <c r="BE250" s="234">
        <v>0</v>
      </c>
      <c r="BF250" s="234">
        <v>0</v>
      </c>
      <c r="BG250" s="234">
        <v>0</v>
      </c>
      <c r="BH250" s="234">
        <v>0</v>
      </c>
      <c r="BI250" s="234">
        <v>0</v>
      </c>
      <c r="BJ250" s="234">
        <v>0</v>
      </c>
      <c r="BK250" s="234">
        <v>0</v>
      </c>
      <c r="BL250" s="234">
        <v>0</v>
      </c>
      <c r="BM250" s="234">
        <v>0</v>
      </c>
      <c r="BN250" s="234">
        <v>0</v>
      </c>
      <c r="BO250" s="234">
        <v>0</v>
      </c>
      <c r="BP250" s="234"/>
      <c r="BQ250" s="234"/>
      <c r="BR250" s="237" t="s">
        <v>334</v>
      </c>
      <c r="BS250" s="238">
        <v>13</v>
      </c>
      <c r="BU250" s="239">
        <f t="shared" si="19"/>
        <v>1</v>
      </c>
      <c r="CN250" s="238">
        <f t="shared" si="20"/>
        <v>1</v>
      </c>
      <c r="CO250" s="238">
        <f t="shared" si="21"/>
        <v>1</v>
      </c>
    </row>
    <row r="251" spans="1:93" ht="13.95" customHeight="1" x14ac:dyDescent="0.2">
      <c r="A251" s="231">
        <v>4084</v>
      </c>
      <c r="B251" s="232" t="s">
        <v>848</v>
      </c>
      <c r="C251" s="232" t="s">
        <v>1052</v>
      </c>
      <c r="D251" s="232" t="s">
        <v>1053</v>
      </c>
      <c r="E251" s="232" t="s">
        <v>317</v>
      </c>
      <c r="F251" s="231">
        <v>527971</v>
      </c>
      <c r="G251" s="231">
        <v>172408</v>
      </c>
      <c r="H251" s="232" t="s">
        <v>178</v>
      </c>
      <c r="I251" s="233">
        <v>43210</v>
      </c>
      <c r="J251" s="231"/>
      <c r="K251" s="231">
        <v>0</v>
      </c>
      <c r="L251" s="231">
        <v>1</v>
      </c>
      <c r="M251" s="231">
        <v>1</v>
      </c>
      <c r="N251" s="231">
        <v>3</v>
      </c>
      <c r="O251" s="231">
        <v>2</v>
      </c>
      <c r="P251" s="234"/>
      <c r="Q251" s="232" t="s">
        <v>1054</v>
      </c>
      <c r="R251" s="234" t="s">
        <v>332</v>
      </c>
      <c r="S251" s="235">
        <v>43115</v>
      </c>
      <c r="T251" s="235">
        <v>43210</v>
      </c>
      <c r="U251" s="234"/>
      <c r="V251" s="232" t="s">
        <v>321</v>
      </c>
      <c r="W251" s="231"/>
      <c r="X251" s="232" t="s">
        <v>322</v>
      </c>
      <c r="Y251" s="232" t="s">
        <v>338</v>
      </c>
      <c r="Z251" s="232" t="s">
        <v>324</v>
      </c>
      <c r="AA251" s="232" t="s">
        <v>25</v>
      </c>
      <c r="AB251" s="236">
        <v>3.0000000000000001E-3</v>
      </c>
      <c r="AC251" s="235">
        <v>43210</v>
      </c>
      <c r="AD251" s="234"/>
      <c r="AE251" s="235"/>
      <c r="AF251" s="232" t="s">
        <v>77</v>
      </c>
      <c r="AG251" s="232" t="s">
        <v>350</v>
      </c>
      <c r="AH251" s="234" t="s">
        <v>317</v>
      </c>
      <c r="AI251" s="250"/>
      <c r="AJ251" s="234">
        <v>0</v>
      </c>
      <c r="AK251" s="224"/>
      <c r="AL251" s="234">
        <v>0</v>
      </c>
      <c r="AM251" s="234">
        <v>1</v>
      </c>
      <c r="AN251" s="234">
        <v>0</v>
      </c>
      <c r="AO251" s="234">
        <v>1</v>
      </c>
      <c r="AP251" s="234">
        <v>0</v>
      </c>
      <c r="AQ251" s="234">
        <v>0</v>
      </c>
      <c r="AR251" s="234">
        <v>0</v>
      </c>
      <c r="AS251" s="234">
        <v>0</v>
      </c>
      <c r="AT251" s="234">
        <v>0</v>
      </c>
      <c r="AU251" s="234">
        <v>0</v>
      </c>
      <c r="AV251" s="234">
        <v>1</v>
      </c>
      <c r="AW251" s="234">
        <v>0</v>
      </c>
      <c r="AX251" s="234">
        <v>0</v>
      </c>
      <c r="AY251" s="234">
        <v>0</v>
      </c>
      <c r="AZ251" s="234">
        <v>0</v>
      </c>
      <c r="BA251" s="234">
        <v>0</v>
      </c>
      <c r="BB251" s="234">
        <v>0</v>
      </c>
      <c r="BC251" s="234">
        <v>0</v>
      </c>
      <c r="BD251" s="234">
        <v>0</v>
      </c>
      <c r="BE251" s="234">
        <v>0</v>
      </c>
      <c r="BF251" s="234">
        <v>0</v>
      </c>
      <c r="BG251" s="234">
        <v>0</v>
      </c>
      <c r="BH251" s="234">
        <v>0</v>
      </c>
      <c r="BI251" s="234">
        <v>0</v>
      </c>
      <c r="BJ251" s="234">
        <v>0</v>
      </c>
      <c r="BK251" s="234">
        <v>0</v>
      </c>
      <c r="BL251" s="234">
        <v>0</v>
      </c>
      <c r="BM251" s="234">
        <v>0</v>
      </c>
      <c r="BN251" s="234">
        <v>0</v>
      </c>
      <c r="BO251" s="234">
        <v>0</v>
      </c>
      <c r="BP251" s="234"/>
      <c r="BQ251" s="234"/>
      <c r="BR251" s="237" t="s">
        <v>334</v>
      </c>
      <c r="BS251" s="238">
        <v>13</v>
      </c>
      <c r="BU251" s="239">
        <f t="shared" si="19"/>
        <v>1</v>
      </c>
      <c r="CN251" s="238">
        <f t="shared" si="20"/>
        <v>1</v>
      </c>
      <c r="CO251" s="238">
        <f t="shared" si="21"/>
        <v>1</v>
      </c>
    </row>
    <row r="252" spans="1:93" ht="13.95" customHeight="1" x14ac:dyDescent="0.2">
      <c r="A252" s="231">
        <v>6032</v>
      </c>
      <c r="B252" s="232" t="s">
        <v>848</v>
      </c>
      <c r="C252" s="232" t="s">
        <v>982</v>
      </c>
      <c r="D252" s="232" t="s">
        <v>983</v>
      </c>
      <c r="E252" s="232" t="s">
        <v>317</v>
      </c>
      <c r="F252" s="231">
        <v>524386</v>
      </c>
      <c r="G252" s="231">
        <v>175298</v>
      </c>
      <c r="H252" s="232" t="s">
        <v>175</v>
      </c>
      <c r="I252" s="233">
        <v>44208</v>
      </c>
      <c r="J252" s="231"/>
      <c r="K252" s="231">
        <v>1</v>
      </c>
      <c r="L252" s="231">
        <v>2</v>
      </c>
      <c r="M252" s="231">
        <v>1</v>
      </c>
      <c r="N252" s="231">
        <v>4</v>
      </c>
      <c r="O252" s="231">
        <v>3</v>
      </c>
      <c r="P252" s="234"/>
      <c r="Q252" s="232" t="s">
        <v>984</v>
      </c>
      <c r="R252" s="234" t="s">
        <v>332</v>
      </c>
      <c r="S252" s="235">
        <v>43886</v>
      </c>
      <c r="T252" s="235">
        <v>44027</v>
      </c>
      <c r="U252" s="234"/>
      <c r="V252" s="232" t="s">
        <v>321</v>
      </c>
      <c r="W252" s="231"/>
      <c r="X252" s="232" t="s">
        <v>322</v>
      </c>
      <c r="Y252" s="232" t="s">
        <v>378</v>
      </c>
      <c r="Z252" s="232" t="s">
        <v>324</v>
      </c>
      <c r="AA252" s="232" t="s">
        <v>411</v>
      </c>
      <c r="AB252" s="236">
        <v>6.0000000000000001E-3</v>
      </c>
      <c r="AC252" s="235">
        <v>44208</v>
      </c>
      <c r="AD252" s="234"/>
      <c r="AE252" s="235"/>
      <c r="AF252" s="232" t="s">
        <v>77</v>
      </c>
      <c r="AG252" s="232" t="s">
        <v>350</v>
      </c>
      <c r="AH252" s="234" t="s">
        <v>317</v>
      </c>
      <c r="AI252" s="250"/>
      <c r="AJ252" s="234">
        <v>0</v>
      </c>
      <c r="AK252" s="224"/>
      <c r="AL252" s="234">
        <v>0</v>
      </c>
      <c r="AM252" s="224"/>
      <c r="AN252" s="234">
        <v>0</v>
      </c>
      <c r="AO252" s="234">
        <v>1</v>
      </c>
      <c r="AP252" s="234">
        <v>1</v>
      </c>
      <c r="AQ252" s="234">
        <v>0</v>
      </c>
      <c r="AR252" s="234">
        <v>0</v>
      </c>
      <c r="AS252" s="234">
        <v>-1</v>
      </c>
      <c r="AT252" s="234">
        <v>0</v>
      </c>
      <c r="AU252" s="234">
        <v>0</v>
      </c>
      <c r="AV252" s="234">
        <v>1</v>
      </c>
      <c r="AW252" s="234">
        <v>1</v>
      </c>
      <c r="AX252" s="234">
        <v>0</v>
      </c>
      <c r="AY252" s="234">
        <v>0</v>
      </c>
      <c r="AZ252" s="234">
        <v>-1</v>
      </c>
      <c r="BA252" s="234">
        <v>0</v>
      </c>
      <c r="BB252" s="234">
        <v>0</v>
      </c>
      <c r="BC252" s="234">
        <v>0</v>
      </c>
      <c r="BD252" s="234">
        <v>0</v>
      </c>
      <c r="BE252" s="234">
        <v>0</v>
      </c>
      <c r="BF252" s="234">
        <v>0</v>
      </c>
      <c r="BG252" s="234">
        <v>0</v>
      </c>
      <c r="BH252" s="234">
        <v>0</v>
      </c>
      <c r="BI252" s="234">
        <v>0</v>
      </c>
      <c r="BJ252" s="234">
        <v>0</v>
      </c>
      <c r="BK252" s="234">
        <v>0</v>
      </c>
      <c r="BL252" s="234">
        <v>0</v>
      </c>
      <c r="BM252" s="234">
        <v>0</v>
      </c>
      <c r="BN252" s="234">
        <v>0</v>
      </c>
      <c r="BO252" s="234">
        <v>0</v>
      </c>
      <c r="BP252" s="234"/>
      <c r="BQ252" s="234"/>
      <c r="BR252" s="237" t="s">
        <v>334</v>
      </c>
      <c r="BS252" s="238">
        <v>13</v>
      </c>
      <c r="BU252" s="239">
        <f t="shared" si="19"/>
        <v>1</v>
      </c>
      <c r="CN252" s="238">
        <f t="shared" si="20"/>
        <v>1</v>
      </c>
      <c r="CO252" s="238">
        <f t="shared" si="21"/>
        <v>1</v>
      </c>
    </row>
    <row r="253" spans="1:93" ht="13.95" customHeight="1" x14ac:dyDescent="0.2">
      <c r="A253" s="231">
        <v>6032</v>
      </c>
      <c r="B253" s="232" t="s">
        <v>848</v>
      </c>
      <c r="C253" s="232" t="s">
        <v>1055</v>
      </c>
      <c r="D253" s="232" t="s">
        <v>983</v>
      </c>
      <c r="E253" s="232" t="s">
        <v>317</v>
      </c>
      <c r="F253" s="231">
        <v>524386</v>
      </c>
      <c r="G253" s="231">
        <v>175298</v>
      </c>
      <c r="H253" s="232" t="s">
        <v>175</v>
      </c>
      <c r="I253" s="233">
        <v>44411</v>
      </c>
      <c r="J253" s="231"/>
      <c r="K253" s="231">
        <v>0</v>
      </c>
      <c r="L253" s="231">
        <v>1</v>
      </c>
      <c r="M253" s="231">
        <v>1</v>
      </c>
      <c r="N253" s="231">
        <v>1</v>
      </c>
      <c r="O253" s="231">
        <v>1</v>
      </c>
      <c r="P253" s="234"/>
      <c r="Q253" s="232" t="s">
        <v>1056</v>
      </c>
      <c r="R253" s="234" t="s">
        <v>332</v>
      </c>
      <c r="S253" s="235">
        <v>44288</v>
      </c>
      <c r="T253" s="235">
        <v>44397</v>
      </c>
      <c r="U253" s="234"/>
      <c r="V253" s="232" t="s">
        <v>321</v>
      </c>
      <c r="W253" s="231"/>
      <c r="X253" s="232" t="s">
        <v>322</v>
      </c>
      <c r="Y253" s="232" t="s">
        <v>339</v>
      </c>
      <c r="Z253" s="232" t="s">
        <v>324</v>
      </c>
      <c r="AA253" s="232" t="s">
        <v>354</v>
      </c>
      <c r="AB253" s="236">
        <v>5.4000000000000003E-3</v>
      </c>
      <c r="AC253" s="235">
        <v>44411</v>
      </c>
      <c r="AD253" s="234"/>
      <c r="AE253" s="235"/>
      <c r="AF253" s="232" t="s">
        <v>77</v>
      </c>
      <c r="AG253" s="232" t="s">
        <v>340</v>
      </c>
      <c r="AH253" s="234" t="s">
        <v>317</v>
      </c>
      <c r="AI253" s="250"/>
      <c r="AJ253" s="234">
        <v>0</v>
      </c>
      <c r="AK253" s="224"/>
      <c r="AL253" s="234">
        <v>0</v>
      </c>
      <c r="AM253" s="224"/>
      <c r="AN253" s="234">
        <v>0</v>
      </c>
      <c r="AO253" s="234">
        <v>1</v>
      </c>
      <c r="AP253" s="234">
        <v>0</v>
      </c>
      <c r="AQ253" s="234">
        <v>0</v>
      </c>
      <c r="AR253" s="234">
        <v>0</v>
      </c>
      <c r="AS253" s="234">
        <v>0</v>
      </c>
      <c r="AT253" s="234">
        <v>0</v>
      </c>
      <c r="AU253" s="234">
        <v>0</v>
      </c>
      <c r="AV253" s="234">
        <v>1</v>
      </c>
      <c r="AW253" s="234">
        <v>0</v>
      </c>
      <c r="AX253" s="234">
        <v>0</v>
      </c>
      <c r="AY253" s="234">
        <v>0</v>
      </c>
      <c r="AZ253" s="234">
        <v>0</v>
      </c>
      <c r="BA253" s="234">
        <v>0</v>
      </c>
      <c r="BB253" s="234">
        <v>0</v>
      </c>
      <c r="BC253" s="234">
        <v>0</v>
      </c>
      <c r="BD253" s="234">
        <v>0</v>
      </c>
      <c r="BE253" s="234">
        <v>0</v>
      </c>
      <c r="BF253" s="234">
        <v>0</v>
      </c>
      <c r="BG253" s="234">
        <v>0</v>
      </c>
      <c r="BH253" s="234">
        <v>0</v>
      </c>
      <c r="BI253" s="234">
        <v>0</v>
      </c>
      <c r="BJ253" s="234">
        <v>0</v>
      </c>
      <c r="BK253" s="234">
        <v>0</v>
      </c>
      <c r="BL253" s="234">
        <v>0</v>
      </c>
      <c r="BM253" s="234">
        <v>0</v>
      </c>
      <c r="BN253" s="234">
        <v>0</v>
      </c>
      <c r="BO253" s="234">
        <v>0</v>
      </c>
      <c r="BP253" s="234"/>
      <c r="BQ253" s="234"/>
      <c r="BR253" s="237" t="s">
        <v>334</v>
      </c>
      <c r="BS253" s="238">
        <v>13</v>
      </c>
      <c r="BU253" s="239">
        <f t="shared" si="19"/>
        <v>1</v>
      </c>
      <c r="CN253" s="238">
        <f t="shared" si="20"/>
        <v>1</v>
      </c>
      <c r="CO253" s="238">
        <f t="shared" si="21"/>
        <v>1</v>
      </c>
    </row>
    <row r="254" spans="1:93" s="249" customFormat="1" ht="13.95" customHeight="1" x14ac:dyDescent="0.2">
      <c r="A254" s="231">
        <v>2933</v>
      </c>
      <c r="B254" s="232" t="s">
        <v>848</v>
      </c>
      <c r="C254" s="232" t="s">
        <v>1057</v>
      </c>
      <c r="D254" s="232" t="s">
        <v>1058</v>
      </c>
      <c r="E254" s="232" t="s">
        <v>317</v>
      </c>
      <c r="F254" s="231">
        <v>524876</v>
      </c>
      <c r="G254" s="231">
        <v>174632</v>
      </c>
      <c r="H254" s="232" t="s">
        <v>164</v>
      </c>
      <c r="I254" s="233">
        <v>44585</v>
      </c>
      <c r="J254" s="231"/>
      <c r="K254" s="231">
        <v>0</v>
      </c>
      <c r="L254" s="231">
        <v>1</v>
      </c>
      <c r="M254" s="231">
        <v>1</v>
      </c>
      <c r="N254" s="231">
        <v>1</v>
      </c>
      <c r="O254" s="231">
        <v>1</v>
      </c>
      <c r="P254" s="234"/>
      <c r="Q254" s="232" t="s">
        <v>1059</v>
      </c>
      <c r="R254" s="234" t="s">
        <v>332</v>
      </c>
      <c r="S254" s="235">
        <v>43559</v>
      </c>
      <c r="T254" s="235">
        <v>43615</v>
      </c>
      <c r="U254" s="234"/>
      <c r="V254" s="232" t="s">
        <v>321</v>
      </c>
      <c r="W254" s="231"/>
      <c r="X254" s="232" t="s">
        <v>322</v>
      </c>
      <c r="Y254" s="232" t="s">
        <v>378</v>
      </c>
      <c r="Z254" s="232" t="s">
        <v>324</v>
      </c>
      <c r="AA254" s="232" t="s">
        <v>31</v>
      </c>
      <c r="AB254" s="236">
        <v>4.0000000000000001E-3</v>
      </c>
      <c r="AC254" s="235">
        <v>44585</v>
      </c>
      <c r="AD254" s="234"/>
      <c r="AE254" s="234"/>
      <c r="AF254" s="232" t="s">
        <v>77</v>
      </c>
      <c r="AG254" s="232" t="s">
        <v>350</v>
      </c>
      <c r="AH254" s="234" t="s">
        <v>317</v>
      </c>
      <c r="AI254" s="250"/>
      <c r="AJ254" s="234">
        <v>0</v>
      </c>
      <c r="AK254" s="224"/>
      <c r="AL254" s="234">
        <v>0</v>
      </c>
      <c r="AM254" s="224"/>
      <c r="AN254" s="234">
        <v>0</v>
      </c>
      <c r="AO254" s="234">
        <v>1</v>
      </c>
      <c r="AP254" s="234">
        <v>0</v>
      </c>
      <c r="AQ254" s="234">
        <v>0</v>
      </c>
      <c r="AR254" s="234">
        <v>0</v>
      </c>
      <c r="AS254" s="234">
        <v>0</v>
      </c>
      <c r="AT254" s="234">
        <v>0</v>
      </c>
      <c r="AU254" s="234">
        <v>0</v>
      </c>
      <c r="AV254" s="234">
        <v>1</v>
      </c>
      <c r="AW254" s="234">
        <v>0</v>
      </c>
      <c r="AX254" s="234">
        <v>0</v>
      </c>
      <c r="AY254" s="234">
        <v>0</v>
      </c>
      <c r="AZ254" s="234">
        <v>0</v>
      </c>
      <c r="BA254" s="234">
        <v>0</v>
      </c>
      <c r="BB254" s="234">
        <v>0</v>
      </c>
      <c r="BC254" s="234">
        <v>0</v>
      </c>
      <c r="BD254" s="234">
        <v>0</v>
      </c>
      <c r="BE254" s="234">
        <v>0</v>
      </c>
      <c r="BF254" s="234">
        <v>0</v>
      </c>
      <c r="BG254" s="234">
        <v>0</v>
      </c>
      <c r="BH254" s="234">
        <v>0</v>
      </c>
      <c r="BI254" s="234">
        <v>0</v>
      </c>
      <c r="BJ254" s="234">
        <v>0</v>
      </c>
      <c r="BK254" s="234">
        <v>0</v>
      </c>
      <c r="BL254" s="234">
        <v>0</v>
      </c>
      <c r="BM254" s="234">
        <v>0</v>
      </c>
      <c r="BN254" s="234">
        <v>0</v>
      </c>
      <c r="BO254" s="234">
        <v>0</v>
      </c>
      <c r="BP254" s="234"/>
      <c r="BQ254" s="234"/>
      <c r="BR254" s="237" t="s">
        <v>334</v>
      </c>
      <c r="BS254" s="238">
        <v>13</v>
      </c>
      <c r="BT254" s="239"/>
      <c r="BU254" s="239">
        <f t="shared" si="19"/>
        <v>1</v>
      </c>
      <c r="BV254" s="239"/>
      <c r="BW254" s="239"/>
      <c r="BX254" s="239"/>
      <c r="BY254" s="239"/>
      <c r="BZ254" s="239"/>
      <c r="CA254" s="239"/>
      <c r="CB254" s="239"/>
      <c r="CC254" s="239"/>
      <c r="CD254" s="239"/>
      <c r="CE254" s="239"/>
      <c r="CF254" s="239"/>
      <c r="CG254" s="239"/>
      <c r="CH254" s="239"/>
      <c r="CI254" s="239"/>
      <c r="CJ254" s="239"/>
      <c r="CK254" s="239"/>
      <c r="CL254" s="239"/>
      <c r="CM254" s="239"/>
      <c r="CN254" s="238">
        <f t="shared" si="20"/>
        <v>1</v>
      </c>
      <c r="CO254" s="238">
        <f t="shared" si="21"/>
        <v>1</v>
      </c>
    </row>
    <row r="255" spans="1:93" ht="13.95" customHeight="1" x14ac:dyDescent="0.2">
      <c r="A255" s="231">
        <v>6922</v>
      </c>
      <c r="B255" s="232" t="s">
        <v>848</v>
      </c>
      <c r="C255" s="232" t="s">
        <v>1060</v>
      </c>
      <c r="D255" s="232" t="s">
        <v>1061</v>
      </c>
      <c r="E255" s="232" t="s">
        <v>317</v>
      </c>
      <c r="F255" s="231">
        <v>529004</v>
      </c>
      <c r="G255" s="231">
        <v>171330</v>
      </c>
      <c r="H255" s="232" t="s">
        <v>166</v>
      </c>
      <c r="I255" s="233">
        <v>43411</v>
      </c>
      <c r="J255" s="231"/>
      <c r="K255" s="231">
        <v>0</v>
      </c>
      <c r="L255" s="231">
        <v>1</v>
      </c>
      <c r="M255" s="231">
        <v>1</v>
      </c>
      <c r="N255" s="231">
        <v>1</v>
      </c>
      <c r="O255" s="231">
        <v>1</v>
      </c>
      <c r="P255" s="234"/>
      <c r="Q255" s="232" t="s">
        <v>1062</v>
      </c>
      <c r="R255" s="234" t="s">
        <v>332</v>
      </c>
      <c r="S255" s="235">
        <v>42615</v>
      </c>
      <c r="T255" s="235">
        <v>42656</v>
      </c>
      <c r="U255" s="234"/>
      <c r="V255" s="232" t="s">
        <v>321</v>
      </c>
      <c r="W255" s="231"/>
      <c r="X255" s="232" t="s">
        <v>322</v>
      </c>
      <c r="Y255" s="232" t="s">
        <v>323</v>
      </c>
      <c r="Z255" s="232" t="s">
        <v>324</v>
      </c>
      <c r="AA255" s="232" t="s">
        <v>349</v>
      </c>
      <c r="AB255" s="236">
        <v>8.0000000000000002E-3</v>
      </c>
      <c r="AC255" s="235">
        <v>43411</v>
      </c>
      <c r="AD255" s="234"/>
      <c r="AE255" s="234"/>
      <c r="AF255" s="232" t="s">
        <v>77</v>
      </c>
      <c r="AG255" s="232" t="s">
        <v>350</v>
      </c>
      <c r="AH255" s="234" t="s">
        <v>317</v>
      </c>
      <c r="AI255" s="250"/>
      <c r="AJ255" s="234">
        <v>0</v>
      </c>
      <c r="AK255" s="224"/>
      <c r="AL255" s="234">
        <v>0</v>
      </c>
      <c r="AM255" s="224"/>
      <c r="AN255" s="234">
        <v>0</v>
      </c>
      <c r="AO255" s="234">
        <v>1</v>
      </c>
      <c r="AP255" s="234">
        <v>0</v>
      </c>
      <c r="AQ255" s="234">
        <v>0</v>
      </c>
      <c r="AR255" s="234">
        <v>0</v>
      </c>
      <c r="AS255" s="234">
        <v>0</v>
      </c>
      <c r="AT255" s="234">
        <v>0</v>
      </c>
      <c r="AU255" s="234">
        <v>0</v>
      </c>
      <c r="AV255" s="234">
        <v>1</v>
      </c>
      <c r="AW255" s="234">
        <v>0</v>
      </c>
      <c r="AX255" s="234">
        <v>0</v>
      </c>
      <c r="AY255" s="234">
        <v>0</v>
      </c>
      <c r="AZ255" s="234">
        <v>0</v>
      </c>
      <c r="BA255" s="234">
        <v>0</v>
      </c>
      <c r="BB255" s="234">
        <v>0</v>
      </c>
      <c r="BC255" s="234">
        <v>0</v>
      </c>
      <c r="BD255" s="234">
        <v>0</v>
      </c>
      <c r="BE255" s="234">
        <v>0</v>
      </c>
      <c r="BF255" s="234">
        <v>0</v>
      </c>
      <c r="BG255" s="234">
        <v>0</v>
      </c>
      <c r="BH255" s="234">
        <v>0</v>
      </c>
      <c r="BI255" s="234">
        <v>0</v>
      </c>
      <c r="BJ255" s="234">
        <v>0</v>
      </c>
      <c r="BK255" s="234">
        <v>0</v>
      </c>
      <c r="BL255" s="234">
        <v>0</v>
      </c>
      <c r="BM255" s="234">
        <v>0</v>
      </c>
      <c r="BN255" s="234">
        <v>0</v>
      </c>
      <c r="BO255" s="234">
        <v>0</v>
      </c>
      <c r="BP255" s="234"/>
      <c r="BQ255" s="234"/>
      <c r="BR255" s="237" t="s">
        <v>334</v>
      </c>
      <c r="BS255" s="238">
        <v>3</v>
      </c>
      <c r="BU255" s="239">
        <f t="shared" si="19"/>
        <v>1</v>
      </c>
      <c r="CN255" s="238">
        <f t="shared" si="20"/>
        <v>1</v>
      </c>
      <c r="CO255" s="238">
        <f t="shared" si="21"/>
        <v>1</v>
      </c>
    </row>
    <row r="256" spans="1:93" ht="13.95" customHeight="1" x14ac:dyDescent="0.2">
      <c r="A256" s="231">
        <v>7495</v>
      </c>
      <c r="B256" s="232" t="s">
        <v>848</v>
      </c>
      <c r="C256" s="232" t="s">
        <v>1063</v>
      </c>
      <c r="D256" s="232" t="s">
        <v>1064</v>
      </c>
      <c r="E256" s="232" t="s">
        <v>317</v>
      </c>
      <c r="F256" s="231">
        <v>526948</v>
      </c>
      <c r="G256" s="231">
        <v>171621</v>
      </c>
      <c r="H256" s="232" t="s">
        <v>177</v>
      </c>
      <c r="I256" s="233">
        <v>44791</v>
      </c>
      <c r="J256" s="231"/>
      <c r="K256" s="231">
        <v>0</v>
      </c>
      <c r="L256" s="231">
        <v>1</v>
      </c>
      <c r="M256" s="231">
        <v>1</v>
      </c>
      <c r="N256" s="231">
        <v>1</v>
      </c>
      <c r="O256" s="231">
        <v>1</v>
      </c>
      <c r="P256" s="234"/>
      <c r="Q256" s="232" t="s">
        <v>1065</v>
      </c>
      <c r="R256" s="234" t="s">
        <v>332</v>
      </c>
      <c r="S256" s="235">
        <v>44158</v>
      </c>
      <c r="T256" s="235">
        <v>44242</v>
      </c>
      <c r="U256" s="234"/>
      <c r="V256" s="232" t="s">
        <v>321</v>
      </c>
      <c r="W256" s="231"/>
      <c r="X256" s="232" t="s">
        <v>322</v>
      </c>
      <c r="Y256" s="232" t="s">
        <v>338</v>
      </c>
      <c r="Z256" s="232" t="s">
        <v>324</v>
      </c>
      <c r="AA256" s="232" t="s">
        <v>354</v>
      </c>
      <c r="AB256" s="236">
        <v>3.0000000000000001E-3</v>
      </c>
      <c r="AC256" s="235">
        <v>44791</v>
      </c>
      <c r="AD256" s="234" t="s">
        <v>318</v>
      </c>
      <c r="AE256" s="234"/>
      <c r="AF256" s="232" t="s">
        <v>77</v>
      </c>
      <c r="AG256" s="232" t="s">
        <v>350</v>
      </c>
      <c r="AH256" s="234" t="s">
        <v>317</v>
      </c>
      <c r="AI256" s="250"/>
      <c r="AJ256" s="234">
        <v>0</v>
      </c>
      <c r="AK256" s="224"/>
      <c r="AL256" s="234">
        <v>0</v>
      </c>
      <c r="AM256" s="224"/>
      <c r="AN256" s="234">
        <v>0</v>
      </c>
      <c r="AO256" s="234">
        <v>1</v>
      </c>
      <c r="AP256" s="234">
        <v>0</v>
      </c>
      <c r="AQ256" s="234">
        <v>0</v>
      </c>
      <c r="AR256" s="234">
        <v>0</v>
      </c>
      <c r="AS256" s="234">
        <v>0</v>
      </c>
      <c r="AT256" s="234">
        <v>0</v>
      </c>
      <c r="AU256" s="234">
        <v>0</v>
      </c>
      <c r="AV256" s="234">
        <v>1</v>
      </c>
      <c r="AW256" s="234">
        <v>0</v>
      </c>
      <c r="AX256" s="234">
        <v>0</v>
      </c>
      <c r="AY256" s="234">
        <v>0</v>
      </c>
      <c r="AZ256" s="234">
        <v>0</v>
      </c>
      <c r="BA256" s="234">
        <v>0</v>
      </c>
      <c r="BB256" s="234">
        <v>0</v>
      </c>
      <c r="BC256" s="234">
        <v>0</v>
      </c>
      <c r="BD256" s="234">
        <v>0</v>
      </c>
      <c r="BE256" s="234">
        <v>0</v>
      </c>
      <c r="BF256" s="234">
        <v>0</v>
      </c>
      <c r="BG256" s="234">
        <v>0</v>
      </c>
      <c r="BH256" s="234">
        <v>0</v>
      </c>
      <c r="BI256" s="234">
        <v>0</v>
      </c>
      <c r="BJ256" s="234">
        <v>0</v>
      </c>
      <c r="BK256" s="234">
        <v>0</v>
      </c>
      <c r="BL256" s="234">
        <v>0</v>
      </c>
      <c r="BM256" s="234">
        <v>0</v>
      </c>
      <c r="BN256" s="234">
        <v>0</v>
      </c>
      <c r="BO256" s="234">
        <v>0</v>
      </c>
      <c r="BP256" s="234"/>
      <c r="BQ256" s="234"/>
      <c r="BR256" s="237" t="s">
        <v>334</v>
      </c>
      <c r="BS256" s="238">
        <v>13</v>
      </c>
      <c r="BU256" s="239">
        <f t="shared" si="19"/>
        <v>1</v>
      </c>
      <c r="CN256" s="238">
        <f t="shared" si="20"/>
        <v>1</v>
      </c>
      <c r="CO256" s="238">
        <f t="shared" si="21"/>
        <v>1</v>
      </c>
    </row>
    <row r="257" spans="1:93" ht="13.95" customHeight="1" x14ac:dyDescent="0.2">
      <c r="A257" s="231">
        <v>7273</v>
      </c>
      <c r="B257" s="232" t="s">
        <v>848</v>
      </c>
      <c r="C257" s="232" t="s">
        <v>1066</v>
      </c>
      <c r="D257" s="232" t="s">
        <v>1067</v>
      </c>
      <c r="E257" s="232" t="s">
        <v>317</v>
      </c>
      <c r="F257" s="231">
        <v>525942</v>
      </c>
      <c r="G257" s="231">
        <v>173479</v>
      </c>
      <c r="H257" s="232" t="s">
        <v>179</v>
      </c>
      <c r="I257" s="233">
        <v>44242</v>
      </c>
      <c r="J257" s="231"/>
      <c r="K257" s="231">
        <v>1</v>
      </c>
      <c r="L257" s="231">
        <v>2</v>
      </c>
      <c r="M257" s="231">
        <v>1</v>
      </c>
      <c r="N257" s="231">
        <v>2</v>
      </c>
      <c r="O257" s="231">
        <v>1</v>
      </c>
      <c r="P257" s="234"/>
      <c r="Q257" s="232" t="s">
        <v>1068</v>
      </c>
      <c r="R257" s="234" t="s">
        <v>332</v>
      </c>
      <c r="S257" s="235">
        <v>43762</v>
      </c>
      <c r="T257" s="235">
        <v>43809</v>
      </c>
      <c r="U257" s="234"/>
      <c r="V257" s="232" t="s">
        <v>321</v>
      </c>
      <c r="W257" s="231"/>
      <c r="X257" s="232" t="s">
        <v>322</v>
      </c>
      <c r="Y257" s="232" t="s">
        <v>365</v>
      </c>
      <c r="Z257" s="232" t="s">
        <v>324</v>
      </c>
      <c r="AA257" s="232" t="s">
        <v>411</v>
      </c>
      <c r="AB257" s="236">
        <v>7.0000000000000001E-3</v>
      </c>
      <c r="AC257" s="235">
        <v>44242</v>
      </c>
      <c r="AD257" s="234"/>
      <c r="AE257" s="235"/>
      <c r="AF257" s="232" t="s">
        <v>77</v>
      </c>
      <c r="AG257" s="232" t="s">
        <v>350</v>
      </c>
      <c r="AH257" s="234" t="s">
        <v>317</v>
      </c>
      <c r="AI257" s="250"/>
      <c r="AJ257" s="234">
        <v>0</v>
      </c>
      <c r="AK257" s="224"/>
      <c r="AL257" s="234">
        <v>0</v>
      </c>
      <c r="AM257" s="224"/>
      <c r="AN257" s="234">
        <v>0</v>
      </c>
      <c r="AO257" s="234">
        <v>2</v>
      </c>
      <c r="AP257" s="234">
        <v>-1</v>
      </c>
      <c r="AQ257" s="234">
        <v>0</v>
      </c>
      <c r="AR257" s="234">
        <v>0</v>
      </c>
      <c r="AS257" s="234">
        <v>0</v>
      </c>
      <c r="AT257" s="234">
        <v>0</v>
      </c>
      <c r="AU257" s="234">
        <v>0</v>
      </c>
      <c r="AV257" s="234">
        <v>2</v>
      </c>
      <c r="AW257" s="234">
        <v>-1</v>
      </c>
      <c r="AX257" s="234">
        <v>0</v>
      </c>
      <c r="AY257" s="234">
        <v>0</v>
      </c>
      <c r="AZ257" s="234">
        <v>0</v>
      </c>
      <c r="BA257" s="234">
        <v>0</v>
      </c>
      <c r="BB257" s="234">
        <v>0</v>
      </c>
      <c r="BC257" s="234">
        <v>0</v>
      </c>
      <c r="BD257" s="234">
        <v>0</v>
      </c>
      <c r="BE257" s="234">
        <v>0</v>
      </c>
      <c r="BF257" s="234">
        <v>0</v>
      </c>
      <c r="BG257" s="234">
        <v>0</v>
      </c>
      <c r="BH257" s="234">
        <v>0</v>
      </c>
      <c r="BI257" s="234">
        <v>0</v>
      </c>
      <c r="BJ257" s="234">
        <v>0</v>
      </c>
      <c r="BK257" s="234">
        <v>0</v>
      </c>
      <c r="BL257" s="234">
        <v>0</v>
      </c>
      <c r="BM257" s="234">
        <v>0</v>
      </c>
      <c r="BN257" s="234">
        <v>0</v>
      </c>
      <c r="BO257" s="234">
        <v>0</v>
      </c>
      <c r="BP257" s="234"/>
      <c r="BQ257" s="234"/>
      <c r="BR257" s="237" t="s">
        <v>154</v>
      </c>
      <c r="BS257" s="238">
        <v>13</v>
      </c>
      <c r="BU257" s="239">
        <f t="shared" si="19"/>
        <v>1</v>
      </c>
      <c r="CN257" s="238">
        <f t="shared" si="20"/>
        <v>1</v>
      </c>
      <c r="CO257" s="238">
        <f t="shared" si="21"/>
        <v>1</v>
      </c>
    </row>
    <row r="258" spans="1:93" ht="13.95" customHeight="1" x14ac:dyDescent="0.2">
      <c r="A258" s="231">
        <v>7763</v>
      </c>
      <c r="B258" s="232" t="s">
        <v>848</v>
      </c>
      <c r="C258" s="232" t="s">
        <v>1069</v>
      </c>
      <c r="D258" s="232" t="s">
        <v>1070</v>
      </c>
      <c r="E258" s="232" t="s">
        <v>317</v>
      </c>
      <c r="F258" s="231">
        <v>522433</v>
      </c>
      <c r="G258" s="231">
        <v>173822</v>
      </c>
      <c r="H258" s="232" t="s">
        <v>170</v>
      </c>
      <c r="I258" s="233">
        <v>44697</v>
      </c>
      <c r="J258" s="231"/>
      <c r="K258" s="231">
        <v>1</v>
      </c>
      <c r="L258" s="231">
        <v>2</v>
      </c>
      <c r="M258" s="231">
        <v>1</v>
      </c>
      <c r="N258" s="231">
        <v>2</v>
      </c>
      <c r="O258" s="231">
        <v>1</v>
      </c>
      <c r="P258" s="234"/>
      <c r="Q258" s="232" t="s">
        <v>1071</v>
      </c>
      <c r="R258" s="234" t="s">
        <v>332</v>
      </c>
      <c r="S258" s="235">
        <v>44594</v>
      </c>
      <c r="T258" s="235">
        <v>44649</v>
      </c>
      <c r="U258" s="234"/>
      <c r="V258" s="232" t="s">
        <v>321</v>
      </c>
      <c r="W258" s="231"/>
      <c r="X258" s="232" t="s">
        <v>322</v>
      </c>
      <c r="Y258" s="232" t="s">
        <v>338</v>
      </c>
      <c r="Z258" s="232" t="s">
        <v>324</v>
      </c>
      <c r="AA258" s="232" t="s">
        <v>31</v>
      </c>
      <c r="AB258" s="236">
        <v>8.6999999999999994E-3</v>
      </c>
      <c r="AC258" s="235">
        <v>44697</v>
      </c>
      <c r="AD258" s="234" t="s">
        <v>318</v>
      </c>
      <c r="AE258" s="235"/>
      <c r="AF258" s="232" t="s">
        <v>77</v>
      </c>
      <c r="AG258" s="232" t="s">
        <v>340</v>
      </c>
      <c r="AH258" s="234" t="s">
        <v>317</v>
      </c>
      <c r="AI258" s="250"/>
      <c r="AJ258" s="234">
        <v>0</v>
      </c>
      <c r="AK258" s="224"/>
      <c r="AL258" s="234">
        <v>0</v>
      </c>
      <c r="AM258" s="224"/>
      <c r="AN258" s="234">
        <v>0</v>
      </c>
      <c r="AO258" s="234">
        <v>0</v>
      </c>
      <c r="AP258" s="234">
        <v>1</v>
      </c>
      <c r="AQ258" s="234">
        <v>0</v>
      </c>
      <c r="AR258" s="234">
        <v>0</v>
      </c>
      <c r="AS258" s="234">
        <v>0</v>
      </c>
      <c r="AT258" s="234">
        <v>0</v>
      </c>
      <c r="AU258" s="234">
        <v>0</v>
      </c>
      <c r="AV258" s="234">
        <v>0</v>
      </c>
      <c r="AW258" s="234">
        <v>1</v>
      </c>
      <c r="AX258" s="234">
        <v>0</v>
      </c>
      <c r="AY258" s="234">
        <v>0</v>
      </c>
      <c r="AZ258" s="234">
        <v>0</v>
      </c>
      <c r="BA258" s="234">
        <v>0</v>
      </c>
      <c r="BB258" s="234">
        <v>0</v>
      </c>
      <c r="BC258" s="234">
        <v>0</v>
      </c>
      <c r="BD258" s="234">
        <v>0</v>
      </c>
      <c r="BE258" s="234">
        <v>0</v>
      </c>
      <c r="BF258" s="234">
        <v>0</v>
      </c>
      <c r="BG258" s="234">
        <v>0</v>
      </c>
      <c r="BH258" s="234">
        <v>0</v>
      </c>
      <c r="BI258" s="234">
        <v>0</v>
      </c>
      <c r="BJ258" s="234">
        <v>0</v>
      </c>
      <c r="BK258" s="234">
        <v>0</v>
      </c>
      <c r="BL258" s="234">
        <v>0</v>
      </c>
      <c r="BM258" s="234">
        <v>0</v>
      </c>
      <c r="BN258" s="234">
        <v>0</v>
      </c>
      <c r="BO258" s="234">
        <v>0</v>
      </c>
      <c r="BP258" s="234"/>
      <c r="BQ258" s="234"/>
      <c r="BR258" s="237" t="s">
        <v>153</v>
      </c>
      <c r="BS258" s="238">
        <v>13</v>
      </c>
      <c r="BU258" s="239">
        <f t="shared" si="19"/>
        <v>1</v>
      </c>
      <c r="CN258" s="238">
        <f t="shared" si="20"/>
        <v>1</v>
      </c>
      <c r="CO258" s="238">
        <f t="shared" si="21"/>
        <v>1</v>
      </c>
    </row>
    <row r="259" spans="1:93" ht="13.95" customHeight="1" x14ac:dyDescent="0.2">
      <c r="A259" s="231">
        <v>182</v>
      </c>
      <c r="B259" s="232" t="s">
        <v>848</v>
      </c>
      <c r="C259" s="232" t="s">
        <v>1072</v>
      </c>
      <c r="D259" s="232" t="s">
        <v>1073</v>
      </c>
      <c r="E259" s="232" t="s">
        <v>317</v>
      </c>
      <c r="F259" s="231">
        <v>526066</v>
      </c>
      <c r="G259" s="231">
        <v>172919</v>
      </c>
      <c r="H259" s="232" t="s">
        <v>180</v>
      </c>
      <c r="I259" s="233">
        <v>45016</v>
      </c>
      <c r="J259" s="231"/>
      <c r="K259" s="231">
        <v>1</v>
      </c>
      <c r="L259" s="231">
        <v>3</v>
      </c>
      <c r="M259" s="231">
        <v>2</v>
      </c>
      <c r="N259" s="231">
        <v>4</v>
      </c>
      <c r="O259" s="231">
        <v>3</v>
      </c>
      <c r="P259" s="234"/>
      <c r="Q259" s="232" t="s">
        <v>1074</v>
      </c>
      <c r="R259" s="234" t="s">
        <v>332</v>
      </c>
      <c r="S259" s="235">
        <v>43719</v>
      </c>
      <c r="T259" s="235">
        <v>43787</v>
      </c>
      <c r="U259" s="234"/>
      <c r="V259" s="232" t="s">
        <v>321</v>
      </c>
      <c r="W259" s="231"/>
      <c r="X259" s="232" t="s">
        <v>322</v>
      </c>
      <c r="Y259" s="232" t="s">
        <v>338</v>
      </c>
      <c r="Z259" s="232" t="s">
        <v>324</v>
      </c>
      <c r="AA259" s="232" t="s">
        <v>411</v>
      </c>
      <c r="AB259" s="236">
        <v>2.1999999999999999E-2</v>
      </c>
      <c r="AC259" s="235">
        <v>45016</v>
      </c>
      <c r="AD259" s="234" t="s">
        <v>318</v>
      </c>
      <c r="AE259" s="234"/>
      <c r="AF259" s="232" t="s">
        <v>77</v>
      </c>
      <c r="AG259" s="232" t="s">
        <v>350</v>
      </c>
      <c r="AH259" s="234" t="s">
        <v>317</v>
      </c>
      <c r="AI259" s="250"/>
      <c r="AJ259" s="234">
        <v>0</v>
      </c>
      <c r="AK259" s="224"/>
      <c r="AL259" s="234">
        <v>0</v>
      </c>
      <c r="AM259" s="224"/>
      <c r="AN259" s="234">
        <v>0</v>
      </c>
      <c r="AO259" s="234">
        <v>0</v>
      </c>
      <c r="AP259" s="234">
        <v>3</v>
      </c>
      <c r="AQ259" s="234">
        <v>0</v>
      </c>
      <c r="AR259" s="234">
        <v>-1</v>
      </c>
      <c r="AS259" s="234">
        <v>0</v>
      </c>
      <c r="AT259" s="234">
        <v>0</v>
      </c>
      <c r="AU259" s="234">
        <v>0</v>
      </c>
      <c r="AV259" s="234">
        <v>0</v>
      </c>
      <c r="AW259" s="234">
        <v>3</v>
      </c>
      <c r="AX259" s="234">
        <v>0</v>
      </c>
      <c r="AY259" s="234">
        <v>-1</v>
      </c>
      <c r="AZ259" s="234">
        <v>0</v>
      </c>
      <c r="BA259" s="234">
        <v>0</v>
      </c>
      <c r="BB259" s="234">
        <v>0</v>
      </c>
      <c r="BC259" s="234">
        <v>0</v>
      </c>
      <c r="BD259" s="234">
        <v>0</v>
      </c>
      <c r="BE259" s="234">
        <v>0</v>
      </c>
      <c r="BF259" s="234">
        <v>0</v>
      </c>
      <c r="BG259" s="234">
        <v>0</v>
      </c>
      <c r="BH259" s="234">
        <v>0</v>
      </c>
      <c r="BI259" s="234">
        <v>0</v>
      </c>
      <c r="BJ259" s="234">
        <v>0</v>
      </c>
      <c r="BK259" s="234">
        <v>0</v>
      </c>
      <c r="BL259" s="234">
        <v>0</v>
      </c>
      <c r="BM259" s="234">
        <v>0</v>
      </c>
      <c r="BN259" s="234">
        <v>0</v>
      </c>
      <c r="BO259" s="234">
        <v>0</v>
      </c>
      <c r="BP259" s="234"/>
      <c r="BQ259" s="234"/>
      <c r="BR259" s="237" t="s">
        <v>154</v>
      </c>
      <c r="BS259" s="238">
        <v>14</v>
      </c>
      <c r="BU259" s="239">
        <f>M259/2</f>
        <v>1</v>
      </c>
      <c r="BV259" s="239">
        <f>M259/2</f>
        <v>1</v>
      </c>
      <c r="CN259" s="238">
        <f t="shared" si="20"/>
        <v>2</v>
      </c>
      <c r="CO259" s="238">
        <f t="shared" si="21"/>
        <v>2</v>
      </c>
    </row>
    <row r="260" spans="1:93" ht="13.95" customHeight="1" x14ac:dyDescent="0.2">
      <c r="A260" s="231">
        <v>7335</v>
      </c>
      <c r="B260" s="232" t="s">
        <v>848</v>
      </c>
      <c r="C260" s="232" t="s">
        <v>1075</v>
      </c>
      <c r="D260" s="232" t="s">
        <v>1076</v>
      </c>
      <c r="E260" s="232" t="s">
        <v>317</v>
      </c>
      <c r="F260" s="231">
        <v>525930</v>
      </c>
      <c r="G260" s="231">
        <v>173172</v>
      </c>
      <c r="H260" s="232" t="s">
        <v>179</v>
      </c>
      <c r="I260" s="233">
        <v>45016</v>
      </c>
      <c r="J260" s="231"/>
      <c r="K260" s="231">
        <v>1</v>
      </c>
      <c r="L260" s="231">
        <v>3</v>
      </c>
      <c r="M260" s="231">
        <v>2</v>
      </c>
      <c r="N260" s="231">
        <v>3</v>
      </c>
      <c r="O260" s="231">
        <v>2</v>
      </c>
      <c r="P260" s="234"/>
      <c r="Q260" s="232" t="s">
        <v>1077</v>
      </c>
      <c r="R260" s="234" t="s">
        <v>332</v>
      </c>
      <c r="S260" s="235">
        <v>44426</v>
      </c>
      <c r="T260" s="235">
        <v>44487</v>
      </c>
      <c r="U260" s="234"/>
      <c r="V260" s="232" t="s">
        <v>321</v>
      </c>
      <c r="W260" s="231"/>
      <c r="X260" s="232" t="s">
        <v>322</v>
      </c>
      <c r="Y260" s="232" t="s">
        <v>339</v>
      </c>
      <c r="Z260" s="232" t="s">
        <v>324</v>
      </c>
      <c r="AA260" s="232" t="s">
        <v>354</v>
      </c>
      <c r="AB260" s="236">
        <v>4.0000000000000001E-3</v>
      </c>
      <c r="AC260" s="235">
        <v>45016</v>
      </c>
      <c r="AD260" s="234" t="s">
        <v>318</v>
      </c>
      <c r="AE260" s="234"/>
      <c r="AF260" s="232" t="s">
        <v>77</v>
      </c>
      <c r="AG260" s="232" t="s">
        <v>350</v>
      </c>
      <c r="AH260" s="234" t="s">
        <v>317</v>
      </c>
      <c r="AI260" s="250"/>
      <c r="AJ260" s="234">
        <v>0</v>
      </c>
      <c r="AK260" s="224"/>
      <c r="AL260" s="234">
        <v>0</v>
      </c>
      <c r="AM260" s="224"/>
      <c r="AN260" s="234">
        <v>0</v>
      </c>
      <c r="AO260" s="234">
        <v>3</v>
      </c>
      <c r="AP260" s="234">
        <v>0</v>
      </c>
      <c r="AQ260" s="234">
        <v>0</v>
      </c>
      <c r="AR260" s="234">
        <v>0</v>
      </c>
      <c r="AS260" s="234">
        <v>-1</v>
      </c>
      <c r="AT260" s="234">
        <v>0</v>
      </c>
      <c r="AU260" s="234">
        <v>0</v>
      </c>
      <c r="AV260" s="234">
        <v>3</v>
      </c>
      <c r="AW260" s="234">
        <v>0</v>
      </c>
      <c r="AX260" s="234">
        <v>0</v>
      </c>
      <c r="AY260" s="234">
        <v>0</v>
      </c>
      <c r="AZ260" s="234">
        <v>-1</v>
      </c>
      <c r="BA260" s="234">
        <v>0</v>
      </c>
      <c r="BB260" s="234">
        <v>0</v>
      </c>
      <c r="BC260" s="234">
        <v>0</v>
      </c>
      <c r="BD260" s="234">
        <v>0</v>
      </c>
      <c r="BE260" s="234">
        <v>0</v>
      </c>
      <c r="BF260" s="234">
        <v>0</v>
      </c>
      <c r="BG260" s="234">
        <v>0</v>
      </c>
      <c r="BH260" s="234">
        <v>0</v>
      </c>
      <c r="BI260" s="234">
        <v>0</v>
      </c>
      <c r="BJ260" s="234">
        <v>0</v>
      </c>
      <c r="BK260" s="234">
        <v>0</v>
      </c>
      <c r="BL260" s="234">
        <v>0</v>
      </c>
      <c r="BM260" s="234">
        <v>0</v>
      </c>
      <c r="BN260" s="234">
        <v>0</v>
      </c>
      <c r="BO260" s="234">
        <v>0</v>
      </c>
      <c r="BP260" s="234"/>
      <c r="BQ260" s="234"/>
      <c r="BR260" s="237" t="s">
        <v>154</v>
      </c>
      <c r="BS260" s="238">
        <v>14</v>
      </c>
      <c r="BU260" s="239">
        <f>M260/2</f>
        <v>1</v>
      </c>
      <c r="BV260" s="239">
        <f>M260/2</f>
        <v>1</v>
      </c>
      <c r="CN260" s="238">
        <f t="shared" si="20"/>
        <v>2</v>
      </c>
      <c r="CO260" s="238">
        <f t="shared" si="21"/>
        <v>2</v>
      </c>
    </row>
    <row r="261" spans="1:93" ht="13.95" customHeight="1" x14ac:dyDescent="0.2">
      <c r="A261" s="231">
        <v>7654</v>
      </c>
      <c r="B261" s="232" t="s">
        <v>848</v>
      </c>
      <c r="C261" s="232" t="s">
        <v>1078</v>
      </c>
      <c r="D261" s="232" t="s">
        <v>1079</v>
      </c>
      <c r="E261" s="232" t="s">
        <v>317</v>
      </c>
      <c r="F261" s="231">
        <v>526105</v>
      </c>
      <c r="G261" s="231">
        <v>172633</v>
      </c>
      <c r="H261" s="232" t="s">
        <v>180</v>
      </c>
      <c r="I261" s="233">
        <v>45016</v>
      </c>
      <c r="J261" s="231"/>
      <c r="K261" s="231">
        <v>1</v>
      </c>
      <c r="L261" s="231">
        <v>3</v>
      </c>
      <c r="M261" s="231">
        <v>2</v>
      </c>
      <c r="N261" s="231">
        <v>3</v>
      </c>
      <c r="O261" s="231">
        <v>2</v>
      </c>
      <c r="P261" s="234"/>
      <c r="Q261" s="232" t="s">
        <v>1080</v>
      </c>
      <c r="R261" s="234" t="s">
        <v>332</v>
      </c>
      <c r="S261" s="235">
        <v>44504</v>
      </c>
      <c r="T261" s="235">
        <v>44560</v>
      </c>
      <c r="U261" s="234"/>
      <c r="V261" s="232" t="s">
        <v>321</v>
      </c>
      <c r="W261" s="231"/>
      <c r="X261" s="232" t="s">
        <v>322</v>
      </c>
      <c r="Y261" s="232" t="s">
        <v>365</v>
      </c>
      <c r="Z261" s="232" t="s">
        <v>324</v>
      </c>
      <c r="AA261" s="232" t="s">
        <v>411</v>
      </c>
      <c r="AB261" s="236">
        <v>3.6075E-3</v>
      </c>
      <c r="AC261" s="235">
        <v>45016</v>
      </c>
      <c r="AD261" s="234" t="s">
        <v>318</v>
      </c>
      <c r="AE261" s="234"/>
      <c r="AF261" s="232" t="s">
        <v>77</v>
      </c>
      <c r="AG261" s="232" t="s">
        <v>350</v>
      </c>
      <c r="AH261" s="234" t="s">
        <v>317</v>
      </c>
      <c r="AI261" s="250"/>
      <c r="AJ261" s="234">
        <v>0</v>
      </c>
      <c r="AK261" s="224"/>
      <c r="AL261" s="234">
        <v>0</v>
      </c>
      <c r="AM261" s="224"/>
      <c r="AN261" s="234">
        <v>0</v>
      </c>
      <c r="AO261" s="234">
        <v>3</v>
      </c>
      <c r="AP261" s="234">
        <v>-1</v>
      </c>
      <c r="AQ261" s="234">
        <v>0</v>
      </c>
      <c r="AR261" s="234">
        <v>0</v>
      </c>
      <c r="AS261" s="234">
        <v>0</v>
      </c>
      <c r="AT261" s="234">
        <v>0</v>
      </c>
      <c r="AU261" s="234">
        <v>0</v>
      </c>
      <c r="AV261" s="234">
        <v>3</v>
      </c>
      <c r="AW261" s="234">
        <v>-1</v>
      </c>
      <c r="AX261" s="234">
        <v>0</v>
      </c>
      <c r="AY261" s="234">
        <v>0</v>
      </c>
      <c r="AZ261" s="234">
        <v>0</v>
      </c>
      <c r="BA261" s="234">
        <v>0</v>
      </c>
      <c r="BB261" s="234">
        <v>0</v>
      </c>
      <c r="BC261" s="234">
        <v>0</v>
      </c>
      <c r="BD261" s="234">
        <v>0</v>
      </c>
      <c r="BE261" s="234">
        <v>0</v>
      </c>
      <c r="BF261" s="234">
        <v>0</v>
      </c>
      <c r="BG261" s="234">
        <v>0</v>
      </c>
      <c r="BH261" s="234">
        <v>0</v>
      </c>
      <c r="BI261" s="234">
        <v>0</v>
      </c>
      <c r="BJ261" s="234">
        <v>0</v>
      </c>
      <c r="BK261" s="234">
        <v>0</v>
      </c>
      <c r="BL261" s="234">
        <v>0</v>
      </c>
      <c r="BM261" s="234">
        <v>0</v>
      </c>
      <c r="BN261" s="234">
        <v>0</v>
      </c>
      <c r="BO261" s="234">
        <v>0</v>
      </c>
      <c r="BP261" s="234"/>
      <c r="BQ261" s="234"/>
      <c r="BR261" s="237" t="s">
        <v>154</v>
      </c>
      <c r="BS261" s="238">
        <v>14</v>
      </c>
      <c r="BU261" s="239">
        <f>M261/2</f>
        <v>1</v>
      </c>
      <c r="BV261" s="239">
        <f>M261/2</f>
        <v>1</v>
      </c>
      <c r="CN261" s="238">
        <f t="shared" si="20"/>
        <v>2</v>
      </c>
      <c r="CO261" s="238">
        <f t="shared" si="21"/>
        <v>2</v>
      </c>
    </row>
    <row r="262" spans="1:93" ht="13.95" customHeight="1" x14ac:dyDescent="0.2">
      <c r="A262" s="231">
        <v>7338</v>
      </c>
      <c r="B262" s="232" t="s">
        <v>848</v>
      </c>
      <c r="C262" s="232" t="s">
        <v>1081</v>
      </c>
      <c r="D262" s="232" t="s">
        <v>1082</v>
      </c>
      <c r="E262" s="232" t="s">
        <v>317</v>
      </c>
      <c r="F262" s="231">
        <v>527505</v>
      </c>
      <c r="G262" s="231">
        <v>174973</v>
      </c>
      <c r="H262" s="232" t="s">
        <v>167</v>
      </c>
      <c r="I262" s="233">
        <v>44431</v>
      </c>
      <c r="J262" s="231"/>
      <c r="K262" s="231">
        <v>0</v>
      </c>
      <c r="L262" s="231">
        <v>1</v>
      </c>
      <c r="M262" s="231">
        <v>1</v>
      </c>
      <c r="N262" s="231">
        <v>1</v>
      </c>
      <c r="O262" s="231">
        <v>1</v>
      </c>
      <c r="P262" s="234"/>
      <c r="Q262" s="232" t="s">
        <v>1083</v>
      </c>
      <c r="R262" s="234" t="s">
        <v>332</v>
      </c>
      <c r="S262" s="235">
        <v>43951</v>
      </c>
      <c r="T262" s="235">
        <v>44041</v>
      </c>
      <c r="U262" s="234"/>
      <c r="V262" s="232" t="s">
        <v>321</v>
      </c>
      <c r="W262" s="231"/>
      <c r="X262" s="232" t="s">
        <v>322</v>
      </c>
      <c r="Y262" s="232" t="s">
        <v>339</v>
      </c>
      <c r="Z262" s="232" t="s">
        <v>324</v>
      </c>
      <c r="AA262" s="232" t="s">
        <v>354</v>
      </c>
      <c r="AB262" s="236">
        <v>4.0000000000000001E-3</v>
      </c>
      <c r="AC262" s="235">
        <v>44431</v>
      </c>
      <c r="AD262" s="234"/>
      <c r="AE262" s="234"/>
      <c r="AF262" s="232" t="s">
        <v>77</v>
      </c>
      <c r="AG262" s="232" t="s">
        <v>350</v>
      </c>
      <c r="AH262" s="234" t="s">
        <v>317</v>
      </c>
      <c r="AI262" s="250"/>
      <c r="AJ262" s="234">
        <v>0</v>
      </c>
      <c r="AK262" s="224"/>
      <c r="AL262" s="234">
        <v>0</v>
      </c>
      <c r="AM262" s="224"/>
      <c r="AN262" s="234">
        <v>0</v>
      </c>
      <c r="AO262" s="234">
        <v>1</v>
      </c>
      <c r="AP262" s="234">
        <v>0</v>
      </c>
      <c r="AQ262" s="234">
        <v>0</v>
      </c>
      <c r="AR262" s="234">
        <v>0</v>
      </c>
      <c r="AS262" s="234">
        <v>0</v>
      </c>
      <c r="AT262" s="234">
        <v>0</v>
      </c>
      <c r="AU262" s="234">
        <v>0</v>
      </c>
      <c r="AV262" s="234">
        <v>1</v>
      </c>
      <c r="AW262" s="234">
        <v>0</v>
      </c>
      <c r="AX262" s="234">
        <v>0</v>
      </c>
      <c r="AY262" s="234">
        <v>0</v>
      </c>
      <c r="AZ262" s="234">
        <v>0</v>
      </c>
      <c r="BA262" s="234">
        <v>0</v>
      </c>
      <c r="BB262" s="234">
        <v>0</v>
      </c>
      <c r="BC262" s="234">
        <v>0</v>
      </c>
      <c r="BD262" s="234">
        <v>0</v>
      </c>
      <c r="BE262" s="234">
        <v>0</v>
      </c>
      <c r="BF262" s="234">
        <v>0</v>
      </c>
      <c r="BG262" s="234">
        <v>0</v>
      </c>
      <c r="BH262" s="234">
        <v>0</v>
      </c>
      <c r="BI262" s="234">
        <v>0</v>
      </c>
      <c r="BJ262" s="234">
        <v>0</v>
      </c>
      <c r="BK262" s="234">
        <v>0</v>
      </c>
      <c r="BL262" s="234">
        <v>0</v>
      </c>
      <c r="BM262" s="234">
        <v>0</v>
      </c>
      <c r="BN262" s="234">
        <v>0</v>
      </c>
      <c r="BO262" s="234">
        <v>0</v>
      </c>
      <c r="BP262" s="234" t="s">
        <v>142</v>
      </c>
      <c r="BQ262" s="234"/>
      <c r="BR262" s="237" t="s">
        <v>150</v>
      </c>
      <c r="BS262" s="238">
        <v>13</v>
      </c>
      <c r="BU262" s="239">
        <f>M262</f>
        <v>1</v>
      </c>
      <c r="CN262" s="238">
        <f t="shared" si="20"/>
        <v>1</v>
      </c>
      <c r="CO262" s="238">
        <f t="shared" si="21"/>
        <v>1</v>
      </c>
    </row>
    <row r="263" spans="1:93" ht="13.95" customHeight="1" x14ac:dyDescent="0.2">
      <c r="A263" s="231">
        <v>7338</v>
      </c>
      <c r="B263" s="232" t="s">
        <v>848</v>
      </c>
      <c r="C263" s="232" t="s">
        <v>1084</v>
      </c>
      <c r="D263" s="232" t="s">
        <v>1082</v>
      </c>
      <c r="E263" s="232" t="s">
        <v>317</v>
      </c>
      <c r="F263" s="231">
        <v>527505</v>
      </c>
      <c r="G263" s="231">
        <v>174973</v>
      </c>
      <c r="H263" s="232" t="s">
        <v>167</v>
      </c>
      <c r="I263" s="233">
        <v>44431</v>
      </c>
      <c r="J263" s="231"/>
      <c r="K263" s="231">
        <v>0</v>
      </c>
      <c r="L263" s="231">
        <v>1</v>
      </c>
      <c r="M263" s="231">
        <v>1</v>
      </c>
      <c r="N263" s="231">
        <v>1</v>
      </c>
      <c r="O263" s="231">
        <v>1</v>
      </c>
      <c r="P263" s="234"/>
      <c r="Q263" s="232" t="s">
        <v>1085</v>
      </c>
      <c r="R263" s="234" t="s">
        <v>332</v>
      </c>
      <c r="S263" s="235">
        <v>43948</v>
      </c>
      <c r="T263" s="235">
        <v>44004</v>
      </c>
      <c r="U263" s="234"/>
      <c r="V263" s="232" t="s">
        <v>321</v>
      </c>
      <c r="W263" s="231"/>
      <c r="X263" s="232" t="s">
        <v>322</v>
      </c>
      <c r="Y263" s="232" t="s">
        <v>339</v>
      </c>
      <c r="Z263" s="232" t="s">
        <v>324</v>
      </c>
      <c r="AA263" s="232" t="s">
        <v>354</v>
      </c>
      <c r="AB263" s="236">
        <v>4.0000000000000001E-3</v>
      </c>
      <c r="AC263" s="235">
        <v>44431</v>
      </c>
      <c r="AD263" s="234"/>
      <c r="AE263" s="234"/>
      <c r="AF263" s="232" t="s">
        <v>77</v>
      </c>
      <c r="AG263" s="232" t="s">
        <v>350</v>
      </c>
      <c r="AH263" s="234" t="s">
        <v>317</v>
      </c>
      <c r="AI263" s="250"/>
      <c r="AJ263" s="234">
        <v>0</v>
      </c>
      <c r="AK263" s="224"/>
      <c r="AL263" s="234">
        <v>0</v>
      </c>
      <c r="AM263" s="224"/>
      <c r="AN263" s="234">
        <v>0</v>
      </c>
      <c r="AO263" s="234">
        <v>1</v>
      </c>
      <c r="AP263" s="234">
        <v>0</v>
      </c>
      <c r="AQ263" s="234">
        <v>0</v>
      </c>
      <c r="AR263" s="234">
        <v>0</v>
      </c>
      <c r="AS263" s="234">
        <v>0</v>
      </c>
      <c r="AT263" s="234">
        <v>0</v>
      </c>
      <c r="AU263" s="234">
        <v>0</v>
      </c>
      <c r="AV263" s="234">
        <v>1</v>
      </c>
      <c r="AW263" s="234">
        <v>0</v>
      </c>
      <c r="AX263" s="234">
        <v>0</v>
      </c>
      <c r="AY263" s="234">
        <v>0</v>
      </c>
      <c r="AZ263" s="234">
        <v>0</v>
      </c>
      <c r="BA263" s="234">
        <v>0</v>
      </c>
      <c r="BB263" s="234">
        <v>0</v>
      </c>
      <c r="BC263" s="234">
        <v>0</v>
      </c>
      <c r="BD263" s="234">
        <v>0</v>
      </c>
      <c r="BE263" s="234">
        <v>0</v>
      </c>
      <c r="BF263" s="234">
        <v>0</v>
      </c>
      <c r="BG263" s="234">
        <v>0</v>
      </c>
      <c r="BH263" s="234">
        <v>0</v>
      </c>
      <c r="BI263" s="234">
        <v>0</v>
      </c>
      <c r="BJ263" s="234">
        <v>0</v>
      </c>
      <c r="BK263" s="234">
        <v>0</v>
      </c>
      <c r="BL263" s="234">
        <v>0</v>
      </c>
      <c r="BM263" s="234">
        <v>0</v>
      </c>
      <c r="BN263" s="234">
        <v>0</v>
      </c>
      <c r="BO263" s="234">
        <v>0</v>
      </c>
      <c r="BP263" s="234" t="s">
        <v>142</v>
      </c>
      <c r="BQ263" s="234"/>
      <c r="BR263" s="237" t="s">
        <v>150</v>
      </c>
      <c r="BS263" s="238">
        <v>13</v>
      </c>
      <c r="BU263" s="239">
        <f>M263</f>
        <v>1</v>
      </c>
      <c r="CN263" s="238">
        <f t="shared" si="20"/>
        <v>1</v>
      </c>
      <c r="CO263" s="238">
        <f t="shared" si="21"/>
        <v>1</v>
      </c>
    </row>
    <row r="264" spans="1:93" ht="13.95" customHeight="1" x14ac:dyDescent="0.2">
      <c r="A264" s="231">
        <v>7689</v>
      </c>
      <c r="B264" s="232" t="s">
        <v>848</v>
      </c>
      <c r="C264" s="232" t="s">
        <v>1086</v>
      </c>
      <c r="D264" s="232" t="s">
        <v>1087</v>
      </c>
      <c r="E264" s="232" t="s">
        <v>317</v>
      </c>
      <c r="F264" s="231">
        <v>525880</v>
      </c>
      <c r="G264" s="231">
        <v>174953</v>
      </c>
      <c r="H264" s="232" t="s">
        <v>181</v>
      </c>
      <c r="I264" s="233">
        <v>44914</v>
      </c>
      <c r="J264" s="231"/>
      <c r="K264" s="231">
        <v>1</v>
      </c>
      <c r="L264" s="231">
        <v>3</v>
      </c>
      <c r="M264" s="231">
        <v>2</v>
      </c>
      <c r="N264" s="231">
        <v>3</v>
      </c>
      <c r="O264" s="231">
        <v>2</v>
      </c>
      <c r="P264" s="234"/>
      <c r="Q264" s="232" t="s">
        <v>1088</v>
      </c>
      <c r="R264" s="234" t="s">
        <v>332</v>
      </c>
      <c r="S264" s="235">
        <v>44487</v>
      </c>
      <c r="T264" s="235">
        <v>44543</v>
      </c>
      <c r="U264" s="234"/>
      <c r="V264" s="232" t="s">
        <v>321</v>
      </c>
      <c r="W264" s="231"/>
      <c r="X264" s="232" t="s">
        <v>322</v>
      </c>
      <c r="Y264" s="232" t="s">
        <v>378</v>
      </c>
      <c r="Z264" s="232" t="s">
        <v>324</v>
      </c>
      <c r="AA264" s="232" t="s">
        <v>354</v>
      </c>
      <c r="AB264" s="236">
        <v>7.0000000000000001E-3</v>
      </c>
      <c r="AC264" s="235">
        <v>44914</v>
      </c>
      <c r="AD264" s="234" t="s">
        <v>318</v>
      </c>
      <c r="AE264" s="234"/>
      <c r="AF264" s="232" t="s">
        <v>77</v>
      </c>
      <c r="AG264" s="232" t="s">
        <v>350</v>
      </c>
      <c r="AH264" s="234" t="s">
        <v>317</v>
      </c>
      <c r="AI264" s="250"/>
      <c r="AJ264" s="234">
        <v>0</v>
      </c>
      <c r="AK264" s="224"/>
      <c r="AL264" s="234">
        <v>0</v>
      </c>
      <c r="AM264" s="224"/>
      <c r="AN264" s="234">
        <v>0</v>
      </c>
      <c r="AO264" s="234">
        <v>1</v>
      </c>
      <c r="AP264" s="234">
        <v>2</v>
      </c>
      <c r="AQ264" s="234">
        <v>-1</v>
      </c>
      <c r="AR264" s="234">
        <v>0</v>
      </c>
      <c r="AS264" s="234">
        <v>0</v>
      </c>
      <c r="AT264" s="234">
        <v>0</v>
      </c>
      <c r="AU264" s="234">
        <v>0</v>
      </c>
      <c r="AV264" s="234">
        <v>1</v>
      </c>
      <c r="AW264" s="234">
        <v>2</v>
      </c>
      <c r="AX264" s="234">
        <v>0</v>
      </c>
      <c r="AY264" s="234">
        <v>0</v>
      </c>
      <c r="AZ264" s="234">
        <v>0</v>
      </c>
      <c r="BA264" s="234">
        <v>0</v>
      </c>
      <c r="BB264" s="234">
        <v>0</v>
      </c>
      <c r="BC264" s="234">
        <v>0</v>
      </c>
      <c r="BD264" s="234">
        <v>0</v>
      </c>
      <c r="BE264" s="234">
        <v>-1</v>
      </c>
      <c r="BF264" s="234">
        <v>0</v>
      </c>
      <c r="BG264" s="234">
        <v>0</v>
      </c>
      <c r="BH264" s="234">
        <v>0</v>
      </c>
      <c r="BI264" s="234">
        <v>0</v>
      </c>
      <c r="BJ264" s="234">
        <v>0</v>
      </c>
      <c r="BK264" s="234">
        <v>0</v>
      </c>
      <c r="BL264" s="234">
        <v>0</v>
      </c>
      <c r="BM264" s="234">
        <v>0</v>
      </c>
      <c r="BN264" s="234">
        <v>0</v>
      </c>
      <c r="BO264" s="234">
        <v>0</v>
      </c>
      <c r="BP264" s="234"/>
      <c r="BQ264" s="234"/>
      <c r="BR264" s="237" t="s">
        <v>327</v>
      </c>
      <c r="BS264" s="238">
        <v>14</v>
      </c>
      <c r="BU264" s="239">
        <f>M264/2</f>
        <v>1</v>
      </c>
      <c r="BV264" s="239">
        <f>M264/2</f>
        <v>1</v>
      </c>
      <c r="CN264" s="238">
        <f t="shared" si="20"/>
        <v>2</v>
      </c>
      <c r="CO264" s="238">
        <f t="shared" si="21"/>
        <v>2</v>
      </c>
    </row>
    <row r="265" spans="1:93" ht="13.95" customHeight="1" x14ac:dyDescent="0.2">
      <c r="A265" s="231">
        <v>1962</v>
      </c>
      <c r="B265" s="232" t="s">
        <v>848</v>
      </c>
      <c r="C265" s="232" t="s">
        <v>1089</v>
      </c>
      <c r="D265" s="232" t="s">
        <v>1090</v>
      </c>
      <c r="E265" s="232" t="s">
        <v>317</v>
      </c>
      <c r="F265" s="231">
        <v>527618</v>
      </c>
      <c r="G265" s="231">
        <v>174574</v>
      </c>
      <c r="H265" s="232" t="s">
        <v>169</v>
      </c>
      <c r="I265" s="233">
        <v>44774</v>
      </c>
      <c r="J265" s="231"/>
      <c r="K265" s="231">
        <v>0</v>
      </c>
      <c r="L265" s="231">
        <v>1</v>
      </c>
      <c r="M265" s="231">
        <v>1</v>
      </c>
      <c r="N265" s="231">
        <v>1</v>
      </c>
      <c r="O265" s="231">
        <v>1</v>
      </c>
      <c r="P265" s="234"/>
      <c r="Q265" s="232" t="s">
        <v>1091</v>
      </c>
      <c r="R265" s="234" t="s">
        <v>332</v>
      </c>
      <c r="S265" s="235">
        <v>43601</v>
      </c>
      <c r="T265" s="235">
        <v>43731</v>
      </c>
      <c r="U265" s="234"/>
      <c r="V265" s="232" t="s">
        <v>321</v>
      </c>
      <c r="W265" s="231"/>
      <c r="X265" s="232" t="s">
        <v>322</v>
      </c>
      <c r="Y265" s="232" t="s">
        <v>323</v>
      </c>
      <c r="Z265" s="232" t="s">
        <v>324</v>
      </c>
      <c r="AA265" s="232" t="s">
        <v>349</v>
      </c>
      <c r="AB265" s="236">
        <v>8.0000000000000002E-3</v>
      </c>
      <c r="AC265" s="235">
        <v>44774</v>
      </c>
      <c r="AD265" s="234" t="s">
        <v>318</v>
      </c>
      <c r="AE265" s="234"/>
      <c r="AF265" s="232" t="s">
        <v>77</v>
      </c>
      <c r="AG265" s="232" t="s">
        <v>350</v>
      </c>
      <c r="AH265" s="234" t="s">
        <v>317</v>
      </c>
      <c r="AI265" s="250"/>
      <c r="AJ265" s="234">
        <v>0</v>
      </c>
      <c r="AK265" s="224"/>
      <c r="AL265" s="234">
        <v>0</v>
      </c>
      <c r="AM265" s="224"/>
      <c r="AN265" s="234">
        <v>0</v>
      </c>
      <c r="AO265" s="234">
        <v>1</v>
      </c>
      <c r="AP265" s="234">
        <v>0</v>
      </c>
      <c r="AQ265" s="234">
        <v>0</v>
      </c>
      <c r="AR265" s="234">
        <v>0</v>
      </c>
      <c r="AS265" s="234">
        <v>0</v>
      </c>
      <c r="AT265" s="234">
        <v>0</v>
      </c>
      <c r="AU265" s="234">
        <v>0</v>
      </c>
      <c r="AV265" s="234">
        <v>0</v>
      </c>
      <c r="AW265" s="234">
        <v>0</v>
      </c>
      <c r="AX265" s="234">
        <v>0</v>
      </c>
      <c r="AY265" s="234">
        <v>0</v>
      </c>
      <c r="AZ265" s="234">
        <v>0</v>
      </c>
      <c r="BA265" s="234">
        <v>0</v>
      </c>
      <c r="BB265" s="234">
        <v>0</v>
      </c>
      <c r="BC265" s="234">
        <v>1</v>
      </c>
      <c r="BD265" s="234">
        <v>0</v>
      </c>
      <c r="BE265" s="234">
        <v>0</v>
      </c>
      <c r="BF265" s="234">
        <v>0</v>
      </c>
      <c r="BG265" s="234">
        <v>0</v>
      </c>
      <c r="BH265" s="234">
        <v>0</v>
      </c>
      <c r="BI265" s="234">
        <v>0</v>
      </c>
      <c r="BJ265" s="234">
        <v>0</v>
      </c>
      <c r="BK265" s="234">
        <v>0</v>
      </c>
      <c r="BL265" s="234">
        <v>0</v>
      </c>
      <c r="BM265" s="234">
        <v>0</v>
      </c>
      <c r="BN265" s="234">
        <v>0</v>
      </c>
      <c r="BO265" s="234">
        <v>0</v>
      </c>
      <c r="BP265" s="234"/>
      <c r="BQ265" s="234"/>
      <c r="BR265" s="237" t="s">
        <v>334</v>
      </c>
      <c r="BS265" s="238">
        <v>3</v>
      </c>
      <c r="BU265" s="239">
        <f>M265</f>
        <v>1</v>
      </c>
      <c r="CN265" s="238">
        <f t="shared" si="20"/>
        <v>1</v>
      </c>
      <c r="CO265" s="238">
        <f t="shared" si="21"/>
        <v>1</v>
      </c>
    </row>
    <row r="266" spans="1:93" ht="13.95" customHeight="1" x14ac:dyDescent="0.2">
      <c r="A266" s="231">
        <v>7740</v>
      </c>
      <c r="B266" s="232" t="s">
        <v>848</v>
      </c>
      <c r="C266" s="232" t="s">
        <v>1092</v>
      </c>
      <c r="D266" s="232" t="s">
        <v>1093</v>
      </c>
      <c r="E266" s="232" t="s">
        <v>317</v>
      </c>
      <c r="F266" s="231">
        <v>526967</v>
      </c>
      <c r="G266" s="231">
        <v>171687</v>
      </c>
      <c r="H266" s="232" t="s">
        <v>177</v>
      </c>
      <c r="I266" s="233">
        <v>44651</v>
      </c>
      <c r="J266" s="231"/>
      <c r="K266" s="231">
        <v>1</v>
      </c>
      <c r="L266" s="231">
        <v>2</v>
      </c>
      <c r="M266" s="231">
        <v>1</v>
      </c>
      <c r="N266" s="231">
        <v>2</v>
      </c>
      <c r="O266" s="231">
        <v>1</v>
      </c>
      <c r="P266" s="234"/>
      <c r="Q266" s="232" t="s">
        <v>1094</v>
      </c>
      <c r="R266" s="234" t="s">
        <v>332</v>
      </c>
      <c r="S266" s="235">
        <v>44385</v>
      </c>
      <c r="T266" s="235">
        <v>44441</v>
      </c>
      <c r="U266" s="234"/>
      <c r="V266" s="232" t="s">
        <v>321</v>
      </c>
      <c r="W266" s="231"/>
      <c r="X266" s="232" t="s">
        <v>322</v>
      </c>
      <c r="Y266" s="232" t="s">
        <v>339</v>
      </c>
      <c r="Z266" s="232" t="s">
        <v>324</v>
      </c>
      <c r="AA266" s="232" t="s">
        <v>354</v>
      </c>
      <c r="AB266" s="236">
        <v>5.0000000000000001E-3</v>
      </c>
      <c r="AC266" s="235">
        <v>44651</v>
      </c>
      <c r="AD266" s="234"/>
      <c r="AE266" s="234"/>
      <c r="AF266" s="232" t="s">
        <v>77</v>
      </c>
      <c r="AG266" s="232" t="s">
        <v>350</v>
      </c>
      <c r="AH266" s="234" t="s">
        <v>317</v>
      </c>
      <c r="AI266" s="250"/>
      <c r="AJ266" s="234">
        <v>0</v>
      </c>
      <c r="AK266" s="224"/>
      <c r="AL266" s="234">
        <v>0</v>
      </c>
      <c r="AM266" s="224"/>
      <c r="AN266" s="234">
        <v>0</v>
      </c>
      <c r="AO266" s="234">
        <v>1</v>
      </c>
      <c r="AP266" s="234">
        <v>0</v>
      </c>
      <c r="AQ266" s="234">
        <v>0</v>
      </c>
      <c r="AR266" s="234">
        <v>0</v>
      </c>
      <c r="AS266" s="234">
        <v>0</v>
      </c>
      <c r="AT266" s="234">
        <v>0</v>
      </c>
      <c r="AU266" s="234">
        <v>0</v>
      </c>
      <c r="AV266" s="234">
        <v>1</v>
      </c>
      <c r="AW266" s="234">
        <v>0</v>
      </c>
      <c r="AX266" s="234">
        <v>0</v>
      </c>
      <c r="AY266" s="234">
        <v>0</v>
      </c>
      <c r="AZ266" s="234">
        <v>0</v>
      </c>
      <c r="BA266" s="234">
        <v>0</v>
      </c>
      <c r="BB266" s="234">
        <v>0</v>
      </c>
      <c r="BC266" s="234">
        <v>0</v>
      </c>
      <c r="BD266" s="234">
        <v>0</v>
      </c>
      <c r="BE266" s="234">
        <v>0</v>
      </c>
      <c r="BF266" s="234">
        <v>0</v>
      </c>
      <c r="BG266" s="234">
        <v>0</v>
      </c>
      <c r="BH266" s="234">
        <v>0</v>
      </c>
      <c r="BI266" s="234">
        <v>0</v>
      </c>
      <c r="BJ266" s="234">
        <v>0</v>
      </c>
      <c r="BK266" s="234">
        <v>0</v>
      </c>
      <c r="BL266" s="234">
        <v>0</v>
      </c>
      <c r="BM266" s="234">
        <v>0</v>
      </c>
      <c r="BN266" s="234">
        <v>0</v>
      </c>
      <c r="BO266" s="234">
        <v>0</v>
      </c>
      <c r="BP266" s="234"/>
      <c r="BQ266" s="234"/>
      <c r="BR266" s="237" t="s">
        <v>334</v>
      </c>
      <c r="BS266" s="238">
        <v>13</v>
      </c>
      <c r="BU266" s="239">
        <f>M266</f>
        <v>1</v>
      </c>
      <c r="CN266" s="238">
        <f t="shared" si="20"/>
        <v>1</v>
      </c>
      <c r="CO266" s="238">
        <f t="shared" si="21"/>
        <v>1</v>
      </c>
    </row>
    <row r="267" spans="1:93" ht="13.95" customHeight="1" x14ac:dyDescent="0.2">
      <c r="A267" s="231">
        <v>7886</v>
      </c>
      <c r="B267" s="232" t="s">
        <v>848</v>
      </c>
      <c r="C267" s="232" t="s">
        <v>1095</v>
      </c>
      <c r="D267" s="232" t="s">
        <v>1096</v>
      </c>
      <c r="E267" s="232" t="s">
        <v>317</v>
      </c>
      <c r="F267" s="231">
        <v>528462</v>
      </c>
      <c r="G267" s="231">
        <v>175439</v>
      </c>
      <c r="H267" s="232" t="s">
        <v>167</v>
      </c>
      <c r="I267" s="233">
        <v>45016</v>
      </c>
      <c r="J267" s="231"/>
      <c r="K267" s="231">
        <v>1</v>
      </c>
      <c r="L267" s="231">
        <v>3</v>
      </c>
      <c r="M267" s="231">
        <v>2</v>
      </c>
      <c r="N267" s="231">
        <v>3</v>
      </c>
      <c r="O267" s="231">
        <v>2</v>
      </c>
      <c r="P267" s="234"/>
      <c r="Q267" s="232" t="s">
        <v>1097</v>
      </c>
      <c r="R267" s="234" t="s">
        <v>332</v>
      </c>
      <c r="S267" s="235">
        <v>44879</v>
      </c>
      <c r="T267" s="235">
        <v>44937</v>
      </c>
      <c r="U267" s="234" t="s">
        <v>318</v>
      </c>
      <c r="V267" s="232" t="s">
        <v>321</v>
      </c>
      <c r="W267" s="231"/>
      <c r="X267" s="232" t="s">
        <v>322</v>
      </c>
      <c r="Y267" s="232" t="s">
        <v>365</v>
      </c>
      <c r="Z267" s="232" t="s">
        <v>324</v>
      </c>
      <c r="AA267" s="232" t="s">
        <v>411</v>
      </c>
      <c r="AB267" s="236">
        <v>0.06</v>
      </c>
      <c r="AC267" s="235">
        <v>45016</v>
      </c>
      <c r="AD267" s="234" t="s">
        <v>318</v>
      </c>
      <c r="AE267" s="234"/>
      <c r="AF267" s="232" t="s">
        <v>77</v>
      </c>
      <c r="AG267" s="232" t="s">
        <v>350</v>
      </c>
      <c r="AH267" s="234" t="s">
        <v>317</v>
      </c>
      <c r="AI267" s="250"/>
      <c r="AJ267" s="234">
        <v>0</v>
      </c>
      <c r="AK267" s="224"/>
      <c r="AL267" s="234">
        <v>0</v>
      </c>
      <c r="AM267" s="224"/>
      <c r="AN267" s="234">
        <v>0</v>
      </c>
      <c r="AO267" s="234">
        <v>1</v>
      </c>
      <c r="AP267" s="234">
        <v>2</v>
      </c>
      <c r="AQ267" s="234">
        <v>0</v>
      </c>
      <c r="AR267" s="234">
        <v>-1</v>
      </c>
      <c r="AS267" s="234">
        <v>0</v>
      </c>
      <c r="AT267" s="234">
        <v>0</v>
      </c>
      <c r="AU267" s="234">
        <v>0</v>
      </c>
      <c r="AV267" s="234">
        <v>1</v>
      </c>
      <c r="AW267" s="234">
        <v>2</v>
      </c>
      <c r="AX267" s="234">
        <v>0</v>
      </c>
      <c r="AY267" s="234">
        <v>-1</v>
      </c>
      <c r="AZ267" s="234">
        <v>0</v>
      </c>
      <c r="BA267" s="234">
        <v>0</v>
      </c>
      <c r="BB267" s="234">
        <v>0</v>
      </c>
      <c r="BC267" s="234">
        <v>0</v>
      </c>
      <c r="BD267" s="234">
        <v>0</v>
      </c>
      <c r="BE267" s="234">
        <v>0</v>
      </c>
      <c r="BF267" s="234">
        <v>0</v>
      </c>
      <c r="BG267" s="234">
        <v>0</v>
      </c>
      <c r="BH267" s="234">
        <v>0</v>
      </c>
      <c r="BI267" s="234">
        <v>0</v>
      </c>
      <c r="BJ267" s="234">
        <v>0</v>
      </c>
      <c r="BK267" s="234">
        <v>0</v>
      </c>
      <c r="BL267" s="234">
        <v>0</v>
      </c>
      <c r="BM267" s="234">
        <v>0</v>
      </c>
      <c r="BN267" s="234">
        <v>0</v>
      </c>
      <c r="BO267" s="234">
        <v>0</v>
      </c>
      <c r="BP267" s="234"/>
      <c r="BQ267" s="234"/>
      <c r="BR267" s="237" t="s">
        <v>334</v>
      </c>
      <c r="BS267" s="238">
        <v>14</v>
      </c>
      <c r="BU267" s="239">
        <f>M267/2</f>
        <v>1</v>
      </c>
      <c r="BV267" s="239">
        <f>M267/2</f>
        <v>1</v>
      </c>
      <c r="CN267" s="238">
        <f t="shared" si="20"/>
        <v>2</v>
      </c>
      <c r="CO267" s="238">
        <f t="shared" si="21"/>
        <v>2</v>
      </c>
    </row>
    <row r="268" spans="1:93" ht="13.95" customHeight="1" x14ac:dyDescent="0.2">
      <c r="A268" s="231">
        <v>7039</v>
      </c>
      <c r="B268" s="232" t="s">
        <v>848</v>
      </c>
      <c r="C268" s="232" t="s">
        <v>1098</v>
      </c>
      <c r="D268" s="232" t="s">
        <v>1099</v>
      </c>
      <c r="E268" s="232" t="s">
        <v>317</v>
      </c>
      <c r="F268" s="231">
        <v>526973</v>
      </c>
      <c r="G268" s="231">
        <v>171725</v>
      </c>
      <c r="H268" s="232" t="s">
        <v>177</v>
      </c>
      <c r="I268" s="233">
        <v>44651</v>
      </c>
      <c r="J268" s="231"/>
      <c r="K268" s="231">
        <v>1</v>
      </c>
      <c r="L268" s="231">
        <v>2</v>
      </c>
      <c r="M268" s="231">
        <v>1</v>
      </c>
      <c r="N268" s="231">
        <v>4</v>
      </c>
      <c r="O268" s="231">
        <v>3</v>
      </c>
      <c r="P268" s="234"/>
      <c r="Q268" s="232" t="s">
        <v>1100</v>
      </c>
      <c r="R268" s="234" t="s">
        <v>332</v>
      </c>
      <c r="S268" s="235">
        <v>44004</v>
      </c>
      <c r="T268" s="235">
        <v>44124</v>
      </c>
      <c r="U268" s="234"/>
      <c r="V268" s="232" t="s">
        <v>321</v>
      </c>
      <c r="W268" s="231"/>
      <c r="X268" s="232" t="s">
        <v>322</v>
      </c>
      <c r="Y268" s="232" t="s">
        <v>338</v>
      </c>
      <c r="Z268" s="232" t="s">
        <v>324</v>
      </c>
      <c r="AA268" s="232" t="s">
        <v>411</v>
      </c>
      <c r="AB268" s="236">
        <v>4.0000000000000001E-3</v>
      </c>
      <c r="AC268" s="235">
        <v>44651</v>
      </c>
      <c r="AD268" s="234"/>
      <c r="AE268" s="234"/>
      <c r="AF268" s="232" t="s">
        <v>77</v>
      </c>
      <c r="AG268" s="232" t="s">
        <v>350</v>
      </c>
      <c r="AH268" s="234" t="s">
        <v>317</v>
      </c>
      <c r="AI268" s="250"/>
      <c r="AJ268" s="234">
        <v>0</v>
      </c>
      <c r="AK268" s="224"/>
      <c r="AL268" s="234">
        <v>0</v>
      </c>
      <c r="AM268" s="224"/>
      <c r="AN268" s="234">
        <v>0</v>
      </c>
      <c r="AO268" s="234">
        <v>2</v>
      </c>
      <c r="AP268" s="234">
        <v>-1</v>
      </c>
      <c r="AQ268" s="234">
        <v>0</v>
      </c>
      <c r="AR268" s="234">
        <v>0</v>
      </c>
      <c r="AS268" s="234">
        <v>0</v>
      </c>
      <c r="AT268" s="234">
        <v>0</v>
      </c>
      <c r="AU268" s="234">
        <v>0</v>
      </c>
      <c r="AV268" s="234">
        <v>2</v>
      </c>
      <c r="AW268" s="234">
        <v>-1</v>
      </c>
      <c r="AX268" s="234">
        <v>0</v>
      </c>
      <c r="AY268" s="234">
        <v>0</v>
      </c>
      <c r="AZ268" s="234">
        <v>0</v>
      </c>
      <c r="BA268" s="234">
        <v>0</v>
      </c>
      <c r="BB268" s="234">
        <v>0</v>
      </c>
      <c r="BC268" s="234">
        <v>0</v>
      </c>
      <c r="BD268" s="234">
        <v>0</v>
      </c>
      <c r="BE268" s="234">
        <v>0</v>
      </c>
      <c r="BF268" s="234">
        <v>0</v>
      </c>
      <c r="BG268" s="234">
        <v>0</v>
      </c>
      <c r="BH268" s="234">
        <v>0</v>
      </c>
      <c r="BI268" s="234">
        <v>0</v>
      </c>
      <c r="BJ268" s="234">
        <v>0</v>
      </c>
      <c r="BK268" s="234">
        <v>0</v>
      </c>
      <c r="BL268" s="234">
        <v>0</v>
      </c>
      <c r="BM268" s="234">
        <v>0</v>
      </c>
      <c r="BN268" s="234">
        <v>0</v>
      </c>
      <c r="BO268" s="234">
        <v>0</v>
      </c>
      <c r="BP268" s="234"/>
      <c r="BQ268" s="234"/>
      <c r="BR268" s="237" t="s">
        <v>334</v>
      </c>
      <c r="BS268" s="238">
        <v>13</v>
      </c>
      <c r="BU268" s="239">
        <f>M268</f>
        <v>1</v>
      </c>
      <c r="CN268" s="238">
        <f t="shared" si="20"/>
        <v>1</v>
      </c>
      <c r="CO268" s="238">
        <f t="shared" si="21"/>
        <v>1</v>
      </c>
    </row>
    <row r="269" spans="1:93" ht="13.95" customHeight="1" x14ac:dyDescent="0.2">
      <c r="A269" s="231">
        <v>7039</v>
      </c>
      <c r="B269" s="232" t="s">
        <v>848</v>
      </c>
      <c r="C269" s="232" t="s">
        <v>1098</v>
      </c>
      <c r="D269" s="232" t="s">
        <v>1099</v>
      </c>
      <c r="E269" s="232" t="s">
        <v>317</v>
      </c>
      <c r="F269" s="231">
        <v>526973</v>
      </c>
      <c r="G269" s="231">
        <v>171725</v>
      </c>
      <c r="H269" s="232" t="s">
        <v>177</v>
      </c>
      <c r="I269" s="233">
        <v>44651</v>
      </c>
      <c r="J269" s="231"/>
      <c r="K269" s="231">
        <v>0</v>
      </c>
      <c r="L269" s="231">
        <v>1</v>
      </c>
      <c r="M269" s="231">
        <v>1</v>
      </c>
      <c r="N269" s="231">
        <v>4</v>
      </c>
      <c r="O269" s="231">
        <v>3</v>
      </c>
      <c r="P269" s="234"/>
      <c r="Q269" s="232" t="s">
        <v>1100</v>
      </c>
      <c r="R269" s="234" t="s">
        <v>332</v>
      </c>
      <c r="S269" s="235">
        <v>44004</v>
      </c>
      <c r="T269" s="235">
        <v>44124</v>
      </c>
      <c r="U269" s="234"/>
      <c r="V269" s="232" t="s">
        <v>321</v>
      </c>
      <c r="W269" s="231"/>
      <c r="X269" s="232" t="s">
        <v>322</v>
      </c>
      <c r="Y269" s="232" t="s">
        <v>338</v>
      </c>
      <c r="Z269" s="232" t="s">
        <v>324</v>
      </c>
      <c r="AA269" s="232" t="s">
        <v>28</v>
      </c>
      <c r="AB269" s="236">
        <v>3.0000000000000001E-3</v>
      </c>
      <c r="AC269" s="235">
        <v>44651</v>
      </c>
      <c r="AD269" s="234"/>
      <c r="AE269" s="234"/>
      <c r="AF269" s="232" t="s">
        <v>77</v>
      </c>
      <c r="AG269" s="232" t="s">
        <v>350</v>
      </c>
      <c r="AH269" s="234" t="s">
        <v>317</v>
      </c>
      <c r="AI269" s="250"/>
      <c r="AJ269" s="234">
        <v>0</v>
      </c>
      <c r="AK269" s="224"/>
      <c r="AL269" s="234">
        <v>0</v>
      </c>
      <c r="AM269" s="224"/>
      <c r="AN269" s="234">
        <v>0</v>
      </c>
      <c r="AO269" s="234">
        <v>1</v>
      </c>
      <c r="AP269" s="234">
        <v>0</v>
      </c>
      <c r="AQ269" s="234">
        <v>0</v>
      </c>
      <c r="AR269" s="234">
        <v>0</v>
      </c>
      <c r="AS269" s="234">
        <v>0</v>
      </c>
      <c r="AT269" s="234">
        <v>0</v>
      </c>
      <c r="AU269" s="234">
        <v>0</v>
      </c>
      <c r="AV269" s="234">
        <v>1</v>
      </c>
      <c r="AW269" s="234">
        <v>0</v>
      </c>
      <c r="AX269" s="234">
        <v>0</v>
      </c>
      <c r="AY269" s="234">
        <v>0</v>
      </c>
      <c r="AZ269" s="234">
        <v>0</v>
      </c>
      <c r="BA269" s="234">
        <v>0</v>
      </c>
      <c r="BB269" s="234">
        <v>0</v>
      </c>
      <c r="BC269" s="234">
        <v>0</v>
      </c>
      <c r="BD269" s="234">
        <v>0</v>
      </c>
      <c r="BE269" s="234">
        <v>0</v>
      </c>
      <c r="BF269" s="234">
        <v>0</v>
      </c>
      <c r="BG269" s="234">
        <v>0</v>
      </c>
      <c r="BH269" s="234">
        <v>0</v>
      </c>
      <c r="BI269" s="234">
        <v>0</v>
      </c>
      <c r="BJ269" s="234">
        <v>0</v>
      </c>
      <c r="BK269" s="234">
        <v>0</v>
      </c>
      <c r="BL269" s="234">
        <v>0</v>
      </c>
      <c r="BM269" s="234">
        <v>0</v>
      </c>
      <c r="BN269" s="234">
        <v>0</v>
      </c>
      <c r="BO269" s="234">
        <v>0</v>
      </c>
      <c r="BP269" s="234"/>
      <c r="BQ269" s="234"/>
      <c r="BR269" s="237" t="s">
        <v>334</v>
      </c>
      <c r="BS269" s="238">
        <v>13</v>
      </c>
      <c r="BU269" s="239">
        <f>M269</f>
        <v>1</v>
      </c>
      <c r="CN269" s="238">
        <f t="shared" si="20"/>
        <v>1</v>
      </c>
      <c r="CO269" s="238">
        <f t="shared" si="21"/>
        <v>1</v>
      </c>
    </row>
    <row r="270" spans="1:93" ht="13.95" customHeight="1" x14ac:dyDescent="0.2">
      <c r="A270" s="231">
        <v>7039</v>
      </c>
      <c r="B270" s="232" t="s">
        <v>848</v>
      </c>
      <c r="C270" s="232" t="s">
        <v>1098</v>
      </c>
      <c r="D270" s="232" t="s">
        <v>1099</v>
      </c>
      <c r="E270" s="232" t="s">
        <v>317</v>
      </c>
      <c r="F270" s="231">
        <v>526973</v>
      </c>
      <c r="G270" s="231">
        <v>171725</v>
      </c>
      <c r="H270" s="232" t="s">
        <v>177</v>
      </c>
      <c r="I270" s="233">
        <v>44651</v>
      </c>
      <c r="J270" s="231"/>
      <c r="K270" s="231">
        <v>0</v>
      </c>
      <c r="L270" s="231">
        <v>1</v>
      </c>
      <c r="M270" s="231">
        <v>1</v>
      </c>
      <c r="N270" s="231">
        <v>4</v>
      </c>
      <c r="O270" s="231">
        <v>3</v>
      </c>
      <c r="P270" s="234"/>
      <c r="Q270" s="232" t="s">
        <v>1100</v>
      </c>
      <c r="R270" s="234" t="s">
        <v>332</v>
      </c>
      <c r="S270" s="235">
        <v>44004</v>
      </c>
      <c r="T270" s="235">
        <v>44124</v>
      </c>
      <c r="U270" s="234"/>
      <c r="V270" s="232" t="s">
        <v>321</v>
      </c>
      <c r="W270" s="231"/>
      <c r="X270" s="232" t="s">
        <v>322</v>
      </c>
      <c r="Y270" s="232" t="s">
        <v>338</v>
      </c>
      <c r="Z270" s="232" t="s">
        <v>324</v>
      </c>
      <c r="AA270" s="232" t="s">
        <v>354</v>
      </c>
      <c r="AB270" s="236">
        <v>2E-3</v>
      </c>
      <c r="AC270" s="235">
        <v>44651</v>
      </c>
      <c r="AD270" s="234"/>
      <c r="AE270" s="234"/>
      <c r="AF270" s="232" t="s">
        <v>77</v>
      </c>
      <c r="AG270" s="232" t="s">
        <v>350</v>
      </c>
      <c r="AH270" s="234" t="s">
        <v>317</v>
      </c>
      <c r="AI270" s="250"/>
      <c r="AJ270" s="234">
        <v>0</v>
      </c>
      <c r="AK270" s="224"/>
      <c r="AL270" s="234">
        <v>0</v>
      </c>
      <c r="AM270" s="224"/>
      <c r="AN270" s="234">
        <v>0</v>
      </c>
      <c r="AO270" s="234">
        <v>1</v>
      </c>
      <c r="AP270" s="234">
        <v>0</v>
      </c>
      <c r="AQ270" s="234">
        <v>0</v>
      </c>
      <c r="AR270" s="234">
        <v>0</v>
      </c>
      <c r="AS270" s="234">
        <v>0</v>
      </c>
      <c r="AT270" s="234">
        <v>0</v>
      </c>
      <c r="AU270" s="234">
        <v>0</v>
      </c>
      <c r="AV270" s="234">
        <v>1</v>
      </c>
      <c r="AW270" s="234">
        <v>0</v>
      </c>
      <c r="AX270" s="234">
        <v>0</v>
      </c>
      <c r="AY270" s="234">
        <v>0</v>
      </c>
      <c r="AZ270" s="234">
        <v>0</v>
      </c>
      <c r="BA270" s="234">
        <v>0</v>
      </c>
      <c r="BB270" s="234">
        <v>0</v>
      </c>
      <c r="BC270" s="234">
        <v>0</v>
      </c>
      <c r="BD270" s="234">
        <v>0</v>
      </c>
      <c r="BE270" s="234">
        <v>0</v>
      </c>
      <c r="BF270" s="234">
        <v>0</v>
      </c>
      <c r="BG270" s="234">
        <v>0</v>
      </c>
      <c r="BH270" s="234">
        <v>0</v>
      </c>
      <c r="BI270" s="234">
        <v>0</v>
      </c>
      <c r="BJ270" s="234">
        <v>0</v>
      </c>
      <c r="BK270" s="234">
        <v>0</v>
      </c>
      <c r="BL270" s="234">
        <v>0</v>
      </c>
      <c r="BM270" s="234">
        <v>0</v>
      </c>
      <c r="BN270" s="234">
        <v>0</v>
      </c>
      <c r="BO270" s="234">
        <v>0</v>
      </c>
      <c r="BP270" s="234"/>
      <c r="BQ270" s="234"/>
      <c r="BR270" s="237" t="s">
        <v>334</v>
      </c>
      <c r="BS270" s="238">
        <v>13</v>
      </c>
      <c r="BU270" s="239">
        <f>M270</f>
        <v>1</v>
      </c>
      <c r="CN270" s="238">
        <f t="shared" si="20"/>
        <v>1</v>
      </c>
      <c r="CO270" s="238">
        <f t="shared" si="21"/>
        <v>1</v>
      </c>
    </row>
    <row r="271" spans="1:93" ht="13.95" customHeight="1" x14ac:dyDescent="0.2">
      <c r="A271" s="231">
        <v>7442</v>
      </c>
      <c r="B271" s="232" t="s">
        <v>848</v>
      </c>
      <c r="C271" s="232" t="s">
        <v>1101</v>
      </c>
      <c r="D271" s="232" t="s">
        <v>1102</v>
      </c>
      <c r="E271" s="232" t="s">
        <v>317</v>
      </c>
      <c r="F271" s="231">
        <v>528026</v>
      </c>
      <c r="G271" s="231">
        <v>175977</v>
      </c>
      <c r="H271" s="232" t="s">
        <v>171</v>
      </c>
      <c r="I271" s="233">
        <v>44805</v>
      </c>
      <c r="J271" s="231"/>
      <c r="K271" s="231">
        <v>0</v>
      </c>
      <c r="L271" s="231">
        <v>1</v>
      </c>
      <c r="M271" s="231">
        <v>1</v>
      </c>
      <c r="N271" s="231">
        <v>1</v>
      </c>
      <c r="O271" s="231">
        <v>1</v>
      </c>
      <c r="P271" s="234"/>
      <c r="Q271" s="232" t="s">
        <v>1103</v>
      </c>
      <c r="R271" s="234" t="s">
        <v>629</v>
      </c>
      <c r="S271" s="235">
        <v>44032</v>
      </c>
      <c r="T271" s="235">
        <v>44084</v>
      </c>
      <c r="U271" s="234"/>
      <c r="V271" s="232" t="s">
        <v>321</v>
      </c>
      <c r="W271" s="231"/>
      <c r="X271" s="232" t="s">
        <v>322</v>
      </c>
      <c r="Y271" s="232" t="s">
        <v>378</v>
      </c>
      <c r="Z271" s="232" t="s">
        <v>324</v>
      </c>
      <c r="AA271" s="232" t="s">
        <v>28</v>
      </c>
      <c r="AB271" s="236">
        <v>5.0000000000000001E-3</v>
      </c>
      <c r="AC271" s="235">
        <v>44805</v>
      </c>
      <c r="AD271" s="234" t="s">
        <v>318</v>
      </c>
      <c r="AE271" s="234"/>
      <c r="AF271" s="232" t="s">
        <v>77</v>
      </c>
      <c r="AG271" s="232" t="s">
        <v>350</v>
      </c>
      <c r="AH271" s="234" t="s">
        <v>317</v>
      </c>
      <c r="AI271" s="250"/>
      <c r="AJ271" s="234">
        <v>0</v>
      </c>
      <c r="AK271" s="224"/>
      <c r="AL271" s="234">
        <v>0</v>
      </c>
      <c r="AM271" s="224"/>
      <c r="AN271" s="234">
        <v>0</v>
      </c>
      <c r="AO271" s="234">
        <v>1</v>
      </c>
      <c r="AP271" s="234">
        <v>0</v>
      </c>
      <c r="AQ271" s="234">
        <v>0</v>
      </c>
      <c r="AR271" s="234">
        <v>0</v>
      </c>
      <c r="AS271" s="234">
        <v>0</v>
      </c>
      <c r="AT271" s="234">
        <v>0</v>
      </c>
      <c r="AU271" s="234">
        <v>0</v>
      </c>
      <c r="AV271" s="234">
        <v>1</v>
      </c>
      <c r="AW271" s="234">
        <v>0</v>
      </c>
      <c r="AX271" s="234">
        <v>0</v>
      </c>
      <c r="AY271" s="234">
        <v>0</v>
      </c>
      <c r="AZ271" s="234">
        <v>0</v>
      </c>
      <c r="BA271" s="234">
        <v>0</v>
      </c>
      <c r="BB271" s="234">
        <v>0</v>
      </c>
      <c r="BC271" s="234">
        <v>0</v>
      </c>
      <c r="BD271" s="234">
        <v>0</v>
      </c>
      <c r="BE271" s="234">
        <v>0</v>
      </c>
      <c r="BF271" s="234">
        <v>0</v>
      </c>
      <c r="BG271" s="234">
        <v>0</v>
      </c>
      <c r="BH271" s="234">
        <v>0</v>
      </c>
      <c r="BI271" s="234">
        <v>0</v>
      </c>
      <c r="BJ271" s="234">
        <v>0</v>
      </c>
      <c r="BK271" s="234">
        <v>0</v>
      </c>
      <c r="BL271" s="234">
        <v>0</v>
      </c>
      <c r="BM271" s="234">
        <v>0</v>
      </c>
      <c r="BN271" s="234">
        <v>0</v>
      </c>
      <c r="BO271" s="234">
        <v>0</v>
      </c>
      <c r="BP271" s="234"/>
      <c r="BQ271" s="234"/>
      <c r="BR271" s="237" t="s">
        <v>334</v>
      </c>
      <c r="BS271" s="238">
        <v>13</v>
      </c>
      <c r="BU271" s="239">
        <f>M271</f>
        <v>1</v>
      </c>
      <c r="CN271" s="238">
        <f t="shared" si="20"/>
        <v>1</v>
      </c>
      <c r="CO271" s="238">
        <f t="shared" si="21"/>
        <v>1</v>
      </c>
    </row>
    <row r="272" spans="1:93" ht="13.95" customHeight="1" x14ac:dyDescent="0.2">
      <c r="A272" s="231">
        <v>7751</v>
      </c>
      <c r="B272" s="232" t="s">
        <v>848</v>
      </c>
      <c r="C272" s="232" t="s">
        <v>1104</v>
      </c>
      <c r="D272" s="232" t="s">
        <v>1105</v>
      </c>
      <c r="E272" s="232" t="s">
        <v>317</v>
      </c>
      <c r="F272" s="231">
        <v>528291</v>
      </c>
      <c r="G272" s="231">
        <v>172218</v>
      </c>
      <c r="H272" s="232" t="s">
        <v>172</v>
      </c>
      <c r="I272" s="233">
        <v>45016</v>
      </c>
      <c r="J272" s="231"/>
      <c r="K272" s="231">
        <v>1</v>
      </c>
      <c r="L272" s="231">
        <v>3</v>
      </c>
      <c r="M272" s="231">
        <v>2</v>
      </c>
      <c r="N272" s="231">
        <v>3</v>
      </c>
      <c r="O272" s="231">
        <v>2</v>
      </c>
      <c r="P272" s="234"/>
      <c r="Q272" s="232" t="s">
        <v>1106</v>
      </c>
      <c r="R272" s="234" t="s">
        <v>332</v>
      </c>
      <c r="S272" s="235">
        <v>44551</v>
      </c>
      <c r="T272" s="235">
        <v>44607</v>
      </c>
      <c r="U272" s="234"/>
      <c r="V272" s="232" t="s">
        <v>321</v>
      </c>
      <c r="W272" s="231"/>
      <c r="X272" s="232" t="s">
        <v>322</v>
      </c>
      <c r="Y272" s="232" t="s">
        <v>338</v>
      </c>
      <c r="Z272" s="232" t="s">
        <v>324</v>
      </c>
      <c r="AA272" s="232" t="s">
        <v>15</v>
      </c>
      <c r="AB272" s="236">
        <v>6.0000000000000001E-3</v>
      </c>
      <c r="AC272" s="235">
        <v>45016</v>
      </c>
      <c r="AD272" s="234" t="s">
        <v>318</v>
      </c>
      <c r="AE272" s="234"/>
      <c r="AF272" s="232" t="s">
        <v>77</v>
      </c>
      <c r="AG272" s="232" t="s">
        <v>350</v>
      </c>
      <c r="AH272" s="234" t="s">
        <v>317</v>
      </c>
      <c r="AI272" s="250"/>
      <c r="AJ272" s="234">
        <v>0</v>
      </c>
      <c r="AK272" s="224"/>
      <c r="AL272" s="234">
        <v>0</v>
      </c>
      <c r="AM272" s="224"/>
      <c r="AN272" s="234">
        <v>0</v>
      </c>
      <c r="AO272" s="234">
        <v>1</v>
      </c>
      <c r="AP272" s="234">
        <v>1</v>
      </c>
      <c r="AQ272" s="234">
        <v>1</v>
      </c>
      <c r="AR272" s="234">
        <v>0</v>
      </c>
      <c r="AS272" s="234">
        <v>-1</v>
      </c>
      <c r="AT272" s="234">
        <v>0</v>
      </c>
      <c r="AU272" s="234">
        <v>0</v>
      </c>
      <c r="AV272" s="234">
        <v>1</v>
      </c>
      <c r="AW272" s="234">
        <v>1</v>
      </c>
      <c r="AX272" s="234">
        <v>1</v>
      </c>
      <c r="AY272" s="234">
        <v>0</v>
      </c>
      <c r="AZ272" s="234">
        <v>0</v>
      </c>
      <c r="BA272" s="234">
        <v>0</v>
      </c>
      <c r="BB272" s="234">
        <v>0</v>
      </c>
      <c r="BC272" s="234">
        <v>0</v>
      </c>
      <c r="BD272" s="234">
        <v>0</v>
      </c>
      <c r="BE272" s="234">
        <v>0</v>
      </c>
      <c r="BF272" s="234">
        <v>0</v>
      </c>
      <c r="BG272" s="234">
        <v>-1</v>
      </c>
      <c r="BH272" s="234">
        <v>0</v>
      </c>
      <c r="BI272" s="234">
        <v>0</v>
      </c>
      <c r="BJ272" s="234">
        <v>0</v>
      </c>
      <c r="BK272" s="234">
        <v>0</v>
      </c>
      <c r="BL272" s="234">
        <v>0</v>
      </c>
      <c r="BM272" s="234">
        <v>0</v>
      </c>
      <c r="BN272" s="234">
        <v>0</v>
      </c>
      <c r="BO272" s="234">
        <v>0</v>
      </c>
      <c r="BP272" s="234"/>
      <c r="BQ272" s="234"/>
      <c r="BR272" s="237" t="s">
        <v>334</v>
      </c>
      <c r="BS272" s="238">
        <v>14</v>
      </c>
      <c r="BU272" s="239">
        <f>M272/2</f>
        <v>1</v>
      </c>
      <c r="BV272" s="239">
        <f>M272/2</f>
        <v>1</v>
      </c>
      <c r="CN272" s="238">
        <f t="shared" si="20"/>
        <v>2</v>
      </c>
      <c r="CO272" s="238">
        <f t="shared" si="21"/>
        <v>2</v>
      </c>
    </row>
    <row r="273" spans="1:93" ht="13.95" customHeight="1" x14ac:dyDescent="0.2">
      <c r="A273" s="231">
        <v>7912</v>
      </c>
      <c r="B273" s="232" t="s">
        <v>848</v>
      </c>
      <c r="C273" s="232" t="s">
        <v>1107</v>
      </c>
      <c r="D273" s="232" t="s">
        <v>1108</v>
      </c>
      <c r="E273" s="232" t="s">
        <v>317</v>
      </c>
      <c r="F273" s="231">
        <v>527318</v>
      </c>
      <c r="G273" s="231">
        <v>171548</v>
      </c>
      <c r="H273" s="232" t="s">
        <v>177</v>
      </c>
      <c r="I273" s="233">
        <v>45016</v>
      </c>
      <c r="J273" s="231"/>
      <c r="K273" s="231">
        <v>1</v>
      </c>
      <c r="L273" s="231">
        <v>3</v>
      </c>
      <c r="M273" s="231">
        <v>2</v>
      </c>
      <c r="N273" s="231">
        <v>3</v>
      </c>
      <c r="O273" s="231">
        <v>2</v>
      </c>
      <c r="P273" s="234"/>
      <c r="Q273" s="232" t="s">
        <v>1109</v>
      </c>
      <c r="R273" s="234" t="s">
        <v>332</v>
      </c>
      <c r="S273" s="235">
        <v>44855</v>
      </c>
      <c r="T273" s="235">
        <v>44936</v>
      </c>
      <c r="U273" s="234" t="s">
        <v>318</v>
      </c>
      <c r="V273" s="232" t="s">
        <v>321</v>
      </c>
      <c r="W273" s="231"/>
      <c r="X273" s="232" t="s">
        <v>322</v>
      </c>
      <c r="Y273" s="232" t="s">
        <v>338</v>
      </c>
      <c r="Z273" s="232" t="s">
        <v>324</v>
      </c>
      <c r="AA273" s="232" t="s">
        <v>15</v>
      </c>
      <c r="AB273" s="236">
        <v>5.8333329999999996E-3</v>
      </c>
      <c r="AC273" s="235">
        <v>45016</v>
      </c>
      <c r="AD273" s="234" t="s">
        <v>318</v>
      </c>
      <c r="AE273" s="234"/>
      <c r="AF273" s="232" t="s">
        <v>77</v>
      </c>
      <c r="AG273" s="232" t="s">
        <v>350</v>
      </c>
      <c r="AH273" s="234" t="s">
        <v>317</v>
      </c>
      <c r="AI273" s="250"/>
      <c r="AJ273" s="234">
        <v>0</v>
      </c>
      <c r="AK273" s="224"/>
      <c r="AL273" s="234">
        <v>0</v>
      </c>
      <c r="AM273" s="224"/>
      <c r="AN273" s="234">
        <v>0</v>
      </c>
      <c r="AO273" s="234">
        <v>1</v>
      </c>
      <c r="AP273" s="234">
        <v>1</v>
      </c>
      <c r="AQ273" s="234">
        <v>1</v>
      </c>
      <c r="AR273" s="234">
        <v>0</v>
      </c>
      <c r="AS273" s="234">
        <v>-1</v>
      </c>
      <c r="AT273" s="234">
        <v>0</v>
      </c>
      <c r="AU273" s="234">
        <v>0</v>
      </c>
      <c r="AV273" s="234">
        <v>1</v>
      </c>
      <c r="AW273" s="234">
        <v>1</v>
      </c>
      <c r="AX273" s="234">
        <v>1</v>
      </c>
      <c r="AY273" s="234">
        <v>0</v>
      </c>
      <c r="AZ273" s="234">
        <v>0</v>
      </c>
      <c r="BA273" s="234">
        <v>0</v>
      </c>
      <c r="BB273" s="234">
        <v>0</v>
      </c>
      <c r="BC273" s="234">
        <v>0</v>
      </c>
      <c r="BD273" s="234">
        <v>0</v>
      </c>
      <c r="BE273" s="234">
        <v>0</v>
      </c>
      <c r="BF273" s="234">
        <v>0</v>
      </c>
      <c r="BG273" s="234">
        <v>-1</v>
      </c>
      <c r="BH273" s="234">
        <v>0</v>
      </c>
      <c r="BI273" s="234">
        <v>0</v>
      </c>
      <c r="BJ273" s="234">
        <v>0</v>
      </c>
      <c r="BK273" s="234">
        <v>0</v>
      </c>
      <c r="BL273" s="234">
        <v>0</v>
      </c>
      <c r="BM273" s="234">
        <v>0</v>
      </c>
      <c r="BN273" s="234">
        <v>0</v>
      </c>
      <c r="BO273" s="234">
        <v>0</v>
      </c>
      <c r="BP273" s="234"/>
      <c r="BQ273" s="234"/>
      <c r="BR273" s="237" t="s">
        <v>144</v>
      </c>
      <c r="BS273" s="238">
        <v>14</v>
      </c>
      <c r="BU273" s="239">
        <f>M273/2</f>
        <v>1</v>
      </c>
      <c r="BV273" s="239">
        <f>M273/2</f>
        <v>1</v>
      </c>
      <c r="CN273" s="238">
        <f t="shared" si="20"/>
        <v>2</v>
      </c>
      <c r="CO273" s="238">
        <f t="shared" si="21"/>
        <v>2</v>
      </c>
    </row>
    <row r="274" spans="1:93" ht="13.95" customHeight="1" x14ac:dyDescent="0.2">
      <c r="A274" s="231">
        <v>7730</v>
      </c>
      <c r="B274" s="232" t="s">
        <v>848</v>
      </c>
      <c r="C274" s="232" t="s">
        <v>1110</v>
      </c>
      <c r="D274" s="232" t="s">
        <v>1111</v>
      </c>
      <c r="E274" s="232" t="s">
        <v>317</v>
      </c>
      <c r="F274" s="231">
        <v>523735</v>
      </c>
      <c r="G274" s="231">
        <v>175468</v>
      </c>
      <c r="H274" s="232" t="s">
        <v>175</v>
      </c>
      <c r="I274" s="233">
        <v>44809</v>
      </c>
      <c r="J274" s="231"/>
      <c r="K274" s="231">
        <v>0</v>
      </c>
      <c r="L274" s="231">
        <v>1</v>
      </c>
      <c r="M274" s="231">
        <v>1</v>
      </c>
      <c r="N274" s="231">
        <v>1</v>
      </c>
      <c r="O274" s="231">
        <v>1</v>
      </c>
      <c r="P274" s="234"/>
      <c r="Q274" s="232" t="s">
        <v>1112</v>
      </c>
      <c r="R274" s="234" t="s">
        <v>332</v>
      </c>
      <c r="S274" s="235">
        <v>44473</v>
      </c>
      <c r="T274" s="235">
        <v>44615</v>
      </c>
      <c r="U274" s="234"/>
      <c r="V274" s="232" t="s">
        <v>321</v>
      </c>
      <c r="W274" s="231"/>
      <c r="X274" s="232" t="s">
        <v>322</v>
      </c>
      <c r="Y274" s="232" t="s">
        <v>365</v>
      </c>
      <c r="Z274" s="232" t="s">
        <v>324</v>
      </c>
      <c r="AA274" s="232" t="s">
        <v>31</v>
      </c>
      <c r="AB274" s="236">
        <v>6.0000000000000001E-3</v>
      </c>
      <c r="AC274" s="235">
        <v>44809</v>
      </c>
      <c r="AD274" s="234" t="s">
        <v>318</v>
      </c>
      <c r="AE274" s="234"/>
      <c r="AF274" s="232" t="s">
        <v>77</v>
      </c>
      <c r="AG274" s="232" t="s">
        <v>350</v>
      </c>
      <c r="AH274" s="234" t="s">
        <v>317</v>
      </c>
      <c r="AI274" s="250"/>
      <c r="AJ274" s="234">
        <v>0</v>
      </c>
      <c r="AK274" s="224"/>
      <c r="AL274" s="234">
        <v>0</v>
      </c>
      <c r="AM274" s="224"/>
      <c r="AN274" s="234">
        <v>0</v>
      </c>
      <c r="AO274" s="234">
        <v>0</v>
      </c>
      <c r="AP274" s="234">
        <v>1</v>
      </c>
      <c r="AQ274" s="234">
        <v>0</v>
      </c>
      <c r="AR274" s="234">
        <v>0</v>
      </c>
      <c r="AS274" s="234">
        <v>0</v>
      </c>
      <c r="AT274" s="234">
        <v>0</v>
      </c>
      <c r="AU274" s="234">
        <v>0</v>
      </c>
      <c r="AV274" s="234">
        <v>0</v>
      </c>
      <c r="AW274" s="234">
        <v>1</v>
      </c>
      <c r="AX274" s="234">
        <v>0</v>
      </c>
      <c r="AY274" s="234">
        <v>0</v>
      </c>
      <c r="AZ274" s="234">
        <v>0</v>
      </c>
      <c r="BA274" s="234">
        <v>0</v>
      </c>
      <c r="BB274" s="234">
        <v>0</v>
      </c>
      <c r="BC274" s="234">
        <v>0</v>
      </c>
      <c r="BD274" s="234">
        <v>0</v>
      </c>
      <c r="BE274" s="234">
        <v>0</v>
      </c>
      <c r="BF274" s="234">
        <v>0</v>
      </c>
      <c r="BG274" s="234">
        <v>0</v>
      </c>
      <c r="BH274" s="234">
        <v>0</v>
      </c>
      <c r="BI274" s="234">
        <v>0</v>
      </c>
      <c r="BJ274" s="234">
        <v>0</v>
      </c>
      <c r="BK274" s="234">
        <v>0</v>
      </c>
      <c r="BL274" s="234">
        <v>0</v>
      </c>
      <c r="BM274" s="234">
        <v>0</v>
      </c>
      <c r="BN274" s="234">
        <v>0</v>
      </c>
      <c r="BO274" s="234">
        <v>0</v>
      </c>
      <c r="BP274" s="234"/>
      <c r="BQ274" s="234"/>
      <c r="BR274" s="237" t="s">
        <v>334</v>
      </c>
      <c r="BS274" s="238">
        <v>13</v>
      </c>
      <c r="BU274" s="239">
        <f t="shared" ref="BU274:BU284" si="22">M274</f>
        <v>1</v>
      </c>
      <c r="CN274" s="238">
        <f t="shared" si="20"/>
        <v>1</v>
      </c>
      <c r="CO274" s="238">
        <f t="shared" si="21"/>
        <v>1</v>
      </c>
    </row>
    <row r="275" spans="1:93" ht="13.95" customHeight="1" x14ac:dyDescent="0.2">
      <c r="A275" s="231">
        <v>4762</v>
      </c>
      <c r="B275" s="232" t="s">
        <v>848</v>
      </c>
      <c r="C275" s="232" t="s">
        <v>1113</v>
      </c>
      <c r="D275" s="232" t="s">
        <v>1114</v>
      </c>
      <c r="E275" s="232" t="s">
        <v>317</v>
      </c>
      <c r="F275" s="231">
        <v>527890</v>
      </c>
      <c r="G275" s="231">
        <v>170978</v>
      </c>
      <c r="H275" s="232" t="s">
        <v>177</v>
      </c>
      <c r="I275" s="233">
        <v>44661</v>
      </c>
      <c r="J275" s="231"/>
      <c r="K275" s="231">
        <v>0</v>
      </c>
      <c r="L275" s="231">
        <v>1</v>
      </c>
      <c r="M275" s="231">
        <v>1</v>
      </c>
      <c r="N275" s="231">
        <v>1</v>
      </c>
      <c r="O275" s="231">
        <v>1</v>
      </c>
      <c r="P275" s="234"/>
      <c r="Q275" s="232" t="s">
        <v>1115</v>
      </c>
      <c r="R275" s="234" t="s">
        <v>332</v>
      </c>
      <c r="S275" s="235">
        <v>44186</v>
      </c>
      <c r="T275" s="235">
        <v>44453</v>
      </c>
      <c r="U275" s="234"/>
      <c r="V275" s="232" t="s">
        <v>321</v>
      </c>
      <c r="W275" s="231"/>
      <c r="X275" s="232" t="s">
        <v>322</v>
      </c>
      <c r="Y275" s="232" t="s">
        <v>365</v>
      </c>
      <c r="Z275" s="232" t="s">
        <v>324</v>
      </c>
      <c r="AA275" s="232" t="s">
        <v>28</v>
      </c>
      <c r="AB275" s="236">
        <v>4.4000000000000003E-3</v>
      </c>
      <c r="AC275" s="235">
        <v>44661</v>
      </c>
      <c r="AD275" s="234" t="s">
        <v>318</v>
      </c>
      <c r="AE275" s="235"/>
      <c r="AF275" s="232" t="s">
        <v>77</v>
      </c>
      <c r="AG275" s="232" t="s">
        <v>350</v>
      </c>
      <c r="AH275" s="234" t="s">
        <v>317</v>
      </c>
      <c r="AI275" s="250"/>
      <c r="AJ275" s="234">
        <v>0</v>
      </c>
      <c r="AK275" s="224"/>
      <c r="AL275" s="234">
        <v>0</v>
      </c>
      <c r="AM275" s="224"/>
      <c r="AN275" s="234">
        <v>0</v>
      </c>
      <c r="AO275" s="234">
        <v>1</v>
      </c>
      <c r="AP275" s="234">
        <v>0</v>
      </c>
      <c r="AQ275" s="234">
        <v>0</v>
      </c>
      <c r="AR275" s="234">
        <v>0</v>
      </c>
      <c r="AS275" s="234">
        <v>0</v>
      </c>
      <c r="AT275" s="234">
        <v>0</v>
      </c>
      <c r="AU275" s="234">
        <v>0</v>
      </c>
      <c r="AV275" s="234">
        <v>1</v>
      </c>
      <c r="AW275" s="234">
        <v>0</v>
      </c>
      <c r="AX275" s="234">
        <v>0</v>
      </c>
      <c r="AY275" s="234">
        <v>0</v>
      </c>
      <c r="AZ275" s="234">
        <v>0</v>
      </c>
      <c r="BA275" s="234">
        <v>0</v>
      </c>
      <c r="BB275" s="234">
        <v>0</v>
      </c>
      <c r="BC275" s="234">
        <v>0</v>
      </c>
      <c r="BD275" s="234">
        <v>0</v>
      </c>
      <c r="BE275" s="234">
        <v>0</v>
      </c>
      <c r="BF275" s="234">
        <v>0</v>
      </c>
      <c r="BG275" s="234">
        <v>0</v>
      </c>
      <c r="BH275" s="234">
        <v>0</v>
      </c>
      <c r="BI275" s="234">
        <v>0</v>
      </c>
      <c r="BJ275" s="234">
        <v>0</v>
      </c>
      <c r="BK275" s="234">
        <v>0</v>
      </c>
      <c r="BL275" s="234">
        <v>0</v>
      </c>
      <c r="BM275" s="234">
        <v>0</v>
      </c>
      <c r="BN275" s="234">
        <v>0</v>
      </c>
      <c r="BO275" s="234">
        <v>0</v>
      </c>
      <c r="BP275" s="234"/>
      <c r="BQ275" s="234"/>
      <c r="BR275" s="237" t="s">
        <v>144</v>
      </c>
      <c r="BS275" s="238">
        <v>13</v>
      </c>
      <c r="BU275" s="239">
        <f t="shared" si="22"/>
        <v>1</v>
      </c>
      <c r="CN275" s="238">
        <f t="shared" si="20"/>
        <v>1</v>
      </c>
      <c r="CO275" s="238">
        <f t="shared" si="21"/>
        <v>1</v>
      </c>
    </row>
    <row r="276" spans="1:93" ht="13.95" customHeight="1" x14ac:dyDescent="0.2">
      <c r="A276" s="231">
        <v>6669</v>
      </c>
      <c r="B276" s="232" t="s">
        <v>848</v>
      </c>
      <c r="C276" s="232" t="s">
        <v>1116</v>
      </c>
      <c r="D276" s="232" t="s">
        <v>1117</v>
      </c>
      <c r="E276" s="232" t="s">
        <v>317</v>
      </c>
      <c r="F276" s="231">
        <v>527101</v>
      </c>
      <c r="G276" s="231">
        <v>170989</v>
      </c>
      <c r="H276" s="232" t="s">
        <v>177</v>
      </c>
      <c r="I276" s="233">
        <v>44579</v>
      </c>
      <c r="J276" s="231"/>
      <c r="K276" s="231">
        <v>0</v>
      </c>
      <c r="L276" s="231">
        <v>1</v>
      </c>
      <c r="M276" s="231">
        <v>1</v>
      </c>
      <c r="N276" s="231">
        <v>1</v>
      </c>
      <c r="O276" s="231">
        <v>1</v>
      </c>
      <c r="P276" s="234"/>
      <c r="Q276" s="232" t="s">
        <v>1118</v>
      </c>
      <c r="R276" s="234" t="s">
        <v>332</v>
      </c>
      <c r="S276" s="235">
        <v>43374</v>
      </c>
      <c r="T276" s="235">
        <v>43430</v>
      </c>
      <c r="U276" s="234"/>
      <c r="V276" s="232" t="s">
        <v>321</v>
      </c>
      <c r="W276" s="231"/>
      <c r="X276" s="232" t="s">
        <v>322</v>
      </c>
      <c r="Y276" s="232" t="s">
        <v>323</v>
      </c>
      <c r="Z276" s="232" t="s">
        <v>324</v>
      </c>
      <c r="AA276" s="232" t="s">
        <v>349</v>
      </c>
      <c r="AB276" s="236">
        <v>7.0000000000000001E-3</v>
      </c>
      <c r="AC276" s="235">
        <v>44579</v>
      </c>
      <c r="AD276" s="234"/>
      <c r="AE276" s="234"/>
      <c r="AF276" s="232" t="s">
        <v>77</v>
      </c>
      <c r="AG276" s="232" t="s">
        <v>350</v>
      </c>
      <c r="AH276" s="234" t="s">
        <v>317</v>
      </c>
      <c r="AI276" s="250"/>
      <c r="AJ276" s="234">
        <v>0</v>
      </c>
      <c r="AK276" s="224"/>
      <c r="AL276" s="234">
        <v>0</v>
      </c>
      <c r="AM276" s="224"/>
      <c r="AN276" s="234">
        <v>0</v>
      </c>
      <c r="AO276" s="234">
        <v>1</v>
      </c>
      <c r="AP276" s="234">
        <v>0</v>
      </c>
      <c r="AQ276" s="234">
        <v>0</v>
      </c>
      <c r="AR276" s="234">
        <v>0</v>
      </c>
      <c r="AS276" s="234">
        <v>0</v>
      </c>
      <c r="AT276" s="234">
        <v>0</v>
      </c>
      <c r="AU276" s="234">
        <v>0</v>
      </c>
      <c r="AV276" s="234">
        <v>0</v>
      </c>
      <c r="AW276" s="234">
        <v>0</v>
      </c>
      <c r="AX276" s="234">
        <v>0</v>
      </c>
      <c r="AY276" s="234">
        <v>0</v>
      </c>
      <c r="AZ276" s="234">
        <v>0</v>
      </c>
      <c r="BA276" s="234">
        <v>0</v>
      </c>
      <c r="BB276" s="234">
        <v>0</v>
      </c>
      <c r="BC276" s="234">
        <v>1</v>
      </c>
      <c r="BD276" s="234">
        <v>0</v>
      </c>
      <c r="BE276" s="234">
        <v>0</v>
      </c>
      <c r="BF276" s="234">
        <v>0</v>
      </c>
      <c r="BG276" s="234">
        <v>0</v>
      </c>
      <c r="BH276" s="234">
        <v>0</v>
      </c>
      <c r="BI276" s="234">
        <v>0</v>
      </c>
      <c r="BJ276" s="234">
        <v>0</v>
      </c>
      <c r="BK276" s="234">
        <v>0</v>
      </c>
      <c r="BL276" s="234">
        <v>0</v>
      </c>
      <c r="BM276" s="234">
        <v>0</v>
      </c>
      <c r="BN276" s="234">
        <v>0</v>
      </c>
      <c r="BO276" s="234">
        <v>0</v>
      </c>
      <c r="BP276" s="234"/>
      <c r="BQ276" s="234"/>
      <c r="BR276" s="237" t="s">
        <v>144</v>
      </c>
      <c r="BS276" s="238">
        <v>3</v>
      </c>
      <c r="BU276" s="239">
        <f t="shared" si="22"/>
        <v>1</v>
      </c>
      <c r="CN276" s="238">
        <f t="shared" si="20"/>
        <v>1</v>
      </c>
      <c r="CO276" s="238">
        <f t="shared" si="21"/>
        <v>1</v>
      </c>
    </row>
    <row r="277" spans="1:93" ht="13.95" customHeight="1" x14ac:dyDescent="0.2">
      <c r="A277" s="231">
        <v>2410</v>
      </c>
      <c r="B277" s="232" t="s">
        <v>848</v>
      </c>
      <c r="C277" s="232" t="s">
        <v>1119</v>
      </c>
      <c r="D277" s="232" t="s">
        <v>1120</v>
      </c>
      <c r="E277" s="232" t="s">
        <v>317</v>
      </c>
      <c r="F277" s="231">
        <v>527525</v>
      </c>
      <c r="G277" s="231">
        <v>174930</v>
      </c>
      <c r="H277" s="232" t="s">
        <v>169</v>
      </c>
      <c r="I277" s="233">
        <v>44652</v>
      </c>
      <c r="J277" s="231"/>
      <c r="K277" s="231">
        <v>0</v>
      </c>
      <c r="L277" s="231">
        <v>1</v>
      </c>
      <c r="M277" s="231">
        <v>1</v>
      </c>
      <c r="N277" s="231">
        <v>1</v>
      </c>
      <c r="O277" s="231">
        <v>1</v>
      </c>
      <c r="P277" s="234"/>
      <c r="Q277" s="232" t="s">
        <v>1121</v>
      </c>
      <c r="R277" s="234" t="s">
        <v>332</v>
      </c>
      <c r="S277" s="235">
        <v>44854</v>
      </c>
      <c r="T277" s="235">
        <v>44915</v>
      </c>
      <c r="U277" s="234" t="s">
        <v>318</v>
      </c>
      <c r="V277" s="232" t="s">
        <v>321</v>
      </c>
      <c r="W277" s="231"/>
      <c r="X277" s="232" t="s">
        <v>322</v>
      </c>
      <c r="Y277" s="232" t="s">
        <v>323</v>
      </c>
      <c r="Z277" s="232" t="s">
        <v>324</v>
      </c>
      <c r="AA277" s="232" t="s">
        <v>349</v>
      </c>
      <c r="AB277" s="236">
        <v>0.01</v>
      </c>
      <c r="AC277" s="235">
        <v>44652</v>
      </c>
      <c r="AD277" s="234" t="s">
        <v>318</v>
      </c>
      <c r="AE277" s="234"/>
      <c r="AF277" s="232" t="s">
        <v>77</v>
      </c>
      <c r="AG277" s="232" t="s">
        <v>350</v>
      </c>
      <c r="AH277" s="234" t="s">
        <v>317</v>
      </c>
      <c r="AI277" s="250"/>
      <c r="AJ277" s="234">
        <v>0</v>
      </c>
      <c r="AK277" s="224"/>
      <c r="AL277" s="234">
        <v>0</v>
      </c>
      <c r="AM277" s="224"/>
      <c r="AN277" s="234">
        <v>0</v>
      </c>
      <c r="AO277" s="234">
        <v>0</v>
      </c>
      <c r="AP277" s="234">
        <v>0</v>
      </c>
      <c r="AQ277" s="234">
        <v>0</v>
      </c>
      <c r="AR277" s="234">
        <v>1</v>
      </c>
      <c r="AS277" s="234">
        <v>0</v>
      </c>
      <c r="AT277" s="234">
        <v>0</v>
      </c>
      <c r="AU277" s="234">
        <v>0</v>
      </c>
      <c r="AV277" s="234">
        <v>0</v>
      </c>
      <c r="AW277" s="234">
        <v>0</v>
      </c>
      <c r="AX277" s="234">
        <v>0</v>
      </c>
      <c r="AY277" s="234">
        <v>0</v>
      </c>
      <c r="AZ277" s="234">
        <v>0</v>
      </c>
      <c r="BA277" s="234">
        <v>0</v>
      </c>
      <c r="BB277" s="234">
        <v>0</v>
      </c>
      <c r="BC277" s="234">
        <v>0</v>
      </c>
      <c r="BD277" s="234">
        <v>0</v>
      </c>
      <c r="BE277" s="234">
        <v>0</v>
      </c>
      <c r="BF277" s="234">
        <v>1</v>
      </c>
      <c r="BG277" s="234">
        <v>0</v>
      </c>
      <c r="BH277" s="234">
        <v>0</v>
      </c>
      <c r="BI277" s="234">
        <v>0</v>
      </c>
      <c r="BJ277" s="234">
        <v>0</v>
      </c>
      <c r="BK277" s="234">
        <v>0</v>
      </c>
      <c r="BL277" s="234">
        <v>0</v>
      </c>
      <c r="BM277" s="234">
        <v>0</v>
      </c>
      <c r="BN277" s="234">
        <v>0</v>
      </c>
      <c r="BO277" s="234">
        <v>0</v>
      </c>
      <c r="BP277" s="234" t="s">
        <v>142</v>
      </c>
      <c r="BQ277" s="234"/>
      <c r="BR277" s="237" t="s">
        <v>150</v>
      </c>
      <c r="BS277" s="238">
        <v>3</v>
      </c>
      <c r="BU277" s="239">
        <f t="shared" si="22"/>
        <v>1</v>
      </c>
      <c r="CN277" s="238">
        <f t="shared" si="20"/>
        <v>1</v>
      </c>
      <c r="CO277" s="238">
        <f t="shared" si="21"/>
        <v>1</v>
      </c>
    </row>
    <row r="278" spans="1:93" ht="13.95" customHeight="1" x14ac:dyDescent="0.2">
      <c r="A278" s="231">
        <v>6167</v>
      </c>
      <c r="B278" s="232" t="s">
        <v>848</v>
      </c>
      <c r="C278" s="232" t="s">
        <v>1122</v>
      </c>
      <c r="D278" s="232" t="s">
        <v>1123</v>
      </c>
      <c r="E278" s="232" t="s">
        <v>317</v>
      </c>
      <c r="F278" s="231">
        <v>527551</v>
      </c>
      <c r="G278" s="231">
        <v>174388</v>
      </c>
      <c r="H278" s="232" t="s">
        <v>169</v>
      </c>
      <c r="I278" s="233">
        <v>44652</v>
      </c>
      <c r="J278" s="231"/>
      <c r="K278" s="231">
        <v>0</v>
      </c>
      <c r="L278" s="231">
        <v>1</v>
      </c>
      <c r="M278" s="231">
        <v>1</v>
      </c>
      <c r="N278" s="231">
        <v>1</v>
      </c>
      <c r="O278" s="231">
        <v>1</v>
      </c>
      <c r="P278" s="234"/>
      <c r="Q278" s="232" t="s">
        <v>1124</v>
      </c>
      <c r="R278" s="234" t="s">
        <v>332</v>
      </c>
      <c r="S278" s="235">
        <v>43439</v>
      </c>
      <c r="T278" s="235">
        <v>43587</v>
      </c>
      <c r="U278" s="234"/>
      <c r="V278" s="232" t="s">
        <v>321</v>
      </c>
      <c r="W278" s="231"/>
      <c r="X278" s="232" t="s">
        <v>322</v>
      </c>
      <c r="Y278" s="232" t="s">
        <v>323</v>
      </c>
      <c r="Z278" s="232" t="s">
        <v>324</v>
      </c>
      <c r="AA278" s="232" t="s">
        <v>349</v>
      </c>
      <c r="AB278" s="236">
        <v>1.7999999999999999E-2</v>
      </c>
      <c r="AC278" s="235">
        <v>44652</v>
      </c>
      <c r="AD278" s="234" t="s">
        <v>318</v>
      </c>
      <c r="AE278" s="234"/>
      <c r="AF278" s="232" t="s">
        <v>77</v>
      </c>
      <c r="AG278" s="232" t="s">
        <v>350</v>
      </c>
      <c r="AH278" s="234" t="s">
        <v>317</v>
      </c>
      <c r="AI278" s="250"/>
      <c r="AJ278" s="234">
        <v>0</v>
      </c>
      <c r="AK278" s="224"/>
      <c r="AL278" s="234">
        <v>0</v>
      </c>
      <c r="AM278" s="224"/>
      <c r="AN278" s="234">
        <v>0</v>
      </c>
      <c r="AO278" s="234">
        <v>0</v>
      </c>
      <c r="AP278" s="234">
        <v>0</v>
      </c>
      <c r="AQ278" s="234">
        <v>0</v>
      </c>
      <c r="AR278" s="234">
        <v>1</v>
      </c>
      <c r="AS278" s="234">
        <v>0</v>
      </c>
      <c r="AT278" s="234">
        <v>0</v>
      </c>
      <c r="AU278" s="234">
        <v>0</v>
      </c>
      <c r="AV278" s="234">
        <v>0</v>
      </c>
      <c r="AW278" s="234">
        <v>0</v>
      </c>
      <c r="AX278" s="234">
        <v>0</v>
      </c>
      <c r="AY278" s="234">
        <v>0</v>
      </c>
      <c r="AZ278" s="234">
        <v>0</v>
      </c>
      <c r="BA278" s="234">
        <v>0</v>
      </c>
      <c r="BB278" s="234">
        <v>0</v>
      </c>
      <c r="BC278" s="234">
        <v>0</v>
      </c>
      <c r="BD278" s="234">
        <v>0</v>
      </c>
      <c r="BE278" s="234">
        <v>0</v>
      </c>
      <c r="BF278" s="234">
        <v>1</v>
      </c>
      <c r="BG278" s="234">
        <v>0</v>
      </c>
      <c r="BH278" s="234">
        <v>0</v>
      </c>
      <c r="BI278" s="234">
        <v>0</v>
      </c>
      <c r="BJ278" s="234">
        <v>0</v>
      </c>
      <c r="BK278" s="234">
        <v>0</v>
      </c>
      <c r="BL278" s="234">
        <v>0</v>
      </c>
      <c r="BM278" s="234">
        <v>0</v>
      </c>
      <c r="BN278" s="234">
        <v>0</v>
      </c>
      <c r="BO278" s="234">
        <v>0</v>
      </c>
      <c r="BP278" s="234"/>
      <c r="BQ278" s="234"/>
      <c r="BR278" s="237" t="s">
        <v>334</v>
      </c>
      <c r="BS278" s="238">
        <v>3</v>
      </c>
      <c r="BU278" s="239">
        <f t="shared" si="22"/>
        <v>1</v>
      </c>
      <c r="CN278" s="238">
        <f t="shared" si="20"/>
        <v>1</v>
      </c>
      <c r="CO278" s="238">
        <f t="shared" si="21"/>
        <v>1</v>
      </c>
    </row>
    <row r="279" spans="1:93" ht="13.95" customHeight="1" x14ac:dyDescent="0.2">
      <c r="A279" s="231">
        <v>6660</v>
      </c>
      <c r="B279" s="232" t="s">
        <v>848</v>
      </c>
      <c r="C279" s="232" t="s">
        <v>1125</v>
      </c>
      <c r="D279" s="232" t="s">
        <v>1126</v>
      </c>
      <c r="E279" s="232" t="s">
        <v>317</v>
      </c>
      <c r="F279" s="231">
        <v>527260</v>
      </c>
      <c r="G279" s="231">
        <v>175041</v>
      </c>
      <c r="H279" s="232" t="s">
        <v>167</v>
      </c>
      <c r="I279" s="233">
        <v>44652</v>
      </c>
      <c r="J279" s="231"/>
      <c r="K279" s="231">
        <v>0</v>
      </c>
      <c r="L279" s="231">
        <v>1</v>
      </c>
      <c r="M279" s="231">
        <v>1</v>
      </c>
      <c r="N279" s="231">
        <v>1</v>
      </c>
      <c r="O279" s="231">
        <v>1</v>
      </c>
      <c r="P279" s="234"/>
      <c r="Q279" s="232" t="s">
        <v>1127</v>
      </c>
      <c r="R279" s="234" t="s">
        <v>332</v>
      </c>
      <c r="S279" s="235">
        <v>43543</v>
      </c>
      <c r="T279" s="235">
        <v>43609</v>
      </c>
      <c r="U279" s="234"/>
      <c r="V279" s="232" t="s">
        <v>321</v>
      </c>
      <c r="W279" s="231"/>
      <c r="X279" s="232" t="s">
        <v>322</v>
      </c>
      <c r="Y279" s="232" t="s">
        <v>323</v>
      </c>
      <c r="Z279" s="232" t="s">
        <v>324</v>
      </c>
      <c r="AA279" s="232" t="s">
        <v>349</v>
      </c>
      <c r="AB279" s="236">
        <v>7.0000000000000001E-3</v>
      </c>
      <c r="AC279" s="235">
        <v>44652</v>
      </c>
      <c r="AD279" s="234" t="s">
        <v>318</v>
      </c>
      <c r="AE279" s="234"/>
      <c r="AF279" s="232" t="s">
        <v>77</v>
      </c>
      <c r="AG279" s="232" t="s">
        <v>350</v>
      </c>
      <c r="AH279" s="234" t="s">
        <v>317</v>
      </c>
      <c r="AI279" s="250"/>
      <c r="AJ279" s="234">
        <v>0</v>
      </c>
      <c r="AK279" s="224"/>
      <c r="AL279" s="234">
        <v>0</v>
      </c>
      <c r="AM279" s="224"/>
      <c r="AN279" s="234">
        <v>0</v>
      </c>
      <c r="AO279" s="234">
        <v>0</v>
      </c>
      <c r="AP279" s="234">
        <v>1</v>
      </c>
      <c r="AQ279" s="234">
        <v>0</v>
      </c>
      <c r="AR279" s="234">
        <v>0</v>
      </c>
      <c r="AS279" s="234">
        <v>0</v>
      </c>
      <c r="AT279" s="234">
        <v>0</v>
      </c>
      <c r="AU279" s="234">
        <v>0</v>
      </c>
      <c r="AV279" s="234">
        <v>0</v>
      </c>
      <c r="AW279" s="234">
        <v>0</v>
      </c>
      <c r="AX279" s="234">
        <v>0</v>
      </c>
      <c r="AY279" s="234">
        <v>0</v>
      </c>
      <c r="AZ279" s="234">
        <v>0</v>
      </c>
      <c r="BA279" s="234">
        <v>0</v>
      </c>
      <c r="BB279" s="234">
        <v>0</v>
      </c>
      <c r="BC279" s="234">
        <v>0</v>
      </c>
      <c r="BD279" s="234">
        <v>1</v>
      </c>
      <c r="BE279" s="234">
        <v>0</v>
      </c>
      <c r="BF279" s="234">
        <v>0</v>
      </c>
      <c r="BG279" s="234">
        <v>0</v>
      </c>
      <c r="BH279" s="234">
        <v>0</v>
      </c>
      <c r="BI279" s="234">
        <v>0</v>
      </c>
      <c r="BJ279" s="234">
        <v>0</v>
      </c>
      <c r="BK279" s="234">
        <v>0</v>
      </c>
      <c r="BL279" s="234">
        <v>0</v>
      </c>
      <c r="BM279" s="234">
        <v>0</v>
      </c>
      <c r="BN279" s="234">
        <v>0</v>
      </c>
      <c r="BO279" s="234">
        <v>0</v>
      </c>
      <c r="BP279" s="234"/>
      <c r="BQ279" s="234"/>
      <c r="BR279" s="237" t="s">
        <v>150</v>
      </c>
      <c r="BS279" s="238">
        <v>3</v>
      </c>
      <c r="BU279" s="239">
        <f t="shared" si="22"/>
        <v>1</v>
      </c>
      <c r="CN279" s="238">
        <f t="shared" si="20"/>
        <v>1</v>
      </c>
      <c r="CO279" s="238">
        <f t="shared" si="21"/>
        <v>1</v>
      </c>
    </row>
    <row r="280" spans="1:93" ht="13.95" customHeight="1" x14ac:dyDescent="0.2">
      <c r="A280" s="231">
        <v>2708</v>
      </c>
      <c r="B280" s="232" t="s">
        <v>848</v>
      </c>
      <c r="C280" s="232" t="s">
        <v>1128</v>
      </c>
      <c r="D280" s="232" t="s">
        <v>1129</v>
      </c>
      <c r="E280" s="232" t="s">
        <v>317</v>
      </c>
      <c r="F280" s="231">
        <v>528946</v>
      </c>
      <c r="G280" s="231">
        <v>172480</v>
      </c>
      <c r="H280" s="232" t="s">
        <v>172</v>
      </c>
      <c r="I280" s="233">
        <v>44075</v>
      </c>
      <c r="J280" s="231"/>
      <c r="K280" s="231">
        <v>0</v>
      </c>
      <c r="L280" s="231">
        <v>1</v>
      </c>
      <c r="M280" s="231">
        <v>1</v>
      </c>
      <c r="N280" s="231">
        <v>1</v>
      </c>
      <c r="O280" s="231">
        <v>1</v>
      </c>
      <c r="P280" s="234"/>
      <c r="Q280" s="232" t="s">
        <v>1130</v>
      </c>
      <c r="R280" s="234" t="s">
        <v>332</v>
      </c>
      <c r="S280" s="235">
        <v>44398</v>
      </c>
      <c r="T280" s="235">
        <v>44512</v>
      </c>
      <c r="U280" s="234"/>
      <c r="V280" s="232" t="s">
        <v>321</v>
      </c>
      <c r="W280" s="231"/>
      <c r="X280" s="232" t="s">
        <v>322</v>
      </c>
      <c r="Y280" s="232" t="s">
        <v>323</v>
      </c>
      <c r="Z280" s="232" t="s">
        <v>324</v>
      </c>
      <c r="AA280" s="232" t="s">
        <v>349</v>
      </c>
      <c r="AB280" s="236">
        <v>4.73333E-3</v>
      </c>
      <c r="AC280" s="235">
        <v>44075</v>
      </c>
      <c r="AD280" s="234"/>
      <c r="AE280" s="234"/>
      <c r="AF280" s="232" t="s">
        <v>77</v>
      </c>
      <c r="AG280" s="232" t="s">
        <v>350</v>
      </c>
      <c r="AH280" s="234" t="s">
        <v>317</v>
      </c>
      <c r="AI280" s="250"/>
      <c r="AJ280" s="234">
        <v>0</v>
      </c>
      <c r="AK280" s="224"/>
      <c r="AL280" s="234">
        <v>0</v>
      </c>
      <c r="AM280" s="224"/>
      <c r="AN280" s="234">
        <v>0</v>
      </c>
      <c r="AO280" s="234">
        <v>0</v>
      </c>
      <c r="AP280" s="234">
        <v>1</v>
      </c>
      <c r="AQ280" s="234">
        <v>0</v>
      </c>
      <c r="AR280" s="234">
        <v>0</v>
      </c>
      <c r="AS280" s="234">
        <v>0</v>
      </c>
      <c r="AT280" s="234">
        <v>0</v>
      </c>
      <c r="AU280" s="234">
        <v>0</v>
      </c>
      <c r="AV280" s="234">
        <v>0</v>
      </c>
      <c r="AW280" s="234">
        <v>0</v>
      </c>
      <c r="AX280" s="234">
        <v>0</v>
      </c>
      <c r="AY280" s="234">
        <v>0</v>
      </c>
      <c r="AZ280" s="234">
        <v>0</v>
      </c>
      <c r="BA280" s="234">
        <v>0</v>
      </c>
      <c r="BB280" s="234">
        <v>0</v>
      </c>
      <c r="BC280" s="234">
        <v>0</v>
      </c>
      <c r="BD280" s="234">
        <v>1</v>
      </c>
      <c r="BE280" s="234">
        <v>0</v>
      </c>
      <c r="BF280" s="234">
        <v>0</v>
      </c>
      <c r="BG280" s="234">
        <v>0</v>
      </c>
      <c r="BH280" s="234">
        <v>0</v>
      </c>
      <c r="BI280" s="234">
        <v>0</v>
      </c>
      <c r="BJ280" s="234">
        <v>0</v>
      </c>
      <c r="BK280" s="234">
        <v>0</v>
      </c>
      <c r="BL280" s="234">
        <v>0</v>
      </c>
      <c r="BM280" s="234">
        <v>0</v>
      </c>
      <c r="BN280" s="234">
        <v>0</v>
      </c>
      <c r="BO280" s="234">
        <v>0</v>
      </c>
      <c r="BP280" s="234"/>
      <c r="BQ280" s="234"/>
      <c r="BR280" s="237" t="s">
        <v>334</v>
      </c>
      <c r="BS280" s="238">
        <v>3</v>
      </c>
      <c r="BU280" s="239">
        <f t="shared" si="22"/>
        <v>1</v>
      </c>
      <c r="CN280" s="238">
        <f t="shared" si="20"/>
        <v>1</v>
      </c>
      <c r="CO280" s="238">
        <f t="shared" si="21"/>
        <v>1</v>
      </c>
    </row>
    <row r="281" spans="1:93" ht="13.95" customHeight="1" x14ac:dyDescent="0.2">
      <c r="A281" s="231">
        <v>5376</v>
      </c>
      <c r="B281" s="232" t="s">
        <v>848</v>
      </c>
      <c r="C281" s="232" t="s">
        <v>1131</v>
      </c>
      <c r="D281" s="232" t="s">
        <v>1132</v>
      </c>
      <c r="E281" s="232" t="s">
        <v>317</v>
      </c>
      <c r="F281" s="231">
        <v>528703</v>
      </c>
      <c r="G281" s="231">
        <v>173099</v>
      </c>
      <c r="H281" s="232" t="s">
        <v>172</v>
      </c>
      <c r="I281" s="233">
        <v>43045</v>
      </c>
      <c r="J281" s="231"/>
      <c r="K281" s="231">
        <v>0</v>
      </c>
      <c r="L281" s="231">
        <v>1</v>
      </c>
      <c r="M281" s="231">
        <v>1</v>
      </c>
      <c r="N281" s="231">
        <v>2</v>
      </c>
      <c r="O281" s="231">
        <v>2</v>
      </c>
      <c r="P281" s="234"/>
      <c r="Q281" s="232" t="s">
        <v>1133</v>
      </c>
      <c r="R281" s="234" t="s">
        <v>332</v>
      </c>
      <c r="S281" s="235">
        <v>42990</v>
      </c>
      <c r="T281" s="235">
        <v>43045</v>
      </c>
      <c r="U281" s="234"/>
      <c r="V281" s="232" t="s">
        <v>321</v>
      </c>
      <c r="W281" s="231"/>
      <c r="X281" s="232" t="s">
        <v>322</v>
      </c>
      <c r="Y281" s="232" t="s">
        <v>339</v>
      </c>
      <c r="Z281" s="232" t="s">
        <v>324</v>
      </c>
      <c r="AA281" s="232" t="s">
        <v>354</v>
      </c>
      <c r="AB281" s="236">
        <v>4.0000000000000001E-3</v>
      </c>
      <c r="AC281" s="235">
        <v>43045</v>
      </c>
      <c r="AD281" s="234"/>
      <c r="AE281" s="234"/>
      <c r="AF281" s="232" t="s">
        <v>77</v>
      </c>
      <c r="AG281" s="232" t="s">
        <v>350</v>
      </c>
      <c r="AH281" s="234" t="s">
        <v>317</v>
      </c>
      <c r="AI281" s="250"/>
      <c r="AJ281" s="234">
        <v>0</v>
      </c>
      <c r="AK281" s="224"/>
      <c r="AL281" s="234">
        <v>0</v>
      </c>
      <c r="AM281" s="224"/>
      <c r="AN281" s="234">
        <v>1</v>
      </c>
      <c r="AO281" s="234">
        <v>0</v>
      </c>
      <c r="AP281" s="234">
        <v>0</v>
      </c>
      <c r="AQ281" s="234">
        <v>0</v>
      </c>
      <c r="AR281" s="234">
        <v>0</v>
      </c>
      <c r="AS281" s="234">
        <v>0</v>
      </c>
      <c r="AT281" s="234">
        <v>0</v>
      </c>
      <c r="AU281" s="234">
        <v>1</v>
      </c>
      <c r="AV281" s="234">
        <v>0</v>
      </c>
      <c r="AW281" s="234">
        <v>0</v>
      </c>
      <c r="AX281" s="234">
        <v>0</v>
      </c>
      <c r="AY281" s="234">
        <v>0</v>
      </c>
      <c r="AZ281" s="234">
        <v>0</v>
      </c>
      <c r="BA281" s="234">
        <v>0</v>
      </c>
      <c r="BB281" s="234">
        <v>0</v>
      </c>
      <c r="BC281" s="234">
        <v>0</v>
      </c>
      <c r="BD281" s="234">
        <v>0</v>
      </c>
      <c r="BE281" s="234">
        <v>0</v>
      </c>
      <c r="BF281" s="234">
        <v>0</v>
      </c>
      <c r="BG281" s="234">
        <v>0</v>
      </c>
      <c r="BH281" s="234">
        <v>0</v>
      </c>
      <c r="BI281" s="234">
        <v>0</v>
      </c>
      <c r="BJ281" s="234">
        <v>0</v>
      </c>
      <c r="BK281" s="234">
        <v>0</v>
      </c>
      <c r="BL281" s="234">
        <v>0</v>
      </c>
      <c r="BM281" s="234">
        <v>0</v>
      </c>
      <c r="BN281" s="234">
        <v>0</v>
      </c>
      <c r="BO281" s="234">
        <v>0</v>
      </c>
      <c r="BP281" s="234"/>
      <c r="BQ281" s="234"/>
      <c r="BR281" s="237" t="s">
        <v>141</v>
      </c>
      <c r="BS281" s="238">
        <v>13</v>
      </c>
      <c r="BU281" s="239">
        <f t="shared" si="22"/>
        <v>1</v>
      </c>
      <c r="CN281" s="238">
        <f t="shared" si="20"/>
        <v>1</v>
      </c>
      <c r="CO281" s="238">
        <f t="shared" si="21"/>
        <v>1</v>
      </c>
    </row>
    <row r="282" spans="1:93" ht="13.95" customHeight="1" x14ac:dyDescent="0.2">
      <c r="A282" s="231">
        <v>5376</v>
      </c>
      <c r="B282" s="232" t="s">
        <v>848</v>
      </c>
      <c r="C282" s="232" t="s">
        <v>1131</v>
      </c>
      <c r="D282" s="232" t="s">
        <v>1132</v>
      </c>
      <c r="E282" s="232" t="s">
        <v>317</v>
      </c>
      <c r="F282" s="231">
        <v>528703</v>
      </c>
      <c r="G282" s="231">
        <v>173099</v>
      </c>
      <c r="H282" s="232" t="s">
        <v>172</v>
      </c>
      <c r="I282" s="233">
        <v>43045</v>
      </c>
      <c r="J282" s="231"/>
      <c r="K282" s="231">
        <v>0</v>
      </c>
      <c r="L282" s="231">
        <v>1</v>
      </c>
      <c r="M282" s="231">
        <v>1</v>
      </c>
      <c r="N282" s="231">
        <v>2</v>
      </c>
      <c r="O282" s="231">
        <v>2</v>
      </c>
      <c r="P282" s="234"/>
      <c r="Q282" s="232" t="s">
        <v>1133</v>
      </c>
      <c r="R282" s="234" t="s">
        <v>332</v>
      </c>
      <c r="S282" s="235">
        <v>42990</v>
      </c>
      <c r="T282" s="235">
        <v>43045</v>
      </c>
      <c r="U282" s="234"/>
      <c r="V282" s="232" t="s">
        <v>321</v>
      </c>
      <c r="W282" s="231"/>
      <c r="X282" s="232" t="s">
        <v>322</v>
      </c>
      <c r="Y282" s="232" t="s">
        <v>339</v>
      </c>
      <c r="Z282" s="232" t="s">
        <v>324</v>
      </c>
      <c r="AA282" s="232" t="s">
        <v>349</v>
      </c>
      <c r="AB282" s="236">
        <v>6.0000000000000001E-3</v>
      </c>
      <c r="AC282" s="235">
        <v>43045</v>
      </c>
      <c r="AD282" s="234"/>
      <c r="AE282" s="234"/>
      <c r="AF282" s="232" t="s">
        <v>77</v>
      </c>
      <c r="AG282" s="232" t="s">
        <v>350</v>
      </c>
      <c r="AH282" s="234" t="s">
        <v>317</v>
      </c>
      <c r="AI282" s="250"/>
      <c r="AJ282" s="234">
        <v>0</v>
      </c>
      <c r="AK282" s="224"/>
      <c r="AL282" s="234">
        <v>0</v>
      </c>
      <c r="AM282" s="224"/>
      <c r="AN282" s="234">
        <v>0</v>
      </c>
      <c r="AO282" s="234">
        <v>0</v>
      </c>
      <c r="AP282" s="234">
        <v>1</v>
      </c>
      <c r="AQ282" s="234">
        <v>0</v>
      </c>
      <c r="AR282" s="234">
        <v>0</v>
      </c>
      <c r="AS282" s="234">
        <v>0</v>
      </c>
      <c r="AT282" s="234">
        <v>0</v>
      </c>
      <c r="AU282" s="234">
        <v>0</v>
      </c>
      <c r="AV282" s="234">
        <v>0</v>
      </c>
      <c r="AW282" s="234">
        <v>1</v>
      </c>
      <c r="AX282" s="234">
        <v>0</v>
      </c>
      <c r="AY282" s="234">
        <v>0</v>
      </c>
      <c r="AZ282" s="234">
        <v>0</v>
      </c>
      <c r="BA282" s="234">
        <v>0</v>
      </c>
      <c r="BB282" s="234">
        <v>0</v>
      </c>
      <c r="BC282" s="234">
        <v>0</v>
      </c>
      <c r="BD282" s="234">
        <v>0</v>
      </c>
      <c r="BE282" s="234">
        <v>0</v>
      </c>
      <c r="BF282" s="234">
        <v>0</v>
      </c>
      <c r="BG282" s="234">
        <v>0</v>
      </c>
      <c r="BH282" s="234">
        <v>0</v>
      </c>
      <c r="BI282" s="234">
        <v>0</v>
      </c>
      <c r="BJ282" s="234">
        <v>0</v>
      </c>
      <c r="BK282" s="234">
        <v>0</v>
      </c>
      <c r="BL282" s="234">
        <v>0</v>
      </c>
      <c r="BM282" s="234">
        <v>0</v>
      </c>
      <c r="BN282" s="234">
        <v>0</v>
      </c>
      <c r="BO282" s="234">
        <v>0</v>
      </c>
      <c r="BP282" s="234"/>
      <c r="BQ282" s="234"/>
      <c r="BR282" s="237" t="s">
        <v>141</v>
      </c>
      <c r="BS282" s="238">
        <v>13</v>
      </c>
      <c r="BU282" s="239">
        <f t="shared" si="22"/>
        <v>1</v>
      </c>
      <c r="CN282" s="238">
        <f t="shared" si="20"/>
        <v>1</v>
      </c>
      <c r="CO282" s="238">
        <f t="shared" si="21"/>
        <v>1</v>
      </c>
    </row>
    <row r="283" spans="1:93" ht="13.95" customHeight="1" x14ac:dyDescent="0.2">
      <c r="A283" s="231">
        <v>6196</v>
      </c>
      <c r="B283" s="232" t="s">
        <v>848</v>
      </c>
      <c r="C283" s="232" t="s">
        <v>1134</v>
      </c>
      <c r="D283" s="232" t="s">
        <v>1135</v>
      </c>
      <c r="E283" s="232" t="s">
        <v>317</v>
      </c>
      <c r="F283" s="231">
        <v>528701</v>
      </c>
      <c r="G283" s="231">
        <v>172342</v>
      </c>
      <c r="H283" s="232" t="s">
        <v>172</v>
      </c>
      <c r="I283" s="233">
        <v>44287</v>
      </c>
      <c r="J283" s="231"/>
      <c r="K283" s="231">
        <v>0</v>
      </c>
      <c r="L283" s="231">
        <v>1</v>
      </c>
      <c r="M283" s="231">
        <v>1</v>
      </c>
      <c r="N283" s="231">
        <v>1</v>
      </c>
      <c r="O283" s="231">
        <v>1</v>
      </c>
      <c r="P283" s="234"/>
      <c r="Q283" s="232" t="s">
        <v>1136</v>
      </c>
      <c r="R283" s="234" t="s">
        <v>332</v>
      </c>
      <c r="S283" s="235">
        <v>43165</v>
      </c>
      <c r="T283" s="235">
        <v>43250</v>
      </c>
      <c r="U283" s="234"/>
      <c r="V283" s="232" t="s">
        <v>321</v>
      </c>
      <c r="W283" s="231"/>
      <c r="X283" s="232" t="s">
        <v>322</v>
      </c>
      <c r="Y283" s="232" t="s">
        <v>323</v>
      </c>
      <c r="Z283" s="232" t="s">
        <v>324</v>
      </c>
      <c r="AA283" s="232" t="s">
        <v>349</v>
      </c>
      <c r="AB283" s="236">
        <v>8.9999999999999993E-3</v>
      </c>
      <c r="AC283" s="235">
        <v>44287</v>
      </c>
      <c r="AD283" s="234"/>
      <c r="AE283" s="234"/>
      <c r="AF283" s="232" t="s">
        <v>77</v>
      </c>
      <c r="AG283" s="232" t="s">
        <v>350</v>
      </c>
      <c r="AH283" s="234" t="s">
        <v>317</v>
      </c>
      <c r="AI283" s="250"/>
      <c r="AJ283" s="234">
        <v>0</v>
      </c>
      <c r="AK283" s="224"/>
      <c r="AL283" s="234">
        <v>0</v>
      </c>
      <c r="AM283" s="224"/>
      <c r="AN283" s="234">
        <v>0</v>
      </c>
      <c r="AO283" s="234">
        <v>0</v>
      </c>
      <c r="AP283" s="234">
        <v>0</v>
      </c>
      <c r="AQ283" s="234">
        <v>1</v>
      </c>
      <c r="AR283" s="234">
        <v>0</v>
      </c>
      <c r="AS283" s="234">
        <v>0</v>
      </c>
      <c r="AT283" s="234">
        <v>0</v>
      </c>
      <c r="AU283" s="234">
        <v>0</v>
      </c>
      <c r="AV283" s="234">
        <v>0</v>
      </c>
      <c r="AW283" s="234">
        <v>0</v>
      </c>
      <c r="AX283" s="234">
        <v>0</v>
      </c>
      <c r="AY283" s="234">
        <v>0</v>
      </c>
      <c r="AZ283" s="234">
        <v>0</v>
      </c>
      <c r="BA283" s="234">
        <v>0</v>
      </c>
      <c r="BB283" s="234">
        <v>0</v>
      </c>
      <c r="BC283" s="234">
        <v>0</v>
      </c>
      <c r="BD283" s="234">
        <v>0</v>
      </c>
      <c r="BE283" s="234">
        <v>1</v>
      </c>
      <c r="BF283" s="234">
        <v>0</v>
      </c>
      <c r="BG283" s="234">
        <v>0</v>
      </c>
      <c r="BH283" s="234">
        <v>0</v>
      </c>
      <c r="BI283" s="234">
        <v>0</v>
      </c>
      <c r="BJ283" s="234">
        <v>0</v>
      </c>
      <c r="BK283" s="234">
        <v>0</v>
      </c>
      <c r="BL283" s="234">
        <v>0</v>
      </c>
      <c r="BM283" s="234">
        <v>0</v>
      </c>
      <c r="BN283" s="234">
        <v>0</v>
      </c>
      <c r="BO283" s="234">
        <v>0</v>
      </c>
      <c r="BP283" s="234"/>
      <c r="BQ283" s="234"/>
      <c r="BR283" s="237" t="s">
        <v>334</v>
      </c>
      <c r="BS283" s="238">
        <v>3</v>
      </c>
      <c r="BU283" s="239">
        <f t="shared" si="22"/>
        <v>1</v>
      </c>
      <c r="CN283" s="238">
        <f t="shared" si="20"/>
        <v>1</v>
      </c>
      <c r="CO283" s="238">
        <f t="shared" si="21"/>
        <v>1</v>
      </c>
    </row>
    <row r="284" spans="1:93" ht="13.95" customHeight="1" x14ac:dyDescent="0.2">
      <c r="A284" s="231">
        <v>5775</v>
      </c>
      <c r="B284" s="232" t="s">
        <v>848</v>
      </c>
      <c r="C284" s="232" t="s">
        <v>1137</v>
      </c>
      <c r="D284" s="232" t="s">
        <v>1138</v>
      </c>
      <c r="E284" s="232" t="s">
        <v>317</v>
      </c>
      <c r="F284" s="231">
        <v>527719</v>
      </c>
      <c r="G284" s="231">
        <v>174043</v>
      </c>
      <c r="H284" s="232" t="s">
        <v>169</v>
      </c>
      <c r="I284" s="233">
        <v>42921</v>
      </c>
      <c r="J284" s="231"/>
      <c r="K284" s="231">
        <v>0</v>
      </c>
      <c r="L284" s="231">
        <v>1</v>
      </c>
      <c r="M284" s="231">
        <v>1</v>
      </c>
      <c r="N284" s="231">
        <v>1</v>
      </c>
      <c r="O284" s="231">
        <v>1</v>
      </c>
      <c r="P284" s="234"/>
      <c r="Q284" s="232" t="s">
        <v>1139</v>
      </c>
      <c r="R284" s="234" t="s">
        <v>332</v>
      </c>
      <c r="S284" s="235">
        <v>41949</v>
      </c>
      <c r="T284" s="235">
        <v>42062</v>
      </c>
      <c r="U284" s="234"/>
      <c r="V284" s="232" t="s">
        <v>321</v>
      </c>
      <c r="W284" s="231"/>
      <c r="X284" s="232" t="s">
        <v>322</v>
      </c>
      <c r="Y284" s="232" t="s">
        <v>323</v>
      </c>
      <c r="Z284" s="232" t="s">
        <v>324</v>
      </c>
      <c r="AA284" s="232" t="s">
        <v>349</v>
      </c>
      <c r="AB284" s="236">
        <v>8.9999999999999993E-3</v>
      </c>
      <c r="AC284" s="235">
        <v>42921</v>
      </c>
      <c r="AD284" s="234"/>
      <c r="AE284" s="234"/>
      <c r="AF284" s="232" t="s">
        <v>77</v>
      </c>
      <c r="AG284" s="232" t="s">
        <v>350</v>
      </c>
      <c r="AH284" s="234" t="s">
        <v>317</v>
      </c>
      <c r="AI284" s="250"/>
      <c r="AJ284" s="234">
        <v>0</v>
      </c>
      <c r="AK284" s="224"/>
      <c r="AL284" s="234">
        <v>0</v>
      </c>
      <c r="AM284" s="224"/>
      <c r="AN284" s="234">
        <v>0</v>
      </c>
      <c r="AO284" s="234">
        <v>0</v>
      </c>
      <c r="AP284" s="234">
        <v>1</v>
      </c>
      <c r="AQ284" s="234">
        <v>0</v>
      </c>
      <c r="AR284" s="234">
        <v>0</v>
      </c>
      <c r="AS284" s="234">
        <v>0</v>
      </c>
      <c r="AT284" s="234">
        <v>0</v>
      </c>
      <c r="AU284" s="234">
        <v>0</v>
      </c>
      <c r="AV284" s="234">
        <v>0</v>
      </c>
      <c r="AW284" s="234">
        <v>0</v>
      </c>
      <c r="AX284" s="234">
        <v>0</v>
      </c>
      <c r="AY284" s="234">
        <v>0</v>
      </c>
      <c r="AZ284" s="234">
        <v>0</v>
      </c>
      <c r="BA284" s="234">
        <v>0</v>
      </c>
      <c r="BB284" s="234">
        <v>0</v>
      </c>
      <c r="BC284" s="234">
        <v>0</v>
      </c>
      <c r="BD284" s="234">
        <v>1</v>
      </c>
      <c r="BE284" s="234">
        <v>0</v>
      </c>
      <c r="BF284" s="234">
        <v>0</v>
      </c>
      <c r="BG284" s="234">
        <v>0</v>
      </c>
      <c r="BH284" s="234">
        <v>0</v>
      </c>
      <c r="BI284" s="234">
        <v>0</v>
      </c>
      <c r="BJ284" s="234">
        <v>0</v>
      </c>
      <c r="BK284" s="234">
        <v>0</v>
      </c>
      <c r="BL284" s="234">
        <v>0</v>
      </c>
      <c r="BM284" s="234">
        <v>0</v>
      </c>
      <c r="BN284" s="234">
        <v>0</v>
      </c>
      <c r="BO284" s="234">
        <v>0</v>
      </c>
      <c r="BP284" s="234"/>
      <c r="BQ284" s="234"/>
      <c r="BR284" s="237" t="s">
        <v>334</v>
      </c>
      <c r="BS284" s="238">
        <v>3</v>
      </c>
      <c r="BU284" s="239">
        <f t="shared" si="22"/>
        <v>1</v>
      </c>
      <c r="CN284" s="238">
        <f t="shared" si="20"/>
        <v>1</v>
      </c>
      <c r="CO284" s="238">
        <f t="shared" si="21"/>
        <v>1</v>
      </c>
    </row>
    <row r="285" spans="1:93" ht="13.95" customHeight="1" x14ac:dyDescent="0.2">
      <c r="A285" s="231">
        <v>5398</v>
      </c>
      <c r="B285" s="232" t="s">
        <v>848</v>
      </c>
      <c r="C285" s="232" t="s">
        <v>1140</v>
      </c>
      <c r="D285" s="232" t="s">
        <v>1141</v>
      </c>
      <c r="E285" s="232" t="s">
        <v>317</v>
      </c>
      <c r="F285" s="231">
        <v>526797</v>
      </c>
      <c r="G285" s="231">
        <v>175059</v>
      </c>
      <c r="H285" s="232" t="s">
        <v>181</v>
      </c>
      <c r="I285" s="233">
        <v>44958</v>
      </c>
      <c r="J285" s="231"/>
      <c r="K285" s="231">
        <v>0</v>
      </c>
      <c r="L285" s="231">
        <v>2</v>
      </c>
      <c r="M285" s="231">
        <v>2</v>
      </c>
      <c r="N285" s="231">
        <v>2</v>
      </c>
      <c r="O285" s="231">
        <v>2</v>
      </c>
      <c r="P285" s="234"/>
      <c r="Q285" s="232" t="s">
        <v>1142</v>
      </c>
      <c r="R285" s="234" t="s">
        <v>332</v>
      </c>
      <c r="S285" s="235">
        <v>44643</v>
      </c>
      <c r="T285" s="235">
        <v>44708</v>
      </c>
      <c r="U285" s="234" t="s">
        <v>318</v>
      </c>
      <c r="V285" s="232" t="s">
        <v>321</v>
      </c>
      <c r="W285" s="231"/>
      <c r="X285" s="232" t="s">
        <v>322</v>
      </c>
      <c r="Y285" s="232" t="s">
        <v>323</v>
      </c>
      <c r="Z285" s="232" t="s">
        <v>324</v>
      </c>
      <c r="AA285" s="232" t="s">
        <v>349</v>
      </c>
      <c r="AB285" s="236">
        <v>6.0000000000000001E-3</v>
      </c>
      <c r="AC285" s="235">
        <v>44958</v>
      </c>
      <c r="AD285" s="234" t="s">
        <v>318</v>
      </c>
      <c r="AE285" s="234"/>
      <c r="AF285" s="232" t="s">
        <v>77</v>
      </c>
      <c r="AG285" s="232" t="s">
        <v>350</v>
      </c>
      <c r="AH285" s="234" t="s">
        <v>317</v>
      </c>
      <c r="AI285" s="250"/>
      <c r="AJ285" s="234">
        <v>0</v>
      </c>
      <c r="AK285" s="224"/>
      <c r="AL285" s="234">
        <v>0</v>
      </c>
      <c r="AM285" s="224"/>
      <c r="AN285" s="234">
        <v>0</v>
      </c>
      <c r="AO285" s="234">
        <v>1</v>
      </c>
      <c r="AP285" s="234">
        <v>1</v>
      </c>
      <c r="AQ285" s="234">
        <v>0</v>
      </c>
      <c r="AR285" s="234">
        <v>0</v>
      </c>
      <c r="AS285" s="234">
        <v>0</v>
      </c>
      <c r="AT285" s="234">
        <v>0</v>
      </c>
      <c r="AU285" s="234">
        <v>0</v>
      </c>
      <c r="AV285" s="234">
        <v>1</v>
      </c>
      <c r="AW285" s="234">
        <v>1</v>
      </c>
      <c r="AX285" s="234">
        <v>0</v>
      </c>
      <c r="AY285" s="234">
        <v>0</v>
      </c>
      <c r="AZ285" s="234">
        <v>0</v>
      </c>
      <c r="BA285" s="234">
        <v>0</v>
      </c>
      <c r="BB285" s="234">
        <v>0</v>
      </c>
      <c r="BC285" s="234">
        <v>0</v>
      </c>
      <c r="BD285" s="234">
        <v>0</v>
      </c>
      <c r="BE285" s="234">
        <v>0</v>
      </c>
      <c r="BF285" s="234">
        <v>0</v>
      </c>
      <c r="BG285" s="234">
        <v>0</v>
      </c>
      <c r="BH285" s="234">
        <v>0</v>
      </c>
      <c r="BI285" s="234">
        <v>0</v>
      </c>
      <c r="BJ285" s="234">
        <v>0</v>
      </c>
      <c r="BK285" s="234">
        <v>0</v>
      </c>
      <c r="BL285" s="234">
        <v>0</v>
      </c>
      <c r="BM285" s="234">
        <v>0</v>
      </c>
      <c r="BN285" s="234">
        <v>0</v>
      </c>
      <c r="BO285" s="234">
        <v>0</v>
      </c>
      <c r="BP285" s="234"/>
      <c r="BQ285" s="234"/>
      <c r="BR285" s="237" t="s">
        <v>334</v>
      </c>
      <c r="BS285" s="238">
        <v>4</v>
      </c>
      <c r="BU285" s="239">
        <f>M285/2</f>
        <v>1</v>
      </c>
      <c r="BV285" s="239">
        <f>M285/2</f>
        <v>1</v>
      </c>
      <c r="CN285" s="238">
        <f t="shared" si="20"/>
        <v>2</v>
      </c>
      <c r="CO285" s="238">
        <f t="shared" si="21"/>
        <v>2</v>
      </c>
    </row>
    <row r="286" spans="1:93" ht="13.95" customHeight="1" x14ac:dyDescent="0.2">
      <c r="A286" s="231">
        <v>6854</v>
      </c>
      <c r="B286" s="232" t="s">
        <v>848</v>
      </c>
      <c r="C286" s="232" t="s">
        <v>1143</v>
      </c>
      <c r="D286" s="232" t="s">
        <v>1144</v>
      </c>
      <c r="E286" s="232" t="s">
        <v>317</v>
      </c>
      <c r="F286" s="231">
        <v>522206</v>
      </c>
      <c r="G286" s="231">
        <v>172346</v>
      </c>
      <c r="H286" s="232" t="s">
        <v>170</v>
      </c>
      <c r="I286" s="233">
        <v>44904</v>
      </c>
      <c r="J286" s="231"/>
      <c r="K286" s="231">
        <v>0</v>
      </c>
      <c r="L286" s="231">
        <v>14</v>
      </c>
      <c r="M286" s="231">
        <v>14</v>
      </c>
      <c r="N286" s="231">
        <v>14</v>
      </c>
      <c r="O286" s="231">
        <v>14</v>
      </c>
      <c r="P286" s="234" t="s">
        <v>318</v>
      </c>
      <c r="Q286" s="232" t="s">
        <v>1145</v>
      </c>
      <c r="R286" s="234" t="s">
        <v>320</v>
      </c>
      <c r="S286" s="235">
        <v>44390</v>
      </c>
      <c r="T286" s="235">
        <v>44636</v>
      </c>
      <c r="U286" s="234"/>
      <c r="V286" s="232" t="s">
        <v>321</v>
      </c>
      <c r="W286" s="231"/>
      <c r="X286" s="232" t="s">
        <v>322</v>
      </c>
      <c r="Y286" s="232" t="s">
        <v>323</v>
      </c>
      <c r="Z286" s="232" t="s">
        <v>323</v>
      </c>
      <c r="AA286" s="232" t="s">
        <v>324</v>
      </c>
      <c r="AB286" s="236">
        <v>2.5000000000000001E-2</v>
      </c>
      <c r="AC286" s="235">
        <v>44904</v>
      </c>
      <c r="AD286" s="234" t="s">
        <v>318</v>
      </c>
      <c r="AE286" s="234"/>
      <c r="AF286" s="232" t="s">
        <v>57</v>
      </c>
      <c r="AG286" s="232" t="s">
        <v>470</v>
      </c>
      <c r="AH286" s="234" t="s">
        <v>317</v>
      </c>
      <c r="AI286" s="250"/>
      <c r="AJ286" s="234">
        <v>0</v>
      </c>
      <c r="AK286" s="224"/>
      <c r="AL286" s="234">
        <v>0</v>
      </c>
      <c r="AM286" s="234">
        <v>2</v>
      </c>
      <c r="AN286" s="234">
        <v>0</v>
      </c>
      <c r="AO286" s="234">
        <v>4</v>
      </c>
      <c r="AP286" s="234">
        <v>6</v>
      </c>
      <c r="AQ286" s="234">
        <v>4</v>
      </c>
      <c r="AR286" s="234">
        <v>0</v>
      </c>
      <c r="AS286" s="234">
        <v>0</v>
      </c>
      <c r="AT286" s="234">
        <v>0</v>
      </c>
      <c r="AU286" s="234">
        <v>0</v>
      </c>
      <c r="AV286" s="234">
        <v>4</v>
      </c>
      <c r="AW286" s="234">
        <v>6</v>
      </c>
      <c r="AX286" s="234">
        <v>4</v>
      </c>
      <c r="AY286" s="234">
        <v>0</v>
      </c>
      <c r="AZ286" s="234">
        <v>0</v>
      </c>
      <c r="BA286" s="234">
        <v>0</v>
      </c>
      <c r="BB286" s="234">
        <v>0</v>
      </c>
      <c r="BC286" s="234">
        <v>0</v>
      </c>
      <c r="BD286" s="234">
        <v>0</v>
      </c>
      <c r="BE286" s="234">
        <v>0</v>
      </c>
      <c r="BF286" s="234">
        <v>0</v>
      </c>
      <c r="BG286" s="234">
        <v>0</v>
      </c>
      <c r="BH286" s="234">
        <v>0</v>
      </c>
      <c r="BI286" s="234">
        <v>0</v>
      </c>
      <c r="BJ286" s="234">
        <v>0</v>
      </c>
      <c r="BK286" s="234">
        <v>0</v>
      </c>
      <c r="BL286" s="234">
        <v>0</v>
      </c>
      <c r="BM286" s="234">
        <v>0</v>
      </c>
      <c r="BN286" s="234">
        <v>0</v>
      </c>
      <c r="BO286" s="234">
        <v>0</v>
      </c>
      <c r="BP286" s="234"/>
      <c r="BQ286" s="234"/>
      <c r="BR286" s="237" t="s">
        <v>334</v>
      </c>
      <c r="BS286" s="238">
        <v>2</v>
      </c>
      <c r="BW286" s="239">
        <f>M286</f>
        <v>14</v>
      </c>
      <c r="CN286" s="238">
        <f t="shared" si="20"/>
        <v>14</v>
      </c>
      <c r="CO286" s="238">
        <f t="shared" si="21"/>
        <v>14</v>
      </c>
    </row>
    <row r="287" spans="1:93" ht="13.95" customHeight="1" x14ac:dyDescent="0.2">
      <c r="A287" s="231">
        <v>7066</v>
      </c>
      <c r="B287" s="232" t="s">
        <v>848</v>
      </c>
      <c r="C287" s="232" t="s">
        <v>1146</v>
      </c>
      <c r="D287" s="232" t="s">
        <v>1147</v>
      </c>
      <c r="E287" s="232" t="s">
        <v>317</v>
      </c>
      <c r="F287" s="231">
        <v>526155</v>
      </c>
      <c r="G287" s="231">
        <v>172567</v>
      </c>
      <c r="H287" s="232" t="s">
        <v>180</v>
      </c>
      <c r="I287" s="233">
        <v>44686</v>
      </c>
      <c r="J287" s="231"/>
      <c r="K287" s="231">
        <v>0</v>
      </c>
      <c r="L287" s="231">
        <v>1</v>
      </c>
      <c r="M287" s="231">
        <v>1</v>
      </c>
      <c r="N287" s="231">
        <v>1</v>
      </c>
      <c r="O287" s="231">
        <v>1</v>
      </c>
      <c r="P287" s="234"/>
      <c r="Q287" s="232" t="s">
        <v>1148</v>
      </c>
      <c r="R287" s="234" t="s">
        <v>332</v>
      </c>
      <c r="S287" s="235">
        <v>43448</v>
      </c>
      <c r="T287" s="235">
        <v>43607</v>
      </c>
      <c r="U287" s="234"/>
      <c r="V287" s="232" t="s">
        <v>321</v>
      </c>
      <c r="W287" s="231"/>
      <c r="X287" s="232" t="s">
        <v>322</v>
      </c>
      <c r="Y287" s="232" t="s">
        <v>323</v>
      </c>
      <c r="Z287" s="232" t="s">
        <v>324</v>
      </c>
      <c r="AA287" s="232" t="s">
        <v>349</v>
      </c>
      <c r="AB287" s="236">
        <v>8.0000000000000002E-3</v>
      </c>
      <c r="AC287" s="235">
        <v>44686</v>
      </c>
      <c r="AD287" s="234" t="s">
        <v>318</v>
      </c>
      <c r="AE287" s="234"/>
      <c r="AF287" s="232" t="s">
        <v>77</v>
      </c>
      <c r="AG287" s="232" t="s">
        <v>350</v>
      </c>
      <c r="AH287" s="234" t="s">
        <v>317</v>
      </c>
      <c r="AI287" s="250"/>
      <c r="AJ287" s="234">
        <v>0</v>
      </c>
      <c r="AK287" s="234">
        <v>1</v>
      </c>
      <c r="AL287" s="234">
        <v>0</v>
      </c>
      <c r="AM287" s="224"/>
      <c r="AN287" s="234">
        <v>0</v>
      </c>
      <c r="AO287" s="234">
        <v>1</v>
      </c>
      <c r="AP287" s="234">
        <v>0</v>
      </c>
      <c r="AQ287" s="234">
        <v>0</v>
      </c>
      <c r="AR287" s="234">
        <v>0</v>
      </c>
      <c r="AS287" s="234">
        <v>0</v>
      </c>
      <c r="AT287" s="234">
        <v>0</v>
      </c>
      <c r="AU287" s="234">
        <v>0</v>
      </c>
      <c r="AV287" s="234">
        <v>0</v>
      </c>
      <c r="AW287" s="234">
        <v>0</v>
      </c>
      <c r="AX287" s="234">
        <v>0</v>
      </c>
      <c r="AY287" s="234">
        <v>0</v>
      </c>
      <c r="AZ287" s="234">
        <v>0</v>
      </c>
      <c r="BA287" s="234">
        <v>0</v>
      </c>
      <c r="BB287" s="234">
        <v>0</v>
      </c>
      <c r="BC287" s="234">
        <v>1</v>
      </c>
      <c r="BD287" s="234">
        <v>0</v>
      </c>
      <c r="BE287" s="234">
        <v>0</v>
      </c>
      <c r="BF287" s="234">
        <v>0</v>
      </c>
      <c r="BG287" s="234">
        <v>0</v>
      </c>
      <c r="BH287" s="234">
        <v>0</v>
      </c>
      <c r="BI287" s="234">
        <v>0</v>
      </c>
      <c r="BJ287" s="234">
        <v>0</v>
      </c>
      <c r="BK287" s="234">
        <v>0</v>
      </c>
      <c r="BL287" s="234">
        <v>0</v>
      </c>
      <c r="BM287" s="234">
        <v>0</v>
      </c>
      <c r="BN287" s="234">
        <v>0</v>
      </c>
      <c r="BO287" s="234">
        <v>0</v>
      </c>
      <c r="BP287" s="234"/>
      <c r="BQ287" s="234"/>
      <c r="BR287" s="237" t="s">
        <v>154</v>
      </c>
      <c r="BS287" s="238">
        <v>3</v>
      </c>
      <c r="BU287" s="239">
        <f>M287</f>
        <v>1</v>
      </c>
      <c r="CN287" s="238">
        <f t="shared" si="20"/>
        <v>1</v>
      </c>
      <c r="CO287" s="238">
        <f t="shared" si="21"/>
        <v>1</v>
      </c>
    </row>
    <row r="288" spans="1:93" ht="13.95" customHeight="1" x14ac:dyDescent="0.2">
      <c r="A288" s="231">
        <v>6704</v>
      </c>
      <c r="B288" s="232" t="s">
        <v>848</v>
      </c>
      <c r="C288" s="232" t="s">
        <v>1149</v>
      </c>
      <c r="D288" s="232" t="s">
        <v>1150</v>
      </c>
      <c r="E288" s="232" t="s">
        <v>317</v>
      </c>
      <c r="F288" s="231">
        <v>523738</v>
      </c>
      <c r="G288" s="231">
        <v>173863</v>
      </c>
      <c r="H288" s="232" t="s">
        <v>164</v>
      </c>
      <c r="I288" s="233">
        <v>44363</v>
      </c>
      <c r="J288" s="231"/>
      <c r="K288" s="231">
        <v>0</v>
      </c>
      <c r="L288" s="231">
        <v>1</v>
      </c>
      <c r="M288" s="231">
        <v>1</v>
      </c>
      <c r="N288" s="231">
        <v>1</v>
      </c>
      <c r="O288" s="231">
        <v>1</v>
      </c>
      <c r="P288" s="234"/>
      <c r="Q288" s="232" t="s">
        <v>1151</v>
      </c>
      <c r="R288" s="234" t="s">
        <v>629</v>
      </c>
      <c r="S288" s="235">
        <v>43502</v>
      </c>
      <c r="T288" s="235">
        <v>43553</v>
      </c>
      <c r="U288" s="234"/>
      <c r="V288" s="232" t="s">
        <v>321</v>
      </c>
      <c r="W288" s="231"/>
      <c r="X288" s="232" t="s">
        <v>322</v>
      </c>
      <c r="Y288" s="232" t="s">
        <v>378</v>
      </c>
      <c r="Z288" s="232" t="s">
        <v>324</v>
      </c>
      <c r="AA288" s="232" t="s">
        <v>31</v>
      </c>
      <c r="AB288" s="236">
        <v>8.9999999999999993E-3</v>
      </c>
      <c r="AC288" s="235">
        <v>44363</v>
      </c>
      <c r="AD288" s="234"/>
      <c r="AE288" s="234"/>
      <c r="AF288" s="232" t="s">
        <v>77</v>
      </c>
      <c r="AG288" s="232" t="s">
        <v>350</v>
      </c>
      <c r="AH288" s="234" t="s">
        <v>317</v>
      </c>
      <c r="AI288" s="250"/>
      <c r="AJ288" s="234">
        <v>0</v>
      </c>
      <c r="AK288" s="224"/>
      <c r="AL288" s="234">
        <v>0</v>
      </c>
      <c r="AM288" s="224"/>
      <c r="AN288" s="234">
        <v>0</v>
      </c>
      <c r="AO288" s="234">
        <v>1</v>
      </c>
      <c r="AP288" s="234">
        <v>0</v>
      </c>
      <c r="AQ288" s="234">
        <v>0</v>
      </c>
      <c r="AR288" s="234">
        <v>0</v>
      </c>
      <c r="AS288" s="234">
        <v>0</v>
      </c>
      <c r="AT288" s="234">
        <v>0</v>
      </c>
      <c r="AU288" s="234">
        <v>0</v>
      </c>
      <c r="AV288" s="234">
        <v>1</v>
      </c>
      <c r="AW288" s="234">
        <v>0</v>
      </c>
      <c r="AX288" s="234">
        <v>0</v>
      </c>
      <c r="AY288" s="234">
        <v>0</v>
      </c>
      <c r="AZ288" s="234">
        <v>0</v>
      </c>
      <c r="BA288" s="234">
        <v>0</v>
      </c>
      <c r="BB288" s="234">
        <v>0</v>
      </c>
      <c r="BC288" s="234">
        <v>0</v>
      </c>
      <c r="BD288" s="234">
        <v>0</v>
      </c>
      <c r="BE288" s="234">
        <v>0</v>
      </c>
      <c r="BF288" s="234">
        <v>0</v>
      </c>
      <c r="BG288" s="234">
        <v>0</v>
      </c>
      <c r="BH288" s="234">
        <v>0</v>
      </c>
      <c r="BI288" s="234">
        <v>0</v>
      </c>
      <c r="BJ288" s="234">
        <v>0</v>
      </c>
      <c r="BK288" s="234">
        <v>0</v>
      </c>
      <c r="BL288" s="234">
        <v>0</v>
      </c>
      <c r="BM288" s="234">
        <v>0</v>
      </c>
      <c r="BN288" s="234">
        <v>0</v>
      </c>
      <c r="BO288" s="234">
        <v>0</v>
      </c>
      <c r="BP288" s="234"/>
      <c r="BQ288" s="234"/>
      <c r="BR288" s="237" t="s">
        <v>334</v>
      </c>
      <c r="BS288" s="238">
        <v>13</v>
      </c>
      <c r="BU288" s="239">
        <f>M288</f>
        <v>1</v>
      </c>
      <c r="CN288" s="238">
        <f t="shared" si="20"/>
        <v>1</v>
      </c>
      <c r="CO288" s="238">
        <f t="shared" si="21"/>
        <v>1</v>
      </c>
    </row>
    <row r="289" spans="1:93" ht="13.95" customHeight="1" x14ac:dyDescent="0.2">
      <c r="A289" s="231">
        <v>2784</v>
      </c>
      <c r="B289" s="232" t="s">
        <v>848</v>
      </c>
      <c r="C289" s="232" t="s">
        <v>1152</v>
      </c>
      <c r="D289" s="232" t="s">
        <v>1153</v>
      </c>
      <c r="E289" s="232" t="s">
        <v>317</v>
      </c>
      <c r="F289" s="231">
        <v>523820</v>
      </c>
      <c r="G289" s="231">
        <v>175047</v>
      </c>
      <c r="H289" s="232" t="s">
        <v>183</v>
      </c>
      <c r="I289" s="233">
        <v>44652</v>
      </c>
      <c r="J289" s="231"/>
      <c r="K289" s="231">
        <v>0</v>
      </c>
      <c r="L289" s="231">
        <v>1</v>
      </c>
      <c r="M289" s="231">
        <v>1</v>
      </c>
      <c r="N289" s="231">
        <v>1</v>
      </c>
      <c r="O289" s="231">
        <v>1</v>
      </c>
      <c r="P289" s="234"/>
      <c r="Q289" s="232" t="s">
        <v>1154</v>
      </c>
      <c r="R289" s="234" t="s">
        <v>332</v>
      </c>
      <c r="S289" s="235">
        <v>43859</v>
      </c>
      <c r="T289" s="235">
        <v>43978</v>
      </c>
      <c r="U289" s="234"/>
      <c r="V289" s="232" t="s">
        <v>321</v>
      </c>
      <c r="W289" s="231"/>
      <c r="X289" s="232" t="s">
        <v>322</v>
      </c>
      <c r="Y289" s="232" t="s">
        <v>339</v>
      </c>
      <c r="Z289" s="232" t="s">
        <v>324</v>
      </c>
      <c r="AA289" s="232" t="s">
        <v>354</v>
      </c>
      <c r="AB289" s="236">
        <v>6.0000000000000001E-3</v>
      </c>
      <c r="AC289" s="235">
        <v>44652</v>
      </c>
      <c r="AD289" s="234" t="s">
        <v>318</v>
      </c>
      <c r="AE289" s="234"/>
      <c r="AF289" s="232" t="s">
        <v>77</v>
      </c>
      <c r="AG289" s="232" t="s">
        <v>350</v>
      </c>
      <c r="AH289" s="234" t="s">
        <v>317</v>
      </c>
      <c r="AI289" s="250"/>
      <c r="AJ289" s="234">
        <v>0</v>
      </c>
      <c r="AK289" s="224"/>
      <c r="AL289" s="234">
        <v>0</v>
      </c>
      <c r="AM289" s="224"/>
      <c r="AN289" s="234">
        <v>0</v>
      </c>
      <c r="AO289" s="234">
        <v>0</v>
      </c>
      <c r="AP289" s="234">
        <v>0</v>
      </c>
      <c r="AQ289" s="234">
        <v>1</v>
      </c>
      <c r="AR289" s="234">
        <v>0</v>
      </c>
      <c r="AS289" s="234">
        <v>0</v>
      </c>
      <c r="AT289" s="234">
        <v>0</v>
      </c>
      <c r="AU289" s="234">
        <v>0</v>
      </c>
      <c r="AV289" s="234">
        <v>0</v>
      </c>
      <c r="AW289" s="234">
        <v>0</v>
      </c>
      <c r="AX289" s="234">
        <v>1</v>
      </c>
      <c r="AY289" s="234">
        <v>0</v>
      </c>
      <c r="AZ289" s="234">
        <v>0</v>
      </c>
      <c r="BA289" s="234">
        <v>0</v>
      </c>
      <c r="BB289" s="234">
        <v>0</v>
      </c>
      <c r="BC289" s="234">
        <v>0</v>
      </c>
      <c r="BD289" s="234">
        <v>0</v>
      </c>
      <c r="BE289" s="234">
        <v>0</v>
      </c>
      <c r="BF289" s="234">
        <v>0</v>
      </c>
      <c r="BG289" s="234">
        <v>0</v>
      </c>
      <c r="BH289" s="234">
        <v>0</v>
      </c>
      <c r="BI289" s="234">
        <v>0</v>
      </c>
      <c r="BJ289" s="234">
        <v>0</v>
      </c>
      <c r="BK289" s="234">
        <v>0</v>
      </c>
      <c r="BL289" s="234">
        <v>0</v>
      </c>
      <c r="BM289" s="234">
        <v>0</v>
      </c>
      <c r="BN289" s="234">
        <v>0</v>
      </c>
      <c r="BO289" s="234">
        <v>0</v>
      </c>
      <c r="BP289" s="234"/>
      <c r="BQ289" s="234"/>
      <c r="BR289" s="237" t="s">
        <v>152</v>
      </c>
      <c r="BS289" s="238">
        <v>13</v>
      </c>
      <c r="BU289" s="239">
        <f>M289</f>
        <v>1</v>
      </c>
      <c r="CN289" s="238">
        <f t="shared" si="20"/>
        <v>1</v>
      </c>
      <c r="CO289" s="238">
        <f t="shared" si="21"/>
        <v>1</v>
      </c>
    </row>
    <row r="290" spans="1:93" ht="13.95" customHeight="1" x14ac:dyDescent="0.2">
      <c r="A290" s="231">
        <v>7362</v>
      </c>
      <c r="B290" s="232" t="s">
        <v>848</v>
      </c>
      <c r="C290" s="232" t="s">
        <v>1155</v>
      </c>
      <c r="D290" s="232" t="s">
        <v>1156</v>
      </c>
      <c r="E290" s="232" t="s">
        <v>317</v>
      </c>
      <c r="F290" s="231">
        <v>528273</v>
      </c>
      <c r="G290" s="231">
        <v>171722</v>
      </c>
      <c r="H290" s="232" t="s">
        <v>176</v>
      </c>
      <c r="I290" s="233">
        <v>44652</v>
      </c>
      <c r="J290" s="231"/>
      <c r="K290" s="231">
        <v>0</v>
      </c>
      <c r="L290" s="231">
        <v>1</v>
      </c>
      <c r="M290" s="231">
        <v>1</v>
      </c>
      <c r="N290" s="231">
        <v>1</v>
      </c>
      <c r="O290" s="231">
        <v>1</v>
      </c>
      <c r="P290" s="234"/>
      <c r="Q290" s="232" t="s">
        <v>1157</v>
      </c>
      <c r="R290" s="234" t="s">
        <v>332</v>
      </c>
      <c r="S290" s="235">
        <v>43892</v>
      </c>
      <c r="T290" s="235">
        <v>43948</v>
      </c>
      <c r="U290" s="234"/>
      <c r="V290" s="232" t="s">
        <v>321</v>
      </c>
      <c r="W290" s="231"/>
      <c r="X290" s="232" t="s">
        <v>322</v>
      </c>
      <c r="Y290" s="232" t="s">
        <v>378</v>
      </c>
      <c r="Z290" s="232" t="s">
        <v>324</v>
      </c>
      <c r="AA290" s="232" t="s">
        <v>28</v>
      </c>
      <c r="AB290" s="236">
        <v>5.0000000000000001E-3</v>
      </c>
      <c r="AC290" s="235">
        <v>44652</v>
      </c>
      <c r="AD290" s="234" t="s">
        <v>318</v>
      </c>
      <c r="AE290" s="234"/>
      <c r="AF290" s="232" t="s">
        <v>77</v>
      </c>
      <c r="AG290" s="232" t="s">
        <v>350</v>
      </c>
      <c r="AH290" s="234" t="s">
        <v>317</v>
      </c>
      <c r="AI290" s="250"/>
      <c r="AJ290" s="234">
        <v>0</v>
      </c>
      <c r="AK290" s="224"/>
      <c r="AL290" s="234">
        <v>0</v>
      </c>
      <c r="AM290" s="224"/>
      <c r="AN290" s="234">
        <v>1</v>
      </c>
      <c r="AO290" s="234">
        <v>0</v>
      </c>
      <c r="AP290" s="234">
        <v>0</v>
      </c>
      <c r="AQ290" s="234">
        <v>0</v>
      </c>
      <c r="AR290" s="234">
        <v>0</v>
      </c>
      <c r="AS290" s="234">
        <v>0</v>
      </c>
      <c r="AT290" s="234">
        <v>0</v>
      </c>
      <c r="AU290" s="234">
        <v>1</v>
      </c>
      <c r="AV290" s="234">
        <v>0</v>
      </c>
      <c r="AW290" s="234">
        <v>0</v>
      </c>
      <c r="AX290" s="234">
        <v>0</v>
      </c>
      <c r="AY290" s="234">
        <v>0</v>
      </c>
      <c r="AZ290" s="234">
        <v>0</v>
      </c>
      <c r="BA290" s="234">
        <v>0</v>
      </c>
      <c r="BB290" s="234">
        <v>0</v>
      </c>
      <c r="BC290" s="234">
        <v>0</v>
      </c>
      <c r="BD290" s="234">
        <v>0</v>
      </c>
      <c r="BE290" s="234">
        <v>0</v>
      </c>
      <c r="BF290" s="234">
        <v>0</v>
      </c>
      <c r="BG290" s="234">
        <v>0</v>
      </c>
      <c r="BH290" s="234">
        <v>0</v>
      </c>
      <c r="BI290" s="234">
        <v>0</v>
      </c>
      <c r="BJ290" s="234">
        <v>0</v>
      </c>
      <c r="BK290" s="234">
        <v>0</v>
      </c>
      <c r="BL290" s="234">
        <v>0</v>
      </c>
      <c r="BM290" s="234">
        <v>0</v>
      </c>
      <c r="BN290" s="234">
        <v>0</v>
      </c>
      <c r="BO290" s="234">
        <v>0</v>
      </c>
      <c r="BP290" s="234"/>
      <c r="BQ290" s="234"/>
      <c r="BR290" s="237" t="s">
        <v>334</v>
      </c>
      <c r="BS290" s="238">
        <v>13</v>
      </c>
      <c r="BU290" s="239">
        <f>M290</f>
        <v>1</v>
      </c>
      <c r="CN290" s="238">
        <f t="shared" si="20"/>
        <v>1</v>
      </c>
      <c r="CO290" s="238">
        <f t="shared" si="21"/>
        <v>1</v>
      </c>
    </row>
    <row r="291" spans="1:93" ht="13.95" customHeight="1" x14ac:dyDescent="0.2">
      <c r="A291" s="231">
        <v>6815</v>
      </c>
      <c r="B291" s="232" t="s">
        <v>848</v>
      </c>
      <c r="C291" s="232" t="s">
        <v>1158</v>
      </c>
      <c r="D291" s="232" t="s">
        <v>1159</v>
      </c>
      <c r="E291" s="232" t="s">
        <v>317</v>
      </c>
      <c r="F291" s="231">
        <v>524144</v>
      </c>
      <c r="G291" s="231">
        <v>173132</v>
      </c>
      <c r="H291" s="232" t="s">
        <v>182</v>
      </c>
      <c r="I291" s="233">
        <v>43915</v>
      </c>
      <c r="J291" s="231"/>
      <c r="K291" s="231">
        <v>0</v>
      </c>
      <c r="L291" s="231">
        <v>1</v>
      </c>
      <c r="M291" s="231">
        <v>1</v>
      </c>
      <c r="N291" s="231">
        <v>1</v>
      </c>
      <c r="O291" s="231">
        <v>1</v>
      </c>
      <c r="P291" s="234"/>
      <c r="Q291" s="232" t="s">
        <v>1160</v>
      </c>
      <c r="R291" s="234" t="s">
        <v>332</v>
      </c>
      <c r="S291" s="235">
        <v>43146</v>
      </c>
      <c r="T291" s="235">
        <v>43304</v>
      </c>
      <c r="U291" s="234"/>
      <c r="V291" s="232" t="s">
        <v>321</v>
      </c>
      <c r="W291" s="231"/>
      <c r="X291" s="232" t="s">
        <v>322</v>
      </c>
      <c r="Y291" s="232" t="s">
        <v>323</v>
      </c>
      <c r="Z291" s="232" t="s">
        <v>324</v>
      </c>
      <c r="AA291" s="232" t="s">
        <v>349</v>
      </c>
      <c r="AB291" s="236">
        <v>7.0000000000000001E-3</v>
      </c>
      <c r="AC291" s="235">
        <v>43915</v>
      </c>
      <c r="AD291" s="234"/>
      <c r="AE291" s="234"/>
      <c r="AF291" s="232" t="s">
        <v>77</v>
      </c>
      <c r="AG291" s="232" t="s">
        <v>350</v>
      </c>
      <c r="AH291" s="234" t="s">
        <v>317</v>
      </c>
      <c r="AI291" s="250"/>
      <c r="AJ291" s="234">
        <v>0</v>
      </c>
      <c r="AK291" s="224"/>
      <c r="AL291" s="234">
        <v>0</v>
      </c>
      <c r="AM291" s="224"/>
      <c r="AN291" s="234">
        <v>0</v>
      </c>
      <c r="AO291" s="234">
        <v>0</v>
      </c>
      <c r="AP291" s="234">
        <v>0</v>
      </c>
      <c r="AQ291" s="234">
        <v>1</v>
      </c>
      <c r="AR291" s="234">
        <v>0</v>
      </c>
      <c r="AS291" s="234">
        <v>0</v>
      </c>
      <c r="AT291" s="234">
        <v>0</v>
      </c>
      <c r="AU291" s="234">
        <v>0</v>
      </c>
      <c r="AV291" s="234">
        <v>0</v>
      </c>
      <c r="AW291" s="234">
        <v>0</v>
      </c>
      <c r="AX291" s="234">
        <v>0</v>
      </c>
      <c r="AY291" s="234">
        <v>0</v>
      </c>
      <c r="AZ291" s="234">
        <v>0</v>
      </c>
      <c r="BA291" s="234">
        <v>0</v>
      </c>
      <c r="BB291" s="234">
        <v>0</v>
      </c>
      <c r="BC291" s="234">
        <v>0</v>
      </c>
      <c r="BD291" s="234">
        <v>0</v>
      </c>
      <c r="BE291" s="234">
        <v>1</v>
      </c>
      <c r="BF291" s="234">
        <v>0</v>
      </c>
      <c r="BG291" s="234">
        <v>0</v>
      </c>
      <c r="BH291" s="234">
        <v>0</v>
      </c>
      <c r="BI291" s="234">
        <v>0</v>
      </c>
      <c r="BJ291" s="234">
        <v>0</v>
      </c>
      <c r="BK291" s="234">
        <v>0</v>
      </c>
      <c r="BL291" s="234">
        <v>0</v>
      </c>
      <c r="BM291" s="234">
        <v>0</v>
      </c>
      <c r="BN291" s="234">
        <v>0</v>
      </c>
      <c r="BO291" s="234">
        <v>0</v>
      </c>
      <c r="BP291" s="234"/>
      <c r="BQ291" s="234"/>
      <c r="BR291" s="237" t="s">
        <v>334</v>
      </c>
      <c r="BS291" s="238">
        <v>3</v>
      </c>
      <c r="BU291" s="239">
        <f>M291</f>
        <v>1</v>
      </c>
      <c r="CN291" s="238">
        <f t="shared" si="20"/>
        <v>1</v>
      </c>
      <c r="CO291" s="238">
        <f t="shared" si="21"/>
        <v>1</v>
      </c>
    </row>
    <row r="292" spans="1:93" ht="13.95" customHeight="1" x14ac:dyDescent="0.2">
      <c r="A292" s="231">
        <v>5029</v>
      </c>
      <c r="B292" s="232" t="s">
        <v>848</v>
      </c>
      <c r="C292" s="232" t="s">
        <v>1161</v>
      </c>
      <c r="D292" s="232" t="s">
        <v>1162</v>
      </c>
      <c r="E292" s="232" t="s">
        <v>317</v>
      </c>
      <c r="F292" s="231">
        <v>527404</v>
      </c>
      <c r="G292" s="231">
        <v>176366</v>
      </c>
      <c r="H292" s="232" t="s">
        <v>174</v>
      </c>
      <c r="I292" s="233">
        <v>44958</v>
      </c>
      <c r="J292" s="231"/>
      <c r="K292" s="231">
        <v>0</v>
      </c>
      <c r="L292" s="231">
        <v>1</v>
      </c>
      <c r="M292" s="231">
        <v>1</v>
      </c>
      <c r="N292" s="231">
        <v>1</v>
      </c>
      <c r="O292" s="231">
        <v>1</v>
      </c>
      <c r="P292" s="234"/>
      <c r="Q292" s="232" t="s">
        <v>1163</v>
      </c>
      <c r="R292" s="234" t="s">
        <v>332</v>
      </c>
      <c r="S292" s="235">
        <v>44279</v>
      </c>
      <c r="T292" s="235">
        <v>44333</v>
      </c>
      <c r="U292" s="234"/>
      <c r="V292" s="232" t="s">
        <v>321</v>
      </c>
      <c r="W292" s="231"/>
      <c r="X292" s="232" t="s">
        <v>322</v>
      </c>
      <c r="Y292" s="232" t="s">
        <v>338</v>
      </c>
      <c r="Z292" s="232" t="s">
        <v>324</v>
      </c>
      <c r="AA292" s="232" t="s">
        <v>354</v>
      </c>
      <c r="AB292" s="236">
        <v>7.0000000000000001E-3</v>
      </c>
      <c r="AC292" s="235">
        <v>44958</v>
      </c>
      <c r="AD292" s="234" t="s">
        <v>318</v>
      </c>
      <c r="AE292" s="234"/>
      <c r="AF292" s="232" t="s">
        <v>77</v>
      </c>
      <c r="AG292" s="232" t="s">
        <v>350</v>
      </c>
      <c r="AH292" s="234" t="s">
        <v>317</v>
      </c>
      <c r="AI292" s="250"/>
      <c r="AJ292" s="234">
        <v>0</v>
      </c>
      <c r="AK292" s="224"/>
      <c r="AL292" s="234">
        <v>0</v>
      </c>
      <c r="AM292" s="224"/>
      <c r="AN292" s="234">
        <v>0</v>
      </c>
      <c r="AO292" s="234">
        <v>0</v>
      </c>
      <c r="AP292" s="234">
        <v>1</v>
      </c>
      <c r="AQ292" s="234">
        <v>0</v>
      </c>
      <c r="AR292" s="234">
        <v>0</v>
      </c>
      <c r="AS292" s="234">
        <v>0</v>
      </c>
      <c r="AT292" s="234">
        <v>0</v>
      </c>
      <c r="AU292" s="234">
        <v>0</v>
      </c>
      <c r="AV292" s="234">
        <v>0</v>
      </c>
      <c r="AW292" s="234">
        <v>1</v>
      </c>
      <c r="AX292" s="234">
        <v>0</v>
      </c>
      <c r="AY292" s="234">
        <v>0</v>
      </c>
      <c r="AZ292" s="234">
        <v>0</v>
      </c>
      <c r="BA292" s="234">
        <v>0</v>
      </c>
      <c r="BB292" s="234">
        <v>0</v>
      </c>
      <c r="BC292" s="234">
        <v>0</v>
      </c>
      <c r="BD292" s="234">
        <v>0</v>
      </c>
      <c r="BE292" s="234">
        <v>0</v>
      </c>
      <c r="BF292" s="234">
        <v>0</v>
      </c>
      <c r="BG292" s="234">
        <v>0</v>
      </c>
      <c r="BH292" s="234">
        <v>0</v>
      </c>
      <c r="BI292" s="234">
        <v>0</v>
      </c>
      <c r="BJ292" s="234">
        <v>0</v>
      </c>
      <c r="BK292" s="234">
        <v>0</v>
      </c>
      <c r="BL292" s="234">
        <v>0</v>
      </c>
      <c r="BM292" s="234">
        <v>0</v>
      </c>
      <c r="BN292" s="234">
        <v>0</v>
      </c>
      <c r="BO292" s="234">
        <v>0</v>
      </c>
      <c r="BP292" s="234"/>
      <c r="BQ292" s="234"/>
      <c r="BR292" s="237" t="s">
        <v>334</v>
      </c>
      <c r="BS292" s="238">
        <v>14</v>
      </c>
      <c r="BU292" s="239">
        <f t="shared" ref="BU292:BU302" si="23">M292/2</f>
        <v>0.5</v>
      </c>
      <c r="BV292" s="239">
        <f t="shared" ref="BV292:BV302" si="24">M292/2</f>
        <v>0.5</v>
      </c>
      <c r="CN292" s="238">
        <f t="shared" si="20"/>
        <v>1</v>
      </c>
      <c r="CO292" s="238">
        <f t="shared" si="21"/>
        <v>1</v>
      </c>
    </row>
    <row r="293" spans="1:93" ht="13.95" customHeight="1" x14ac:dyDescent="0.2">
      <c r="A293" s="231">
        <v>4396</v>
      </c>
      <c r="B293" s="232" t="s">
        <v>848</v>
      </c>
      <c r="C293" s="232" t="s">
        <v>1164</v>
      </c>
      <c r="D293" s="232" t="s">
        <v>1165</v>
      </c>
      <c r="E293" s="232" t="s">
        <v>317</v>
      </c>
      <c r="F293" s="231">
        <v>525854</v>
      </c>
      <c r="G293" s="231">
        <v>173217</v>
      </c>
      <c r="H293" s="232" t="s">
        <v>179</v>
      </c>
      <c r="I293" s="233">
        <v>44903</v>
      </c>
      <c r="J293" s="231"/>
      <c r="K293" s="231">
        <v>1</v>
      </c>
      <c r="L293" s="231">
        <v>2</v>
      </c>
      <c r="M293" s="231">
        <v>1</v>
      </c>
      <c r="N293" s="231">
        <v>2</v>
      </c>
      <c r="O293" s="231">
        <v>1</v>
      </c>
      <c r="P293" s="234"/>
      <c r="Q293" s="232" t="s">
        <v>1166</v>
      </c>
      <c r="R293" s="234" t="s">
        <v>332</v>
      </c>
      <c r="S293" s="235">
        <v>44508</v>
      </c>
      <c r="T293" s="235">
        <v>44624</v>
      </c>
      <c r="U293" s="234"/>
      <c r="V293" s="232" t="s">
        <v>321</v>
      </c>
      <c r="W293" s="231"/>
      <c r="X293" s="232" t="s">
        <v>322</v>
      </c>
      <c r="Y293" s="232" t="s">
        <v>338</v>
      </c>
      <c r="Z293" s="232" t="s">
        <v>324</v>
      </c>
      <c r="AA293" s="232" t="s">
        <v>354</v>
      </c>
      <c r="AB293" s="236">
        <v>3.0000000000000001E-3</v>
      </c>
      <c r="AC293" s="235">
        <v>44903</v>
      </c>
      <c r="AD293" s="234" t="s">
        <v>318</v>
      </c>
      <c r="AE293" s="234"/>
      <c r="AF293" s="232" t="s">
        <v>77</v>
      </c>
      <c r="AG293" s="232" t="s">
        <v>350</v>
      </c>
      <c r="AH293" s="234" t="s">
        <v>317</v>
      </c>
      <c r="AI293" s="250"/>
      <c r="AJ293" s="234">
        <v>0</v>
      </c>
      <c r="AK293" s="224"/>
      <c r="AL293" s="234">
        <v>0</v>
      </c>
      <c r="AM293" s="224"/>
      <c r="AN293" s="234">
        <v>0</v>
      </c>
      <c r="AO293" s="234">
        <v>2</v>
      </c>
      <c r="AP293" s="234">
        <v>0</v>
      </c>
      <c r="AQ293" s="234">
        <v>-1</v>
      </c>
      <c r="AR293" s="234">
        <v>0</v>
      </c>
      <c r="AS293" s="234">
        <v>0</v>
      </c>
      <c r="AT293" s="234">
        <v>0</v>
      </c>
      <c r="AU293" s="234">
        <v>0</v>
      </c>
      <c r="AV293" s="234">
        <v>2</v>
      </c>
      <c r="AW293" s="234">
        <v>0</v>
      </c>
      <c r="AX293" s="234">
        <v>-1</v>
      </c>
      <c r="AY293" s="234">
        <v>0</v>
      </c>
      <c r="AZ293" s="234">
        <v>0</v>
      </c>
      <c r="BA293" s="234">
        <v>0</v>
      </c>
      <c r="BB293" s="234">
        <v>0</v>
      </c>
      <c r="BC293" s="234">
        <v>0</v>
      </c>
      <c r="BD293" s="234">
        <v>0</v>
      </c>
      <c r="BE293" s="234">
        <v>0</v>
      </c>
      <c r="BF293" s="234">
        <v>0</v>
      </c>
      <c r="BG293" s="234">
        <v>0</v>
      </c>
      <c r="BH293" s="234">
        <v>0</v>
      </c>
      <c r="BI293" s="234">
        <v>0</v>
      </c>
      <c r="BJ293" s="234">
        <v>0</v>
      </c>
      <c r="BK293" s="234">
        <v>0</v>
      </c>
      <c r="BL293" s="234">
        <v>0</v>
      </c>
      <c r="BM293" s="234">
        <v>0</v>
      </c>
      <c r="BN293" s="234">
        <v>0</v>
      </c>
      <c r="BO293" s="234">
        <v>0</v>
      </c>
      <c r="BP293" s="234"/>
      <c r="BQ293" s="234"/>
      <c r="BR293" s="237" t="s">
        <v>154</v>
      </c>
      <c r="BS293" s="238">
        <v>14</v>
      </c>
      <c r="BU293" s="239">
        <f t="shared" si="23"/>
        <v>0.5</v>
      </c>
      <c r="BV293" s="239">
        <f t="shared" si="24"/>
        <v>0.5</v>
      </c>
      <c r="CN293" s="238">
        <f t="shared" si="20"/>
        <v>1</v>
      </c>
      <c r="CO293" s="238">
        <f t="shared" si="21"/>
        <v>1</v>
      </c>
    </row>
    <row r="294" spans="1:93" ht="13.95" customHeight="1" x14ac:dyDescent="0.2">
      <c r="A294" s="231">
        <v>182</v>
      </c>
      <c r="B294" s="232" t="s">
        <v>848</v>
      </c>
      <c r="C294" s="232" t="s">
        <v>1072</v>
      </c>
      <c r="D294" s="232" t="s">
        <v>1073</v>
      </c>
      <c r="E294" s="232" t="s">
        <v>317</v>
      </c>
      <c r="F294" s="231">
        <v>526066</v>
      </c>
      <c r="G294" s="231">
        <v>172919</v>
      </c>
      <c r="H294" s="232" t="s">
        <v>180</v>
      </c>
      <c r="I294" s="233">
        <v>45016</v>
      </c>
      <c r="J294" s="231"/>
      <c r="K294" s="231">
        <v>0</v>
      </c>
      <c r="L294" s="231">
        <v>1</v>
      </c>
      <c r="M294" s="231">
        <v>1</v>
      </c>
      <c r="N294" s="231">
        <v>4</v>
      </c>
      <c r="O294" s="231">
        <v>3</v>
      </c>
      <c r="P294" s="234"/>
      <c r="Q294" s="232" t="s">
        <v>1074</v>
      </c>
      <c r="R294" s="234" t="s">
        <v>332</v>
      </c>
      <c r="S294" s="235">
        <v>43719</v>
      </c>
      <c r="T294" s="235">
        <v>43787</v>
      </c>
      <c r="U294" s="234"/>
      <c r="V294" s="232" t="s">
        <v>321</v>
      </c>
      <c r="W294" s="231"/>
      <c r="X294" s="232" t="s">
        <v>322</v>
      </c>
      <c r="Y294" s="232" t="s">
        <v>338</v>
      </c>
      <c r="Z294" s="232" t="s">
        <v>324</v>
      </c>
      <c r="AA294" s="232" t="s">
        <v>28</v>
      </c>
      <c r="AB294" s="236">
        <v>7.0000000000000001E-3</v>
      </c>
      <c r="AC294" s="235">
        <v>45016</v>
      </c>
      <c r="AD294" s="234" t="s">
        <v>318</v>
      </c>
      <c r="AE294" s="234"/>
      <c r="AF294" s="232" t="s">
        <v>77</v>
      </c>
      <c r="AG294" s="232" t="s">
        <v>350</v>
      </c>
      <c r="AH294" s="234" t="s">
        <v>317</v>
      </c>
      <c r="AI294" s="250"/>
      <c r="AJ294" s="234">
        <v>0</v>
      </c>
      <c r="AK294" s="224"/>
      <c r="AL294" s="234">
        <v>0</v>
      </c>
      <c r="AM294" s="224"/>
      <c r="AN294" s="234">
        <v>0</v>
      </c>
      <c r="AO294" s="234">
        <v>0</v>
      </c>
      <c r="AP294" s="234">
        <v>1</v>
      </c>
      <c r="AQ294" s="234">
        <v>0</v>
      </c>
      <c r="AR294" s="234">
        <v>0</v>
      </c>
      <c r="AS294" s="234">
        <v>0</v>
      </c>
      <c r="AT294" s="234">
        <v>0</v>
      </c>
      <c r="AU294" s="234">
        <v>0</v>
      </c>
      <c r="AV294" s="234">
        <v>0</v>
      </c>
      <c r="AW294" s="234">
        <v>1</v>
      </c>
      <c r="AX294" s="234">
        <v>0</v>
      </c>
      <c r="AY294" s="234">
        <v>0</v>
      </c>
      <c r="AZ294" s="234">
        <v>0</v>
      </c>
      <c r="BA294" s="234">
        <v>0</v>
      </c>
      <c r="BB294" s="234">
        <v>0</v>
      </c>
      <c r="BC294" s="234">
        <v>0</v>
      </c>
      <c r="BD294" s="234">
        <v>0</v>
      </c>
      <c r="BE294" s="234">
        <v>0</v>
      </c>
      <c r="BF294" s="234">
        <v>0</v>
      </c>
      <c r="BG294" s="234">
        <v>0</v>
      </c>
      <c r="BH294" s="234">
        <v>0</v>
      </c>
      <c r="BI294" s="234">
        <v>0</v>
      </c>
      <c r="BJ294" s="234">
        <v>0</v>
      </c>
      <c r="BK294" s="234">
        <v>0</v>
      </c>
      <c r="BL294" s="234">
        <v>0</v>
      </c>
      <c r="BM294" s="234">
        <v>0</v>
      </c>
      <c r="BN294" s="234">
        <v>0</v>
      </c>
      <c r="BO294" s="234">
        <v>0</v>
      </c>
      <c r="BP294" s="234"/>
      <c r="BQ294" s="234"/>
      <c r="BR294" s="237" t="s">
        <v>154</v>
      </c>
      <c r="BS294" s="238">
        <v>14</v>
      </c>
      <c r="BU294" s="239">
        <f t="shared" si="23"/>
        <v>0.5</v>
      </c>
      <c r="BV294" s="239">
        <f t="shared" si="24"/>
        <v>0.5</v>
      </c>
      <c r="CN294" s="238">
        <f t="shared" si="20"/>
        <v>1</v>
      </c>
      <c r="CO294" s="238">
        <f t="shared" si="21"/>
        <v>1</v>
      </c>
    </row>
    <row r="295" spans="1:93" ht="13.95" customHeight="1" x14ac:dyDescent="0.2">
      <c r="A295" s="231">
        <v>5680</v>
      </c>
      <c r="B295" s="232" t="s">
        <v>848</v>
      </c>
      <c r="C295" s="232" t="s">
        <v>1167</v>
      </c>
      <c r="D295" s="232" t="s">
        <v>1168</v>
      </c>
      <c r="E295" s="232" t="s">
        <v>317</v>
      </c>
      <c r="F295" s="231">
        <v>527140</v>
      </c>
      <c r="G295" s="231">
        <v>176148</v>
      </c>
      <c r="H295" s="232" t="s">
        <v>165</v>
      </c>
      <c r="I295" s="233">
        <v>45016</v>
      </c>
      <c r="J295" s="231"/>
      <c r="K295" s="231">
        <v>1</v>
      </c>
      <c r="L295" s="231">
        <v>2</v>
      </c>
      <c r="M295" s="231">
        <v>1</v>
      </c>
      <c r="N295" s="231">
        <v>2</v>
      </c>
      <c r="O295" s="231">
        <v>1</v>
      </c>
      <c r="P295" s="234"/>
      <c r="Q295" s="232" t="s">
        <v>1169</v>
      </c>
      <c r="R295" s="234" t="s">
        <v>332</v>
      </c>
      <c r="S295" s="235">
        <v>44613</v>
      </c>
      <c r="T295" s="235">
        <v>44755</v>
      </c>
      <c r="U295" s="234" t="s">
        <v>318</v>
      </c>
      <c r="V295" s="232" t="s">
        <v>321</v>
      </c>
      <c r="W295" s="231"/>
      <c r="X295" s="232" t="s">
        <v>322</v>
      </c>
      <c r="Y295" s="232" t="s">
        <v>338</v>
      </c>
      <c r="Z295" s="232" t="s">
        <v>324</v>
      </c>
      <c r="AA295" s="232" t="s">
        <v>354</v>
      </c>
      <c r="AB295" s="236">
        <v>6.0000000000000001E-3</v>
      </c>
      <c r="AC295" s="235">
        <v>45016</v>
      </c>
      <c r="AD295" s="234" t="s">
        <v>318</v>
      </c>
      <c r="AE295" s="234"/>
      <c r="AF295" s="232" t="s">
        <v>77</v>
      </c>
      <c r="AG295" s="232" t="s">
        <v>340</v>
      </c>
      <c r="AH295" s="234" t="s">
        <v>317</v>
      </c>
      <c r="AI295" s="250"/>
      <c r="AJ295" s="234">
        <v>0</v>
      </c>
      <c r="AK295" s="224"/>
      <c r="AL295" s="234">
        <v>0</v>
      </c>
      <c r="AM295" s="224"/>
      <c r="AN295" s="234">
        <v>1</v>
      </c>
      <c r="AO295" s="234">
        <v>1</v>
      </c>
      <c r="AP295" s="234">
        <v>-1</v>
      </c>
      <c r="AQ295" s="234">
        <v>0</v>
      </c>
      <c r="AR295" s="234">
        <v>0</v>
      </c>
      <c r="AS295" s="234">
        <v>0</v>
      </c>
      <c r="AT295" s="234">
        <v>0</v>
      </c>
      <c r="AU295" s="234">
        <v>1</v>
      </c>
      <c r="AV295" s="234">
        <v>1</v>
      </c>
      <c r="AW295" s="234">
        <v>-1</v>
      </c>
      <c r="AX295" s="234">
        <v>0</v>
      </c>
      <c r="AY295" s="234">
        <v>0</v>
      </c>
      <c r="AZ295" s="234">
        <v>0</v>
      </c>
      <c r="BA295" s="234">
        <v>0</v>
      </c>
      <c r="BB295" s="234">
        <v>0</v>
      </c>
      <c r="BC295" s="234">
        <v>0</v>
      </c>
      <c r="BD295" s="234">
        <v>0</v>
      </c>
      <c r="BE295" s="234">
        <v>0</v>
      </c>
      <c r="BF295" s="234">
        <v>0</v>
      </c>
      <c r="BG295" s="234">
        <v>0</v>
      </c>
      <c r="BH295" s="234">
        <v>0</v>
      </c>
      <c r="BI295" s="234">
        <v>0</v>
      </c>
      <c r="BJ295" s="234">
        <v>0</v>
      </c>
      <c r="BK295" s="234">
        <v>0</v>
      </c>
      <c r="BL295" s="234">
        <v>0</v>
      </c>
      <c r="BM295" s="234">
        <v>0</v>
      </c>
      <c r="BN295" s="234">
        <v>0</v>
      </c>
      <c r="BO295" s="234">
        <v>0</v>
      </c>
      <c r="BP295" s="234"/>
      <c r="BQ295" s="234"/>
      <c r="BR295" s="237" t="s">
        <v>334</v>
      </c>
      <c r="BS295" s="238">
        <v>14</v>
      </c>
      <c r="BU295" s="239">
        <f t="shared" si="23"/>
        <v>0.5</v>
      </c>
      <c r="BV295" s="239">
        <f t="shared" si="24"/>
        <v>0.5</v>
      </c>
      <c r="CN295" s="238">
        <f t="shared" si="20"/>
        <v>1</v>
      </c>
      <c r="CO295" s="238">
        <f t="shared" si="21"/>
        <v>1</v>
      </c>
    </row>
    <row r="296" spans="1:93" ht="13.95" customHeight="1" x14ac:dyDescent="0.2">
      <c r="A296" s="231">
        <v>7233</v>
      </c>
      <c r="B296" s="232" t="s">
        <v>848</v>
      </c>
      <c r="C296" s="232" t="s">
        <v>1170</v>
      </c>
      <c r="D296" s="232" t="s">
        <v>1171</v>
      </c>
      <c r="E296" s="232" t="s">
        <v>317</v>
      </c>
      <c r="F296" s="231">
        <v>527787</v>
      </c>
      <c r="G296" s="231">
        <v>174343</v>
      </c>
      <c r="H296" s="232" t="s">
        <v>169</v>
      </c>
      <c r="I296" s="233">
        <v>45016</v>
      </c>
      <c r="J296" s="231"/>
      <c r="K296" s="231">
        <v>0</v>
      </c>
      <c r="L296" s="231">
        <v>1</v>
      </c>
      <c r="M296" s="231">
        <v>1</v>
      </c>
      <c r="N296" s="231">
        <v>4</v>
      </c>
      <c r="O296" s="231">
        <v>1</v>
      </c>
      <c r="P296" s="234"/>
      <c r="Q296" s="232" t="s">
        <v>1172</v>
      </c>
      <c r="R296" s="234" t="s">
        <v>332</v>
      </c>
      <c r="S296" s="235">
        <v>43696</v>
      </c>
      <c r="T296" s="235">
        <v>43735</v>
      </c>
      <c r="U296" s="234"/>
      <c r="V296" s="232" t="s">
        <v>321</v>
      </c>
      <c r="W296" s="231"/>
      <c r="X296" s="232" t="s">
        <v>322</v>
      </c>
      <c r="Y296" s="232" t="s">
        <v>338</v>
      </c>
      <c r="Z296" s="232" t="s">
        <v>324</v>
      </c>
      <c r="AA296" s="232" t="s">
        <v>411</v>
      </c>
      <c r="AB296" s="236">
        <v>5.0000000000000001E-3</v>
      </c>
      <c r="AC296" s="235">
        <v>45016</v>
      </c>
      <c r="AD296" s="234" t="s">
        <v>318</v>
      </c>
      <c r="AE296" s="234"/>
      <c r="AF296" s="232" t="s">
        <v>77</v>
      </c>
      <c r="AG296" s="232" t="s">
        <v>350</v>
      </c>
      <c r="AH296" s="234" t="s">
        <v>317</v>
      </c>
      <c r="AI296" s="250"/>
      <c r="AJ296" s="234">
        <v>0</v>
      </c>
      <c r="AK296" s="224"/>
      <c r="AL296" s="234">
        <v>0</v>
      </c>
      <c r="AM296" s="224"/>
      <c r="AN296" s="234">
        <v>0</v>
      </c>
      <c r="AO296" s="234">
        <v>0</v>
      </c>
      <c r="AP296" s="234">
        <v>1</v>
      </c>
      <c r="AQ296" s="234">
        <v>0</v>
      </c>
      <c r="AR296" s="234">
        <v>0</v>
      </c>
      <c r="AS296" s="234">
        <v>0</v>
      </c>
      <c r="AT296" s="234">
        <v>0</v>
      </c>
      <c r="AU296" s="234">
        <v>0</v>
      </c>
      <c r="AV296" s="234">
        <v>0</v>
      </c>
      <c r="AW296" s="234">
        <v>1</v>
      </c>
      <c r="AX296" s="234">
        <v>0</v>
      </c>
      <c r="AY296" s="234">
        <v>0</v>
      </c>
      <c r="AZ296" s="234">
        <v>0</v>
      </c>
      <c r="BA296" s="234">
        <v>0</v>
      </c>
      <c r="BB296" s="234">
        <v>0</v>
      </c>
      <c r="BC296" s="234">
        <v>0</v>
      </c>
      <c r="BD296" s="234">
        <v>0</v>
      </c>
      <c r="BE296" s="234">
        <v>0</v>
      </c>
      <c r="BF296" s="234">
        <v>0</v>
      </c>
      <c r="BG296" s="234">
        <v>0</v>
      </c>
      <c r="BH296" s="234">
        <v>0</v>
      </c>
      <c r="BI296" s="234">
        <v>0</v>
      </c>
      <c r="BJ296" s="234">
        <v>0</v>
      </c>
      <c r="BK296" s="234">
        <v>0</v>
      </c>
      <c r="BL296" s="234">
        <v>0</v>
      </c>
      <c r="BM296" s="234">
        <v>0</v>
      </c>
      <c r="BN296" s="234">
        <v>0</v>
      </c>
      <c r="BO296" s="234">
        <v>0</v>
      </c>
      <c r="BP296" s="234"/>
      <c r="BQ296" s="234"/>
      <c r="BR296" s="237" t="s">
        <v>334</v>
      </c>
      <c r="BS296" s="238">
        <v>14</v>
      </c>
      <c r="BU296" s="239">
        <f t="shared" si="23"/>
        <v>0.5</v>
      </c>
      <c r="BV296" s="239">
        <f t="shared" si="24"/>
        <v>0.5</v>
      </c>
      <c r="CN296" s="238">
        <f t="shared" si="20"/>
        <v>1</v>
      </c>
      <c r="CO296" s="238">
        <f t="shared" si="21"/>
        <v>1</v>
      </c>
    </row>
    <row r="297" spans="1:93" ht="13.95" customHeight="1" x14ac:dyDescent="0.2">
      <c r="A297" s="231">
        <v>7930</v>
      </c>
      <c r="B297" s="232" t="s">
        <v>848</v>
      </c>
      <c r="C297" s="232" t="s">
        <v>1173</v>
      </c>
      <c r="D297" s="232" t="s">
        <v>1174</v>
      </c>
      <c r="E297" s="232" t="s">
        <v>317</v>
      </c>
      <c r="F297" s="231">
        <v>528073</v>
      </c>
      <c r="G297" s="231">
        <v>170895</v>
      </c>
      <c r="H297" s="232" t="s">
        <v>166</v>
      </c>
      <c r="I297" s="233">
        <v>45016</v>
      </c>
      <c r="J297" s="231"/>
      <c r="K297" s="231">
        <v>0</v>
      </c>
      <c r="L297" s="231">
        <v>1</v>
      </c>
      <c r="M297" s="231">
        <v>1</v>
      </c>
      <c r="N297" s="231">
        <v>1</v>
      </c>
      <c r="O297" s="231">
        <v>1</v>
      </c>
      <c r="P297" s="234"/>
      <c r="Q297" s="232" t="s">
        <v>1175</v>
      </c>
      <c r="R297" s="234" t="s">
        <v>332</v>
      </c>
      <c r="S297" s="235">
        <v>44910</v>
      </c>
      <c r="T297" s="235">
        <v>44973</v>
      </c>
      <c r="U297" s="234" t="s">
        <v>318</v>
      </c>
      <c r="V297" s="232" t="s">
        <v>321</v>
      </c>
      <c r="W297" s="231"/>
      <c r="X297" s="232" t="s">
        <v>322</v>
      </c>
      <c r="Y297" s="232" t="s">
        <v>339</v>
      </c>
      <c r="Z297" s="232" t="s">
        <v>324</v>
      </c>
      <c r="AA297" s="232" t="s">
        <v>354</v>
      </c>
      <c r="AB297" s="236">
        <v>3.8999999999999998E-3</v>
      </c>
      <c r="AC297" s="235">
        <v>45016</v>
      </c>
      <c r="AD297" s="234" t="s">
        <v>318</v>
      </c>
      <c r="AE297" s="234"/>
      <c r="AF297" s="232" t="s">
        <v>77</v>
      </c>
      <c r="AG297" s="232" t="s">
        <v>350</v>
      </c>
      <c r="AH297" s="234" t="s">
        <v>317</v>
      </c>
      <c r="AI297" s="250"/>
      <c r="AJ297" s="234">
        <v>0</v>
      </c>
      <c r="AK297" s="224"/>
      <c r="AL297" s="234">
        <v>0</v>
      </c>
      <c r="AM297" s="224"/>
      <c r="AN297" s="234">
        <v>0</v>
      </c>
      <c r="AO297" s="234">
        <v>1</v>
      </c>
      <c r="AP297" s="234">
        <v>0</v>
      </c>
      <c r="AQ297" s="234">
        <v>0</v>
      </c>
      <c r="AR297" s="234">
        <v>0</v>
      </c>
      <c r="AS297" s="234">
        <v>0</v>
      </c>
      <c r="AT297" s="234">
        <v>0</v>
      </c>
      <c r="AU297" s="234">
        <v>0</v>
      </c>
      <c r="AV297" s="234">
        <v>1</v>
      </c>
      <c r="AW297" s="234">
        <v>0</v>
      </c>
      <c r="AX297" s="234">
        <v>0</v>
      </c>
      <c r="AY297" s="234">
        <v>0</v>
      </c>
      <c r="AZ297" s="234">
        <v>0</v>
      </c>
      <c r="BA297" s="234">
        <v>0</v>
      </c>
      <c r="BB297" s="234">
        <v>0</v>
      </c>
      <c r="BC297" s="234">
        <v>0</v>
      </c>
      <c r="BD297" s="234">
        <v>0</v>
      </c>
      <c r="BE297" s="234">
        <v>0</v>
      </c>
      <c r="BF297" s="234">
        <v>0</v>
      </c>
      <c r="BG297" s="234">
        <v>0</v>
      </c>
      <c r="BH297" s="234">
        <v>0</v>
      </c>
      <c r="BI297" s="234">
        <v>0</v>
      </c>
      <c r="BJ297" s="234">
        <v>0</v>
      </c>
      <c r="BK297" s="234">
        <v>0</v>
      </c>
      <c r="BL297" s="234">
        <v>0</v>
      </c>
      <c r="BM297" s="234">
        <v>0</v>
      </c>
      <c r="BN297" s="234">
        <v>0</v>
      </c>
      <c r="BO297" s="234">
        <v>0</v>
      </c>
      <c r="BP297" s="234"/>
      <c r="BQ297" s="234"/>
      <c r="BR297" s="237" t="s">
        <v>334</v>
      </c>
      <c r="BS297" s="238">
        <v>14</v>
      </c>
      <c r="BU297" s="239">
        <f t="shared" si="23"/>
        <v>0.5</v>
      </c>
      <c r="BV297" s="239">
        <f t="shared" si="24"/>
        <v>0.5</v>
      </c>
      <c r="CN297" s="238">
        <f t="shared" si="20"/>
        <v>1</v>
      </c>
      <c r="CO297" s="238">
        <f t="shared" si="21"/>
        <v>1</v>
      </c>
    </row>
    <row r="298" spans="1:93" ht="13.95" customHeight="1" x14ac:dyDescent="0.2">
      <c r="A298" s="231">
        <v>7211</v>
      </c>
      <c r="B298" s="232" t="s">
        <v>848</v>
      </c>
      <c r="C298" s="232" t="s">
        <v>1176</v>
      </c>
      <c r="D298" s="232" t="s">
        <v>1010</v>
      </c>
      <c r="E298" s="232" t="s">
        <v>317</v>
      </c>
      <c r="F298" s="231">
        <v>527235</v>
      </c>
      <c r="G298" s="231">
        <v>171597</v>
      </c>
      <c r="H298" s="232" t="s">
        <v>177</v>
      </c>
      <c r="I298" s="233">
        <v>44964</v>
      </c>
      <c r="J298" s="231"/>
      <c r="K298" s="231">
        <v>0</v>
      </c>
      <c r="L298" s="231">
        <v>1</v>
      </c>
      <c r="M298" s="231">
        <v>1</v>
      </c>
      <c r="N298" s="231">
        <v>1</v>
      </c>
      <c r="O298" s="231">
        <v>1</v>
      </c>
      <c r="P298" s="234"/>
      <c r="Q298" s="232" t="s">
        <v>1177</v>
      </c>
      <c r="R298" s="234" t="s">
        <v>332</v>
      </c>
      <c r="S298" s="235">
        <v>43851</v>
      </c>
      <c r="T298" s="235">
        <v>43882</v>
      </c>
      <c r="U298" s="234"/>
      <c r="V298" s="232" t="s">
        <v>321</v>
      </c>
      <c r="W298" s="231"/>
      <c r="X298" s="232" t="s">
        <v>322</v>
      </c>
      <c r="Y298" s="232" t="s">
        <v>323</v>
      </c>
      <c r="Z298" s="232" t="s">
        <v>324</v>
      </c>
      <c r="AA298" s="232" t="s">
        <v>349</v>
      </c>
      <c r="AB298" s="236">
        <v>8.9999999999999993E-3</v>
      </c>
      <c r="AC298" s="235">
        <v>44964</v>
      </c>
      <c r="AD298" s="234" t="s">
        <v>318</v>
      </c>
      <c r="AE298" s="234"/>
      <c r="AF298" s="232" t="s">
        <v>77</v>
      </c>
      <c r="AG298" s="232" t="s">
        <v>350</v>
      </c>
      <c r="AH298" s="234" t="s">
        <v>317</v>
      </c>
      <c r="AI298" s="250"/>
      <c r="AJ298" s="234">
        <v>0</v>
      </c>
      <c r="AK298" s="224"/>
      <c r="AL298" s="234">
        <v>0</v>
      </c>
      <c r="AM298" s="224"/>
      <c r="AN298" s="234">
        <v>0</v>
      </c>
      <c r="AO298" s="234">
        <v>0</v>
      </c>
      <c r="AP298" s="234">
        <v>1</v>
      </c>
      <c r="AQ298" s="234">
        <v>0</v>
      </c>
      <c r="AR298" s="234">
        <v>0</v>
      </c>
      <c r="AS298" s="234">
        <v>0</v>
      </c>
      <c r="AT298" s="234">
        <v>0</v>
      </c>
      <c r="AU298" s="234">
        <v>0</v>
      </c>
      <c r="AV298" s="234">
        <v>0</v>
      </c>
      <c r="AW298" s="234">
        <v>1</v>
      </c>
      <c r="AX298" s="234">
        <v>0</v>
      </c>
      <c r="AY298" s="234">
        <v>0</v>
      </c>
      <c r="AZ298" s="234">
        <v>0</v>
      </c>
      <c r="BA298" s="234">
        <v>0</v>
      </c>
      <c r="BB298" s="234">
        <v>0</v>
      </c>
      <c r="BC298" s="234">
        <v>0</v>
      </c>
      <c r="BD298" s="234">
        <v>0</v>
      </c>
      <c r="BE298" s="234">
        <v>0</v>
      </c>
      <c r="BF298" s="234">
        <v>0</v>
      </c>
      <c r="BG298" s="234">
        <v>0</v>
      </c>
      <c r="BH298" s="234">
        <v>0</v>
      </c>
      <c r="BI298" s="234">
        <v>0</v>
      </c>
      <c r="BJ298" s="234">
        <v>0</v>
      </c>
      <c r="BK298" s="234">
        <v>0</v>
      </c>
      <c r="BL298" s="234">
        <v>0</v>
      </c>
      <c r="BM298" s="234">
        <v>0</v>
      </c>
      <c r="BN298" s="234">
        <v>0</v>
      </c>
      <c r="BO298" s="234">
        <v>0</v>
      </c>
      <c r="BP298" s="234"/>
      <c r="BQ298" s="234"/>
      <c r="BR298" s="237" t="s">
        <v>144</v>
      </c>
      <c r="BS298" s="238">
        <v>4</v>
      </c>
      <c r="BU298" s="239">
        <f t="shared" si="23"/>
        <v>0.5</v>
      </c>
      <c r="BV298" s="239">
        <f t="shared" si="24"/>
        <v>0.5</v>
      </c>
      <c r="CN298" s="238">
        <f t="shared" si="20"/>
        <v>1</v>
      </c>
      <c r="CO298" s="238">
        <f t="shared" si="21"/>
        <v>1</v>
      </c>
    </row>
    <row r="299" spans="1:93" ht="13.95" customHeight="1" x14ac:dyDescent="0.2">
      <c r="A299" s="231">
        <v>6662</v>
      </c>
      <c r="B299" s="232" t="s">
        <v>848</v>
      </c>
      <c r="C299" s="232" t="s">
        <v>1178</v>
      </c>
      <c r="D299" s="232" t="s">
        <v>1179</v>
      </c>
      <c r="E299" s="232" t="s">
        <v>317</v>
      </c>
      <c r="F299" s="231">
        <v>525227</v>
      </c>
      <c r="G299" s="231">
        <v>173755</v>
      </c>
      <c r="H299" s="232" t="s">
        <v>173</v>
      </c>
      <c r="I299" s="233">
        <v>45016</v>
      </c>
      <c r="J299" s="231"/>
      <c r="K299" s="231">
        <v>0</v>
      </c>
      <c r="L299" s="231">
        <v>1</v>
      </c>
      <c r="M299" s="231">
        <v>1</v>
      </c>
      <c r="N299" s="231">
        <v>1</v>
      </c>
      <c r="O299" s="231">
        <v>1</v>
      </c>
      <c r="P299" s="234"/>
      <c r="Q299" s="232" t="s">
        <v>1180</v>
      </c>
      <c r="R299" s="234" t="s">
        <v>332</v>
      </c>
      <c r="S299" s="235">
        <v>43678</v>
      </c>
      <c r="T299" s="235">
        <v>43717</v>
      </c>
      <c r="U299" s="234"/>
      <c r="V299" s="232" t="s">
        <v>321</v>
      </c>
      <c r="W299" s="231"/>
      <c r="X299" s="232" t="s">
        <v>322</v>
      </c>
      <c r="Y299" s="232" t="s">
        <v>378</v>
      </c>
      <c r="Z299" s="232" t="s">
        <v>324</v>
      </c>
      <c r="AA299" s="232" t="s">
        <v>28</v>
      </c>
      <c r="AB299" s="236">
        <v>5.0000000000000001E-3</v>
      </c>
      <c r="AC299" s="235">
        <v>45016</v>
      </c>
      <c r="AD299" s="234" t="s">
        <v>318</v>
      </c>
      <c r="AE299" s="234"/>
      <c r="AF299" s="232" t="s">
        <v>77</v>
      </c>
      <c r="AG299" s="232" t="s">
        <v>350</v>
      </c>
      <c r="AH299" s="234" t="s">
        <v>317</v>
      </c>
      <c r="AI299" s="250"/>
      <c r="AJ299" s="234">
        <v>0</v>
      </c>
      <c r="AK299" s="224"/>
      <c r="AL299" s="234">
        <v>0</v>
      </c>
      <c r="AM299" s="224"/>
      <c r="AN299" s="234">
        <v>0</v>
      </c>
      <c r="AO299" s="234">
        <v>0</v>
      </c>
      <c r="AP299" s="234">
        <v>1</v>
      </c>
      <c r="AQ299" s="234">
        <v>0</v>
      </c>
      <c r="AR299" s="234">
        <v>0</v>
      </c>
      <c r="AS299" s="234">
        <v>0</v>
      </c>
      <c r="AT299" s="234">
        <v>0</v>
      </c>
      <c r="AU299" s="234">
        <v>0</v>
      </c>
      <c r="AV299" s="234">
        <v>0</v>
      </c>
      <c r="AW299" s="234">
        <v>1</v>
      </c>
      <c r="AX299" s="234">
        <v>0</v>
      </c>
      <c r="AY299" s="234">
        <v>0</v>
      </c>
      <c r="AZ299" s="234">
        <v>0</v>
      </c>
      <c r="BA299" s="234">
        <v>0</v>
      </c>
      <c r="BB299" s="234">
        <v>0</v>
      </c>
      <c r="BC299" s="234">
        <v>0</v>
      </c>
      <c r="BD299" s="234">
        <v>0</v>
      </c>
      <c r="BE299" s="234">
        <v>0</v>
      </c>
      <c r="BF299" s="234">
        <v>0</v>
      </c>
      <c r="BG299" s="234">
        <v>0</v>
      </c>
      <c r="BH299" s="234">
        <v>0</v>
      </c>
      <c r="BI299" s="234">
        <v>0</v>
      </c>
      <c r="BJ299" s="234">
        <v>0</v>
      </c>
      <c r="BK299" s="234">
        <v>0</v>
      </c>
      <c r="BL299" s="234">
        <v>0</v>
      </c>
      <c r="BM299" s="234">
        <v>0</v>
      </c>
      <c r="BN299" s="234">
        <v>0</v>
      </c>
      <c r="BO299" s="234">
        <v>0</v>
      </c>
      <c r="BP299" s="234"/>
      <c r="BQ299" s="234"/>
      <c r="BR299" s="237" t="s">
        <v>154</v>
      </c>
      <c r="BS299" s="238">
        <v>14</v>
      </c>
      <c r="BU299" s="239">
        <f t="shared" si="23"/>
        <v>0.5</v>
      </c>
      <c r="BV299" s="239">
        <f t="shared" si="24"/>
        <v>0.5</v>
      </c>
      <c r="CN299" s="238">
        <f t="shared" si="20"/>
        <v>1</v>
      </c>
      <c r="CO299" s="238">
        <f t="shared" si="21"/>
        <v>1</v>
      </c>
    </row>
    <row r="300" spans="1:93" ht="13.95" customHeight="1" x14ac:dyDescent="0.2">
      <c r="A300" s="231">
        <v>3240</v>
      </c>
      <c r="B300" s="232" t="s">
        <v>848</v>
      </c>
      <c r="C300" s="232" t="s">
        <v>1181</v>
      </c>
      <c r="D300" s="232" t="s">
        <v>1182</v>
      </c>
      <c r="E300" s="232" t="s">
        <v>317</v>
      </c>
      <c r="F300" s="231">
        <v>527072</v>
      </c>
      <c r="G300" s="231">
        <v>176221</v>
      </c>
      <c r="H300" s="232" t="s">
        <v>174</v>
      </c>
      <c r="I300" s="233">
        <v>45016</v>
      </c>
      <c r="J300" s="231"/>
      <c r="K300" s="231">
        <v>0</v>
      </c>
      <c r="L300" s="231">
        <v>1</v>
      </c>
      <c r="M300" s="231">
        <v>1</v>
      </c>
      <c r="N300" s="231">
        <v>1</v>
      </c>
      <c r="O300" s="231">
        <v>1</v>
      </c>
      <c r="P300" s="234"/>
      <c r="Q300" s="232" t="s">
        <v>1183</v>
      </c>
      <c r="R300" s="234" t="s">
        <v>332</v>
      </c>
      <c r="S300" s="235">
        <v>44616</v>
      </c>
      <c r="T300" s="235">
        <v>44672</v>
      </c>
      <c r="U300" s="234" t="s">
        <v>318</v>
      </c>
      <c r="V300" s="232" t="s">
        <v>321</v>
      </c>
      <c r="W300" s="231"/>
      <c r="X300" s="232" t="s">
        <v>322</v>
      </c>
      <c r="Y300" s="232" t="s">
        <v>365</v>
      </c>
      <c r="Z300" s="232" t="s">
        <v>324</v>
      </c>
      <c r="AA300" s="232" t="s">
        <v>25</v>
      </c>
      <c r="AB300" s="236">
        <v>5.0000000000000001E-3</v>
      </c>
      <c r="AC300" s="235">
        <v>45016</v>
      </c>
      <c r="AD300" s="234" t="s">
        <v>318</v>
      </c>
      <c r="AE300" s="234"/>
      <c r="AF300" s="232" t="s">
        <v>77</v>
      </c>
      <c r="AG300" s="232" t="s">
        <v>350</v>
      </c>
      <c r="AH300" s="234" t="s">
        <v>317</v>
      </c>
      <c r="AI300" s="250"/>
      <c r="AJ300" s="234">
        <v>0</v>
      </c>
      <c r="AK300" s="224"/>
      <c r="AL300" s="234">
        <v>0</v>
      </c>
      <c r="AM300" s="224"/>
      <c r="AN300" s="234">
        <v>0</v>
      </c>
      <c r="AO300" s="234">
        <v>1</v>
      </c>
      <c r="AP300" s="234">
        <v>0</v>
      </c>
      <c r="AQ300" s="234">
        <v>0</v>
      </c>
      <c r="AR300" s="234">
        <v>0</v>
      </c>
      <c r="AS300" s="234">
        <v>0</v>
      </c>
      <c r="AT300" s="234">
        <v>0</v>
      </c>
      <c r="AU300" s="234">
        <v>0</v>
      </c>
      <c r="AV300" s="234">
        <v>1</v>
      </c>
      <c r="AW300" s="234">
        <v>0</v>
      </c>
      <c r="AX300" s="234">
        <v>0</v>
      </c>
      <c r="AY300" s="234">
        <v>0</v>
      </c>
      <c r="AZ300" s="234">
        <v>0</v>
      </c>
      <c r="BA300" s="234">
        <v>0</v>
      </c>
      <c r="BB300" s="234">
        <v>0</v>
      </c>
      <c r="BC300" s="234">
        <v>0</v>
      </c>
      <c r="BD300" s="234">
        <v>0</v>
      </c>
      <c r="BE300" s="234">
        <v>0</v>
      </c>
      <c r="BF300" s="234">
        <v>0</v>
      </c>
      <c r="BG300" s="234">
        <v>0</v>
      </c>
      <c r="BH300" s="234">
        <v>0</v>
      </c>
      <c r="BI300" s="234">
        <v>0</v>
      </c>
      <c r="BJ300" s="234">
        <v>0</v>
      </c>
      <c r="BK300" s="234">
        <v>0</v>
      </c>
      <c r="BL300" s="234">
        <v>0</v>
      </c>
      <c r="BM300" s="234">
        <v>0</v>
      </c>
      <c r="BN300" s="234">
        <v>0</v>
      </c>
      <c r="BO300" s="234">
        <v>0</v>
      </c>
      <c r="BP300" s="234"/>
      <c r="BQ300" s="234"/>
      <c r="BR300" s="237" t="s">
        <v>334</v>
      </c>
      <c r="BS300" s="238">
        <v>14</v>
      </c>
      <c r="BU300" s="239">
        <f t="shared" si="23"/>
        <v>0.5</v>
      </c>
      <c r="BV300" s="239">
        <f t="shared" si="24"/>
        <v>0.5</v>
      </c>
      <c r="CN300" s="238">
        <f t="shared" si="20"/>
        <v>1</v>
      </c>
      <c r="CO300" s="238">
        <f t="shared" si="21"/>
        <v>1</v>
      </c>
    </row>
    <row r="301" spans="1:93" ht="13.95" customHeight="1" x14ac:dyDescent="0.2">
      <c r="A301" s="231">
        <v>6825</v>
      </c>
      <c r="B301" s="232" t="s">
        <v>848</v>
      </c>
      <c r="C301" s="232" t="s">
        <v>1184</v>
      </c>
      <c r="D301" s="232" t="s">
        <v>1185</v>
      </c>
      <c r="E301" s="232" t="s">
        <v>317</v>
      </c>
      <c r="F301" s="231">
        <v>527310</v>
      </c>
      <c r="G301" s="231">
        <v>177159</v>
      </c>
      <c r="H301" s="232" t="s">
        <v>163</v>
      </c>
      <c r="I301" s="233">
        <v>45016</v>
      </c>
      <c r="J301" s="231"/>
      <c r="K301" s="231">
        <v>0</v>
      </c>
      <c r="L301" s="231">
        <v>1</v>
      </c>
      <c r="M301" s="231">
        <v>1</v>
      </c>
      <c r="N301" s="231">
        <v>1</v>
      </c>
      <c r="O301" s="231">
        <v>1</v>
      </c>
      <c r="P301" s="234"/>
      <c r="Q301" s="232" t="s">
        <v>1186</v>
      </c>
      <c r="R301" s="234" t="s">
        <v>428</v>
      </c>
      <c r="S301" s="235">
        <v>43151</v>
      </c>
      <c r="T301" s="235">
        <v>43195</v>
      </c>
      <c r="U301" s="234"/>
      <c r="V301" s="232" t="s">
        <v>321</v>
      </c>
      <c r="W301" s="231"/>
      <c r="X301" s="232" t="s">
        <v>322</v>
      </c>
      <c r="Y301" s="232" t="s">
        <v>378</v>
      </c>
      <c r="Z301" s="232" t="s">
        <v>324</v>
      </c>
      <c r="AA301" s="232" t="s">
        <v>28</v>
      </c>
      <c r="AB301" s="236">
        <v>1.0999999999999999E-2</v>
      </c>
      <c r="AC301" s="235">
        <v>45016</v>
      </c>
      <c r="AD301" s="234" t="s">
        <v>318</v>
      </c>
      <c r="AE301" s="234"/>
      <c r="AF301" s="232" t="s">
        <v>77</v>
      </c>
      <c r="AG301" s="232" t="s">
        <v>350</v>
      </c>
      <c r="AH301" s="234" t="s">
        <v>317</v>
      </c>
      <c r="AI301" s="250"/>
      <c r="AJ301" s="234">
        <v>0</v>
      </c>
      <c r="AK301" s="224"/>
      <c r="AL301" s="234">
        <v>0</v>
      </c>
      <c r="AM301" s="224"/>
      <c r="AN301" s="234">
        <v>0</v>
      </c>
      <c r="AO301" s="234">
        <v>0</v>
      </c>
      <c r="AP301" s="234">
        <v>1</v>
      </c>
      <c r="AQ301" s="234">
        <v>0</v>
      </c>
      <c r="AR301" s="234">
        <v>0</v>
      </c>
      <c r="AS301" s="234">
        <v>0</v>
      </c>
      <c r="AT301" s="234">
        <v>0</v>
      </c>
      <c r="AU301" s="234">
        <v>0</v>
      </c>
      <c r="AV301" s="234">
        <v>0</v>
      </c>
      <c r="AW301" s="234">
        <v>1</v>
      </c>
      <c r="AX301" s="234">
        <v>0</v>
      </c>
      <c r="AY301" s="234">
        <v>0</v>
      </c>
      <c r="AZ301" s="234">
        <v>0</v>
      </c>
      <c r="BA301" s="234">
        <v>0</v>
      </c>
      <c r="BB301" s="234">
        <v>0</v>
      </c>
      <c r="BC301" s="234">
        <v>0</v>
      </c>
      <c r="BD301" s="234">
        <v>0</v>
      </c>
      <c r="BE301" s="234">
        <v>0</v>
      </c>
      <c r="BF301" s="234">
        <v>0</v>
      </c>
      <c r="BG301" s="234">
        <v>0</v>
      </c>
      <c r="BH301" s="234">
        <v>0</v>
      </c>
      <c r="BI301" s="234">
        <v>0</v>
      </c>
      <c r="BJ301" s="234">
        <v>0</v>
      </c>
      <c r="BK301" s="234">
        <v>0</v>
      </c>
      <c r="BL301" s="234">
        <v>0</v>
      </c>
      <c r="BM301" s="234">
        <v>0</v>
      </c>
      <c r="BN301" s="234">
        <v>0</v>
      </c>
      <c r="BO301" s="234">
        <v>0</v>
      </c>
      <c r="BP301" s="234"/>
      <c r="BQ301" s="234"/>
      <c r="BR301" s="237" t="s">
        <v>481</v>
      </c>
      <c r="BS301" s="238">
        <v>14</v>
      </c>
      <c r="BU301" s="239">
        <f t="shared" si="23"/>
        <v>0.5</v>
      </c>
      <c r="BV301" s="239">
        <f t="shared" si="24"/>
        <v>0.5</v>
      </c>
      <c r="CN301" s="238">
        <f t="shared" si="20"/>
        <v>1</v>
      </c>
      <c r="CO301" s="238">
        <f t="shared" si="21"/>
        <v>1</v>
      </c>
    </row>
    <row r="302" spans="1:93" ht="13.95" customHeight="1" x14ac:dyDescent="0.2">
      <c r="A302" s="231">
        <v>7794</v>
      </c>
      <c r="B302" s="232" t="s">
        <v>848</v>
      </c>
      <c r="C302" s="232" t="s">
        <v>1187</v>
      </c>
      <c r="D302" s="232" t="s">
        <v>1188</v>
      </c>
      <c r="E302" s="232" t="s">
        <v>317</v>
      </c>
      <c r="F302" s="231">
        <v>527039</v>
      </c>
      <c r="G302" s="231">
        <v>176160</v>
      </c>
      <c r="H302" s="232" t="s">
        <v>174</v>
      </c>
      <c r="I302" s="233">
        <v>44946</v>
      </c>
      <c r="J302" s="231"/>
      <c r="K302" s="231">
        <v>1</v>
      </c>
      <c r="L302" s="231">
        <v>2</v>
      </c>
      <c r="M302" s="231">
        <v>1</v>
      </c>
      <c r="N302" s="231">
        <v>2</v>
      </c>
      <c r="O302" s="231">
        <v>1</v>
      </c>
      <c r="P302" s="234"/>
      <c r="Q302" s="232" t="s">
        <v>1189</v>
      </c>
      <c r="R302" s="234" t="s">
        <v>332</v>
      </c>
      <c r="S302" s="235">
        <v>44624</v>
      </c>
      <c r="T302" s="235">
        <v>44734</v>
      </c>
      <c r="U302" s="234" t="s">
        <v>318</v>
      </c>
      <c r="V302" s="232" t="s">
        <v>321</v>
      </c>
      <c r="W302" s="231"/>
      <c r="X302" s="232" t="s">
        <v>322</v>
      </c>
      <c r="Y302" s="232" t="s">
        <v>338</v>
      </c>
      <c r="Z302" s="232" t="s">
        <v>324</v>
      </c>
      <c r="AA302" s="232" t="s">
        <v>411</v>
      </c>
      <c r="AB302" s="236">
        <v>4.7000000000000002E-3</v>
      </c>
      <c r="AC302" s="235">
        <v>44946</v>
      </c>
      <c r="AD302" s="234" t="s">
        <v>318</v>
      </c>
      <c r="AE302" s="234"/>
      <c r="AF302" s="232" t="s">
        <v>77</v>
      </c>
      <c r="AG302" s="232" t="s">
        <v>350</v>
      </c>
      <c r="AH302" s="234" t="s">
        <v>317</v>
      </c>
      <c r="AI302" s="250"/>
      <c r="AJ302" s="234">
        <v>0</v>
      </c>
      <c r="AK302" s="224"/>
      <c r="AL302" s="234">
        <v>0</v>
      </c>
      <c r="AM302" s="224"/>
      <c r="AN302" s="234">
        <v>0</v>
      </c>
      <c r="AO302" s="234">
        <v>1</v>
      </c>
      <c r="AP302" s="234">
        <v>1</v>
      </c>
      <c r="AQ302" s="234">
        <v>0</v>
      </c>
      <c r="AR302" s="234">
        <v>-1</v>
      </c>
      <c r="AS302" s="234">
        <v>0</v>
      </c>
      <c r="AT302" s="234">
        <v>0</v>
      </c>
      <c r="AU302" s="234">
        <v>0</v>
      </c>
      <c r="AV302" s="234">
        <v>1</v>
      </c>
      <c r="AW302" s="234">
        <v>1</v>
      </c>
      <c r="AX302" s="234">
        <v>0</v>
      </c>
      <c r="AY302" s="234">
        <v>-1</v>
      </c>
      <c r="AZ302" s="234">
        <v>0</v>
      </c>
      <c r="BA302" s="234">
        <v>0</v>
      </c>
      <c r="BB302" s="234">
        <v>0</v>
      </c>
      <c r="BC302" s="234">
        <v>0</v>
      </c>
      <c r="BD302" s="234">
        <v>0</v>
      </c>
      <c r="BE302" s="234">
        <v>0</v>
      </c>
      <c r="BF302" s="234">
        <v>0</v>
      </c>
      <c r="BG302" s="234">
        <v>0</v>
      </c>
      <c r="BH302" s="234">
        <v>0</v>
      </c>
      <c r="BI302" s="234">
        <v>0</v>
      </c>
      <c r="BJ302" s="234">
        <v>0</v>
      </c>
      <c r="BK302" s="234">
        <v>0</v>
      </c>
      <c r="BL302" s="234">
        <v>0</v>
      </c>
      <c r="BM302" s="234">
        <v>0</v>
      </c>
      <c r="BN302" s="234">
        <v>0</v>
      </c>
      <c r="BO302" s="234">
        <v>0</v>
      </c>
      <c r="BP302" s="234"/>
      <c r="BQ302" s="234"/>
      <c r="BR302" s="237" t="s">
        <v>334</v>
      </c>
      <c r="BS302" s="238">
        <v>14</v>
      </c>
      <c r="BU302" s="239">
        <f t="shared" si="23"/>
        <v>0.5</v>
      </c>
      <c r="BV302" s="239">
        <f t="shared" si="24"/>
        <v>0.5</v>
      </c>
      <c r="CN302" s="238">
        <f t="shared" si="20"/>
        <v>1</v>
      </c>
      <c r="CO302" s="238">
        <f t="shared" si="21"/>
        <v>1</v>
      </c>
    </row>
    <row r="303" spans="1:93" ht="13.95" customHeight="1" x14ac:dyDescent="0.2">
      <c r="A303" s="231">
        <v>7631</v>
      </c>
      <c r="B303" s="232" t="s">
        <v>848</v>
      </c>
      <c r="C303" s="232" t="s">
        <v>1190</v>
      </c>
      <c r="D303" s="232" t="s">
        <v>1191</v>
      </c>
      <c r="E303" s="232" t="s">
        <v>317</v>
      </c>
      <c r="F303" s="231">
        <v>527889</v>
      </c>
      <c r="G303" s="231">
        <v>171463</v>
      </c>
      <c r="H303" s="232" t="s">
        <v>176</v>
      </c>
      <c r="I303" s="233">
        <v>44510</v>
      </c>
      <c r="J303" s="231"/>
      <c r="K303" s="231">
        <v>1</v>
      </c>
      <c r="L303" s="231">
        <v>1</v>
      </c>
      <c r="M303" s="231">
        <v>0</v>
      </c>
      <c r="N303" s="231">
        <v>1</v>
      </c>
      <c r="O303" s="231">
        <v>0</v>
      </c>
      <c r="P303" s="234"/>
      <c r="Q303" s="232" t="s">
        <v>1192</v>
      </c>
      <c r="R303" s="234" t="s">
        <v>673</v>
      </c>
      <c r="S303" s="235">
        <v>44286</v>
      </c>
      <c r="T303" s="235">
        <v>44341</v>
      </c>
      <c r="U303" s="234"/>
      <c r="V303" s="232" t="s">
        <v>321</v>
      </c>
      <c r="W303" s="231"/>
      <c r="X303" s="232" t="s">
        <v>322</v>
      </c>
      <c r="Y303" s="232" t="s">
        <v>365</v>
      </c>
      <c r="Z303" s="232" t="s">
        <v>324</v>
      </c>
      <c r="AA303" s="232" t="s">
        <v>15</v>
      </c>
      <c r="AB303" s="236">
        <v>3.4659999999999999E-3</v>
      </c>
      <c r="AC303" s="235">
        <v>44510</v>
      </c>
      <c r="AD303" s="234"/>
      <c r="AE303" s="235"/>
      <c r="AF303" s="232" t="s">
        <v>77</v>
      </c>
      <c r="AG303" s="232" t="s">
        <v>340</v>
      </c>
      <c r="AH303" s="234" t="s">
        <v>317</v>
      </c>
      <c r="AI303" s="250"/>
      <c r="AJ303" s="234">
        <v>0</v>
      </c>
      <c r="AK303" s="224"/>
      <c r="AL303" s="234">
        <v>0</v>
      </c>
      <c r="AM303" s="224"/>
      <c r="AN303" s="234">
        <v>0</v>
      </c>
      <c r="AO303" s="234">
        <v>0</v>
      </c>
      <c r="AP303" s="234">
        <v>0</v>
      </c>
      <c r="AQ303" s="234">
        <v>0</v>
      </c>
      <c r="AR303" s="234">
        <v>-1</v>
      </c>
      <c r="AS303" s="234">
        <v>1</v>
      </c>
      <c r="AT303" s="234">
        <v>0</v>
      </c>
      <c r="AU303" s="234">
        <v>0</v>
      </c>
      <c r="AV303" s="234">
        <v>0</v>
      </c>
      <c r="AW303" s="234">
        <v>0</v>
      </c>
      <c r="AX303" s="234">
        <v>0</v>
      </c>
      <c r="AY303" s="234">
        <v>0</v>
      </c>
      <c r="AZ303" s="234">
        <v>0</v>
      </c>
      <c r="BA303" s="234">
        <v>0</v>
      </c>
      <c r="BB303" s="234">
        <v>0</v>
      </c>
      <c r="BC303" s="234">
        <v>0</v>
      </c>
      <c r="BD303" s="234">
        <v>0</v>
      </c>
      <c r="BE303" s="234">
        <v>0</v>
      </c>
      <c r="BF303" s="234">
        <v>-1</v>
      </c>
      <c r="BG303" s="234">
        <v>1</v>
      </c>
      <c r="BH303" s="234">
        <v>0</v>
      </c>
      <c r="BI303" s="234">
        <v>0</v>
      </c>
      <c r="BJ303" s="234">
        <v>0</v>
      </c>
      <c r="BK303" s="234">
        <v>0</v>
      </c>
      <c r="BL303" s="234">
        <v>0</v>
      </c>
      <c r="BM303" s="234">
        <v>0</v>
      </c>
      <c r="BN303" s="234">
        <v>0</v>
      </c>
      <c r="BO303" s="234">
        <v>0</v>
      </c>
      <c r="BP303" s="234"/>
      <c r="BQ303" s="234"/>
      <c r="BR303" s="237" t="s">
        <v>334</v>
      </c>
      <c r="BS303" s="238">
        <v>13</v>
      </c>
      <c r="BU303" s="239">
        <f>M303</f>
        <v>0</v>
      </c>
      <c r="CN303" s="238">
        <f t="shared" si="20"/>
        <v>0</v>
      </c>
      <c r="CO303" s="238">
        <f t="shared" si="21"/>
        <v>0</v>
      </c>
    </row>
    <row r="304" spans="1:93" ht="13.95" customHeight="1" x14ac:dyDescent="0.2">
      <c r="A304" s="231">
        <v>6667</v>
      </c>
      <c r="B304" s="232" t="s">
        <v>848</v>
      </c>
      <c r="C304" s="232" t="s">
        <v>1193</v>
      </c>
      <c r="D304" s="232" t="s">
        <v>1194</v>
      </c>
      <c r="E304" s="232" t="s">
        <v>317</v>
      </c>
      <c r="F304" s="231">
        <v>524795</v>
      </c>
      <c r="G304" s="231">
        <v>174423</v>
      </c>
      <c r="H304" s="232" t="s">
        <v>164</v>
      </c>
      <c r="I304" s="233">
        <v>44334</v>
      </c>
      <c r="J304" s="231"/>
      <c r="K304" s="231">
        <v>1</v>
      </c>
      <c r="L304" s="231">
        <v>1</v>
      </c>
      <c r="M304" s="231">
        <v>0</v>
      </c>
      <c r="N304" s="231">
        <v>1</v>
      </c>
      <c r="O304" s="231">
        <v>0</v>
      </c>
      <c r="P304" s="234"/>
      <c r="Q304" s="232" t="s">
        <v>1195</v>
      </c>
      <c r="R304" s="234" t="s">
        <v>332</v>
      </c>
      <c r="S304" s="235">
        <v>42949</v>
      </c>
      <c r="T304" s="235">
        <v>43063</v>
      </c>
      <c r="U304" s="234"/>
      <c r="V304" s="232" t="s">
        <v>321</v>
      </c>
      <c r="W304" s="231"/>
      <c r="X304" s="232" t="s">
        <v>322</v>
      </c>
      <c r="Y304" s="232" t="s">
        <v>323</v>
      </c>
      <c r="Z304" s="232" t="s">
        <v>324</v>
      </c>
      <c r="AA304" s="232" t="s">
        <v>349</v>
      </c>
      <c r="AB304" s="236">
        <v>4.2999999999999997E-2</v>
      </c>
      <c r="AC304" s="235">
        <v>44334</v>
      </c>
      <c r="AD304" s="234"/>
      <c r="AE304" s="234"/>
      <c r="AF304" s="232" t="s">
        <v>77</v>
      </c>
      <c r="AG304" s="232" t="s">
        <v>350</v>
      </c>
      <c r="AH304" s="234" t="s">
        <v>317</v>
      </c>
      <c r="AI304" s="250"/>
      <c r="AJ304" s="234">
        <v>0</v>
      </c>
      <c r="AK304" s="224"/>
      <c r="AL304" s="234">
        <v>0</v>
      </c>
      <c r="AM304" s="224"/>
      <c r="AN304" s="234">
        <v>0</v>
      </c>
      <c r="AO304" s="234">
        <v>0</v>
      </c>
      <c r="AP304" s="234">
        <v>0</v>
      </c>
      <c r="AQ304" s="234">
        <v>0</v>
      </c>
      <c r="AR304" s="234">
        <v>1</v>
      </c>
      <c r="AS304" s="234">
        <v>-1</v>
      </c>
      <c r="AT304" s="234">
        <v>0</v>
      </c>
      <c r="AU304" s="234">
        <v>0</v>
      </c>
      <c r="AV304" s="234">
        <v>0</v>
      </c>
      <c r="AW304" s="234">
        <v>0</v>
      </c>
      <c r="AX304" s="234">
        <v>0</v>
      </c>
      <c r="AY304" s="234">
        <v>0</v>
      </c>
      <c r="AZ304" s="234">
        <v>0</v>
      </c>
      <c r="BA304" s="234">
        <v>0</v>
      </c>
      <c r="BB304" s="234">
        <v>0</v>
      </c>
      <c r="BC304" s="234">
        <v>0</v>
      </c>
      <c r="BD304" s="234">
        <v>0</v>
      </c>
      <c r="BE304" s="234">
        <v>0</v>
      </c>
      <c r="BF304" s="234">
        <v>1</v>
      </c>
      <c r="BG304" s="234">
        <v>-1</v>
      </c>
      <c r="BH304" s="234">
        <v>0</v>
      </c>
      <c r="BI304" s="234">
        <v>0</v>
      </c>
      <c r="BJ304" s="234">
        <v>0</v>
      </c>
      <c r="BK304" s="234">
        <v>0</v>
      </c>
      <c r="BL304" s="234">
        <v>0</v>
      </c>
      <c r="BM304" s="234">
        <v>0</v>
      </c>
      <c r="BN304" s="234">
        <v>0</v>
      </c>
      <c r="BO304" s="234">
        <v>0</v>
      </c>
      <c r="BP304" s="234"/>
      <c r="BQ304" s="234"/>
      <c r="BR304" s="237" t="s">
        <v>334</v>
      </c>
      <c r="BS304" s="238">
        <v>3</v>
      </c>
      <c r="BU304" s="239">
        <f>M304</f>
        <v>0</v>
      </c>
      <c r="CN304" s="238">
        <f t="shared" si="20"/>
        <v>0</v>
      </c>
      <c r="CO304" s="238">
        <f t="shared" si="21"/>
        <v>0</v>
      </c>
    </row>
    <row r="305" spans="1:93" ht="13.95" customHeight="1" x14ac:dyDescent="0.2">
      <c r="A305" s="231">
        <v>7212</v>
      </c>
      <c r="B305" s="232" t="s">
        <v>848</v>
      </c>
      <c r="C305" s="232" t="s">
        <v>1196</v>
      </c>
      <c r="D305" s="232" t="s">
        <v>1197</v>
      </c>
      <c r="E305" s="232" t="s">
        <v>317</v>
      </c>
      <c r="F305" s="231">
        <v>521190</v>
      </c>
      <c r="G305" s="231">
        <v>174507</v>
      </c>
      <c r="H305" s="232" t="s">
        <v>170</v>
      </c>
      <c r="I305" s="233">
        <v>44718</v>
      </c>
      <c r="J305" s="231"/>
      <c r="K305" s="231">
        <v>1</v>
      </c>
      <c r="L305" s="231">
        <v>1</v>
      </c>
      <c r="M305" s="231">
        <v>0</v>
      </c>
      <c r="N305" s="231">
        <v>1</v>
      </c>
      <c r="O305" s="231">
        <v>0</v>
      </c>
      <c r="P305" s="234"/>
      <c r="Q305" s="232" t="s">
        <v>1198</v>
      </c>
      <c r="R305" s="234" t="s">
        <v>332</v>
      </c>
      <c r="S305" s="235">
        <v>44189</v>
      </c>
      <c r="T305" s="235">
        <v>44245</v>
      </c>
      <c r="U305" s="234"/>
      <c r="V305" s="232" t="s">
        <v>321</v>
      </c>
      <c r="W305" s="231"/>
      <c r="X305" s="232" t="s">
        <v>322</v>
      </c>
      <c r="Y305" s="232" t="s">
        <v>323</v>
      </c>
      <c r="Z305" s="232" t="s">
        <v>324</v>
      </c>
      <c r="AA305" s="232" t="s">
        <v>349</v>
      </c>
      <c r="AB305" s="236">
        <v>0.126</v>
      </c>
      <c r="AC305" s="235">
        <v>44718</v>
      </c>
      <c r="AD305" s="234" t="s">
        <v>318</v>
      </c>
      <c r="AE305" s="234"/>
      <c r="AF305" s="232" t="s">
        <v>77</v>
      </c>
      <c r="AG305" s="232" t="s">
        <v>350</v>
      </c>
      <c r="AH305" s="234" t="s">
        <v>317</v>
      </c>
      <c r="AI305" s="250"/>
      <c r="AJ305" s="234">
        <v>0</v>
      </c>
      <c r="AK305" s="224"/>
      <c r="AL305" s="234">
        <v>0</v>
      </c>
      <c r="AM305" s="224"/>
      <c r="AN305" s="234">
        <v>0</v>
      </c>
      <c r="AO305" s="234">
        <v>0</v>
      </c>
      <c r="AP305" s="234">
        <v>0</v>
      </c>
      <c r="AQ305" s="234">
        <v>0</v>
      </c>
      <c r="AR305" s="234">
        <v>0</v>
      </c>
      <c r="AS305" s="234">
        <v>0</v>
      </c>
      <c r="AT305" s="234">
        <v>0</v>
      </c>
      <c r="AU305" s="234">
        <v>0</v>
      </c>
      <c r="AV305" s="234">
        <v>0</v>
      </c>
      <c r="AW305" s="234">
        <v>0</v>
      </c>
      <c r="AX305" s="234">
        <v>0</v>
      </c>
      <c r="AY305" s="234">
        <v>0</v>
      </c>
      <c r="AZ305" s="234">
        <v>0</v>
      </c>
      <c r="BA305" s="234">
        <v>0</v>
      </c>
      <c r="BB305" s="234">
        <v>0</v>
      </c>
      <c r="BC305" s="234">
        <v>0</v>
      </c>
      <c r="BD305" s="234">
        <v>0</v>
      </c>
      <c r="BE305" s="234">
        <v>0</v>
      </c>
      <c r="BF305" s="234">
        <v>0</v>
      </c>
      <c r="BG305" s="234">
        <v>0</v>
      </c>
      <c r="BH305" s="234">
        <v>0</v>
      </c>
      <c r="BI305" s="234">
        <v>0</v>
      </c>
      <c r="BJ305" s="234">
        <v>0</v>
      </c>
      <c r="BK305" s="234">
        <v>0</v>
      </c>
      <c r="BL305" s="234">
        <v>0</v>
      </c>
      <c r="BM305" s="234">
        <v>0</v>
      </c>
      <c r="BN305" s="234">
        <v>0</v>
      </c>
      <c r="BO305" s="234">
        <v>0</v>
      </c>
      <c r="BP305" s="234"/>
      <c r="BQ305" s="234"/>
      <c r="BR305" s="237" t="s">
        <v>334</v>
      </c>
      <c r="BS305" s="238">
        <v>3</v>
      </c>
      <c r="BU305" s="239">
        <f>M305</f>
        <v>0</v>
      </c>
      <c r="CN305" s="238">
        <f t="shared" si="20"/>
        <v>0</v>
      </c>
      <c r="CO305" s="238">
        <f t="shared" si="21"/>
        <v>0</v>
      </c>
    </row>
    <row r="306" spans="1:93" ht="13.95" customHeight="1" x14ac:dyDescent="0.2">
      <c r="A306" s="231">
        <v>4944</v>
      </c>
      <c r="B306" s="232" t="s">
        <v>848</v>
      </c>
      <c r="C306" s="232" t="s">
        <v>1199</v>
      </c>
      <c r="D306" s="232" t="s">
        <v>1200</v>
      </c>
      <c r="E306" s="232" t="s">
        <v>317</v>
      </c>
      <c r="F306" s="231">
        <v>528817</v>
      </c>
      <c r="G306" s="231">
        <v>173818</v>
      </c>
      <c r="H306" s="232" t="s">
        <v>141</v>
      </c>
      <c r="I306" s="233">
        <v>44651</v>
      </c>
      <c r="J306" s="231"/>
      <c r="K306" s="231">
        <v>1</v>
      </c>
      <c r="L306" s="231">
        <v>1</v>
      </c>
      <c r="M306" s="231">
        <v>0</v>
      </c>
      <c r="N306" s="231">
        <v>1</v>
      </c>
      <c r="O306" s="231">
        <v>0</v>
      </c>
      <c r="P306" s="234"/>
      <c r="Q306" s="232" t="s">
        <v>1201</v>
      </c>
      <c r="R306" s="234" t="s">
        <v>332</v>
      </c>
      <c r="S306" s="235">
        <v>44368</v>
      </c>
      <c r="T306" s="235">
        <v>44424</v>
      </c>
      <c r="U306" s="234"/>
      <c r="V306" s="232" t="s">
        <v>321</v>
      </c>
      <c r="W306" s="231"/>
      <c r="X306" s="232" t="s">
        <v>322</v>
      </c>
      <c r="Y306" s="232" t="s">
        <v>338</v>
      </c>
      <c r="Z306" s="232" t="s">
        <v>324</v>
      </c>
      <c r="AA306" s="232" t="s">
        <v>25</v>
      </c>
      <c r="AB306" s="236">
        <v>3.0000000000000001E-3</v>
      </c>
      <c r="AC306" s="235">
        <v>44651</v>
      </c>
      <c r="AD306" s="234"/>
      <c r="AE306" s="234"/>
      <c r="AF306" s="232" t="s">
        <v>77</v>
      </c>
      <c r="AG306" s="232" t="s">
        <v>350</v>
      </c>
      <c r="AH306" s="234" t="s">
        <v>317</v>
      </c>
      <c r="AI306" s="250"/>
      <c r="AJ306" s="234">
        <v>0</v>
      </c>
      <c r="AK306" s="224"/>
      <c r="AL306" s="234">
        <v>0</v>
      </c>
      <c r="AM306" s="224"/>
      <c r="AN306" s="234">
        <v>0</v>
      </c>
      <c r="AO306" s="234">
        <v>-1</v>
      </c>
      <c r="AP306" s="234">
        <v>1</v>
      </c>
      <c r="AQ306" s="234">
        <v>0</v>
      </c>
      <c r="AR306" s="234">
        <v>0</v>
      </c>
      <c r="AS306" s="234">
        <v>0</v>
      </c>
      <c r="AT306" s="234">
        <v>0</v>
      </c>
      <c r="AU306" s="234">
        <v>0</v>
      </c>
      <c r="AV306" s="234">
        <v>-1</v>
      </c>
      <c r="AW306" s="234">
        <v>1</v>
      </c>
      <c r="AX306" s="234">
        <v>0</v>
      </c>
      <c r="AY306" s="234">
        <v>0</v>
      </c>
      <c r="AZ306" s="234">
        <v>0</v>
      </c>
      <c r="BA306" s="234">
        <v>0</v>
      </c>
      <c r="BB306" s="234">
        <v>0</v>
      </c>
      <c r="BC306" s="234">
        <v>0</v>
      </c>
      <c r="BD306" s="234">
        <v>0</v>
      </c>
      <c r="BE306" s="234">
        <v>0</v>
      </c>
      <c r="BF306" s="234">
        <v>0</v>
      </c>
      <c r="BG306" s="234">
        <v>0</v>
      </c>
      <c r="BH306" s="234">
        <v>0</v>
      </c>
      <c r="BI306" s="234">
        <v>0</v>
      </c>
      <c r="BJ306" s="234">
        <v>0</v>
      </c>
      <c r="BK306" s="234">
        <v>0</v>
      </c>
      <c r="BL306" s="234">
        <v>0</v>
      </c>
      <c r="BM306" s="234">
        <v>0</v>
      </c>
      <c r="BN306" s="234">
        <v>0</v>
      </c>
      <c r="BO306" s="234">
        <v>0</v>
      </c>
      <c r="BP306" s="234"/>
      <c r="BQ306" s="234"/>
      <c r="BR306" s="237" t="s">
        <v>334</v>
      </c>
      <c r="BS306" s="238">
        <v>13</v>
      </c>
      <c r="BU306" s="239">
        <f>M306</f>
        <v>0</v>
      </c>
      <c r="CN306" s="238">
        <f t="shared" si="20"/>
        <v>0</v>
      </c>
      <c r="CO306" s="238">
        <f t="shared" si="21"/>
        <v>0</v>
      </c>
    </row>
    <row r="307" spans="1:93" ht="13.95" customHeight="1" x14ac:dyDescent="0.2">
      <c r="A307" s="231">
        <v>4084</v>
      </c>
      <c r="B307" s="232" t="s">
        <v>848</v>
      </c>
      <c r="C307" s="232" t="s">
        <v>1052</v>
      </c>
      <c r="D307" s="232" t="s">
        <v>1053</v>
      </c>
      <c r="E307" s="232" t="s">
        <v>317</v>
      </c>
      <c r="F307" s="231">
        <v>527971</v>
      </c>
      <c r="G307" s="231">
        <v>172408</v>
      </c>
      <c r="H307" s="232" t="s">
        <v>178</v>
      </c>
      <c r="I307" s="233">
        <v>43210</v>
      </c>
      <c r="J307" s="231"/>
      <c r="K307" s="231">
        <v>1</v>
      </c>
      <c r="L307" s="231">
        <v>1</v>
      </c>
      <c r="M307" s="231">
        <v>0</v>
      </c>
      <c r="N307" s="231">
        <v>3</v>
      </c>
      <c r="O307" s="231">
        <v>2</v>
      </c>
      <c r="P307" s="234"/>
      <c r="Q307" s="232" t="s">
        <v>1054</v>
      </c>
      <c r="R307" s="234" t="s">
        <v>332</v>
      </c>
      <c r="S307" s="235">
        <v>43115</v>
      </c>
      <c r="T307" s="235">
        <v>43210</v>
      </c>
      <c r="U307" s="234"/>
      <c r="V307" s="232" t="s">
        <v>321</v>
      </c>
      <c r="W307" s="231"/>
      <c r="X307" s="232" t="s">
        <v>322</v>
      </c>
      <c r="Y307" s="232" t="s">
        <v>338</v>
      </c>
      <c r="Z307" s="232" t="s">
        <v>324</v>
      </c>
      <c r="AA307" s="232" t="s">
        <v>411</v>
      </c>
      <c r="AB307" s="236">
        <v>3.0000000000000001E-3</v>
      </c>
      <c r="AC307" s="235">
        <v>43210</v>
      </c>
      <c r="AD307" s="234"/>
      <c r="AE307" s="235"/>
      <c r="AF307" s="232" t="s">
        <v>77</v>
      </c>
      <c r="AG307" s="232" t="s">
        <v>350</v>
      </c>
      <c r="AH307" s="234" t="s">
        <v>317</v>
      </c>
      <c r="AI307" s="250"/>
      <c r="AJ307" s="234">
        <v>0</v>
      </c>
      <c r="AK307" s="224"/>
      <c r="AL307" s="234">
        <v>0</v>
      </c>
      <c r="AM307" s="224"/>
      <c r="AN307" s="234">
        <v>-1</v>
      </c>
      <c r="AO307" s="234">
        <v>1</v>
      </c>
      <c r="AP307" s="234">
        <v>0</v>
      </c>
      <c r="AQ307" s="234">
        <v>0</v>
      </c>
      <c r="AR307" s="234">
        <v>0</v>
      </c>
      <c r="AS307" s="234">
        <v>0</v>
      </c>
      <c r="AT307" s="234">
        <v>0</v>
      </c>
      <c r="AU307" s="234">
        <v>-1</v>
      </c>
      <c r="AV307" s="234">
        <v>1</v>
      </c>
      <c r="AW307" s="234">
        <v>0</v>
      </c>
      <c r="AX307" s="234">
        <v>0</v>
      </c>
      <c r="AY307" s="234">
        <v>0</v>
      </c>
      <c r="AZ307" s="234">
        <v>0</v>
      </c>
      <c r="BA307" s="234">
        <v>0</v>
      </c>
      <c r="BB307" s="234">
        <v>0</v>
      </c>
      <c r="BC307" s="234">
        <v>0</v>
      </c>
      <c r="BD307" s="234">
        <v>0</v>
      </c>
      <c r="BE307" s="234">
        <v>0</v>
      </c>
      <c r="BF307" s="234">
        <v>0</v>
      </c>
      <c r="BG307" s="234">
        <v>0</v>
      </c>
      <c r="BH307" s="234">
        <v>0</v>
      </c>
      <c r="BI307" s="234">
        <v>0</v>
      </c>
      <c r="BJ307" s="234">
        <v>0</v>
      </c>
      <c r="BK307" s="234">
        <v>0</v>
      </c>
      <c r="BL307" s="234">
        <v>0</v>
      </c>
      <c r="BM307" s="234">
        <v>0</v>
      </c>
      <c r="BN307" s="234">
        <v>0</v>
      </c>
      <c r="BO307" s="234">
        <v>0</v>
      </c>
      <c r="BP307" s="234"/>
      <c r="BQ307" s="234"/>
      <c r="BR307" s="237" t="s">
        <v>334</v>
      </c>
      <c r="BS307" s="238">
        <v>13</v>
      </c>
      <c r="BU307" s="239">
        <f>M307</f>
        <v>0</v>
      </c>
      <c r="CN307" s="238">
        <f t="shared" si="20"/>
        <v>0</v>
      </c>
      <c r="CO307" s="238">
        <f t="shared" si="21"/>
        <v>0</v>
      </c>
    </row>
    <row r="308" spans="1:93" ht="13.95" customHeight="1" x14ac:dyDescent="0.2">
      <c r="A308" s="231">
        <v>7737</v>
      </c>
      <c r="B308" s="232" t="s">
        <v>848</v>
      </c>
      <c r="C308" s="232" t="s">
        <v>1202</v>
      </c>
      <c r="D308" s="232" t="s">
        <v>1203</v>
      </c>
      <c r="E308" s="232" t="s">
        <v>317</v>
      </c>
      <c r="F308" s="231">
        <v>527150</v>
      </c>
      <c r="G308" s="231">
        <v>176534</v>
      </c>
      <c r="H308" s="232" t="s">
        <v>174</v>
      </c>
      <c r="I308" s="233">
        <v>45016</v>
      </c>
      <c r="J308" s="231"/>
      <c r="K308" s="231">
        <v>1</v>
      </c>
      <c r="L308" s="231">
        <v>1</v>
      </c>
      <c r="M308" s="231">
        <v>0</v>
      </c>
      <c r="N308" s="231">
        <v>1</v>
      </c>
      <c r="O308" s="231">
        <v>0</v>
      </c>
      <c r="P308" s="234"/>
      <c r="Q308" s="232" t="s">
        <v>1204</v>
      </c>
      <c r="R308" s="234" t="s">
        <v>332</v>
      </c>
      <c r="S308" s="235">
        <v>44404</v>
      </c>
      <c r="T308" s="235">
        <v>44621</v>
      </c>
      <c r="U308" s="234"/>
      <c r="V308" s="232" t="s">
        <v>321</v>
      </c>
      <c r="W308" s="231"/>
      <c r="X308" s="232" t="s">
        <v>322</v>
      </c>
      <c r="Y308" s="232" t="s">
        <v>323</v>
      </c>
      <c r="Z308" s="232" t="s">
        <v>324</v>
      </c>
      <c r="AA308" s="232" t="s">
        <v>349</v>
      </c>
      <c r="AB308" s="236">
        <v>8.9999999999999993E-3</v>
      </c>
      <c r="AC308" s="235">
        <v>45016</v>
      </c>
      <c r="AD308" s="234" t="s">
        <v>318</v>
      </c>
      <c r="AE308" s="234"/>
      <c r="AF308" s="232" t="s">
        <v>77</v>
      </c>
      <c r="AG308" s="232" t="s">
        <v>350</v>
      </c>
      <c r="AH308" s="234" t="s">
        <v>317</v>
      </c>
      <c r="AI308" s="250"/>
      <c r="AJ308" s="234">
        <v>0</v>
      </c>
      <c r="AK308" s="224"/>
      <c r="AL308" s="234">
        <v>0</v>
      </c>
      <c r="AM308" s="224"/>
      <c r="AN308" s="234">
        <v>0</v>
      </c>
      <c r="AO308" s="234">
        <v>0</v>
      </c>
      <c r="AP308" s="234">
        <v>0</v>
      </c>
      <c r="AQ308" s="234">
        <v>0</v>
      </c>
      <c r="AR308" s="234">
        <v>0</v>
      </c>
      <c r="AS308" s="234">
        <v>0</v>
      </c>
      <c r="AT308" s="234">
        <v>0</v>
      </c>
      <c r="AU308" s="234">
        <v>0</v>
      </c>
      <c r="AV308" s="234">
        <v>0</v>
      </c>
      <c r="AW308" s="234">
        <v>0</v>
      </c>
      <c r="AX308" s="234">
        <v>0</v>
      </c>
      <c r="AY308" s="234">
        <v>0</v>
      </c>
      <c r="AZ308" s="234">
        <v>0</v>
      </c>
      <c r="BA308" s="234">
        <v>0</v>
      </c>
      <c r="BB308" s="234">
        <v>0</v>
      </c>
      <c r="BC308" s="234">
        <v>0</v>
      </c>
      <c r="BD308" s="234">
        <v>0</v>
      </c>
      <c r="BE308" s="234">
        <v>0</v>
      </c>
      <c r="BF308" s="234">
        <v>0</v>
      </c>
      <c r="BG308" s="234">
        <v>0</v>
      </c>
      <c r="BH308" s="234">
        <v>0</v>
      </c>
      <c r="BI308" s="234">
        <v>0</v>
      </c>
      <c r="BJ308" s="234">
        <v>0</v>
      </c>
      <c r="BK308" s="234">
        <v>0</v>
      </c>
      <c r="BL308" s="234">
        <v>0</v>
      </c>
      <c r="BM308" s="234">
        <v>0</v>
      </c>
      <c r="BN308" s="234">
        <v>0</v>
      </c>
      <c r="BO308" s="234">
        <v>0</v>
      </c>
      <c r="BP308" s="234"/>
      <c r="BQ308" s="234"/>
      <c r="BR308" s="237" t="s">
        <v>334</v>
      </c>
      <c r="BS308" s="238">
        <v>4</v>
      </c>
      <c r="BU308" s="239">
        <f>M308/2</f>
        <v>0</v>
      </c>
      <c r="BV308" s="239">
        <f>M308/2</f>
        <v>0</v>
      </c>
      <c r="CN308" s="238">
        <f t="shared" si="20"/>
        <v>0</v>
      </c>
      <c r="CO308" s="238">
        <f t="shared" si="21"/>
        <v>0</v>
      </c>
    </row>
    <row r="309" spans="1:93" ht="13.95" customHeight="1" x14ac:dyDescent="0.2">
      <c r="A309" s="231">
        <v>7432</v>
      </c>
      <c r="B309" s="232" t="s">
        <v>848</v>
      </c>
      <c r="C309" s="232" t="s">
        <v>1205</v>
      </c>
      <c r="D309" s="232" t="s">
        <v>1206</v>
      </c>
      <c r="E309" s="232" t="s">
        <v>317</v>
      </c>
      <c r="F309" s="231">
        <v>522788</v>
      </c>
      <c r="G309" s="231">
        <v>174649</v>
      </c>
      <c r="H309" s="232" t="s">
        <v>183</v>
      </c>
      <c r="I309" s="233">
        <v>44286</v>
      </c>
      <c r="J309" s="231"/>
      <c r="K309" s="231">
        <v>1</v>
      </c>
      <c r="L309" s="231">
        <v>1</v>
      </c>
      <c r="M309" s="231">
        <v>0</v>
      </c>
      <c r="N309" s="231">
        <v>1</v>
      </c>
      <c r="O309" s="231">
        <v>0</v>
      </c>
      <c r="P309" s="234"/>
      <c r="Q309" s="232" t="s">
        <v>1207</v>
      </c>
      <c r="R309" s="234" t="s">
        <v>332</v>
      </c>
      <c r="S309" s="235">
        <v>44047</v>
      </c>
      <c r="T309" s="235">
        <v>44123</v>
      </c>
      <c r="U309" s="234"/>
      <c r="V309" s="232" t="s">
        <v>321</v>
      </c>
      <c r="W309" s="231"/>
      <c r="X309" s="232" t="s">
        <v>322</v>
      </c>
      <c r="Y309" s="232" t="s">
        <v>323</v>
      </c>
      <c r="Z309" s="232" t="s">
        <v>324</v>
      </c>
      <c r="AA309" s="232" t="s">
        <v>349</v>
      </c>
      <c r="AB309" s="236">
        <v>5.0999999999999997E-2</v>
      </c>
      <c r="AC309" s="235">
        <v>44286</v>
      </c>
      <c r="AD309" s="234"/>
      <c r="AE309" s="234"/>
      <c r="AF309" s="232" t="s">
        <v>77</v>
      </c>
      <c r="AG309" s="232" t="s">
        <v>350</v>
      </c>
      <c r="AH309" s="234" t="s">
        <v>317</v>
      </c>
      <c r="AI309" s="250"/>
      <c r="AJ309" s="234">
        <v>0</v>
      </c>
      <c r="AK309" s="224"/>
      <c r="AL309" s="234">
        <v>0</v>
      </c>
      <c r="AM309" s="224"/>
      <c r="AN309" s="234">
        <v>0</v>
      </c>
      <c r="AO309" s="234">
        <v>0</v>
      </c>
      <c r="AP309" s="234">
        <v>0</v>
      </c>
      <c r="AQ309" s="234">
        <v>0</v>
      </c>
      <c r="AR309" s="234">
        <v>-1</v>
      </c>
      <c r="AS309" s="234">
        <v>1</v>
      </c>
      <c r="AT309" s="234">
        <v>0</v>
      </c>
      <c r="AU309" s="234">
        <v>0</v>
      </c>
      <c r="AV309" s="234">
        <v>0</v>
      </c>
      <c r="AW309" s="234">
        <v>0</v>
      </c>
      <c r="AX309" s="234">
        <v>0</v>
      </c>
      <c r="AY309" s="234">
        <v>0</v>
      </c>
      <c r="AZ309" s="234">
        <v>0</v>
      </c>
      <c r="BA309" s="234">
        <v>0</v>
      </c>
      <c r="BB309" s="234">
        <v>0</v>
      </c>
      <c r="BC309" s="234">
        <v>0</v>
      </c>
      <c r="BD309" s="234">
        <v>0</v>
      </c>
      <c r="BE309" s="234">
        <v>0</v>
      </c>
      <c r="BF309" s="234">
        <v>-1</v>
      </c>
      <c r="BG309" s="234">
        <v>1</v>
      </c>
      <c r="BH309" s="234">
        <v>0</v>
      </c>
      <c r="BI309" s="234">
        <v>0</v>
      </c>
      <c r="BJ309" s="234">
        <v>0</v>
      </c>
      <c r="BK309" s="234">
        <v>0</v>
      </c>
      <c r="BL309" s="234">
        <v>0</v>
      </c>
      <c r="BM309" s="234">
        <v>0</v>
      </c>
      <c r="BN309" s="234">
        <v>0</v>
      </c>
      <c r="BO309" s="234">
        <v>0</v>
      </c>
      <c r="BP309" s="234"/>
      <c r="BQ309" s="234"/>
      <c r="BR309" s="237" t="s">
        <v>334</v>
      </c>
      <c r="BS309" s="238">
        <v>3</v>
      </c>
      <c r="BU309" s="239">
        <f>M309</f>
        <v>0</v>
      </c>
      <c r="CN309" s="238">
        <f t="shared" ref="CN309:CN372" si="25">SUM(BU309:BY309)</f>
        <v>0</v>
      </c>
      <c r="CO309" s="238">
        <f t="shared" ref="CO309:CO372" si="26">SUM(BU309:CD309)</f>
        <v>0</v>
      </c>
    </row>
    <row r="310" spans="1:93" ht="13.95" customHeight="1" x14ac:dyDescent="0.2">
      <c r="A310" s="231">
        <v>7755</v>
      </c>
      <c r="B310" s="232" t="s">
        <v>848</v>
      </c>
      <c r="C310" s="232" t="s">
        <v>1208</v>
      </c>
      <c r="D310" s="232" t="s">
        <v>1209</v>
      </c>
      <c r="E310" s="232" t="s">
        <v>317</v>
      </c>
      <c r="F310" s="231">
        <v>527982</v>
      </c>
      <c r="G310" s="231">
        <v>174908</v>
      </c>
      <c r="H310" s="232" t="s">
        <v>169</v>
      </c>
      <c r="I310" s="233">
        <v>44926</v>
      </c>
      <c r="J310" s="231"/>
      <c r="K310" s="231">
        <v>1</v>
      </c>
      <c r="L310" s="231">
        <v>1</v>
      </c>
      <c r="M310" s="231">
        <v>0</v>
      </c>
      <c r="N310" s="231">
        <v>1</v>
      </c>
      <c r="O310" s="231">
        <v>0</v>
      </c>
      <c r="P310" s="234"/>
      <c r="Q310" s="232" t="s">
        <v>1210</v>
      </c>
      <c r="R310" s="234" t="s">
        <v>332</v>
      </c>
      <c r="S310" s="235">
        <v>44638</v>
      </c>
      <c r="T310" s="235">
        <v>44694</v>
      </c>
      <c r="U310" s="234" t="s">
        <v>318</v>
      </c>
      <c r="V310" s="232" t="s">
        <v>321</v>
      </c>
      <c r="W310" s="231"/>
      <c r="X310" s="232" t="s">
        <v>322</v>
      </c>
      <c r="Y310" s="232" t="s">
        <v>323</v>
      </c>
      <c r="Z310" s="232" t="s">
        <v>324</v>
      </c>
      <c r="AA310" s="232" t="s">
        <v>349</v>
      </c>
      <c r="AB310" s="236">
        <v>8.0000000000000002E-3</v>
      </c>
      <c r="AC310" s="235">
        <v>44926</v>
      </c>
      <c r="AD310" s="234" t="s">
        <v>318</v>
      </c>
      <c r="AE310" s="234"/>
      <c r="AF310" s="232" t="s">
        <v>77</v>
      </c>
      <c r="AG310" s="232" t="s">
        <v>350</v>
      </c>
      <c r="AH310" s="234" t="s">
        <v>317</v>
      </c>
      <c r="AI310" s="250"/>
      <c r="AJ310" s="234">
        <v>0</v>
      </c>
      <c r="AK310" s="224"/>
      <c r="AL310" s="234">
        <v>0</v>
      </c>
      <c r="AM310" s="224"/>
      <c r="AN310" s="234">
        <v>0</v>
      </c>
      <c r="AO310" s="234">
        <v>0</v>
      </c>
      <c r="AP310" s="234">
        <v>-1</v>
      </c>
      <c r="AQ310" s="234">
        <v>0</v>
      </c>
      <c r="AR310" s="234">
        <v>1</v>
      </c>
      <c r="AS310" s="234">
        <v>0</v>
      </c>
      <c r="AT310" s="234">
        <v>0</v>
      </c>
      <c r="AU310" s="234">
        <v>0</v>
      </c>
      <c r="AV310" s="234">
        <v>0</v>
      </c>
      <c r="AW310" s="234">
        <v>0</v>
      </c>
      <c r="AX310" s="234">
        <v>0</v>
      </c>
      <c r="AY310" s="234">
        <v>0</v>
      </c>
      <c r="AZ310" s="234">
        <v>0</v>
      </c>
      <c r="BA310" s="234">
        <v>0</v>
      </c>
      <c r="BB310" s="234">
        <v>0</v>
      </c>
      <c r="BC310" s="234">
        <v>0</v>
      </c>
      <c r="BD310" s="234">
        <v>-1</v>
      </c>
      <c r="BE310" s="234">
        <v>0</v>
      </c>
      <c r="BF310" s="234">
        <v>1</v>
      </c>
      <c r="BG310" s="234">
        <v>0</v>
      </c>
      <c r="BH310" s="234">
        <v>0</v>
      </c>
      <c r="BI310" s="234">
        <v>0</v>
      </c>
      <c r="BJ310" s="234">
        <v>0</v>
      </c>
      <c r="BK310" s="234">
        <v>0</v>
      </c>
      <c r="BL310" s="234">
        <v>0</v>
      </c>
      <c r="BM310" s="234">
        <v>0</v>
      </c>
      <c r="BN310" s="234">
        <v>0</v>
      </c>
      <c r="BO310" s="234">
        <v>0</v>
      </c>
      <c r="BP310" s="234"/>
      <c r="BQ310" s="234"/>
      <c r="BR310" s="237" t="s">
        <v>334</v>
      </c>
      <c r="BS310" s="238">
        <v>4</v>
      </c>
      <c r="BU310" s="239">
        <f>M310/2</f>
        <v>0</v>
      </c>
      <c r="BV310" s="239">
        <f>M310/2</f>
        <v>0</v>
      </c>
      <c r="CN310" s="238">
        <f t="shared" si="25"/>
        <v>0</v>
      </c>
      <c r="CO310" s="238">
        <f t="shared" si="26"/>
        <v>0</v>
      </c>
    </row>
    <row r="311" spans="1:93" ht="13.95" customHeight="1" x14ac:dyDescent="0.2">
      <c r="A311" s="231">
        <v>6772</v>
      </c>
      <c r="B311" s="232" t="s">
        <v>848</v>
      </c>
      <c r="C311" s="232" t="s">
        <v>1211</v>
      </c>
      <c r="D311" s="232" t="s">
        <v>1212</v>
      </c>
      <c r="E311" s="232" t="s">
        <v>317</v>
      </c>
      <c r="F311" s="231">
        <v>522806</v>
      </c>
      <c r="G311" s="231">
        <v>175115</v>
      </c>
      <c r="H311" s="232" t="s">
        <v>183</v>
      </c>
      <c r="I311" s="233">
        <v>44635</v>
      </c>
      <c r="J311" s="231"/>
      <c r="K311" s="231">
        <v>1</v>
      </c>
      <c r="L311" s="231">
        <v>1</v>
      </c>
      <c r="M311" s="231">
        <v>0</v>
      </c>
      <c r="N311" s="231">
        <v>1</v>
      </c>
      <c r="O311" s="231">
        <v>0</v>
      </c>
      <c r="P311" s="234"/>
      <c r="Q311" s="232" t="s">
        <v>1213</v>
      </c>
      <c r="R311" s="234" t="s">
        <v>469</v>
      </c>
      <c r="S311" s="235">
        <v>44568</v>
      </c>
      <c r="T311" s="235">
        <v>44616</v>
      </c>
      <c r="U311" s="234"/>
      <c r="V311" s="232" t="s">
        <v>321</v>
      </c>
      <c r="W311" s="231"/>
      <c r="X311" s="232" t="s">
        <v>322</v>
      </c>
      <c r="Y311" s="232" t="s">
        <v>323</v>
      </c>
      <c r="Z311" s="232" t="s">
        <v>324</v>
      </c>
      <c r="AA311" s="232" t="s">
        <v>349</v>
      </c>
      <c r="AB311" s="236">
        <v>2.7199999999999998E-2</v>
      </c>
      <c r="AC311" s="235">
        <v>44635</v>
      </c>
      <c r="AD311" s="234"/>
      <c r="AE311" s="234"/>
      <c r="AF311" s="232" t="s">
        <v>77</v>
      </c>
      <c r="AG311" s="232" t="s">
        <v>350</v>
      </c>
      <c r="AH311" s="234" t="s">
        <v>317</v>
      </c>
      <c r="AI311" s="250"/>
      <c r="AJ311" s="234">
        <v>0</v>
      </c>
      <c r="AK311" s="224"/>
      <c r="AL311" s="234">
        <v>0</v>
      </c>
      <c r="AM311" s="224"/>
      <c r="AN311" s="234">
        <v>0</v>
      </c>
      <c r="AO311" s="234">
        <v>0</v>
      </c>
      <c r="AP311" s="234">
        <v>-1</v>
      </c>
      <c r="AQ311" s="234">
        <v>0</v>
      </c>
      <c r="AR311" s="234">
        <v>0</v>
      </c>
      <c r="AS311" s="234">
        <v>1</v>
      </c>
      <c r="AT311" s="234">
        <v>0</v>
      </c>
      <c r="AU311" s="234">
        <v>0</v>
      </c>
      <c r="AV311" s="234">
        <v>0</v>
      </c>
      <c r="AW311" s="234">
        <v>0</v>
      </c>
      <c r="AX311" s="234">
        <v>0</v>
      </c>
      <c r="AY311" s="234">
        <v>0</v>
      </c>
      <c r="AZ311" s="234">
        <v>0</v>
      </c>
      <c r="BA311" s="234">
        <v>0</v>
      </c>
      <c r="BB311" s="234">
        <v>0</v>
      </c>
      <c r="BC311" s="234">
        <v>0</v>
      </c>
      <c r="BD311" s="234">
        <v>-1</v>
      </c>
      <c r="BE311" s="234">
        <v>0</v>
      </c>
      <c r="BF311" s="234">
        <v>0</v>
      </c>
      <c r="BG311" s="234">
        <v>1</v>
      </c>
      <c r="BH311" s="234">
        <v>0</v>
      </c>
      <c r="BI311" s="234">
        <v>0</v>
      </c>
      <c r="BJ311" s="234">
        <v>0</v>
      </c>
      <c r="BK311" s="234">
        <v>0</v>
      </c>
      <c r="BL311" s="234">
        <v>0</v>
      </c>
      <c r="BM311" s="234">
        <v>0</v>
      </c>
      <c r="BN311" s="234">
        <v>0</v>
      </c>
      <c r="BO311" s="234">
        <v>0</v>
      </c>
      <c r="BP311" s="234"/>
      <c r="BQ311" s="234"/>
      <c r="BR311" s="237" t="s">
        <v>334</v>
      </c>
      <c r="BS311" s="238">
        <v>3</v>
      </c>
      <c r="BU311" s="239">
        <f>M311</f>
        <v>0</v>
      </c>
      <c r="CN311" s="238">
        <f t="shared" si="25"/>
        <v>0</v>
      </c>
      <c r="CO311" s="238">
        <f t="shared" si="26"/>
        <v>0</v>
      </c>
    </row>
    <row r="312" spans="1:93" s="249" customFormat="1" ht="13.95" customHeight="1" x14ac:dyDescent="0.2">
      <c r="A312" s="231">
        <v>7327</v>
      </c>
      <c r="B312" s="232" t="s">
        <v>848</v>
      </c>
      <c r="C312" s="232" t="s">
        <v>1214</v>
      </c>
      <c r="D312" s="232" t="s">
        <v>1215</v>
      </c>
      <c r="E312" s="232" t="s">
        <v>317</v>
      </c>
      <c r="F312" s="231">
        <v>527931</v>
      </c>
      <c r="G312" s="231">
        <v>174869</v>
      </c>
      <c r="H312" s="232" t="s">
        <v>169</v>
      </c>
      <c r="I312" s="233">
        <v>44571</v>
      </c>
      <c r="J312" s="231"/>
      <c r="K312" s="231">
        <v>2</v>
      </c>
      <c r="L312" s="231">
        <v>2</v>
      </c>
      <c r="M312" s="231">
        <v>0</v>
      </c>
      <c r="N312" s="231">
        <v>2</v>
      </c>
      <c r="O312" s="231">
        <v>0</v>
      </c>
      <c r="P312" s="234"/>
      <c r="Q312" s="232" t="s">
        <v>1216</v>
      </c>
      <c r="R312" s="234" t="s">
        <v>332</v>
      </c>
      <c r="S312" s="235">
        <v>44419</v>
      </c>
      <c r="T312" s="235">
        <v>44523</v>
      </c>
      <c r="U312" s="234"/>
      <c r="V312" s="232" t="s">
        <v>321</v>
      </c>
      <c r="W312" s="231"/>
      <c r="X312" s="232" t="s">
        <v>322</v>
      </c>
      <c r="Y312" s="232" t="s">
        <v>323</v>
      </c>
      <c r="Z312" s="232" t="s">
        <v>324</v>
      </c>
      <c r="AA312" s="232" t="s">
        <v>349</v>
      </c>
      <c r="AB312" s="236">
        <v>1.4999999999999999E-2</v>
      </c>
      <c r="AC312" s="235">
        <v>44571</v>
      </c>
      <c r="AD312" s="234"/>
      <c r="AE312" s="234"/>
      <c r="AF312" s="232" t="s">
        <v>77</v>
      </c>
      <c r="AG312" s="232" t="s">
        <v>350</v>
      </c>
      <c r="AH312" s="234" t="s">
        <v>317</v>
      </c>
      <c r="AI312" s="250"/>
      <c r="AJ312" s="234">
        <v>0</v>
      </c>
      <c r="AK312" s="224"/>
      <c r="AL312" s="234">
        <v>0</v>
      </c>
      <c r="AM312" s="224"/>
      <c r="AN312" s="234">
        <v>0</v>
      </c>
      <c r="AO312" s="234">
        <v>0</v>
      </c>
      <c r="AP312" s="234">
        <v>-2</v>
      </c>
      <c r="AQ312" s="234">
        <v>0</v>
      </c>
      <c r="AR312" s="234">
        <v>2</v>
      </c>
      <c r="AS312" s="234">
        <v>0</v>
      </c>
      <c r="AT312" s="234">
        <v>0</v>
      </c>
      <c r="AU312" s="234">
        <v>0</v>
      </c>
      <c r="AV312" s="234">
        <v>0</v>
      </c>
      <c r="AW312" s="234">
        <v>-2</v>
      </c>
      <c r="AX312" s="234">
        <v>0</v>
      </c>
      <c r="AY312" s="234">
        <v>2</v>
      </c>
      <c r="AZ312" s="234">
        <v>0</v>
      </c>
      <c r="BA312" s="234">
        <v>0</v>
      </c>
      <c r="BB312" s="234">
        <v>0</v>
      </c>
      <c r="BC312" s="234">
        <v>0</v>
      </c>
      <c r="BD312" s="234">
        <v>0</v>
      </c>
      <c r="BE312" s="234">
        <v>0</v>
      </c>
      <c r="BF312" s="234">
        <v>0</v>
      </c>
      <c r="BG312" s="234">
        <v>0</v>
      </c>
      <c r="BH312" s="234">
        <v>0</v>
      </c>
      <c r="BI312" s="234">
        <v>0</v>
      </c>
      <c r="BJ312" s="234">
        <v>0</v>
      </c>
      <c r="BK312" s="234">
        <v>0</v>
      </c>
      <c r="BL312" s="234">
        <v>0</v>
      </c>
      <c r="BM312" s="234">
        <v>0</v>
      </c>
      <c r="BN312" s="234">
        <v>0</v>
      </c>
      <c r="BO312" s="234">
        <v>0</v>
      </c>
      <c r="BP312" s="234"/>
      <c r="BQ312" s="234"/>
      <c r="BR312" s="237" t="s">
        <v>334</v>
      </c>
      <c r="BS312" s="238">
        <v>3</v>
      </c>
      <c r="BT312" s="239"/>
      <c r="BU312" s="239">
        <f>M312</f>
        <v>0</v>
      </c>
      <c r="BV312" s="239"/>
      <c r="BW312" s="239"/>
      <c r="BX312" s="239"/>
      <c r="BY312" s="239"/>
      <c r="BZ312" s="239"/>
      <c r="CA312" s="239"/>
      <c r="CB312" s="239"/>
      <c r="CC312" s="239"/>
      <c r="CD312" s="239"/>
      <c r="CE312" s="239"/>
      <c r="CF312" s="239"/>
      <c r="CG312" s="239"/>
      <c r="CH312" s="239"/>
      <c r="CI312" s="239"/>
      <c r="CJ312" s="239"/>
      <c r="CK312" s="239"/>
      <c r="CL312" s="239"/>
      <c r="CM312" s="239"/>
      <c r="CN312" s="238">
        <f t="shared" si="25"/>
        <v>0</v>
      </c>
      <c r="CO312" s="238">
        <f t="shared" si="26"/>
        <v>0</v>
      </c>
    </row>
    <row r="313" spans="1:93" ht="13.95" customHeight="1" x14ac:dyDescent="0.2">
      <c r="A313" s="231">
        <v>4999</v>
      </c>
      <c r="B313" s="232" t="s">
        <v>848</v>
      </c>
      <c r="C313" s="232" t="s">
        <v>1217</v>
      </c>
      <c r="D313" s="232" t="s">
        <v>1218</v>
      </c>
      <c r="E313" s="232" t="s">
        <v>317</v>
      </c>
      <c r="F313" s="231">
        <v>527475</v>
      </c>
      <c r="G313" s="231">
        <v>174306</v>
      </c>
      <c r="H313" s="232" t="s">
        <v>169</v>
      </c>
      <c r="I313" s="233">
        <v>44743</v>
      </c>
      <c r="J313" s="231"/>
      <c r="K313" s="231">
        <v>2</v>
      </c>
      <c r="L313" s="231">
        <v>2</v>
      </c>
      <c r="M313" s="231">
        <v>0</v>
      </c>
      <c r="N313" s="231">
        <v>2</v>
      </c>
      <c r="O313" s="231">
        <v>0</v>
      </c>
      <c r="P313" s="234"/>
      <c r="Q313" s="232" t="s">
        <v>1219</v>
      </c>
      <c r="R313" s="234" t="s">
        <v>332</v>
      </c>
      <c r="S313" s="235">
        <v>44092</v>
      </c>
      <c r="T313" s="235">
        <v>44148</v>
      </c>
      <c r="U313" s="234"/>
      <c r="V313" s="232" t="s">
        <v>321</v>
      </c>
      <c r="W313" s="231"/>
      <c r="X313" s="232" t="s">
        <v>322</v>
      </c>
      <c r="Y313" s="232" t="s">
        <v>338</v>
      </c>
      <c r="Z313" s="232" t="s">
        <v>324</v>
      </c>
      <c r="AA313" s="232" t="s">
        <v>354</v>
      </c>
      <c r="AB313" s="236">
        <v>1.2E-2</v>
      </c>
      <c r="AC313" s="235">
        <v>44743</v>
      </c>
      <c r="AD313" s="234" t="s">
        <v>318</v>
      </c>
      <c r="AE313" s="234"/>
      <c r="AF313" s="232" t="s">
        <v>77</v>
      </c>
      <c r="AG313" s="232" t="s">
        <v>350</v>
      </c>
      <c r="AH313" s="234" t="s">
        <v>317</v>
      </c>
      <c r="AI313" s="250"/>
      <c r="AJ313" s="234">
        <v>0</v>
      </c>
      <c r="AK313" s="224"/>
      <c r="AL313" s="234">
        <v>0</v>
      </c>
      <c r="AM313" s="224"/>
      <c r="AN313" s="234">
        <v>-1</v>
      </c>
      <c r="AO313" s="234">
        <v>-1</v>
      </c>
      <c r="AP313" s="234">
        <v>1</v>
      </c>
      <c r="AQ313" s="234">
        <v>1</v>
      </c>
      <c r="AR313" s="234">
        <v>0</v>
      </c>
      <c r="AS313" s="234">
        <v>0</v>
      </c>
      <c r="AT313" s="234">
        <v>0</v>
      </c>
      <c r="AU313" s="234">
        <v>-1</v>
      </c>
      <c r="AV313" s="234">
        <v>-1</v>
      </c>
      <c r="AW313" s="234">
        <v>1</v>
      </c>
      <c r="AX313" s="234">
        <v>1</v>
      </c>
      <c r="AY313" s="234">
        <v>0</v>
      </c>
      <c r="AZ313" s="234">
        <v>0</v>
      </c>
      <c r="BA313" s="234">
        <v>0</v>
      </c>
      <c r="BB313" s="234">
        <v>0</v>
      </c>
      <c r="BC313" s="234">
        <v>0</v>
      </c>
      <c r="BD313" s="234">
        <v>0</v>
      </c>
      <c r="BE313" s="234">
        <v>0</v>
      </c>
      <c r="BF313" s="234">
        <v>0</v>
      </c>
      <c r="BG313" s="234">
        <v>0</v>
      </c>
      <c r="BH313" s="234">
        <v>0</v>
      </c>
      <c r="BI313" s="234">
        <v>0</v>
      </c>
      <c r="BJ313" s="234">
        <v>0</v>
      </c>
      <c r="BK313" s="234">
        <v>0</v>
      </c>
      <c r="BL313" s="234">
        <v>0</v>
      </c>
      <c r="BM313" s="234">
        <v>0</v>
      </c>
      <c r="BN313" s="234">
        <v>0</v>
      </c>
      <c r="BO313" s="234">
        <v>0</v>
      </c>
      <c r="BP313" s="234"/>
      <c r="BQ313" s="234"/>
      <c r="BR313" s="237" t="s">
        <v>334</v>
      </c>
      <c r="BS313" s="238">
        <v>13</v>
      </c>
      <c r="BU313" s="239">
        <f>M313</f>
        <v>0</v>
      </c>
      <c r="CN313" s="238">
        <f t="shared" si="25"/>
        <v>0</v>
      </c>
      <c r="CO313" s="238">
        <f t="shared" si="26"/>
        <v>0</v>
      </c>
    </row>
    <row r="314" spans="1:93" ht="13.95" customHeight="1" x14ac:dyDescent="0.2">
      <c r="A314" s="231">
        <v>7338</v>
      </c>
      <c r="B314" s="232" t="s">
        <v>848</v>
      </c>
      <c r="C314" s="232" t="s">
        <v>1220</v>
      </c>
      <c r="D314" s="232" t="s">
        <v>1082</v>
      </c>
      <c r="E314" s="232" t="s">
        <v>317</v>
      </c>
      <c r="F314" s="231">
        <v>527505</v>
      </c>
      <c r="G314" s="231">
        <v>174973</v>
      </c>
      <c r="H314" s="232" t="s">
        <v>167</v>
      </c>
      <c r="I314" s="233">
        <v>44429</v>
      </c>
      <c r="J314" s="231"/>
      <c r="K314" s="231">
        <v>2</v>
      </c>
      <c r="L314" s="231">
        <v>2</v>
      </c>
      <c r="M314" s="231">
        <v>0</v>
      </c>
      <c r="N314" s="231">
        <v>3</v>
      </c>
      <c r="O314" s="231">
        <v>1</v>
      </c>
      <c r="P314" s="234"/>
      <c r="Q314" s="232" t="s">
        <v>1221</v>
      </c>
      <c r="R314" s="234" t="s">
        <v>332</v>
      </c>
      <c r="S314" s="235">
        <v>43951</v>
      </c>
      <c r="T314" s="235">
        <v>44007</v>
      </c>
      <c r="U314" s="234"/>
      <c r="V314" s="232" t="s">
        <v>321</v>
      </c>
      <c r="W314" s="231"/>
      <c r="X314" s="232" t="s">
        <v>322</v>
      </c>
      <c r="Y314" s="232" t="s">
        <v>338</v>
      </c>
      <c r="Z314" s="232" t="s">
        <v>324</v>
      </c>
      <c r="AA314" s="232" t="s">
        <v>411</v>
      </c>
      <c r="AB314" s="236">
        <v>1.2E-2</v>
      </c>
      <c r="AC314" s="235">
        <v>44429</v>
      </c>
      <c r="AD314" s="234"/>
      <c r="AE314" s="234"/>
      <c r="AF314" s="232" t="s">
        <v>77</v>
      </c>
      <c r="AG314" s="232" t="s">
        <v>350</v>
      </c>
      <c r="AH314" s="234" t="s">
        <v>317</v>
      </c>
      <c r="AI314" s="250"/>
      <c r="AJ314" s="234">
        <v>0</v>
      </c>
      <c r="AK314" s="224"/>
      <c r="AL314" s="234">
        <v>0</v>
      </c>
      <c r="AM314" s="224"/>
      <c r="AN314" s="234">
        <v>0</v>
      </c>
      <c r="AO314" s="234">
        <v>0</v>
      </c>
      <c r="AP314" s="234">
        <v>1</v>
      </c>
      <c r="AQ314" s="234">
        <v>-1</v>
      </c>
      <c r="AR314" s="234">
        <v>0</v>
      </c>
      <c r="AS314" s="234">
        <v>0</v>
      </c>
      <c r="AT314" s="234">
        <v>0</v>
      </c>
      <c r="AU314" s="234">
        <v>0</v>
      </c>
      <c r="AV314" s="234">
        <v>0</v>
      </c>
      <c r="AW314" s="234">
        <v>1</v>
      </c>
      <c r="AX314" s="234">
        <v>-1</v>
      </c>
      <c r="AY314" s="234">
        <v>0</v>
      </c>
      <c r="AZ314" s="234">
        <v>0</v>
      </c>
      <c r="BA314" s="234">
        <v>0</v>
      </c>
      <c r="BB314" s="234">
        <v>0</v>
      </c>
      <c r="BC314" s="234">
        <v>0</v>
      </c>
      <c r="BD314" s="234">
        <v>0</v>
      </c>
      <c r="BE314" s="234">
        <v>0</v>
      </c>
      <c r="BF314" s="234">
        <v>0</v>
      </c>
      <c r="BG314" s="234">
        <v>0</v>
      </c>
      <c r="BH314" s="234">
        <v>0</v>
      </c>
      <c r="BI314" s="234">
        <v>0</v>
      </c>
      <c r="BJ314" s="234">
        <v>0</v>
      </c>
      <c r="BK314" s="234">
        <v>0</v>
      </c>
      <c r="BL314" s="234">
        <v>0</v>
      </c>
      <c r="BM314" s="234">
        <v>0</v>
      </c>
      <c r="BN314" s="234">
        <v>0</v>
      </c>
      <c r="BO314" s="234">
        <v>0</v>
      </c>
      <c r="BP314" s="234" t="s">
        <v>142</v>
      </c>
      <c r="BQ314" s="234"/>
      <c r="BR314" s="237" t="s">
        <v>150</v>
      </c>
      <c r="BS314" s="238">
        <v>13</v>
      </c>
      <c r="BU314" s="239">
        <f>M314</f>
        <v>0</v>
      </c>
      <c r="CN314" s="238">
        <f t="shared" si="25"/>
        <v>0</v>
      </c>
      <c r="CO314" s="238">
        <f t="shared" si="26"/>
        <v>0</v>
      </c>
    </row>
    <row r="315" spans="1:93" ht="13.95" customHeight="1" x14ac:dyDescent="0.2">
      <c r="A315" s="231">
        <v>7841</v>
      </c>
      <c r="B315" s="232" t="s">
        <v>848</v>
      </c>
      <c r="C315" s="232" t="s">
        <v>1222</v>
      </c>
      <c r="D315" s="232" t="s">
        <v>1223</v>
      </c>
      <c r="E315" s="232" t="s">
        <v>317</v>
      </c>
      <c r="F315" s="231">
        <v>523247</v>
      </c>
      <c r="G315" s="231">
        <v>175077</v>
      </c>
      <c r="H315" s="232" t="s">
        <v>183</v>
      </c>
      <c r="I315" s="233">
        <v>44956</v>
      </c>
      <c r="J315" s="231"/>
      <c r="K315" s="231">
        <v>1</v>
      </c>
      <c r="L315" s="231">
        <v>1</v>
      </c>
      <c r="M315" s="231">
        <v>0</v>
      </c>
      <c r="N315" s="231">
        <v>1</v>
      </c>
      <c r="O315" s="231">
        <v>0</v>
      </c>
      <c r="P315" s="234"/>
      <c r="Q315" s="232" t="s">
        <v>1224</v>
      </c>
      <c r="R315" s="234" t="s">
        <v>332</v>
      </c>
      <c r="S315" s="235">
        <v>44706</v>
      </c>
      <c r="T315" s="235">
        <v>44783</v>
      </c>
      <c r="U315" s="234" t="s">
        <v>318</v>
      </c>
      <c r="V315" s="232" t="s">
        <v>321</v>
      </c>
      <c r="W315" s="231"/>
      <c r="X315" s="232" t="s">
        <v>322</v>
      </c>
      <c r="Y315" s="232" t="s">
        <v>365</v>
      </c>
      <c r="Z315" s="232" t="s">
        <v>324</v>
      </c>
      <c r="AA315" s="232" t="s">
        <v>17</v>
      </c>
      <c r="AB315" s="236">
        <v>7.0000000000000001E-3</v>
      </c>
      <c r="AC315" s="235">
        <v>44956</v>
      </c>
      <c r="AD315" s="234" t="s">
        <v>318</v>
      </c>
      <c r="AE315" s="234"/>
      <c r="AF315" s="232" t="s">
        <v>77</v>
      </c>
      <c r="AG315" s="232" t="s">
        <v>350</v>
      </c>
      <c r="AH315" s="234" t="s">
        <v>317</v>
      </c>
      <c r="AI315" s="250"/>
      <c r="AJ315" s="234">
        <v>0</v>
      </c>
      <c r="AK315" s="224"/>
      <c r="AL315" s="234">
        <v>0</v>
      </c>
      <c r="AM315" s="224"/>
      <c r="AN315" s="234">
        <v>0</v>
      </c>
      <c r="AO315" s="234">
        <v>0</v>
      </c>
      <c r="AP315" s="234">
        <v>-1</v>
      </c>
      <c r="AQ315" s="234">
        <v>0</v>
      </c>
      <c r="AR315" s="234">
        <v>1</v>
      </c>
      <c r="AS315" s="234">
        <v>0</v>
      </c>
      <c r="AT315" s="234">
        <v>0</v>
      </c>
      <c r="AU315" s="234">
        <v>0</v>
      </c>
      <c r="AV315" s="234">
        <v>0</v>
      </c>
      <c r="AW315" s="234">
        <v>-1</v>
      </c>
      <c r="AX315" s="234">
        <v>0</v>
      </c>
      <c r="AY315" s="234">
        <v>0</v>
      </c>
      <c r="AZ315" s="234">
        <v>0</v>
      </c>
      <c r="BA315" s="234">
        <v>0</v>
      </c>
      <c r="BB315" s="234">
        <v>0</v>
      </c>
      <c r="BC315" s="234">
        <v>0</v>
      </c>
      <c r="BD315" s="234">
        <v>0</v>
      </c>
      <c r="BE315" s="234">
        <v>0</v>
      </c>
      <c r="BF315" s="234">
        <v>1</v>
      </c>
      <c r="BG315" s="234">
        <v>0</v>
      </c>
      <c r="BH315" s="234">
        <v>0</v>
      </c>
      <c r="BI315" s="234">
        <v>0</v>
      </c>
      <c r="BJ315" s="234">
        <v>0</v>
      </c>
      <c r="BK315" s="234">
        <v>0</v>
      </c>
      <c r="BL315" s="234">
        <v>0</v>
      </c>
      <c r="BM315" s="234">
        <v>0</v>
      </c>
      <c r="BN315" s="234">
        <v>0</v>
      </c>
      <c r="BO315" s="234">
        <v>0</v>
      </c>
      <c r="BP315" s="234"/>
      <c r="BQ315" s="234"/>
      <c r="BR315" s="237" t="s">
        <v>334</v>
      </c>
      <c r="BS315" s="238">
        <v>14</v>
      </c>
      <c r="BU315" s="239">
        <f>M315/2</f>
        <v>0</v>
      </c>
      <c r="BV315" s="239">
        <f>M315/2</f>
        <v>0</v>
      </c>
      <c r="CN315" s="238">
        <f t="shared" si="25"/>
        <v>0</v>
      </c>
      <c r="CO315" s="238">
        <f t="shared" si="26"/>
        <v>0</v>
      </c>
    </row>
    <row r="316" spans="1:93" s="249" customFormat="1" ht="13.95" customHeight="1" x14ac:dyDescent="0.2">
      <c r="A316" s="231">
        <v>6525</v>
      </c>
      <c r="B316" s="232" t="s">
        <v>848</v>
      </c>
      <c r="C316" s="232" t="s">
        <v>1225</v>
      </c>
      <c r="D316" s="232" t="s">
        <v>1226</v>
      </c>
      <c r="E316" s="232" t="s">
        <v>317</v>
      </c>
      <c r="F316" s="231">
        <v>527828</v>
      </c>
      <c r="G316" s="231">
        <v>173720</v>
      </c>
      <c r="H316" s="232" t="s">
        <v>141</v>
      </c>
      <c r="I316" s="233">
        <v>43227</v>
      </c>
      <c r="J316" s="231"/>
      <c r="K316" s="231">
        <v>1</v>
      </c>
      <c r="L316" s="231">
        <v>1</v>
      </c>
      <c r="M316" s="231">
        <v>0</v>
      </c>
      <c r="N316" s="231">
        <v>1</v>
      </c>
      <c r="O316" s="231">
        <v>0</v>
      </c>
      <c r="P316" s="234"/>
      <c r="Q316" s="232" t="s">
        <v>1227</v>
      </c>
      <c r="R316" s="234" t="s">
        <v>332</v>
      </c>
      <c r="S316" s="235">
        <v>42793</v>
      </c>
      <c r="T316" s="235">
        <v>42919</v>
      </c>
      <c r="U316" s="234"/>
      <c r="V316" s="232" t="s">
        <v>321</v>
      </c>
      <c r="W316" s="231"/>
      <c r="X316" s="232" t="s">
        <v>322</v>
      </c>
      <c r="Y316" s="232" t="s">
        <v>323</v>
      </c>
      <c r="Z316" s="232" t="s">
        <v>324</v>
      </c>
      <c r="AA316" s="232" t="s">
        <v>349</v>
      </c>
      <c r="AB316" s="236">
        <v>4.02E-2</v>
      </c>
      <c r="AC316" s="235">
        <v>43227</v>
      </c>
      <c r="AD316" s="234"/>
      <c r="AE316" s="235"/>
      <c r="AF316" s="232" t="s">
        <v>77</v>
      </c>
      <c r="AG316" s="232" t="s">
        <v>350</v>
      </c>
      <c r="AH316" s="234" t="s">
        <v>317</v>
      </c>
      <c r="AI316" s="250"/>
      <c r="AJ316" s="234">
        <v>0</v>
      </c>
      <c r="AK316" s="224"/>
      <c r="AL316" s="234">
        <v>0</v>
      </c>
      <c r="AM316" s="224"/>
      <c r="AN316" s="234">
        <v>0</v>
      </c>
      <c r="AO316" s="234">
        <v>0</v>
      </c>
      <c r="AP316" s="234">
        <v>0</v>
      </c>
      <c r="AQ316" s="234">
        <v>-1</v>
      </c>
      <c r="AR316" s="234">
        <v>0</v>
      </c>
      <c r="AS316" s="234">
        <v>1</v>
      </c>
      <c r="AT316" s="234">
        <v>0</v>
      </c>
      <c r="AU316" s="234">
        <v>0</v>
      </c>
      <c r="AV316" s="234">
        <v>0</v>
      </c>
      <c r="AW316" s="234">
        <v>0</v>
      </c>
      <c r="AX316" s="234">
        <v>0</v>
      </c>
      <c r="AY316" s="234">
        <v>0</v>
      </c>
      <c r="AZ316" s="234">
        <v>0</v>
      </c>
      <c r="BA316" s="234">
        <v>0</v>
      </c>
      <c r="BB316" s="234">
        <v>0</v>
      </c>
      <c r="BC316" s="234">
        <v>0</v>
      </c>
      <c r="BD316" s="234">
        <v>0</v>
      </c>
      <c r="BE316" s="234">
        <v>-1</v>
      </c>
      <c r="BF316" s="234">
        <v>0</v>
      </c>
      <c r="BG316" s="234">
        <v>1</v>
      </c>
      <c r="BH316" s="234">
        <v>0</v>
      </c>
      <c r="BI316" s="234">
        <v>0</v>
      </c>
      <c r="BJ316" s="234">
        <v>0</v>
      </c>
      <c r="BK316" s="234">
        <v>0</v>
      </c>
      <c r="BL316" s="234">
        <v>0</v>
      </c>
      <c r="BM316" s="234">
        <v>0</v>
      </c>
      <c r="BN316" s="234">
        <v>0</v>
      </c>
      <c r="BO316" s="234">
        <v>0</v>
      </c>
      <c r="BP316" s="234"/>
      <c r="BQ316" s="234"/>
      <c r="BR316" s="237" t="s">
        <v>334</v>
      </c>
      <c r="BS316" s="238">
        <v>3</v>
      </c>
      <c r="BT316" s="239"/>
      <c r="BU316" s="239">
        <f>M316</f>
        <v>0</v>
      </c>
      <c r="BV316" s="239"/>
      <c r="BW316" s="239"/>
      <c r="BX316" s="239"/>
      <c r="BY316" s="239"/>
      <c r="BZ316" s="239"/>
      <c r="CA316" s="239"/>
      <c r="CB316" s="239"/>
      <c r="CC316" s="239"/>
      <c r="CD316" s="239"/>
      <c r="CE316" s="239"/>
      <c r="CF316" s="239"/>
      <c r="CG316" s="239"/>
      <c r="CH316" s="239"/>
      <c r="CI316" s="239"/>
      <c r="CJ316" s="239"/>
      <c r="CK316" s="239"/>
      <c r="CL316" s="239"/>
      <c r="CM316" s="239"/>
      <c r="CN316" s="238">
        <f t="shared" si="25"/>
        <v>0</v>
      </c>
      <c r="CO316" s="238">
        <f t="shared" si="26"/>
        <v>0</v>
      </c>
    </row>
    <row r="317" spans="1:93" ht="13.95" customHeight="1" x14ac:dyDescent="0.2">
      <c r="A317" s="231">
        <v>7233</v>
      </c>
      <c r="B317" s="232" t="s">
        <v>848</v>
      </c>
      <c r="C317" s="232" t="s">
        <v>1170</v>
      </c>
      <c r="D317" s="232" t="s">
        <v>1171</v>
      </c>
      <c r="E317" s="232" t="s">
        <v>317</v>
      </c>
      <c r="F317" s="231">
        <v>527787</v>
      </c>
      <c r="G317" s="231">
        <v>174343</v>
      </c>
      <c r="H317" s="232" t="s">
        <v>169</v>
      </c>
      <c r="I317" s="233">
        <v>45016</v>
      </c>
      <c r="J317" s="231"/>
      <c r="K317" s="231">
        <v>3</v>
      </c>
      <c r="L317" s="231">
        <v>3</v>
      </c>
      <c r="M317" s="231">
        <v>0</v>
      </c>
      <c r="N317" s="231">
        <v>4</v>
      </c>
      <c r="O317" s="231">
        <v>1</v>
      </c>
      <c r="P317" s="234"/>
      <c r="Q317" s="232" t="s">
        <v>1172</v>
      </c>
      <c r="R317" s="234" t="s">
        <v>332</v>
      </c>
      <c r="S317" s="235">
        <v>43696</v>
      </c>
      <c r="T317" s="235">
        <v>43735</v>
      </c>
      <c r="U317" s="234"/>
      <c r="V317" s="232" t="s">
        <v>321</v>
      </c>
      <c r="W317" s="231"/>
      <c r="X317" s="232" t="s">
        <v>322</v>
      </c>
      <c r="Y317" s="232" t="s">
        <v>338</v>
      </c>
      <c r="Z317" s="232" t="s">
        <v>324</v>
      </c>
      <c r="AA317" s="232" t="s">
        <v>354</v>
      </c>
      <c r="AB317" s="236">
        <v>2.3E-2</v>
      </c>
      <c r="AC317" s="235">
        <v>45016</v>
      </c>
      <c r="AD317" s="234" t="s">
        <v>318</v>
      </c>
      <c r="AE317" s="234"/>
      <c r="AF317" s="232" t="s">
        <v>77</v>
      </c>
      <c r="AG317" s="232" t="s">
        <v>350</v>
      </c>
      <c r="AH317" s="234" t="s">
        <v>317</v>
      </c>
      <c r="AJ317" s="234">
        <v>0</v>
      </c>
      <c r="AK317" s="224"/>
      <c r="AL317" s="234">
        <v>0</v>
      </c>
      <c r="AM317" s="224"/>
      <c r="AN317" s="234">
        <v>0</v>
      </c>
      <c r="AO317" s="234">
        <v>-2</v>
      </c>
      <c r="AP317" s="234">
        <v>3</v>
      </c>
      <c r="AQ317" s="234">
        <v>-1</v>
      </c>
      <c r="AR317" s="234">
        <v>0</v>
      </c>
      <c r="AS317" s="234">
        <v>0</v>
      </c>
      <c r="AT317" s="234">
        <v>0</v>
      </c>
      <c r="AU317" s="234">
        <v>0</v>
      </c>
      <c r="AV317" s="234">
        <v>-2</v>
      </c>
      <c r="AW317" s="234">
        <v>3</v>
      </c>
      <c r="AX317" s="234">
        <v>-1</v>
      </c>
      <c r="AY317" s="234">
        <v>0</v>
      </c>
      <c r="AZ317" s="234">
        <v>0</v>
      </c>
      <c r="BA317" s="234">
        <v>0</v>
      </c>
      <c r="BB317" s="234">
        <v>0</v>
      </c>
      <c r="BC317" s="234">
        <v>0</v>
      </c>
      <c r="BD317" s="234">
        <v>0</v>
      </c>
      <c r="BE317" s="234">
        <v>0</v>
      </c>
      <c r="BF317" s="234">
        <v>0</v>
      </c>
      <c r="BG317" s="234">
        <v>0</v>
      </c>
      <c r="BH317" s="234">
        <v>0</v>
      </c>
      <c r="BI317" s="234">
        <v>0</v>
      </c>
      <c r="BJ317" s="234">
        <v>0</v>
      </c>
      <c r="BK317" s="234">
        <v>0</v>
      </c>
      <c r="BL317" s="234">
        <v>0</v>
      </c>
      <c r="BM317" s="234">
        <v>0</v>
      </c>
      <c r="BN317" s="234">
        <v>0</v>
      </c>
      <c r="BO317" s="234">
        <v>0</v>
      </c>
      <c r="BP317" s="234"/>
      <c r="BQ317" s="234"/>
      <c r="BR317" s="237" t="s">
        <v>334</v>
      </c>
      <c r="BS317" s="238">
        <v>14</v>
      </c>
      <c r="BU317" s="239">
        <f>M317/2</f>
        <v>0</v>
      </c>
      <c r="BV317" s="239">
        <f>M317/2</f>
        <v>0</v>
      </c>
      <c r="CN317" s="238">
        <f t="shared" si="25"/>
        <v>0</v>
      </c>
      <c r="CO317" s="238">
        <f t="shared" si="26"/>
        <v>0</v>
      </c>
    </row>
    <row r="318" spans="1:93" ht="13.95" customHeight="1" x14ac:dyDescent="0.2">
      <c r="A318" s="231">
        <v>5554</v>
      </c>
      <c r="B318" s="232" t="s">
        <v>848</v>
      </c>
      <c r="C318" s="232" t="s">
        <v>1228</v>
      </c>
      <c r="D318" s="232" t="s">
        <v>1229</v>
      </c>
      <c r="E318" s="232" t="s">
        <v>317</v>
      </c>
      <c r="F318" s="231">
        <v>523841</v>
      </c>
      <c r="G318" s="231">
        <v>174804</v>
      </c>
      <c r="H318" s="232" t="s">
        <v>183</v>
      </c>
      <c r="I318" s="233">
        <v>42937</v>
      </c>
      <c r="J318" s="231"/>
      <c r="K318" s="231">
        <v>1</v>
      </c>
      <c r="L318" s="231">
        <v>1</v>
      </c>
      <c r="M318" s="231">
        <v>0</v>
      </c>
      <c r="N318" s="231">
        <v>1</v>
      </c>
      <c r="O318" s="231">
        <v>0</v>
      </c>
      <c r="P318" s="234"/>
      <c r="Q318" s="232" t="s">
        <v>1230</v>
      </c>
      <c r="R318" s="234" t="s">
        <v>332</v>
      </c>
      <c r="S318" s="235">
        <v>42024</v>
      </c>
      <c r="T318" s="235">
        <v>42080</v>
      </c>
      <c r="U318" s="234"/>
      <c r="V318" s="232" t="s">
        <v>321</v>
      </c>
      <c r="W318" s="231"/>
      <c r="X318" s="232" t="s">
        <v>322</v>
      </c>
      <c r="Y318" s="232" t="s">
        <v>323</v>
      </c>
      <c r="Z318" s="232" t="s">
        <v>324</v>
      </c>
      <c r="AA318" s="232" t="s">
        <v>349</v>
      </c>
      <c r="AB318" s="236">
        <v>2.3E-2</v>
      </c>
      <c r="AC318" s="235">
        <v>42937</v>
      </c>
      <c r="AD318" s="234"/>
      <c r="AE318" s="234"/>
      <c r="AF318" s="232" t="s">
        <v>77</v>
      </c>
      <c r="AG318" s="232" t="s">
        <v>350</v>
      </c>
      <c r="AH318" s="234" t="s">
        <v>317</v>
      </c>
      <c r="AI318" s="250"/>
      <c r="AJ318" s="234">
        <v>0</v>
      </c>
      <c r="AK318" s="224"/>
      <c r="AL318" s="234">
        <v>0</v>
      </c>
      <c r="AM318" s="224"/>
      <c r="AN318" s="234">
        <v>0</v>
      </c>
      <c r="AO318" s="234">
        <v>0</v>
      </c>
      <c r="AP318" s="234">
        <v>0</v>
      </c>
      <c r="AQ318" s="234">
        <v>-1</v>
      </c>
      <c r="AR318" s="234">
        <v>1</v>
      </c>
      <c r="AS318" s="234">
        <v>0</v>
      </c>
      <c r="AT318" s="234">
        <v>0</v>
      </c>
      <c r="AU318" s="234">
        <v>0</v>
      </c>
      <c r="AV318" s="234">
        <v>0</v>
      </c>
      <c r="AW318" s="234">
        <v>0</v>
      </c>
      <c r="AX318" s="234">
        <v>0</v>
      </c>
      <c r="AY318" s="234">
        <v>0</v>
      </c>
      <c r="AZ318" s="234">
        <v>0</v>
      </c>
      <c r="BA318" s="234">
        <v>0</v>
      </c>
      <c r="BB318" s="234">
        <v>0</v>
      </c>
      <c r="BC318" s="234">
        <v>0</v>
      </c>
      <c r="BD318" s="234">
        <v>0</v>
      </c>
      <c r="BE318" s="234">
        <v>-1</v>
      </c>
      <c r="BF318" s="234">
        <v>1</v>
      </c>
      <c r="BG318" s="234">
        <v>0</v>
      </c>
      <c r="BH318" s="234">
        <v>0</v>
      </c>
      <c r="BI318" s="234">
        <v>0</v>
      </c>
      <c r="BJ318" s="234">
        <v>0</v>
      </c>
      <c r="BK318" s="234">
        <v>0</v>
      </c>
      <c r="BL318" s="234">
        <v>0</v>
      </c>
      <c r="BM318" s="234">
        <v>0</v>
      </c>
      <c r="BN318" s="234">
        <v>0</v>
      </c>
      <c r="BO318" s="234">
        <v>0</v>
      </c>
      <c r="BP318" s="234"/>
      <c r="BQ318" s="234"/>
      <c r="BR318" s="237" t="s">
        <v>334</v>
      </c>
      <c r="BS318" s="238">
        <v>3</v>
      </c>
      <c r="BU318" s="239">
        <f>M318</f>
        <v>0</v>
      </c>
      <c r="CN318" s="238">
        <f t="shared" si="25"/>
        <v>0</v>
      </c>
      <c r="CO318" s="238">
        <f t="shared" si="26"/>
        <v>0</v>
      </c>
    </row>
    <row r="319" spans="1:93" s="249" customFormat="1" ht="13.95" customHeight="1" x14ac:dyDescent="0.2">
      <c r="A319" s="231">
        <v>7808</v>
      </c>
      <c r="B319" s="232" t="s">
        <v>848</v>
      </c>
      <c r="C319" s="232" t="s">
        <v>1231</v>
      </c>
      <c r="D319" s="232" t="s">
        <v>1232</v>
      </c>
      <c r="E319" s="232" t="s">
        <v>317</v>
      </c>
      <c r="F319" s="231">
        <v>526318</v>
      </c>
      <c r="G319" s="231">
        <v>173718</v>
      </c>
      <c r="H319" s="232" t="s">
        <v>179</v>
      </c>
      <c r="I319" s="233">
        <v>44847</v>
      </c>
      <c r="J319" s="231"/>
      <c r="K319" s="231">
        <v>2</v>
      </c>
      <c r="L319" s="231">
        <v>1</v>
      </c>
      <c r="M319" s="231">
        <v>-1</v>
      </c>
      <c r="N319" s="231">
        <v>1</v>
      </c>
      <c r="O319" s="231">
        <v>-1</v>
      </c>
      <c r="P319" s="234"/>
      <c r="Q319" s="232" t="s">
        <v>1233</v>
      </c>
      <c r="R319" s="234" t="s">
        <v>332</v>
      </c>
      <c r="S319" s="235">
        <v>44607</v>
      </c>
      <c r="T319" s="235">
        <v>44673</v>
      </c>
      <c r="U319" s="234" t="s">
        <v>318</v>
      </c>
      <c r="V319" s="232" t="s">
        <v>321</v>
      </c>
      <c r="W319" s="231"/>
      <c r="X319" s="232" t="s">
        <v>322</v>
      </c>
      <c r="Y319" s="232" t="s">
        <v>365</v>
      </c>
      <c r="Z319" s="232" t="s">
        <v>324</v>
      </c>
      <c r="AA319" s="232" t="s">
        <v>17</v>
      </c>
      <c r="AB319" s="236">
        <v>8.0000000000000002E-3</v>
      </c>
      <c r="AC319" s="235">
        <v>44847</v>
      </c>
      <c r="AD319" s="234" t="s">
        <v>318</v>
      </c>
      <c r="AE319" s="234"/>
      <c r="AF319" s="232" t="s">
        <v>77</v>
      </c>
      <c r="AG319" s="232" t="s">
        <v>350</v>
      </c>
      <c r="AH319" s="234" t="s">
        <v>317</v>
      </c>
      <c r="AI319" s="250"/>
      <c r="AJ319" s="234">
        <v>0</v>
      </c>
      <c r="AK319" s="224"/>
      <c r="AL319" s="234">
        <v>0</v>
      </c>
      <c r="AM319" s="224"/>
      <c r="AN319" s="234">
        <v>0</v>
      </c>
      <c r="AO319" s="234">
        <v>-1</v>
      </c>
      <c r="AP319" s="234">
        <v>0</v>
      </c>
      <c r="AQ319" s="234">
        <v>-1</v>
      </c>
      <c r="AR319" s="234">
        <v>0</v>
      </c>
      <c r="AS319" s="234">
        <v>1</v>
      </c>
      <c r="AT319" s="234">
        <v>0</v>
      </c>
      <c r="AU319" s="234">
        <v>0</v>
      </c>
      <c r="AV319" s="234">
        <v>-1</v>
      </c>
      <c r="AW319" s="234">
        <v>0</v>
      </c>
      <c r="AX319" s="234">
        <v>-1</v>
      </c>
      <c r="AY319" s="234">
        <v>0</v>
      </c>
      <c r="AZ319" s="234">
        <v>0</v>
      </c>
      <c r="BA319" s="234">
        <v>0</v>
      </c>
      <c r="BB319" s="234">
        <v>0</v>
      </c>
      <c r="BC319" s="234">
        <v>0</v>
      </c>
      <c r="BD319" s="234">
        <v>0</v>
      </c>
      <c r="BE319" s="234">
        <v>0</v>
      </c>
      <c r="BF319" s="234">
        <v>0</v>
      </c>
      <c r="BG319" s="234">
        <v>1</v>
      </c>
      <c r="BH319" s="234">
        <v>0</v>
      </c>
      <c r="BI319" s="234">
        <v>0</v>
      </c>
      <c r="BJ319" s="234">
        <v>0</v>
      </c>
      <c r="BK319" s="234">
        <v>0</v>
      </c>
      <c r="BL319" s="234">
        <v>0</v>
      </c>
      <c r="BM319" s="234">
        <v>0</v>
      </c>
      <c r="BN319" s="234">
        <v>0</v>
      </c>
      <c r="BO319" s="234">
        <v>0</v>
      </c>
      <c r="BP319" s="234"/>
      <c r="BQ319" s="234"/>
      <c r="BR319" s="237" t="s">
        <v>334</v>
      </c>
      <c r="BS319" s="238">
        <v>14</v>
      </c>
      <c r="BT319" s="239"/>
      <c r="BU319" s="239">
        <f>M319/2</f>
        <v>-0.5</v>
      </c>
      <c r="BV319" s="239">
        <f>M319/2</f>
        <v>-0.5</v>
      </c>
      <c r="BW319" s="239"/>
      <c r="BX319" s="239"/>
      <c r="BY319" s="239"/>
      <c r="BZ319" s="239"/>
      <c r="CA319" s="239"/>
      <c r="CB319" s="239"/>
      <c r="CC319" s="239"/>
      <c r="CD319" s="239"/>
      <c r="CE319" s="239"/>
      <c r="CF319" s="239"/>
      <c r="CG319" s="239"/>
      <c r="CH319" s="239"/>
      <c r="CI319" s="239"/>
      <c r="CJ319" s="239"/>
      <c r="CK319" s="239"/>
      <c r="CL319" s="239"/>
      <c r="CM319" s="239"/>
      <c r="CN319" s="238">
        <f t="shared" si="25"/>
        <v>-1</v>
      </c>
      <c r="CO319" s="238">
        <f t="shared" si="26"/>
        <v>-1</v>
      </c>
    </row>
    <row r="320" spans="1:93" ht="13.95" customHeight="1" x14ac:dyDescent="0.2">
      <c r="A320" s="231">
        <v>7317</v>
      </c>
      <c r="B320" s="232" t="s">
        <v>848</v>
      </c>
      <c r="C320" s="232" t="s">
        <v>1234</v>
      </c>
      <c r="D320" s="232" t="s">
        <v>1235</v>
      </c>
      <c r="E320" s="232" t="s">
        <v>317</v>
      </c>
      <c r="F320" s="231">
        <v>527570</v>
      </c>
      <c r="G320" s="231">
        <v>171707</v>
      </c>
      <c r="H320" s="232" t="s">
        <v>176</v>
      </c>
      <c r="I320" s="233">
        <v>44876</v>
      </c>
      <c r="J320" s="231"/>
      <c r="K320" s="231">
        <v>1</v>
      </c>
      <c r="L320" s="231">
        <v>0</v>
      </c>
      <c r="M320" s="231">
        <v>-1</v>
      </c>
      <c r="N320" s="231">
        <v>0</v>
      </c>
      <c r="O320" s="231">
        <v>-1</v>
      </c>
      <c r="P320" s="234"/>
      <c r="Q320" s="232" t="s">
        <v>1236</v>
      </c>
      <c r="R320" s="234" t="s">
        <v>332</v>
      </c>
      <c r="S320" s="235">
        <v>43804</v>
      </c>
      <c r="T320" s="235">
        <v>43879</v>
      </c>
      <c r="U320" s="234"/>
      <c r="V320" s="232" t="s">
        <v>321</v>
      </c>
      <c r="W320" s="231"/>
      <c r="X320" s="232" t="s">
        <v>322</v>
      </c>
      <c r="Y320" s="232" t="s">
        <v>338</v>
      </c>
      <c r="Z320" s="232" t="s">
        <v>324</v>
      </c>
      <c r="AA320" s="232" t="s">
        <v>34</v>
      </c>
      <c r="AB320" s="236">
        <v>0.10100000000000001</v>
      </c>
      <c r="AC320" s="235">
        <v>44876</v>
      </c>
      <c r="AD320" s="234" t="s">
        <v>318</v>
      </c>
      <c r="AE320" s="234"/>
      <c r="AF320" s="232" t="s">
        <v>77</v>
      </c>
      <c r="AG320" s="232" t="s">
        <v>350</v>
      </c>
      <c r="AH320" s="234" t="s">
        <v>317</v>
      </c>
      <c r="AI320" s="250"/>
      <c r="AJ320" s="234">
        <v>0</v>
      </c>
      <c r="AK320" s="224"/>
      <c r="AL320" s="234">
        <v>0</v>
      </c>
      <c r="AM320" s="224"/>
      <c r="AN320" s="234">
        <v>0</v>
      </c>
      <c r="AO320" s="234">
        <v>0</v>
      </c>
      <c r="AP320" s="234">
        <v>0</v>
      </c>
      <c r="AQ320" s="234">
        <v>0</v>
      </c>
      <c r="AR320" s="234">
        <v>0</v>
      </c>
      <c r="AS320" s="234">
        <v>-1</v>
      </c>
      <c r="AT320" s="234">
        <v>0</v>
      </c>
      <c r="AU320" s="234">
        <v>0</v>
      </c>
      <c r="AV320" s="234">
        <v>0</v>
      </c>
      <c r="AW320" s="234">
        <v>0</v>
      </c>
      <c r="AX320" s="234">
        <v>0</v>
      </c>
      <c r="AY320" s="234">
        <v>0</v>
      </c>
      <c r="AZ320" s="234">
        <v>-1</v>
      </c>
      <c r="BA320" s="234">
        <v>0</v>
      </c>
      <c r="BB320" s="234">
        <v>0</v>
      </c>
      <c r="BC320" s="234">
        <v>0</v>
      </c>
      <c r="BD320" s="234">
        <v>0</v>
      </c>
      <c r="BE320" s="234">
        <v>0</v>
      </c>
      <c r="BF320" s="234">
        <v>0</v>
      </c>
      <c r="BG320" s="234">
        <v>0</v>
      </c>
      <c r="BH320" s="234">
        <v>0</v>
      </c>
      <c r="BI320" s="234">
        <v>0</v>
      </c>
      <c r="BJ320" s="234">
        <v>0</v>
      </c>
      <c r="BK320" s="234">
        <v>0</v>
      </c>
      <c r="BL320" s="234">
        <v>0</v>
      </c>
      <c r="BM320" s="234">
        <v>0</v>
      </c>
      <c r="BN320" s="234">
        <v>0</v>
      </c>
      <c r="BO320" s="234">
        <v>0</v>
      </c>
      <c r="BP320" s="234" t="s">
        <v>144</v>
      </c>
      <c r="BQ320" s="234"/>
      <c r="BR320" s="237" t="s">
        <v>144</v>
      </c>
      <c r="BS320" s="238">
        <v>14</v>
      </c>
      <c r="BU320" s="239">
        <f>M320/2</f>
        <v>-0.5</v>
      </c>
      <c r="BV320" s="239">
        <f>M320/2</f>
        <v>-0.5</v>
      </c>
      <c r="CN320" s="238">
        <f t="shared" si="25"/>
        <v>-1</v>
      </c>
      <c r="CO320" s="238">
        <f t="shared" si="26"/>
        <v>-1</v>
      </c>
    </row>
    <row r="321" spans="1:93" ht="13.95" customHeight="1" x14ac:dyDescent="0.2">
      <c r="A321" s="231">
        <v>7624</v>
      </c>
      <c r="B321" s="232" t="s">
        <v>848</v>
      </c>
      <c r="C321" s="232" t="s">
        <v>1237</v>
      </c>
      <c r="D321" s="232" t="s">
        <v>1238</v>
      </c>
      <c r="E321" s="232" t="s">
        <v>317</v>
      </c>
      <c r="F321" s="231">
        <v>527535</v>
      </c>
      <c r="G321" s="231">
        <v>172689</v>
      </c>
      <c r="H321" s="232" t="s">
        <v>178</v>
      </c>
      <c r="I321" s="233">
        <v>45016</v>
      </c>
      <c r="J321" s="231"/>
      <c r="K321" s="231">
        <v>2</v>
      </c>
      <c r="L321" s="231">
        <v>1</v>
      </c>
      <c r="M321" s="231">
        <v>-1</v>
      </c>
      <c r="N321" s="231">
        <v>1</v>
      </c>
      <c r="O321" s="231">
        <v>-1</v>
      </c>
      <c r="P321" s="234"/>
      <c r="Q321" s="232" t="s">
        <v>1239</v>
      </c>
      <c r="R321" s="234" t="s">
        <v>332</v>
      </c>
      <c r="S321" s="235">
        <v>44410</v>
      </c>
      <c r="T321" s="235">
        <v>44545</v>
      </c>
      <c r="U321" s="234"/>
      <c r="V321" s="232" t="s">
        <v>321</v>
      </c>
      <c r="W321" s="231"/>
      <c r="X321" s="232" t="s">
        <v>322</v>
      </c>
      <c r="Y321" s="232" t="s">
        <v>365</v>
      </c>
      <c r="Z321" s="232" t="s">
        <v>324</v>
      </c>
      <c r="AA321" s="232" t="s">
        <v>17</v>
      </c>
      <c r="AB321" s="236">
        <v>8.7226600000000001E-3</v>
      </c>
      <c r="AC321" s="235">
        <v>45016</v>
      </c>
      <c r="AD321" s="234" t="s">
        <v>318</v>
      </c>
      <c r="AE321" s="235"/>
      <c r="AF321" s="232" t="s">
        <v>79</v>
      </c>
      <c r="AG321" s="232" t="s">
        <v>1240</v>
      </c>
      <c r="AH321" s="234" t="s">
        <v>317</v>
      </c>
      <c r="AI321" s="250"/>
      <c r="AJ321" s="234">
        <v>0</v>
      </c>
      <c r="AK321" s="224"/>
      <c r="AL321" s="234">
        <v>0</v>
      </c>
      <c r="AM321" s="224"/>
      <c r="AN321" s="234">
        <v>0</v>
      </c>
      <c r="AO321" s="234">
        <v>0</v>
      </c>
      <c r="AP321" s="234">
        <v>-1</v>
      </c>
      <c r="AQ321" s="234">
        <v>0</v>
      </c>
      <c r="AR321" s="234">
        <v>0</v>
      </c>
      <c r="AS321" s="234">
        <v>0</v>
      </c>
      <c r="AT321" s="234">
        <v>0</v>
      </c>
      <c r="AU321" s="234">
        <v>0</v>
      </c>
      <c r="AV321" s="234">
        <v>0</v>
      </c>
      <c r="AW321" s="234">
        <v>-1</v>
      </c>
      <c r="AX321" s="234">
        <v>0</v>
      </c>
      <c r="AY321" s="234">
        <v>0</v>
      </c>
      <c r="AZ321" s="234">
        <v>-1</v>
      </c>
      <c r="BA321" s="234">
        <v>0</v>
      </c>
      <c r="BB321" s="234">
        <v>0</v>
      </c>
      <c r="BC321" s="234">
        <v>0</v>
      </c>
      <c r="BD321" s="234">
        <v>0</v>
      </c>
      <c r="BE321" s="234">
        <v>0</v>
      </c>
      <c r="BF321" s="234">
        <v>0</v>
      </c>
      <c r="BG321" s="234">
        <v>1</v>
      </c>
      <c r="BH321" s="234">
        <v>0</v>
      </c>
      <c r="BI321" s="234">
        <v>0</v>
      </c>
      <c r="BJ321" s="234">
        <v>0</v>
      </c>
      <c r="BK321" s="234">
        <v>0</v>
      </c>
      <c r="BL321" s="234">
        <v>0</v>
      </c>
      <c r="BM321" s="234">
        <v>0</v>
      </c>
      <c r="BN321" s="234">
        <v>0</v>
      </c>
      <c r="BO321" s="234">
        <v>0</v>
      </c>
      <c r="BP321" s="234"/>
      <c r="BQ321" s="234"/>
      <c r="BR321" s="237" t="s">
        <v>334</v>
      </c>
      <c r="BS321" s="238">
        <v>14</v>
      </c>
      <c r="BU321" s="239">
        <f>M321/2</f>
        <v>-0.5</v>
      </c>
      <c r="BV321" s="239">
        <f>M321/2</f>
        <v>-0.5</v>
      </c>
      <c r="CN321" s="238">
        <f t="shared" si="25"/>
        <v>-1</v>
      </c>
      <c r="CO321" s="238">
        <f t="shared" si="26"/>
        <v>-1</v>
      </c>
    </row>
    <row r="322" spans="1:93" ht="13.95" customHeight="1" x14ac:dyDescent="0.2">
      <c r="A322" s="231">
        <v>4793</v>
      </c>
      <c r="B322" s="232" t="s">
        <v>848</v>
      </c>
      <c r="C322" s="232" t="s">
        <v>1241</v>
      </c>
      <c r="D322" s="232" t="s">
        <v>1242</v>
      </c>
      <c r="E322" s="232" t="s">
        <v>317</v>
      </c>
      <c r="F322" s="231">
        <v>528375</v>
      </c>
      <c r="G322" s="231">
        <v>175229</v>
      </c>
      <c r="H322" s="232" t="s">
        <v>167</v>
      </c>
      <c r="I322" s="233">
        <v>45016</v>
      </c>
      <c r="J322" s="231"/>
      <c r="K322" s="231">
        <v>2</v>
      </c>
      <c r="L322" s="231">
        <v>1</v>
      </c>
      <c r="M322" s="231">
        <v>-1</v>
      </c>
      <c r="N322" s="231">
        <v>1</v>
      </c>
      <c r="O322" s="231">
        <v>-1</v>
      </c>
      <c r="P322" s="234"/>
      <c r="Q322" s="232" t="s">
        <v>1243</v>
      </c>
      <c r="R322" s="234" t="s">
        <v>332</v>
      </c>
      <c r="S322" s="235">
        <v>44167</v>
      </c>
      <c r="T322" s="235">
        <v>44246</v>
      </c>
      <c r="U322" s="234"/>
      <c r="V322" s="232" t="s">
        <v>321</v>
      </c>
      <c r="W322" s="231"/>
      <c r="X322" s="232" t="s">
        <v>322</v>
      </c>
      <c r="Y322" s="232" t="s">
        <v>365</v>
      </c>
      <c r="Z322" s="232" t="s">
        <v>324</v>
      </c>
      <c r="AA322" s="232" t="s">
        <v>17</v>
      </c>
      <c r="AB322" s="236">
        <v>0.02</v>
      </c>
      <c r="AC322" s="235">
        <v>45016</v>
      </c>
      <c r="AD322" s="234" t="s">
        <v>318</v>
      </c>
      <c r="AE322" s="235"/>
      <c r="AF322" s="232" t="s">
        <v>77</v>
      </c>
      <c r="AG322" s="232" t="s">
        <v>350</v>
      </c>
      <c r="AH322" s="234" t="s">
        <v>317</v>
      </c>
      <c r="AI322" s="250"/>
      <c r="AJ322" s="234">
        <v>0</v>
      </c>
      <c r="AK322" s="224"/>
      <c r="AL322" s="234">
        <v>0</v>
      </c>
      <c r="AM322" s="224"/>
      <c r="AN322" s="234">
        <v>0</v>
      </c>
      <c r="AO322" s="234">
        <v>-1</v>
      </c>
      <c r="AP322" s="234">
        <v>0</v>
      </c>
      <c r="AQ322" s="234">
        <v>0</v>
      </c>
      <c r="AR322" s="234">
        <v>0</v>
      </c>
      <c r="AS322" s="234">
        <v>0</v>
      </c>
      <c r="AT322" s="234">
        <v>0</v>
      </c>
      <c r="AU322" s="234">
        <v>0</v>
      </c>
      <c r="AV322" s="234">
        <v>-1</v>
      </c>
      <c r="AW322" s="234">
        <v>0</v>
      </c>
      <c r="AX322" s="234">
        <v>0</v>
      </c>
      <c r="AY322" s="234">
        <v>0</v>
      </c>
      <c r="AZ322" s="234">
        <v>-1</v>
      </c>
      <c r="BA322" s="234">
        <v>0</v>
      </c>
      <c r="BB322" s="234">
        <v>0</v>
      </c>
      <c r="BC322" s="234">
        <v>0</v>
      </c>
      <c r="BD322" s="234">
        <v>0</v>
      </c>
      <c r="BE322" s="234">
        <v>0</v>
      </c>
      <c r="BF322" s="234">
        <v>0</v>
      </c>
      <c r="BG322" s="234">
        <v>1</v>
      </c>
      <c r="BH322" s="234">
        <v>0</v>
      </c>
      <c r="BI322" s="234">
        <v>0</v>
      </c>
      <c r="BJ322" s="234">
        <v>0</v>
      </c>
      <c r="BK322" s="234">
        <v>0</v>
      </c>
      <c r="BL322" s="234">
        <v>0</v>
      </c>
      <c r="BM322" s="234">
        <v>0</v>
      </c>
      <c r="BN322" s="234">
        <v>0</v>
      </c>
      <c r="BO322" s="234">
        <v>0</v>
      </c>
      <c r="BP322" s="234"/>
      <c r="BQ322" s="234"/>
      <c r="BR322" s="237" t="s">
        <v>334</v>
      </c>
      <c r="BS322" s="238">
        <v>14</v>
      </c>
      <c r="BU322" s="239">
        <f>M322/2</f>
        <v>-0.5</v>
      </c>
      <c r="BV322" s="239">
        <f>M322/2</f>
        <v>-0.5</v>
      </c>
      <c r="CN322" s="238">
        <f t="shared" si="25"/>
        <v>-1</v>
      </c>
      <c r="CO322" s="238">
        <f t="shared" si="26"/>
        <v>-1</v>
      </c>
    </row>
    <row r="323" spans="1:93" ht="13.95" customHeight="1" x14ac:dyDescent="0.2">
      <c r="A323" s="231">
        <v>7807</v>
      </c>
      <c r="B323" s="232" t="s">
        <v>848</v>
      </c>
      <c r="C323" s="232" t="s">
        <v>1244</v>
      </c>
      <c r="D323" s="232" t="s">
        <v>1245</v>
      </c>
      <c r="E323" s="232" t="s">
        <v>317</v>
      </c>
      <c r="F323" s="231">
        <v>527872</v>
      </c>
      <c r="G323" s="231">
        <v>176682</v>
      </c>
      <c r="H323" s="232" t="s">
        <v>163</v>
      </c>
      <c r="I323" s="233">
        <v>44847</v>
      </c>
      <c r="J323" s="231"/>
      <c r="K323" s="231">
        <v>2</v>
      </c>
      <c r="L323" s="231">
        <v>1</v>
      </c>
      <c r="M323" s="231">
        <v>-1</v>
      </c>
      <c r="N323" s="231">
        <v>1</v>
      </c>
      <c r="O323" s="231">
        <v>-1</v>
      </c>
      <c r="P323" s="234"/>
      <c r="Q323" s="232" t="s">
        <v>1246</v>
      </c>
      <c r="R323" s="234" t="s">
        <v>332</v>
      </c>
      <c r="S323" s="235">
        <v>44728</v>
      </c>
      <c r="T323" s="235">
        <v>44784</v>
      </c>
      <c r="U323" s="234" t="s">
        <v>318</v>
      </c>
      <c r="V323" s="232" t="s">
        <v>321</v>
      </c>
      <c r="W323" s="231"/>
      <c r="X323" s="232" t="s">
        <v>322</v>
      </c>
      <c r="Y323" s="232" t="s">
        <v>365</v>
      </c>
      <c r="Z323" s="232" t="s">
        <v>324</v>
      </c>
      <c r="AA323" s="232" t="s">
        <v>553</v>
      </c>
      <c r="AB323" s="236">
        <v>0.01</v>
      </c>
      <c r="AC323" s="235">
        <v>44847</v>
      </c>
      <c r="AD323" s="234" t="s">
        <v>318</v>
      </c>
      <c r="AE323" s="234"/>
      <c r="AF323" s="232" t="s">
        <v>77</v>
      </c>
      <c r="AG323" s="232" t="s">
        <v>350</v>
      </c>
      <c r="AH323" s="234" t="s">
        <v>317</v>
      </c>
      <c r="AI323" s="250"/>
      <c r="AJ323" s="234">
        <v>0</v>
      </c>
      <c r="AK323" s="224"/>
      <c r="AL323" s="234">
        <v>0</v>
      </c>
      <c r="AM323" s="224"/>
      <c r="AN323" s="234">
        <v>-1</v>
      </c>
      <c r="AO323" s="234">
        <v>-1</v>
      </c>
      <c r="AP323" s="234">
        <v>1</v>
      </c>
      <c r="AQ323" s="234">
        <v>0</v>
      </c>
      <c r="AR323" s="234">
        <v>0</v>
      </c>
      <c r="AS323" s="234">
        <v>0</v>
      </c>
      <c r="AT323" s="234">
        <v>0</v>
      </c>
      <c r="AU323" s="234">
        <v>-1</v>
      </c>
      <c r="AV323" s="234">
        <v>-1</v>
      </c>
      <c r="AW323" s="234">
        <v>1</v>
      </c>
      <c r="AX323" s="234">
        <v>0</v>
      </c>
      <c r="AY323" s="234">
        <v>0</v>
      </c>
      <c r="AZ323" s="234">
        <v>0</v>
      </c>
      <c r="BA323" s="234">
        <v>0</v>
      </c>
      <c r="BB323" s="234">
        <v>0</v>
      </c>
      <c r="BC323" s="234">
        <v>0</v>
      </c>
      <c r="BD323" s="234">
        <v>0</v>
      </c>
      <c r="BE323" s="234">
        <v>0</v>
      </c>
      <c r="BF323" s="234">
        <v>0</v>
      </c>
      <c r="BG323" s="234">
        <v>0</v>
      </c>
      <c r="BH323" s="234">
        <v>0</v>
      </c>
      <c r="BI323" s="234">
        <v>0</v>
      </c>
      <c r="BJ323" s="234">
        <v>0</v>
      </c>
      <c r="BK323" s="234">
        <v>0</v>
      </c>
      <c r="BL323" s="234">
        <v>0</v>
      </c>
      <c r="BM323" s="234">
        <v>0</v>
      </c>
      <c r="BN323" s="234">
        <v>0</v>
      </c>
      <c r="BO323" s="234">
        <v>0</v>
      </c>
      <c r="BP323" s="234"/>
      <c r="BQ323" s="234"/>
      <c r="BR323" s="237" t="s">
        <v>481</v>
      </c>
      <c r="BS323" s="238">
        <v>14</v>
      </c>
      <c r="BU323" s="239">
        <f>M323/2</f>
        <v>-0.5</v>
      </c>
      <c r="BV323" s="239">
        <f>M323/2</f>
        <v>-0.5</v>
      </c>
      <c r="CN323" s="238">
        <f t="shared" si="25"/>
        <v>-1</v>
      </c>
      <c r="CO323" s="238">
        <f t="shared" si="26"/>
        <v>-1</v>
      </c>
    </row>
    <row r="324" spans="1:93" ht="13.95" customHeight="1" x14ac:dyDescent="0.2">
      <c r="A324" s="231">
        <v>7626</v>
      </c>
      <c r="B324" s="232" t="s">
        <v>848</v>
      </c>
      <c r="C324" s="232" t="s">
        <v>1247</v>
      </c>
      <c r="D324" s="232" t="s">
        <v>1248</v>
      </c>
      <c r="E324" s="232" t="s">
        <v>317</v>
      </c>
      <c r="F324" s="231">
        <v>526794</v>
      </c>
      <c r="G324" s="231">
        <v>174584</v>
      </c>
      <c r="H324" s="232" t="s">
        <v>181</v>
      </c>
      <c r="I324" s="233">
        <v>44707</v>
      </c>
      <c r="J324" s="231"/>
      <c r="K324" s="231">
        <v>2</v>
      </c>
      <c r="L324" s="231">
        <v>1</v>
      </c>
      <c r="M324" s="231">
        <v>-1</v>
      </c>
      <c r="N324" s="231">
        <v>1</v>
      </c>
      <c r="O324" s="231">
        <v>-1</v>
      </c>
      <c r="P324" s="234"/>
      <c r="Q324" s="232" t="s">
        <v>1249</v>
      </c>
      <c r="R324" s="234" t="s">
        <v>332</v>
      </c>
      <c r="S324" s="235">
        <v>44512</v>
      </c>
      <c r="T324" s="235">
        <v>44568</v>
      </c>
      <c r="U324" s="234"/>
      <c r="V324" s="232" t="s">
        <v>321</v>
      </c>
      <c r="W324" s="231"/>
      <c r="X324" s="232" t="s">
        <v>322</v>
      </c>
      <c r="Y324" s="232" t="s">
        <v>365</v>
      </c>
      <c r="Z324" s="232" t="s">
        <v>324</v>
      </c>
      <c r="AA324" s="232" t="s">
        <v>17</v>
      </c>
      <c r="AB324" s="236">
        <v>2E-3</v>
      </c>
      <c r="AC324" s="235">
        <v>44707</v>
      </c>
      <c r="AD324" s="234" t="s">
        <v>318</v>
      </c>
      <c r="AE324" s="234"/>
      <c r="AF324" s="232" t="s">
        <v>77</v>
      </c>
      <c r="AG324" s="232" t="s">
        <v>350</v>
      </c>
      <c r="AH324" s="234" t="s">
        <v>317</v>
      </c>
      <c r="AI324" s="250"/>
      <c r="AJ324" s="234">
        <v>0</v>
      </c>
      <c r="AK324" s="224"/>
      <c r="AL324" s="234">
        <v>0</v>
      </c>
      <c r="AM324" s="224"/>
      <c r="AN324" s="234">
        <v>0</v>
      </c>
      <c r="AO324" s="234">
        <v>-1</v>
      </c>
      <c r="AP324" s="234">
        <v>0</v>
      </c>
      <c r="AQ324" s="234">
        <v>0</v>
      </c>
      <c r="AR324" s="234">
        <v>0</v>
      </c>
      <c r="AS324" s="234">
        <v>0</v>
      </c>
      <c r="AT324" s="234">
        <v>0</v>
      </c>
      <c r="AU324" s="234">
        <v>0</v>
      </c>
      <c r="AV324" s="234">
        <v>-1</v>
      </c>
      <c r="AW324" s="234">
        <v>0</v>
      </c>
      <c r="AX324" s="234">
        <v>0</v>
      </c>
      <c r="AY324" s="234">
        <v>0</v>
      </c>
      <c r="AZ324" s="234">
        <v>-1</v>
      </c>
      <c r="BA324" s="234">
        <v>0</v>
      </c>
      <c r="BB324" s="234">
        <v>0</v>
      </c>
      <c r="BC324" s="234">
        <v>0</v>
      </c>
      <c r="BD324" s="234">
        <v>0</v>
      </c>
      <c r="BE324" s="234">
        <v>0</v>
      </c>
      <c r="BF324" s="234">
        <v>0</v>
      </c>
      <c r="BG324" s="234">
        <v>1</v>
      </c>
      <c r="BH324" s="234">
        <v>0</v>
      </c>
      <c r="BI324" s="234">
        <v>0</v>
      </c>
      <c r="BJ324" s="234">
        <v>0</v>
      </c>
      <c r="BK324" s="234">
        <v>0</v>
      </c>
      <c r="BL324" s="234">
        <v>0</v>
      </c>
      <c r="BM324" s="234">
        <v>0</v>
      </c>
      <c r="BN324" s="234">
        <v>0</v>
      </c>
      <c r="BO324" s="234">
        <v>0</v>
      </c>
      <c r="BP324" s="234"/>
      <c r="BQ324" s="234"/>
      <c r="BR324" s="237" t="s">
        <v>334</v>
      </c>
      <c r="BS324" s="238">
        <v>13</v>
      </c>
      <c r="BU324" s="239">
        <f>M324</f>
        <v>-1</v>
      </c>
      <c r="CN324" s="238">
        <f t="shared" si="25"/>
        <v>-1</v>
      </c>
      <c r="CO324" s="238">
        <f t="shared" si="26"/>
        <v>-1</v>
      </c>
    </row>
    <row r="325" spans="1:93" ht="13.95" customHeight="1" x14ac:dyDescent="0.2">
      <c r="A325" s="231">
        <v>7848</v>
      </c>
      <c r="B325" s="232" t="s">
        <v>848</v>
      </c>
      <c r="C325" s="232" t="s">
        <v>1250</v>
      </c>
      <c r="D325" s="232" t="s">
        <v>1251</v>
      </c>
      <c r="E325" s="232" t="s">
        <v>317</v>
      </c>
      <c r="F325" s="231">
        <v>527025</v>
      </c>
      <c r="G325" s="231">
        <v>173893</v>
      </c>
      <c r="H325" s="232" t="s">
        <v>180</v>
      </c>
      <c r="I325" s="233">
        <v>45016</v>
      </c>
      <c r="J325" s="231"/>
      <c r="K325" s="231">
        <v>3</v>
      </c>
      <c r="L325" s="231">
        <v>1</v>
      </c>
      <c r="M325" s="231">
        <v>-2</v>
      </c>
      <c r="N325" s="231">
        <v>1</v>
      </c>
      <c r="O325" s="231">
        <v>-2</v>
      </c>
      <c r="P325" s="234"/>
      <c r="Q325" s="232" t="s">
        <v>1252</v>
      </c>
      <c r="R325" s="234" t="s">
        <v>332</v>
      </c>
      <c r="S325" s="235">
        <v>44842</v>
      </c>
      <c r="T325" s="235">
        <v>44896</v>
      </c>
      <c r="U325" s="234" t="s">
        <v>318</v>
      </c>
      <c r="V325" s="232" t="s">
        <v>321</v>
      </c>
      <c r="W325" s="231"/>
      <c r="X325" s="232" t="s">
        <v>322</v>
      </c>
      <c r="Y325" s="232" t="s">
        <v>365</v>
      </c>
      <c r="Z325" s="232" t="s">
        <v>324</v>
      </c>
      <c r="AA325" s="232" t="s">
        <v>17</v>
      </c>
      <c r="AB325" s="236">
        <v>6.8999999999999999E-3</v>
      </c>
      <c r="AC325" s="235">
        <v>45016</v>
      </c>
      <c r="AD325" s="234" t="s">
        <v>318</v>
      </c>
      <c r="AE325" s="234"/>
      <c r="AF325" s="232" t="s">
        <v>77</v>
      </c>
      <c r="AG325" s="232" t="s">
        <v>350</v>
      </c>
      <c r="AH325" s="234" t="s">
        <v>317</v>
      </c>
      <c r="AI325" s="250"/>
      <c r="AJ325" s="234">
        <v>0</v>
      </c>
      <c r="AK325" s="224"/>
      <c r="AL325" s="234">
        <v>0</v>
      </c>
      <c r="AM325" s="224"/>
      <c r="AN325" s="234">
        <v>0</v>
      </c>
      <c r="AO325" s="234">
        <v>-3</v>
      </c>
      <c r="AP325" s="234">
        <v>0</v>
      </c>
      <c r="AQ325" s="234">
        <v>0</v>
      </c>
      <c r="AR325" s="234">
        <v>1</v>
      </c>
      <c r="AS325" s="234">
        <v>0</v>
      </c>
      <c r="AT325" s="234">
        <v>0</v>
      </c>
      <c r="AU325" s="234">
        <v>0</v>
      </c>
      <c r="AV325" s="234">
        <v>-3</v>
      </c>
      <c r="AW325" s="234">
        <v>0</v>
      </c>
      <c r="AX325" s="234">
        <v>0</v>
      </c>
      <c r="AY325" s="234">
        <v>0</v>
      </c>
      <c r="AZ325" s="234">
        <v>0</v>
      </c>
      <c r="BA325" s="234">
        <v>0</v>
      </c>
      <c r="BB325" s="234">
        <v>0</v>
      </c>
      <c r="BC325" s="234">
        <v>0</v>
      </c>
      <c r="BD325" s="234">
        <v>0</v>
      </c>
      <c r="BE325" s="234">
        <v>0</v>
      </c>
      <c r="BF325" s="234">
        <v>1</v>
      </c>
      <c r="BG325" s="234">
        <v>0</v>
      </c>
      <c r="BH325" s="234">
        <v>0</v>
      </c>
      <c r="BI325" s="234">
        <v>0</v>
      </c>
      <c r="BJ325" s="234">
        <v>0</v>
      </c>
      <c r="BK325" s="234">
        <v>0</v>
      </c>
      <c r="BL325" s="234">
        <v>0</v>
      </c>
      <c r="BM325" s="234">
        <v>0</v>
      </c>
      <c r="BN325" s="234">
        <v>0</v>
      </c>
      <c r="BO325" s="234">
        <v>0</v>
      </c>
      <c r="BP325" s="234"/>
      <c r="BQ325" s="234"/>
      <c r="BR325" s="237" t="s">
        <v>334</v>
      </c>
      <c r="BS325" s="238">
        <v>14</v>
      </c>
      <c r="BU325" s="239">
        <f>M325/2</f>
        <v>-1</v>
      </c>
      <c r="BV325" s="239">
        <f>M325/2</f>
        <v>-1</v>
      </c>
      <c r="CN325" s="238">
        <f t="shared" si="25"/>
        <v>-2</v>
      </c>
      <c r="CO325" s="238">
        <f t="shared" si="26"/>
        <v>-2</v>
      </c>
    </row>
    <row r="326" spans="1:93" ht="13.95" customHeight="1" x14ac:dyDescent="0.2">
      <c r="A326" s="231">
        <v>5875</v>
      </c>
      <c r="B326" s="232" t="s">
        <v>848</v>
      </c>
      <c r="C326" s="232" t="s">
        <v>1253</v>
      </c>
      <c r="D326" s="232" t="s">
        <v>1254</v>
      </c>
      <c r="E326" s="232" t="s">
        <v>317</v>
      </c>
      <c r="F326" s="231">
        <v>528631</v>
      </c>
      <c r="G326" s="231">
        <v>177662</v>
      </c>
      <c r="H326" s="232" t="s">
        <v>163</v>
      </c>
      <c r="I326" s="233">
        <v>43545</v>
      </c>
      <c r="J326" s="231"/>
      <c r="K326" s="231">
        <v>2</v>
      </c>
      <c r="L326" s="231">
        <v>1</v>
      </c>
      <c r="M326" s="231">
        <v>-1</v>
      </c>
      <c r="N326" s="231">
        <v>1</v>
      </c>
      <c r="O326" s="231">
        <v>-1</v>
      </c>
      <c r="P326" s="234"/>
      <c r="Q326" s="232" t="s">
        <v>1255</v>
      </c>
      <c r="R326" s="234" t="s">
        <v>332</v>
      </c>
      <c r="S326" s="235">
        <v>42053</v>
      </c>
      <c r="T326" s="235">
        <v>42088</v>
      </c>
      <c r="U326" s="234"/>
      <c r="V326" s="232" t="s">
        <v>321</v>
      </c>
      <c r="W326" s="231"/>
      <c r="X326" s="232" t="s">
        <v>322</v>
      </c>
      <c r="Y326" s="232" t="s">
        <v>365</v>
      </c>
      <c r="Z326" s="232" t="s">
        <v>324</v>
      </c>
      <c r="AA326" s="232" t="s">
        <v>553</v>
      </c>
      <c r="AB326" s="236">
        <v>1.6E-2</v>
      </c>
      <c r="AC326" s="235">
        <v>43545</v>
      </c>
      <c r="AD326" s="234"/>
      <c r="AE326" s="234"/>
      <c r="AF326" s="232" t="s">
        <v>77</v>
      </c>
      <c r="AG326" s="232" t="s">
        <v>350</v>
      </c>
      <c r="AH326" s="234" t="s">
        <v>317</v>
      </c>
      <c r="AI326" s="250"/>
      <c r="AJ326" s="234">
        <v>0</v>
      </c>
      <c r="AK326" s="224"/>
      <c r="AL326" s="234">
        <v>0</v>
      </c>
      <c r="AM326" s="224"/>
      <c r="AN326" s="234">
        <v>0</v>
      </c>
      <c r="AO326" s="234">
        <v>0</v>
      </c>
      <c r="AP326" s="234">
        <v>-2</v>
      </c>
      <c r="AQ326" s="234">
        <v>1</v>
      </c>
      <c r="AR326" s="234">
        <v>0</v>
      </c>
      <c r="AS326" s="234">
        <v>0</v>
      </c>
      <c r="AT326" s="234">
        <v>0</v>
      </c>
      <c r="AU326" s="234">
        <v>0</v>
      </c>
      <c r="AV326" s="234">
        <v>0</v>
      </c>
      <c r="AW326" s="234">
        <v>-2</v>
      </c>
      <c r="AX326" s="234">
        <v>1</v>
      </c>
      <c r="AY326" s="234">
        <v>0</v>
      </c>
      <c r="AZ326" s="234">
        <v>0</v>
      </c>
      <c r="BA326" s="234">
        <v>0</v>
      </c>
      <c r="BB326" s="234">
        <v>0</v>
      </c>
      <c r="BC326" s="234">
        <v>0</v>
      </c>
      <c r="BD326" s="234">
        <v>0</v>
      </c>
      <c r="BE326" s="234">
        <v>0</v>
      </c>
      <c r="BF326" s="234">
        <v>0</v>
      </c>
      <c r="BG326" s="234">
        <v>0</v>
      </c>
      <c r="BH326" s="234">
        <v>0</v>
      </c>
      <c r="BI326" s="234">
        <v>0</v>
      </c>
      <c r="BJ326" s="234">
        <v>0</v>
      </c>
      <c r="BK326" s="234">
        <v>0</v>
      </c>
      <c r="BL326" s="234">
        <v>0</v>
      </c>
      <c r="BM326" s="234">
        <v>0</v>
      </c>
      <c r="BN326" s="234">
        <v>0</v>
      </c>
      <c r="BO326" s="234">
        <v>0</v>
      </c>
      <c r="BP326" s="234"/>
      <c r="BQ326" s="234" t="s">
        <v>318</v>
      </c>
      <c r="BR326" s="237" t="s">
        <v>151</v>
      </c>
      <c r="BS326" s="238">
        <v>13</v>
      </c>
      <c r="BU326" s="239">
        <f t="shared" ref="BU326:BU339" si="27">M326</f>
        <v>-1</v>
      </c>
      <c r="CN326" s="238">
        <f t="shared" si="25"/>
        <v>-1</v>
      </c>
      <c r="CO326" s="238">
        <f t="shared" si="26"/>
        <v>-1</v>
      </c>
    </row>
    <row r="327" spans="1:93" ht="13.95" customHeight="1" x14ac:dyDescent="0.2">
      <c r="A327" s="231">
        <v>6794</v>
      </c>
      <c r="B327" s="232" t="s">
        <v>848</v>
      </c>
      <c r="C327" s="232" t="s">
        <v>1256</v>
      </c>
      <c r="D327" s="232" t="s">
        <v>1257</v>
      </c>
      <c r="E327" s="232" t="s">
        <v>317</v>
      </c>
      <c r="F327" s="231">
        <v>526068</v>
      </c>
      <c r="G327" s="231">
        <v>174820</v>
      </c>
      <c r="H327" s="232" t="s">
        <v>181</v>
      </c>
      <c r="I327" s="233">
        <v>44621</v>
      </c>
      <c r="J327" s="231"/>
      <c r="K327" s="231">
        <v>2</v>
      </c>
      <c r="L327" s="231">
        <v>1</v>
      </c>
      <c r="M327" s="231">
        <v>-1</v>
      </c>
      <c r="N327" s="231">
        <v>1</v>
      </c>
      <c r="O327" s="231">
        <v>-1</v>
      </c>
      <c r="P327" s="234"/>
      <c r="Q327" s="232" t="s">
        <v>1258</v>
      </c>
      <c r="R327" s="234" t="s">
        <v>332</v>
      </c>
      <c r="S327" s="235">
        <v>44274</v>
      </c>
      <c r="T327" s="235">
        <v>44328</v>
      </c>
      <c r="U327" s="234"/>
      <c r="V327" s="232" t="s">
        <v>321</v>
      </c>
      <c r="W327" s="231"/>
      <c r="X327" s="232" t="s">
        <v>322</v>
      </c>
      <c r="Y327" s="232" t="s">
        <v>365</v>
      </c>
      <c r="Z327" s="232" t="s">
        <v>324</v>
      </c>
      <c r="AA327" s="232" t="s">
        <v>17</v>
      </c>
      <c r="AB327" s="236">
        <v>1.2999999999999999E-2</v>
      </c>
      <c r="AC327" s="235">
        <v>44621</v>
      </c>
      <c r="AD327" s="234"/>
      <c r="AE327" s="235"/>
      <c r="AF327" s="232" t="s">
        <v>77</v>
      </c>
      <c r="AG327" s="232" t="s">
        <v>350</v>
      </c>
      <c r="AH327" s="234" t="s">
        <v>317</v>
      </c>
      <c r="AI327" s="250"/>
      <c r="AJ327" s="234">
        <v>0</v>
      </c>
      <c r="AK327" s="224"/>
      <c r="AL327" s="234">
        <v>0</v>
      </c>
      <c r="AM327" s="224"/>
      <c r="AN327" s="234">
        <v>0</v>
      </c>
      <c r="AO327" s="234">
        <v>-2</v>
      </c>
      <c r="AP327" s="234">
        <v>0</v>
      </c>
      <c r="AQ327" s="234">
        <v>0</v>
      </c>
      <c r="AR327" s="234">
        <v>1</v>
      </c>
      <c r="AS327" s="234">
        <v>0</v>
      </c>
      <c r="AT327" s="234">
        <v>0</v>
      </c>
      <c r="AU327" s="234">
        <v>0</v>
      </c>
      <c r="AV327" s="234">
        <v>-2</v>
      </c>
      <c r="AW327" s="234">
        <v>0</v>
      </c>
      <c r="AX327" s="234">
        <v>0</v>
      </c>
      <c r="AY327" s="234">
        <v>0</v>
      </c>
      <c r="AZ327" s="234">
        <v>0</v>
      </c>
      <c r="BA327" s="234">
        <v>0</v>
      </c>
      <c r="BB327" s="234">
        <v>0</v>
      </c>
      <c r="BC327" s="234">
        <v>0</v>
      </c>
      <c r="BD327" s="234">
        <v>0</v>
      </c>
      <c r="BE327" s="234">
        <v>0</v>
      </c>
      <c r="BF327" s="234">
        <v>1</v>
      </c>
      <c r="BG327" s="234">
        <v>0</v>
      </c>
      <c r="BH327" s="234">
        <v>0</v>
      </c>
      <c r="BI327" s="234">
        <v>0</v>
      </c>
      <c r="BJ327" s="234">
        <v>0</v>
      </c>
      <c r="BK327" s="234">
        <v>0</v>
      </c>
      <c r="BL327" s="234">
        <v>0</v>
      </c>
      <c r="BM327" s="234">
        <v>0</v>
      </c>
      <c r="BN327" s="234">
        <v>0</v>
      </c>
      <c r="BO327" s="234">
        <v>0</v>
      </c>
      <c r="BP327" s="234"/>
      <c r="BQ327" s="234"/>
      <c r="BR327" s="237" t="s">
        <v>334</v>
      </c>
      <c r="BS327" s="238">
        <v>13</v>
      </c>
      <c r="BU327" s="239">
        <f t="shared" si="27"/>
        <v>-1</v>
      </c>
      <c r="CN327" s="238">
        <f t="shared" si="25"/>
        <v>-1</v>
      </c>
      <c r="CO327" s="238">
        <f t="shared" si="26"/>
        <v>-1</v>
      </c>
    </row>
    <row r="328" spans="1:93" ht="13.95" customHeight="1" x14ac:dyDescent="0.2">
      <c r="A328" s="231">
        <v>6153</v>
      </c>
      <c r="B328" s="232" t="s">
        <v>848</v>
      </c>
      <c r="C328" s="232" t="s">
        <v>1259</v>
      </c>
      <c r="D328" s="232" t="s">
        <v>1260</v>
      </c>
      <c r="E328" s="232" t="s">
        <v>317</v>
      </c>
      <c r="F328" s="231">
        <v>528193</v>
      </c>
      <c r="G328" s="231">
        <v>172920</v>
      </c>
      <c r="H328" s="232" t="s">
        <v>178</v>
      </c>
      <c r="I328" s="233">
        <v>44286</v>
      </c>
      <c r="J328" s="231"/>
      <c r="K328" s="231">
        <v>2</v>
      </c>
      <c r="L328" s="231">
        <v>1</v>
      </c>
      <c r="M328" s="231">
        <v>-1</v>
      </c>
      <c r="N328" s="231">
        <v>1</v>
      </c>
      <c r="O328" s="231">
        <v>-1</v>
      </c>
      <c r="P328" s="234"/>
      <c r="Q328" s="232" t="s">
        <v>1261</v>
      </c>
      <c r="R328" s="234" t="s">
        <v>332</v>
      </c>
      <c r="S328" s="235">
        <v>44358</v>
      </c>
      <c r="T328" s="235">
        <v>44414</v>
      </c>
      <c r="U328" s="234"/>
      <c r="V328" s="232" t="s">
        <v>321</v>
      </c>
      <c r="W328" s="231"/>
      <c r="X328" s="232" t="s">
        <v>322</v>
      </c>
      <c r="Y328" s="232" t="s">
        <v>365</v>
      </c>
      <c r="Z328" s="232" t="s">
        <v>324</v>
      </c>
      <c r="AA328" s="232" t="s">
        <v>17</v>
      </c>
      <c r="AB328" s="236">
        <v>5.1166600000000003E-3</v>
      </c>
      <c r="AC328" s="235">
        <v>44286</v>
      </c>
      <c r="AD328" s="234"/>
      <c r="AE328" s="235"/>
      <c r="AF328" s="232" t="s">
        <v>77</v>
      </c>
      <c r="AG328" s="232" t="s">
        <v>340</v>
      </c>
      <c r="AH328" s="234" t="s">
        <v>317</v>
      </c>
      <c r="AI328" s="250"/>
      <c r="AJ328" s="234">
        <v>0</v>
      </c>
      <c r="AK328" s="224"/>
      <c r="AL328" s="234">
        <v>0</v>
      </c>
      <c r="AM328" s="224"/>
      <c r="AN328" s="234">
        <v>0</v>
      </c>
      <c r="AO328" s="234">
        <v>-1</v>
      </c>
      <c r="AP328" s="234">
        <v>0</v>
      </c>
      <c r="AQ328" s="234">
        <v>-1</v>
      </c>
      <c r="AR328" s="234">
        <v>1</v>
      </c>
      <c r="AS328" s="234">
        <v>0</v>
      </c>
      <c r="AT328" s="234">
        <v>0</v>
      </c>
      <c r="AU328" s="234">
        <v>0</v>
      </c>
      <c r="AV328" s="234">
        <v>-1</v>
      </c>
      <c r="AW328" s="234">
        <v>0</v>
      </c>
      <c r="AX328" s="234">
        <v>-1</v>
      </c>
      <c r="AY328" s="234">
        <v>0</v>
      </c>
      <c r="AZ328" s="234">
        <v>0</v>
      </c>
      <c r="BA328" s="234">
        <v>0</v>
      </c>
      <c r="BB328" s="234">
        <v>0</v>
      </c>
      <c r="BC328" s="234">
        <v>0</v>
      </c>
      <c r="BD328" s="234">
        <v>0</v>
      </c>
      <c r="BE328" s="234">
        <v>0</v>
      </c>
      <c r="BF328" s="234">
        <v>1</v>
      </c>
      <c r="BG328" s="234">
        <v>0</v>
      </c>
      <c r="BH328" s="234">
        <v>0</v>
      </c>
      <c r="BI328" s="234">
        <v>0</v>
      </c>
      <c r="BJ328" s="234">
        <v>0</v>
      </c>
      <c r="BK328" s="234">
        <v>0</v>
      </c>
      <c r="BL328" s="234">
        <v>0</v>
      </c>
      <c r="BM328" s="234">
        <v>0</v>
      </c>
      <c r="BN328" s="234">
        <v>0</v>
      </c>
      <c r="BO328" s="234">
        <v>0</v>
      </c>
      <c r="BP328" s="234"/>
      <c r="BQ328" s="234"/>
      <c r="BR328" s="237" t="s">
        <v>334</v>
      </c>
      <c r="BS328" s="238">
        <v>13</v>
      </c>
      <c r="BU328" s="239">
        <f t="shared" si="27"/>
        <v>-1</v>
      </c>
      <c r="CN328" s="238">
        <f t="shared" si="25"/>
        <v>-1</v>
      </c>
      <c r="CO328" s="238">
        <f t="shared" si="26"/>
        <v>-1</v>
      </c>
    </row>
    <row r="329" spans="1:93" ht="13.95" customHeight="1" x14ac:dyDescent="0.2">
      <c r="A329" s="231">
        <v>4686</v>
      </c>
      <c r="B329" s="232" t="s">
        <v>848</v>
      </c>
      <c r="C329" s="232" t="s">
        <v>1262</v>
      </c>
      <c r="D329" s="232" t="s">
        <v>1263</v>
      </c>
      <c r="E329" s="232" t="s">
        <v>317</v>
      </c>
      <c r="F329" s="231">
        <v>527471</v>
      </c>
      <c r="G329" s="231">
        <v>174831</v>
      </c>
      <c r="H329" s="232" t="s">
        <v>169</v>
      </c>
      <c r="I329" s="233">
        <v>45016</v>
      </c>
      <c r="J329" s="231"/>
      <c r="K329" s="231">
        <v>2</v>
      </c>
      <c r="L329" s="231">
        <v>1</v>
      </c>
      <c r="M329" s="231">
        <v>-1</v>
      </c>
      <c r="N329" s="231">
        <v>1</v>
      </c>
      <c r="O329" s="231">
        <v>-1</v>
      </c>
      <c r="P329" s="234"/>
      <c r="Q329" s="232" t="s">
        <v>1264</v>
      </c>
      <c r="R329" s="234" t="s">
        <v>332</v>
      </c>
      <c r="S329" s="235">
        <v>44208</v>
      </c>
      <c r="T329" s="235">
        <v>44264</v>
      </c>
      <c r="U329" s="234"/>
      <c r="V329" s="232" t="s">
        <v>321</v>
      </c>
      <c r="W329" s="231"/>
      <c r="X329" s="232" t="s">
        <v>322</v>
      </c>
      <c r="Y329" s="232" t="s">
        <v>365</v>
      </c>
      <c r="Z329" s="232" t="s">
        <v>324</v>
      </c>
      <c r="AA329" s="232" t="s">
        <v>17</v>
      </c>
      <c r="AB329" s="236">
        <v>1.2E-2</v>
      </c>
      <c r="AC329" s="235">
        <v>45016</v>
      </c>
      <c r="AD329" s="234" t="s">
        <v>318</v>
      </c>
      <c r="AE329" s="235"/>
      <c r="AF329" s="232" t="s">
        <v>77</v>
      </c>
      <c r="AG329" s="232" t="s">
        <v>350</v>
      </c>
      <c r="AH329" s="234" t="s">
        <v>317</v>
      </c>
      <c r="AI329" s="250"/>
      <c r="AJ329" s="234">
        <v>0</v>
      </c>
      <c r="AK329" s="224"/>
      <c r="AL329" s="234">
        <v>0</v>
      </c>
      <c r="AM329" s="224"/>
      <c r="AN329" s="234">
        <v>0</v>
      </c>
      <c r="AO329" s="234">
        <v>-1</v>
      </c>
      <c r="AP329" s="234">
        <v>0</v>
      </c>
      <c r="AQ329" s="234">
        <v>0</v>
      </c>
      <c r="AR329" s="234">
        <v>-1</v>
      </c>
      <c r="AS329" s="234">
        <v>1</v>
      </c>
      <c r="AT329" s="234">
        <v>0</v>
      </c>
      <c r="AU329" s="234">
        <v>0</v>
      </c>
      <c r="AV329" s="234">
        <v>-1</v>
      </c>
      <c r="AW329" s="234">
        <v>0</v>
      </c>
      <c r="AX329" s="234">
        <v>0</v>
      </c>
      <c r="AY329" s="234">
        <v>-1</v>
      </c>
      <c r="AZ329" s="234">
        <v>0</v>
      </c>
      <c r="BA329" s="234">
        <v>0</v>
      </c>
      <c r="BB329" s="234">
        <v>0</v>
      </c>
      <c r="BC329" s="234">
        <v>0</v>
      </c>
      <c r="BD329" s="234">
        <v>0</v>
      </c>
      <c r="BE329" s="234">
        <v>0</v>
      </c>
      <c r="BF329" s="234">
        <v>0</v>
      </c>
      <c r="BG329" s="234">
        <v>1</v>
      </c>
      <c r="BH329" s="234">
        <v>0</v>
      </c>
      <c r="BI329" s="234">
        <v>0</v>
      </c>
      <c r="BJ329" s="234">
        <v>0</v>
      </c>
      <c r="BK329" s="234">
        <v>0</v>
      </c>
      <c r="BL329" s="234">
        <v>0</v>
      </c>
      <c r="BM329" s="234">
        <v>0</v>
      </c>
      <c r="BN329" s="234">
        <v>0</v>
      </c>
      <c r="BO329" s="234">
        <v>0</v>
      </c>
      <c r="BP329" s="234"/>
      <c r="BQ329" s="234"/>
      <c r="BR329" s="237" t="s">
        <v>150</v>
      </c>
      <c r="BS329" s="238">
        <v>5</v>
      </c>
      <c r="BU329" s="239">
        <f t="shared" si="27"/>
        <v>-1</v>
      </c>
      <c r="CN329" s="238">
        <f t="shared" si="25"/>
        <v>-1</v>
      </c>
      <c r="CO329" s="238">
        <f t="shared" si="26"/>
        <v>-1</v>
      </c>
    </row>
    <row r="330" spans="1:93" ht="13.95" customHeight="1" x14ac:dyDescent="0.2">
      <c r="A330" s="231">
        <v>7005</v>
      </c>
      <c r="B330" s="232" t="s">
        <v>848</v>
      </c>
      <c r="C330" s="232" t="s">
        <v>1265</v>
      </c>
      <c r="D330" s="232" t="s">
        <v>1266</v>
      </c>
      <c r="E330" s="232" t="s">
        <v>317</v>
      </c>
      <c r="F330" s="231">
        <v>528240</v>
      </c>
      <c r="G330" s="231">
        <v>172415</v>
      </c>
      <c r="H330" s="232" t="s">
        <v>172</v>
      </c>
      <c r="I330" s="233">
        <v>44287</v>
      </c>
      <c r="J330" s="231"/>
      <c r="K330" s="231">
        <v>3</v>
      </c>
      <c r="L330" s="231">
        <v>1</v>
      </c>
      <c r="M330" s="231">
        <v>-2</v>
      </c>
      <c r="N330" s="231">
        <v>1</v>
      </c>
      <c r="O330" s="231">
        <v>-2</v>
      </c>
      <c r="P330" s="234"/>
      <c r="Q330" s="232" t="s">
        <v>1267</v>
      </c>
      <c r="R330" s="234" t="s">
        <v>332</v>
      </c>
      <c r="S330" s="235">
        <v>43325</v>
      </c>
      <c r="T330" s="235">
        <v>43378</v>
      </c>
      <c r="U330" s="234"/>
      <c r="V330" s="232" t="s">
        <v>321</v>
      </c>
      <c r="W330" s="231"/>
      <c r="X330" s="232" t="s">
        <v>322</v>
      </c>
      <c r="Y330" s="232" t="s">
        <v>338</v>
      </c>
      <c r="Z330" s="232" t="s">
        <v>324</v>
      </c>
      <c r="AA330" s="232" t="s">
        <v>17</v>
      </c>
      <c r="AB330" s="236">
        <v>2.3E-2</v>
      </c>
      <c r="AC330" s="235">
        <v>44287</v>
      </c>
      <c r="AD330" s="234"/>
      <c r="AE330" s="234"/>
      <c r="AF330" s="232" t="s">
        <v>77</v>
      </c>
      <c r="AG330" s="232" t="s">
        <v>350</v>
      </c>
      <c r="AH330" s="234" t="s">
        <v>317</v>
      </c>
      <c r="AI330" s="250"/>
      <c r="AJ330" s="234">
        <v>0</v>
      </c>
      <c r="AK330" s="224"/>
      <c r="AL330" s="234">
        <v>0</v>
      </c>
      <c r="AM330" s="224"/>
      <c r="AN330" s="234">
        <v>0</v>
      </c>
      <c r="AO330" s="234">
        <v>-1</v>
      </c>
      <c r="AP330" s="234">
        <v>-2</v>
      </c>
      <c r="AQ330" s="234">
        <v>0</v>
      </c>
      <c r="AR330" s="234">
        <v>1</v>
      </c>
      <c r="AS330" s="234">
        <v>0</v>
      </c>
      <c r="AT330" s="234">
        <v>0</v>
      </c>
      <c r="AU330" s="234">
        <v>0</v>
      </c>
      <c r="AV330" s="234">
        <v>-1</v>
      </c>
      <c r="AW330" s="234">
        <v>-2</v>
      </c>
      <c r="AX330" s="234">
        <v>0</v>
      </c>
      <c r="AY330" s="234">
        <v>0</v>
      </c>
      <c r="AZ330" s="234">
        <v>0</v>
      </c>
      <c r="BA330" s="234">
        <v>0</v>
      </c>
      <c r="BB330" s="234">
        <v>0</v>
      </c>
      <c r="BC330" s="234">
        <v>0</v>
      </c>
      <c r="BD330" s="234">
        <v>0</v>
      </c>
      <c r="BE330" s="234">
        <v>0</v>
      </c>
      <c r="BF330" s="234">
        <v>1</v>
      </c>
      <c r="BG330" s="234">
        <v>0</v>
      </c>
      <c r="BH330" s="234">
        <v>0</v>
      </c>
      <c r="BI330" s="234">
        <v>0</v>
      </c>
      <c r="BJ330" s="234">
        <v>0</v>
      </c>
      <c r="BK330" s="234">
        <v>0</v>
      </c>
      <c r="BL330" s="234">
        <v>0</v>
      </c>
      <c r="BM330" s="234">
        <v>0</v>
      </c>
      <c r="BN330" s="234">
        <v>0</v>
      </c>
      <c r="BO330" s="234">
        <v>0</v>
      </c>
      <c r="BP330" s="234"/>
      <c r="BQ330" s="234"/>
      <c r="BR330" s="237" t="s">
        <v>334</v>
      </c>
      <c r="BS330" s="238">
        <v>13</v>
      </c>
      <c r="BU330" s="239">
        <f t="shared" si="27"/>
        <v>-2</v>
      </c>
      <c r="CN330" s="238">
        <f t="shared" si="25"/>
        <v>-2</v>
      </c>
      <c r="CO330" s="238">
        <f t="shared" si="26"/>
        <v>-2</v>
      </c>
    </row>
    <row r="331" spans="1:93" ht="13.95" customHeight="1" x14ac:dyDescent="0.2">
      <c r="A331" s="231">
        <v>7673</v>
      </c>
      <c r="B331" s="232" t="s">
        <v>848</v>
      </c>
      <c r="C331" s="232" t="s">
        <v>1268</v>
      </c>
      <c r="D331" s="232" t="s">
        <v>1269</v>
      </c>
      <c r="E331" s="232" t="s">
        <v>317</v>
      </c>
      <c r="F331" s="231">
        <v>527055</v>
      </c>
      <c r="G331" s="231">
        <v>173767</v>
      </c>
      <c r="H331" s="232" t="s">
        <v>180</v>
      </c>
      <c r="I331" s="233">
        <v>44652</v>
      </c>
      <c r="J331" s="231"/>
      <c r="K331" s="231">
        <v>3</v>
      </c>
      <c r="L331" s="231">
        <v>1</v>
      </c>
      <c r="M331" s="231">
        <v>-2</v>
      </c>
      <c r="N331" s="231">
        <v>1</v>
      </c>
      <c r="O331" s="231">
        <v>-2</v>
      </c>
      <c r="P331" s="234"/>
      <c r="Q331" s="232" t="s">
        <v>1270</v>
      </c>
      <c r="R331" s="234" t="s">
        <v>332</v>
      </c>
      <c r="S331" s="235">
        <v>44371</v>
      </c>
      <c r="T331" s="235">
        <v>44552</v>
      </c>
      <c r="U331" s="234"/>
      <c r="V331" s="232" t="s">
        <v>321</v>
      </c>
      <c r="W331" s="231"/>
      <c r="X331" s="232" t="s">
        <v>322</v>
      </c>
      <c r="Y331" s="232" t="s">
        <v>338</v>
      </c>
      <c r="Z331" s="232" t="s">
        <v>324</v>
      </c>
      <c r="AA331" s="232" t="s">
        <v>17</v>
      </c>
      <c r="AB331" s="236">
        <v>8.0000000000000002E-3</v>
      </c>
      <c r="AC331" s="235">
        <v>44652</v>
      </c>
      <c r="AD331" s="234" t="s">
        <v>318</v>
      </c>
      <c r="AE331" s="234"/>
      <c r="AF331" s="232" t="s">
        <v>77</v>
      </c>
      <c r="AG331" s="232" t="s">
        <v>350</v>
      </c>
      <c r="AH331" s="234" t="s">
        <v>317</v>
      </c>
      <c r="AI331" s="250"/>
      <c r="AJ331" s="234">
        <v>0</v>
      </c>
      <c r="AK331" s="224"/>
      <c r="AL331" s="234">
        <v>0</v>
      </c>
      <c r="AM331" s="224"/>
      <c r="AN331" s="234">
        <v>0</v>
      </c>
      <c r="AO331" s="234">
        <v>-2</v>
      </c>
      <c r="AP331" s="234">
        <v>-1</v>
      </c>
      <c r="AQ331" s="234">
        <v>0</v>
      </c>
      <c r="AR331" s="234">
        <v>0</v>
      </c>
      <c r="AS331" s="234">
        <v>1</v>
      </c>
      <c r="AT331" s="234">
        <v>0</v>
      </c>
      <c r="AU331" s="234">
        <v>0</v>
      </c>
      <c r="AV331" s="234">
        <v>-2</v>
      </c>
      <c r="AW331" s="234">
        <v>-1</v>
      </c>
      <c r="AX331" s="234">
        <v>0</v>
      </c>
      <c r="AY331" s="234">
        <v>0</v>
      </c>
      <c r="AZ331" s="234">
        <v>0</v>
      </c>
      <c r="BA331" s="234">
        <v>0</v>
      </c>
      <c r="BB331" s="234">
        <v>0</v>
      </c>
      <c r="BC331" s="234">
        <v>0</v>
      </c>
      <c r="BD331" s="234">
        <v>0</v>
      </c>
      <c r="BE331" s="234">
        <v>0</v>
      </c>
      <c r="BF331" s="234">
        <v>0</v>
      </c>
      <c r="BG331" s="234">
        <v>1</v>
      </c>
      <c r="BH331" s="234">
        <v>0</v>
      </c>
      <c r="BI331" s="234">
        <v>0</v>
      </c>
      <c r="BJ331" s="234">
        <v>0</v>
      </c>
      <c r="BK331" s="234">
        <v>0</v>
      </c>
      <c r="BL331" s="234">
        <v>0</v>
      </c>
      <c r="BM331" s="234">
        <v>0</v>
      </c>
      <c r="BN331" s="234">
        <v>0</v>
      </c>
      <c r="BO331" s="234">
        <v>0</v>
      </c>
      <c r="BP331" s="234"/>
      <c r="BQ331" s="234"/>
      <c r="BR331" s="237" t="s">
        <v>334</v>
      </c>
      <c r="BS331" s="238">
        <v>13</v>
      </c>
      <c r="BU331" s="239">
        <f t="shared" si="27"/>
        <v>-2</v>
      </c>
      <c r="CN331" s="238">
        <f t="shared" si="25"/>
        <v>-2</v>
      </c>
      <c r="CO331" s="238">
        <f t="shared" si="26"/>
        <v>-2</v>
      </c>
    </row>
    <row r="332" spans="1:93" ht="13.95" customHeight="1" x14ac:dyDescent="0.2">
      <c r="A332" s="231">
        <v>4257</v>
      </c>
      <c r="B332" s="232" t="s">
        <v>848</v>
      </c>
      <c r="C332" s="232" t="s">
        <v>1271</v>
      </c>
      <c r="D332" s="232" t="s">
        <v>1272</v>
      </c>
      <c r="E332" s="232" t="s">
        <v>317</v>
      </c>
      <c r="F332" s="231">
        <v>527846</v>
      </c>
      <c r="G332" s="231">
        <v>172221</v>
      </c>
      <c r="H332" s="232" t="s">
        <v>176</v>
      </c>
      <c r="I332" s="233">
        <v>44651</v>
      </c>
      <c r="J332" s="231"/>
      <c r="K332" s="231">
        <v>2</v>
      </c>
      <c r="L332" s="231">
        <v>0</v>
      </c>
      <c r="M332" s="231">
        <v>-2</v>
      </c>
      <c r="N332" s="231">
        <v>0</v>
      </c>
      <c r="O332" s="231">
        <v>-2</v>
      </c>
      <c r="P332" s="234"/>
      <c r="Q332" s="232" t="s">
        <v>1273</v>
      </c>
      <c r="R332" s="234" t="s">
        <v>332</v>
      </c>
      <c r="S332" s="235">
        <v>44477</v>
      </c>
      <c r="T332" s="235">
        <v>44595</v>
      </c>
      <c r="U332" s="234"/>
      <c r="V332" s="232" t="s">
        <v>321</v>
      </c>
      <c r="W332" s="231"/>
      <c r="X332" s="232" t="s">
        <v>322</v>
      </c>
      <c r="Y332" s="232" t="s">
        <v>338</v>
      </c>
      <c r="Z332" s="232" t="s">
        <v>324</v>
      </c>
      <c r="AA332" s="232" t="s">
        <v>354</v>
      </c>
      <c r="AB332" s="236">
        <v>0</v>
      </c>
      <c r="AC332" s="235">
        <v>44651</v>
      </c>
      <c r="AD332" s="234"/>
      <c r="AE332" s="235"/>
      <c r="AF332" s="232" t="s">
        <v>77</v>
      </c>
      <c r="AG332" s="232" t="s">
        <v>340</v>
      </c>
      <c r="AH332" s="234" t="s">
        <v>317</v>
      </c>
      <c r="AI332" s="250"/>
      <c r="AJ332" s="234">
        <v>0</v>
      </c>
      <c r="AK332" s="224"/>
      <c r="AL332" s="234">
        <v>0</v>
      </c>
      <c r="AM332" s="224"/>
      <c r="AN332" s="234">
        <v>0</v>
      </c>
      <c r="AO332" s="234">
        <v>0</v>
      </c>
      <c r="AP332" s="234">
        <v>0</v>
      </c>
      <c r="AQ332" s="234">
        <v>0</v>
      </c>
      <c r="AR332" s="234">
        <v>0</v>
      </c>
      <c r="AS332" s="234">
        <v>-2</v>
      </c>
      <c r="AT332" s="234">
        <v>0</v>
      </c>
      <c r="AU332" s="234">
        <v>0</v>
      </c>
      <c r="AV332" s="234">
        <v>0</v>
      </c>
      <c r="AW332" s="234">
        <v>0</v>
      </c>
      <c r="AX332" s="234">
        <v>0</v>
      </c>
      <c r="AY332" s="234">
        <v>0</v>
      </c>
      <c r="AZ332" s="234">
        <v>-2</v>
      </c>
      <c r="BA332" s="234">
        <v>0</v>
      </c>
      <c r="BB332" s="234">
        <v>0</v>
      </c>
      <c r="BC332" s="234">
        <v>0</v>
      </c>
      <c r="BD332" s="234">
        <v>0</v>
      </c>
      <c r="BE332" s="234">
        <v>0</v>
      </c>
      <c r="BF332" s="234">
        <v>0</v>
      </c>
      <c r="BG332" s="234">
        <v>0</v>
      </c>
      <c r="BH332" s="234">
        <v>0</v>
      </c>
      <c r="BI332" s="234">
        <v>0</v>
      </c>
      <c r="BJ332" s="234">
        <v>0</v>
      </c>
      <c r="BK332" s="234">
        <v>0</v>
      </c>
      <c r="BL332" s="234">
        <v>0</v>
      </c>
      <c r="BM332" s="234">
        <v>0</v>
      </c>
      <c r="BN332" s="234">
        <v>0</v>
      </c>
      <c r="BO332" s="234">
        <v>0</v>
      </c>
      <c r="BP332" s="234"/>
      <c r="BQ332" s="234"/>
      <c r="BR332" s="237" t="s">
        <v>334</v>
      </c>
      <c r="BS332" s="238">
        <v>13</v>
      </c>
      <c r="BU332" s="239">
        <f t="shared" si="27"/>
        <v>-2</v>
      </c>
      <c r="CN332" s="238">
        <f t="shared" si="25"/>
        <v>-2</v>
      </c>
      <c r="CO332" s="238">
        <f t="shared" si="26"/>
        <v>-2</v>
      </c>
    </row>
    <row r="333" spans="1:93" ht="13.95" customHeight="1" x14ac:dyDescent="0.2">
      <c r="A333" s="231">
        <v>7235</v>
      </c>
      <c r="B333" s="232" t="s">
        <v>848</v>
      </c>
      <c r="C333" s="232" t="s">
        <v>1274</v>
      </c>
      <c r="D333" s="232" t="s">
        <v>1275</v>
      </c>
      <c r="E333" s="232" t="s">
        <v>317</v>
      </c>
      <c r="F333" s="231">
        <v>524049</v>
      </c>
      <c r="G333" s="231">
        <v>175301</v>
      </c>
      <c r="H333" s="232" t="s">
        <v>175</v>
      </c>
      <c r="I333" s="233">
        <v>44578</v>
      </c>
      <c r="J333" s="231"/>
      <c r="K333" s="231">
        <v>2</v>
      </c>
      <c r="L333" s="231">
        <v>0</v>
      </c>
      <c r="M333" s="231">
        <v>-2</v>
      </c>
      <c r="N333" s="231">
        <v>0</v>
      </c>
      <c r="O333" s="231">
        <v>-2</v>
      </c>
      <c r="P333" s="234"/>
      <c r="Q333" s="232" t="s">
        <v>1276</v>
      </c>
      <c r="R333" s="234" t="s">
        <v>332</v>
      </c>
      <c r="S333" s="235">
        <v>43698</v>
      </c>
      <c r="T333" s="235">
        <v>43754</v>
      </c>
      <c r="U333" s="234"/>
      <c r="V333" s="232" t="s">
        <v>321</v>
      </c>
      <c r="W333" s="231"/>
      <c r="X333" s="232" t="s">
        <v>322</v>
      </c>
      <c r="Y333" s="232" t="s">
        <v>338</v>
      </c>
      <c r="Z333" s="232" t="s">
        <v>324</v>
      </c>
      <c r="AA333" s="232" t="s">
        <v>34</v>
      </c>
      <c r="AB333" s="236">
        <v>1.9E-2</v>
      </c>
      <c r="AC333" s="235">
        <v>44578</v>
      </c>
      <c r="AD333" s="234"/>
      <c r="AE333" s="234"/>
      <c r="AF333" s="232" t="s">
        <v>77</v>
      </c>
      <c r="AG333" s="232" t="s">
        <v>350</v>
      </c>
      <c r="AH333" s="234" t="s">
        <v>317</v>
      </c>
      <c r="AI333" s="250"/>
      <c r="AJ333" s="234">
        <v>0</v>
      </c>
      <c r="AK333" s="224"/>
      <c r="AL333" s="234">
        <v>0</v>
      </c>
      <c r="AM333" s="224"/>
      <c r="AN333" s="234">
        <v>0</v>
      </c>
      <c r="AO333" s="234">
        <v>0</v>
      </c>
      <c r="AP333" s="234">
        <v>0</v>
      </c>
      <c r="AQ333" s="234">
        <v>0</v>
      </c>
      <c r="AR333" s="234">
        <v>-2</v>
      </c>
      <c r="AS333" s="234">
        <v>0</v>
      </c>
      <c r="AT333" s="234">
        <v>0</v>
      </c>
      <c r="AU333" s="234">
        <v>0</v>
      </c>
      <c r="AV333" s="234">
        <v>0</v>
      </c>
      <c r="AW333" s="234">
        <v>0</v>
      </c>
      <c r="AX333" s="234">
        <v>0</v>
      </c>
      <c r="AY333" s="234">
        <v>-2</v>
      </c>
      <c r="AZ333" s="234">
        <v>0</v>
      </c>
      <c r="BA333" s="234">
        <v>0</v>
      </c>
      <c r="BB333" s="234">
        <v>0</v>
      </c>
      <c r="BC333" s="234">
        <v>0</v>
      </c>
      <c r="BD333" s="234">
        <v>0</v>
      </c>
      <c r="BE333" s="234">
        <v>0</v>
      </c>
      <c r="BF333" s="234">
        <v>0</v>
      </c>
      <c r="BG333" s="234">
        <v>0</v>
      </c>
      <c r="BH333" s="234">
        <v>0</v>
      </c>
      <c r="BI333" s="234">
        <v>0</v>
      </c>
      <c r="BJ333" s="234">
        <v>0</v>
      </c>
      <c r="BK333" s="234">
        <v>0</v>
      </c>
      <c r="BL333" s="234">
        <v>0</v>
      </c>
      <c r="BM333" s="234">
        <v>0</v>
      </c>
      <c r="BN333" s="234">
        <v>0</v>
      </c>
      <c r="BO333" s="234">
        <v>0</v>
      </c>
      <c r="BP333" s="234" t="s">
        <v>143</v>
      </c>
      <c r="BQ333" s="234"/>
      <c r="BR333" s="237" t="s">
        <v>152</v>
      </c>
      <c r="BS333" s="238">
        <v>13</v>
      </c>
      <c r="BU333" s="239">
        <f t="shared" si="27"/>
        <v>-2</v>
      </c>
      <c r="CN333" s="238">
        <f t="shared" si="25"/>
        <v>-2</v>
      </c>
      <c r="CO333" s="238">
        <f t="shared" si="26"/>
        <v>-2</v>
      </c>
    </row>
    <row r="334" spans="1:93" ht="13.95" customHeight="1" x14ac:dyDescent="0.2">
      <c r="A334" s="231">
        <v>6311</v>
      </c>
      <c r="B334" s="232" t="s">
        <v>848</v>
      </c>
      <c r="C334" s="232" t="s">
        <v>1277</v>
      </c>
      <c r="D334" s="232" t="s">
        <v>1278</v>
      </c>
      <c r="E334" s="232" t="s">
        <v>317</v>
      </c>
      <c r="F334" s="231">
        <v>527604</v>
      </c>
      <c r="G334" s="231">
        <v>172607</v>
      </c>
      <c r="H334" s="232" t="s">
        <v>178</v>
      </c>
      <c r="I334" s="233">
        <v>43047</v>
      </c>
      <c r="J334" s="231"/>
      <c r="K334" s="231">
        <v>4</v>
      </c>
      <c r="L334" s="231">
        <v>1</v>
      </c>
      <c r="M334" s="231">
        <v>-3</v>
      </c>
      <c r="N334" s="231">
        <v>1</v>
      </c>
      <c r="O334" s="231">
        <v>-3</v>
      </c>
      <c r="P334" s="234"/>
      <c r="Q334" s="232" t="s">
        <v>1279</v>
      </c>
      <c r="R334" s="234" t="s">
        <v>332</v>
      </c>
      <c r="S334" s="235">
        <v>42670</v>
      </c>
      <c r="T334" s="235">
        <v>42725</v>
      </c>
      <c r="U334" s="234"/>
      <c r="V334" s="232" t="s">
        <v>321</v>
      </c>
      <c r="W334" s="231"/>
      <c r="X334" s="232" t="s">
        <v>322</v>
      </c>
      <c r="Y334" s="232" t="s">
        <v>365</v>
      </c>
      <c r="Z334" s="232" t="s">
        <v>324</v>
      </c>
      <c r="AA334" s="232" t="s">
        <v>17</v>
      </c>
      <c r="AB334" s="236">
        <v>2.8000000000000001E-2</v>
      </c>
      <c r="AC334" s="235">
        <v>43047</v>
      </c>
      <c r="AD334" s="234"/>
      <c r="AE334" s="234"/>
      <c r="AF334" s="232" t="s">
        <v>77</v>
      </c>
      <c r="AG334" s="232" t="s">
        <v>350</v>
      </c>
      <c r="AH334" s="234" t="s">
        <v>317</v>
      </c>
      <c r="AI334" s="250"/>
      <c r="AJ334" s="234">
        <v>0</v>
      </c>
      <c r="AK334" s="224"/>
      <c r="AL334" s="234">
        <v>0</v>
      </c>
      <c r="AM334" s="224"/>
      <c r="AN334" s="234">
        <v>0</v>
      </c>
      <c r="AO334" s="234">
        <v>-2</v>
      </c>
      <c r="AP334" s="234">
        <v>-2</v>
      </c>
      <c r="AQ334" s="234">
        <v>0</v>
      </c>
      <c r="AR334" s="234">
        <v>0</v>
      </c>
      <c r="AS334" s="234">
        <v>1</v>
      </c>
      <c r="AT334" s="234">
        <v>0</v>
      </c>
      <c r="AU334" s="234">
        <v>0</v>
      </c>
      <c r="AV334" s="234">
        <v>-2</v>
      </c>
      <c r="AW334" s="234">
        <v>-2</v>
      </c>
      <c r="AX334" s="234">
        <v>0</v>
      </c>
      <c r="AY334" s="234">
        <v>0</v>
      </c>
      <c r="AZ334" s="234">
        <v>0</v>
      </c>
      <c r="BA334" s="234">
        <v>0</v>
      </c>
      <c r="BB334" s="234">
        <v>0</v>
      </c>
      <c r="BC334" s="234">
        <v>0</v>
      </c>
      <c r="BD334" s="234">
        <v>0</v>
      </c>
      <c r="BE334" s="234">
        <v>0</v>
      </c>
      <c r="BF334" s="234">
        <v>0</v>
      </c>
      <c r="BG334" s="234">
        <v>1</v>
      </c>
      <c r="BH334" s="234">
        <v>0</v>
      </c>
      <c r="BI334" s="234">
        <v>0</v>
      </c>
      <c r="BJ334" s="234">
        <v>0</v>
      </c>
      <c r="BK334" s="234">
        <v>0</v>
      </c>
      <c r="BL334" s="234">
        <v>0</v>
      </c>
      <c r="BM334" s="234">
        <v>0</v>
      </c>
      <c r="BN334" s="234">
        <v>0</v>
      </c>
      <c r="BO334" s="234">
        <v>0</v>
      </c>
      <c r="BP334" s="234"/>
      <c r="BQ334" s="234"/>
      <c r="BR334" s="237" t="s">
        <v>334</v>
      </c>
      <c r="BS334" s="238">
        <v>13</v>
      </c>
      <c r="BU334" s="239">
        <f t="shared" si="27"/>
        <v>-3</v>
      </c>
      <c r="CN334" s="238">
        <f t="shared" si="25"/>
        <v>-3</v>
      </c>
      <c r="CO334" s="238">
        <f t="shared" si="26"/>
        <v>-3</v>
      </c>
    </row>
    <row r="335" spans="1:93" ht="13.95" customHeight="1" x14ac:dyDescent="0.2">
      <c r="A335" s="231">
        <v>3046</v>
      </c>
      <c r="B335" s="232" t="s">
        <v>848</v>
      </c>
      <c r="C335" s="232" t="s">
        <v>1280</v>
      </c>
      <c r="D335" s="232" t="s">
        <v>1281</v>
      </c>
      <c r="E335" s="232" t="s">
        <v>317</v>
      </c>
      <c r="F335" s="231">
        <v>527378</v>
      </c>
      <c r="G335" s="231">
        <v>172911</v>
      </c>
      <c r="H335" s="232" t="s">
        <v>178</v>
      </c>
      <c r="I335" s="233">
        <v>44740</v>
      </c>
      <c r="J335" s="231"/>
      <c r="K335" s="231">
        <v>5</v>
      </c>
      <c r="L335" s="231">
        <v>1</v>
      </c>
      <c r="M335" s="231">
        <v>-4</v>
      </c>
      <c r="N335" s="231">
        <v>1</v>
      </c>
      <c r="O335" s="231">
        <v>-4</v>
      </c>
      <c r="P335" s="234"/>
      <c r="Q335" s="232" t="s">
        <v>1282</v>
      </c>
      <c r="R335" s="234" t="s">
        <v>332</v>
      </c>
      <c r="S335" s="235">
        <v>44322</v>
      </c>
      <c r="T335" s="235">
        <v>44417</v>
      </c>
      <c r="U335" s="234"/>
      <c r="V335" s="232" t="s">
        <v>321</v>
      </c>
      <c r="W335" s="231"/>
      <c r="X335" s="232" t="s">
        <v>322</v>
      </c>
      <c r="Y335" s="232" t="s">
        <v>338</v>
      </c>
      <c r="Z335" s="232" t="s">
        <v>324</v>
      </c>
      <c r="AA335" s="232" t="s">
        <v>17</v>
      </c>
      <c r="AB335" s="236">
        <v>6.4749999999999999E-3</v>
      </c>
      <c r="AC335" s="235">
        <v>44740</v>
      </c>
      <c r="AD335" s="234" t="s">
        <v>318</v>
      </c>
      <c r="AE335" s="234"/>
      <c r="AF335" s="232" t="s">
        <v>77</v>
      </c>
      <c r="AG335" s="232" t="s">
        <v>350</v>
      </c>
      <c r="AH335" s="234" t="s">
        <v>317</v>
      </c>
      <c r="AI335" s="250"/>
      <c r="AJ335" s="234">
        <v>0</v>
      </c>
      <c r="AK335" s="224"/>
      <c r="AL335" s="234">
        <v>0</v>
      </c>
      <c r="AM335" s="224"/>
      <c r="AN335" s="234">
        <v>-4</v>
      </c>
      <c r="AO335" s="234">
        <v>-1</v>
      </c>
      <c r="AP335" s="234">
        <v>0</v>
      </c>
      <c r="AQ335" s="234">
        <v>0</v>
      </c>
      <c r="AR335" s="234">
        <v>0</v>
      </c>
      <c r="AS335" s="234">
        <v>1</v>
      </c>
      <c r="AT335" s="234">
        <v>0</v>
      </c>
      <c r="AU335" s="234">
        <v>-4</v>
      </c>
      <c r="AV335" s="234">
        <v>-1</v>
      </c>
      <c r="AW335" s="234">
        <v>0</v>
      </c>
      <c r="AX335" s="234">
        <v>0</v>
      </c>
      <c r="AY335" s="234">
        <v>0</v>
      </c>
      <c r="AZ335" s="234">
        <v>0</v>
      </c>
      <c r="BA335" s="234">
        <v>0</v>
      </c>
      <c r="BB335" s="234">
        <v>0</v>
      </c>
      <c r="BC335" s="234">
        <v>0</v>
      </c>
      <c r="BD335" s="234">
        <v>0</v>
      </c>
      <c r="BE335" s="234">
        <v>0</v>
      </c>
      <c r="BF335" s="234">
        <v>0</v>
      </c>
      <c r="BG335" s="234">
        <v>1</v>
      </c>
      <c r="BH335" s="234">
        <v>0</v>
      </c>
      <c r="BI335" s="234">
        <v>0</v>
      </c>
      <c r="BJ335" s="234">
        <v>0</v>
      </c>
      <c r="BK335" s="234">
        <v>0</v>
      </c>
      <c r="BL335" s="234">
        <v>0</v>
      </c>
      <c r="BM335" s="234">
        <v>0</v>
      </c>
      <c r="BN335" s="234">
        <v>0</v>
      </c>
      <c r="BO335" s="234">
        <v>0</v>
      </c>
      <c r="BP335" s="234"/>
      <c r="BQ335" s="234"/>
      <c r="BR335" s="237" t="s">
        <v>334</v>
      </c>
      <c r="BS335" s="238">
        <v>13</v>
      </c>
      <c r="BU335" s="239">
        <f t="shared" si="27"/>
        <v>-4</v>
      </c>
      <c r="CN335" s="238">
        <f t="shared" si="25"/>
        <v>-4</v>
      </c>
      <c r="CO335" s="238">
        <f t="shared" si="26"/>
        <v>-4</v>
      </c>
    </row>
    <row r="336" spans="1:93" ht="13.95" customHeight="1" x14ac:dyDescent="0.2">
      <c r="A336" s="231">
        <v>536</v>
      </c>
      <c r="B336" s="232" t="s">
        <v>848</v>
      </c>
      <c r="C336" s="232" t="s">
        <v>884</v>
      </c>
      <c r="D336" s="232" t="s">
        <v>885</v>
      </c>
      <c r="E336" s="232" t="s">
        <v>1283</v>
      </c>
      <c r="F336" s="231">
        <v>525441</v>
      </c>
      <c r="G336" s="231">
        <v>174750</v>
      </c>
      <c r="H336" s="232" t="s">
        <v>181</v>
      </c>
      <c r="I336" s="233">
        <v>44595</v>
      </c>
      <c r="J336" s="231"/>
      <c r="K336" s="231">
        <v>0</v>
      </c>
      <c r="L336" s="231">
        <v>1</v>
      </c>
      <c r="M336" s="231">
        <v>1</v>
      </c>
      <c r="N336" s="231">
        <v>17</v>
      </c>
      <c r="O336" s="231">
        <v>13</v>
      </c>
      <c r="P336" s="234" t="s">
        <v>318</v>
      </c>
      <c r="Q336" s="232" t="s">
        <v>886</v>
      </c>
      <c r="R336" s="234" t="s">
        <v>320</v>
      </c>
      <c r="S336" s="235">
        <v>44483</v>
      </c>
      <c r="T336" s="235">
        <v>44733</v>
      </c>
      <c r="U336" s="234" t="s">
        <v>318</v>
      </c>
      <c r="V336" s="232" t="s">
        <v>321</v>
      </c>
      <c r="W336" s="231"/>
      <c r="X336" s="232" t="s">
        <v>322</v>
      </c>
      <c r="Y336" s="232" t="s">
        <v>323</v>
      </c>
      <c r="Z336" s="232" t="s">
        <v>323</v>
      </c>
      <c r="AA336" s="232" t="s">
        <v>324</v>
      </c>
      <c r="AB336" s="236">
        <v>3.0000000000000001E-3</v>
      </c>
      <c r="AC336" s="235">
        <v>44595</v>
      </c>
      <c r="AD336" s="234"/>
      <c r="AE336" s="234"/>
      <c r="AF336" s="232" t="s">
        <v>77</v>
      </c>
      <c r="AG336" s="232" t="s">
        <v>350</v>
      </c>
      <c r="AH336" s="234" t="s">
        <v>317</v>
      </c>
      <c r="AI336" s="250"/>
      <c r="AJ336" s="234">
        <v>1</v>
      </c>
      <c r="AK336" s="224"/>
      <c r="AL336" s="234">
        <v>0</v>
      </c>
      <c r="AM336" s="224"/>
      <c r="AN336" s="234">
        <v>0</v>
      </c>
      <c r="AO336" s="234">
        <v>0</v>
      </c>
      <c r="AP336" s="234">
        <v>0</v>
      </c>
      <c r="AQ336" s="234">
        <v>1</v>
      </c>
      <c r="AR336" s="234">
        <v>0</v>
      </c>
      <c r="AS336" s="234">
        <v>0</v>
      </c>
      <c r="AT336" s="234">
        <v>0</v>
      </c>
      <c r="AU336" s="234">
        <v>0</v>
      </c>
      <c r="AV336" s="234">
        <v>0</v>
      </c>
      <c r="AW336" s="234">
        <v>0</v>
      </c>
      <c r="AX336" s="234">
        <v>1</v>
      </c>
      <c r="AY336" s="234">
        <v>0</v>
      </c>
      <c r="AZ336" s="234">
        <v>0</v>
      </c>
      <c r="BA336" s="234">
        <v>0</v>
      </c>
      <c r="BB336" s="234">
        <v>0</v>
      </c>
      <c r="BC336" s="234">
        <v>0</v>
      </c>
      <c r="BD336" s="234">
        <v>0</v>
      </c>
      <c r="BE336" s="234">
        <v>0</v>
      </c>
      <c r="BF336" s="234">
        <v>0</v>
      </c>
      <c r="BG336" s="234">
        <v>0</v>
      </c>
      <c r="BH336" s="234">
        <v>0</v>
      </c>
      <c r="BI336" s="234">
        <v>0</v>
      </c>
      <c r="BJ336" s="234">
        <v>0</v>
      </c>
      <c r="BK336" s="234">
        <v>0</v>
      </c>
      <c r="BL336" s="234">
        <v>0</v>
      </c>
      <c r="BM336" s="234">
        <v>0</v>
      </c>
      <c r="BN336" s="234">
        <v>0</v>
      </c>
      <c r="BO336" s="234">
        <v>0</v>
      </c>
      <c r="BP336" s="234" t="s">
        <v>145</v>
      </c>
      <c r="BQ336" s="234"/>
      <c r="BR336" s="237" t="s">
        <v>327</v>
      </c>
      <c r="BS336" s="238">
        <v>2</v>
      </c>
      <c r="BU336" s="239">
        <f t="shared" si="27"/>
        <v>1</v>
      </c>
      <c r="CN336" s="238">
        <f t="shared" si="25"/>
        <v>1</v>
      </c>
      <c r="CO336" s="238">
        <f t="shared" si="26"/>
        <v>1</v>
      </c>
    </row>
    <row r="337" spans="1:93" ht="13.95" customHeight="1" x14ac:dyDescent="0.2">
      <c r="A337" s="231">
        <v>5381</v>
      </c>
      <c r="B337" s="232" t="s">
        <v>848</v>
      </c>
      <c r="C337" s="232" t="s">
        <v>770</v>
      </c>
      <c r="D337" s="232" t="s">
        <v>771</v>
      </c>
      <c r="E337" s="232" t="s">
        <v>1284</v>
      </c>
      <c r="F337" s="231">
        <v>526820</v>
      </c>
      <c r="G337" s="231">
        <v>176155</v>
      </c>
      <c r="H337" s="232" t="s">
        <v>174</v>
      </c>
      <c r="I337" s="233">
        <v>43430</v>
      </c>
      <c r="J337" s="231"/>
      <c r="K337" s="231">
        <v>0</v>
      </c>
      <c r="L337" s="231">
        <v>11</v>
      </c>
      <c r="M337" s="231">
        <v>11</v>
      </c>
      <c r="N337" s="231">
        <v>93</v>
      </c>
      <c r="O337" s="231">
        <v>93</v>
      </c>
      <c r="P337" s="234" t="s">
        <v>318</v>
      </c>
      <c r="Q337" s="232" t="s">
        <v>772</v>
      </c>
      <c r="R337" s="234" t="s">
        <v>344</v>
      </c>
      <c r="S337" s="235">
        <v>44034</v>
      </c>
      <c r="T337" s="235">
        <v>44265</v>
      </c>
      <c r="U337" s="234"/>
      <c r="V337" s="232" t="s">
        <v>321</v>
      </c>
      <c r="W337" s="231"/>
      <c r="X337" s="232" t="s">
        <v>322</v>
      </c>
      <c r="Y337" s="232" t="s">
        <v>323</v>
      </c>
      <c r="Z337" s="232" t="s">
        <v>323</v>
      </c>
      <c r="AA337" s="232" t="s">
        <v>324</v>
      </c>
      <c r="AB337" s="236">
        <v>0.01</v>
      </c>
      <c r="AC337" s="235">
        <v>43430</v>
      </c>
      <c r="AD337" s="234"/>
      <c r="AE337" s="235"/>
      <c r="AF337" s="232" t="s">
        <v>56</v>
      </c>
      <c r="AG337" s="232" t="s">
        <v>325</v>
      </c>
      <c r="AH337" s="234" t="s">
        <v>773</v>
      </c>
      <c r="AI337" s="250"/>
      <c r="AJ337" s="234">
        <v>0</v>
      </c>
      <c r="AK337" s="224"/>
      <c r="AL337" s="234">
        <v>0</v>
      </c>
      <c r="AM337" s="224"/>
      <c r="AN337" s="234">
        <v>0</v>
      </c>
      <c r="AO337" s="234">
        <v>5</v>
      </c>
      <c r="AP337" s="234">
        <v>6</v>
      </c>
      <c r="AQ337" s="234">
        <v>0</v>
      </c>
      <c r="AR337" s="234">
        <v>0</v>
      </c>
      <c r="AS337" s="234">
        <v>0</v>
      </c>
      <c r="AT337" s="234">
        <v>0</v>
      </c>
      <c r="AU337" s="234">
        <v>0</v>
      </c>
      <c r="AV337" s="234">
        <v>5</v>
      </c>
      <c r="AW337" s="234">
        <v>6</v>
      </c>
      <c r="AX337" s="234">
        <v>0</v>
      </c>
      <c r="AY337" s="234">
        <v>0</v>
      </c>
      <c r="AZ337" s="234">
        <v>0</v>
      </c>
      <c r="BA337" s="234">
        <v>0</v>
      </c>
      <c r="BB337" s="234">
        <v>0</v>
      </c>
      <c r="BC337" s="234">
        <v>0</v>
      </c>
      <c r="BD337" s="234">
        <v>0</v>
      </c>
      <c r="BE337" s="234">
        <v>0</v>
      </c>
      <c r="BF337" s="234">
        <v>0</v>
      </c>
      <c r="BG337" s="234">
        <v>0</v>
      </c>
      <c r="BH337" s="234">
        <v>0</v>
      </c>
      <c r="BI337" s="234">
        <v>0</v>
      </c>
      <c r="BJ337" s="234">
        <v>0</v>
      </c>
      <c r="BK337" s="234">
        <v>0</v>
      </c>
      <c r="BL337" s="234">
        <v>0</v>
      </c>
      <c r="BM337" s="234">
        <v>0</v>
      </c>
      <c r="BN337" s="234">
        <v>0</v>
      </c>
      <c r="BO337" s="234">
        <v>0</v>
      </c>
      <c r="BP337" s="234"/>
      <c r="BQ337" s="234"/>
      <c r="BR337" s="237" t="s">
        <v>481</v>
      </c>
      <c r="BS337" s="238">
        <v>5</v>
      </c>
      <c r="BU337" s="239">
        <f t="shared" si="27"/>
        <v>11</v>
      </c>
      <c r="CN337" s="238">
        <f t="shared" si="25"/>
        <v>11</v>
      </c>
      <c r="CO337" s="238">
        <f t="shared" si="26"/>
        <v>11</v>
      </c>
    </row>
    <row r="338" spans="1:93" ht="13.95" customHeight="1" x14ac:dyDescent="0.2">
      <c r="A338" s="231">
        <v>7456</v>
      </c>
      <c r="B338" s="232" t="s">
        <v>848</v>
      </c>
      <c r="C338" s="232" t="s">
        <v>1285</v>
      </c>
      <c r="D338" s="232" t="s">
        <v>1286</v>
      </c>
      <c r="E338" s="232" t="s">
        <v>1287</v>
      </c>
      <c r="F338" s="231">
        <v>525327</v>
      </c>
      <c r="G338" s="231">
        <v>173104</v>
      </c>
      <c r="H338" s="232" t="s">
        <v>173</v>
      </c>
      <c r="I338" s="233">
        <v>44228</v>
      </c>
      <c r="J338" s="231"/>
      <c r="K338" s="231">
        <v>1</v>
      </c>
      <c r="L338" s="231">
        <v>1</v>
      </c>
      <c r="M338" s="231">
        <v>0</v>
      </c>
      <c r="N338" s="231">
        <v>2</v>
      </c>
      <c r="O338" s="231">
        <v>0</v>
      </c>
      <c r="P338" s="234"/>
      <c r="Q338" s="232" t="s">
        <v>1288</v>
      </c>
      <c r="R338" s="234" t="s">
        <v>332</v>
      </c>
      <c r="S338" s="235">
        <v>44055</v>
      </c>
      <c r="T338" s="235">
        <v>44117</v>
      </c>
      <c r="U338" s="234"/>
      <c r="V338" s="232" t="s">
        <v>321</v>
      </c>
      <c r="W338" s="231"/>
      <c r="X338" s="232" t="s">
        <v>322</v>
      </c>
      <c r="Y338" s="232" t="s">
        <v>323</v>
      </c>
      <c r="Z338" s="232" t="s">
        <v>324</v>
      </c>
      <c r="AA338" s="232" t="s">
        <v>349</v>
      </c>
      <c r="AB338" s="236">
        <v>4.5999999999999999E-2</v>
      </c>
      <c r="AC338" s="235">
        <v>44228</v>
      </c>
      <c r="AD338" s="234"/>
      <c r="AE338" s="234"/>
      <c r="AF338" s="232" t="s">
        <v>77</v>
      </c>
      <c r="AG338" s="232" t="s">
        <v>350</v>
      </c>
      <c r="AH338" s="234" t="s">
        <v>317</v>
      </c>
      <c r="AI338" s="250"/>
      <c r="AJ338" s="234">
        <v>0</v>
      </c>
      <c r="AK338" s="224"/>
      <c r="AL338" s="234">
        <v>0</v>
      </c>
      <c r="AM338" s="224"/>
      <c r="AN338" s="234">
        <v>0</v>
      </c>
      <c r="AO338" s="234">
        <v>0</v>
      </c>
      <c r="AP338" s="234">
        <v>0</v>
      </c>
      <c r="AQ338" s="234">
        <v>0</v>
      </c>
      <c r="AR338" s="234">
        <v>-1</v>
      </c>
      <c r="AS338" s="234">
        <v>1</v>
      </c>
      <c r="AT338" s="234">
        <v>0</v>
      </c>
      <c r="AU338" s="234">
        <v>0</v>
      </c>
      <c r="AV338" s="234">
        <v>0</v>
      </c>
      <c r="AW338" s="234">
        <v>0</v>
      </c>
      <c r="AX338" s="234">
        <v>0</v>
      </c>
      <c r="AY338" s="234">
        <v>0</v>
      </c>
      <c r="AZ338" s="234">
        <v>0</v>
      </c>
      <c r="BA338" s="234">
        <v>0</v>
      </c>
      <c r="BB338" s="234">
        <v>0</v>
      </c>
      <c r="BC338" s="234">
        <v>0</v>
      </c>
      <c r="BD338" s="234">
        <v>0</v>
      </c>
      <c r="BE338" s="234">
        <v>0</v>
      </c>
      <c r="BF338" s="234">
        <v>-1</v>
      </c>
      <c r="BG338" s="234">
        <v>1</v>
      </c>
      <c r="BH338" s="234">
        <v>0</v>
      </c>
      <c r="BI338" s="234">
        <v>0</v>
      </c>
      <c r="BJ338" s="234">
        <v>0</v>
      </c>
      <c r="BK338" s="234">
        <v>0</v>
      </c>
      <c r="BL338" s="234">
        <v>0</v>
      </c>
      <c r="BM338" s="234">
        <v>0</v>
      </c>
      <c r="BN338" s="234">
        <v>0</v>
      </c>
      <c r="BO338" s="234">
        <v>0</v>
      </c>
      <c r="BP338" s="234"/>
      <c r="BQ338" s="234"/>
      <c r="BR338" s="237" t="s">
        <v>154</v>
      </c>
      <c r="BS338" s="238">
        <v>3</v>
      </c>
      <c r="BU338" s="239">
        <f t="shared" si="27"/>
        <v>0</v>
      </c>
      <c r="CN338" s="238">
        <f t="shared" si="25"/>
        <v>0</v>
      </c>
      <c r="CO338" s="238">
        <f t="shared" si="26"/>
        <v>0</v>
      </c>
    </row>
    <row r="339" spans="1:93" ht="13.95" customHeight="1" x14ac:dyDescent="0.2">
      <c r="A339" s="231">
        <v>7456</v>
      </c>
      <c r="B339" s="232" t="s">
        <v>848</v>
      </c>
      <c r="C339" s="232" t="s">
        <v>1285</v>
      </c>
      <c r="D339" s="232" t="s">
        <v>1286</v>
      </c>
      <c r="E339" s="232" t="s">
        <v>1289</v>
      </c>
      <c r="F339" s="231">
        <v>525327</v>
      </c>
      <c r="G339" s="231">
        <v>173104</v>
      </c>
      <c r="H339" s="232" t="s">
        <v>173</v>
      </c>
      <c r="I339" s="233">
        <v>44228</v>
      </c>
      <c r="J339" s="231"/>
      <c r="K339" s="231">
        <v>1</v>
      </c>
      <c r="L339" s="231">
        <v>1</v>
      </c>
      <c r="M339" s="231">
        <v>0</v>
      </c>
      <c r="N339" s="231">
        <v>2</v>
      </c>
      <c r="O339" s="231">
        <v>0</v>
      </c>
      <c r="P339" s="234"/>
      <c r="Q339" s="232" t="s">
        <v>1288</v>
      </c>
      <c r="R339" s="234" t="s">
        <v>332</v>
      </c>
      <c r="S339" s="235">
        <v>44055</v>
      </c>
      <c r="T339" s="235">
        <v>44117</v>
      </c>
      <c r="U339" s="234"/>
      <c r="V339" s="232" t="s">
        <v>321</v>
      </c>
      <c r="W339" s="231"/>
      <c r="X339" s="232" t="s">
        <v>322</v>
      </c>
      <c r="Y339" s="232" t="s">
        <v>323</v>
      </c>
      <c r="Z339" s="232" t="s">
        <v>324</v>
      </c>
      <c r="AA339" s="232" t="s">
        <v>349</v>
      </c>
      <c r="AB339" s="236">
        <v>4.5999999999999999E-2</v>
      </c>
      <c r="AC339" s="235">
        <v>44228</v>
      </c>
      <c r="AD339" s="234"/>
      <c r="AE339" s="234"/>
      <c r="AF339" s="232" t="s">
        <v>77</v>
      </c>
      <c r="AG339" s="232" t="s">
        <v>350</v>
      </c>
      <c r="AH339" s="234" t="s">
        <v>317</v>
      </c>
      <c r="AI339" s="250"/>
      <c r="AJ339" s="234">
        <v>0</v>
      </c>
      <c r="AK339" s="224"/>
      <c r="AL339" s="234">
        <v>0</v>
      </c>
      <c r="AM339" s="224"/>
      <c r="AN339" s="234">
        <v>0</v>
      </c>
      <c r="AO339" s="234">
        <v>0</v>
      </c>
      <c r="AP339" s="234">
        <v>0</v>
      </c>
      <c r="AQ339" s="234">
        <v>0</v>
      </c>
      <c r="AR339" s="234">
        <v>-1</v>
      </c>
      <c r="AS339" s="234">
        <v>1</v>
      </c>
      <c r="AT339" s="234">
        <v>0</v>
      </c>
      <c r="AU339" s="234">
        <v>0</v>
      </c>
      <c r="AV339" s="234">
        <v>0</v>
      </c>
      <c r="AW339" s="234">
        <v>0</v>
      </c>
      <c r="AX339" s="234">
        <v>0</v>
      </c>
      <c r="AY339" s="234">
        <v>0</v>
      </c>
      <c r="AZ339" s="234">
        <v>0</v>
      </c>
      <c r="BA339" s="234">
        <v>0</v>
      </c>
      <c r="BB339" s="234">
        <v>0</v>
      </c>
      <c r="BC339" s="234">
        <v>0</v>
      </c>
      <c r="BD339" s="234">
        <v>0</v>
      </c>
      <c r="BE339" s="234">
        <v>0</v>
      </c>
      <c r="BF339" s="234">
        <v>-1</v>
      </c>
      <c r="BG339" s="234">
        <v>1</v>
      </c>
      <c r="BH339" s="234">
        <v>0</v>
      </c>
      <c r="BI339" s="234">
        <v>0</v>
      </c>
      <c r="BJ339" s="234">
        <v>0</v>
      </c>
      <c r="BK339" s="234">
        <v>0</v>
      </c>
      <c r="BL339" s="234">
        <v>0</v>
      </c>
      <c r="BM339" s="234">
        <v>0</v>
      </c>
      <c r="BN339" s="234">
        <v>0</v>
      </c>
      <c r="BO339" s="234">
        <v>0</v>
      </c>
      <c r="BP339" s="234"/>
      <c r="BQ339" s="234"/>
      <c r="BR339" s="237" t="s">
        <v>154</v>
      </c>
      <c r="BS339" s="238">
        <v>3</v>
      </c>
      <c r="BU339" s="239">
        <f t="shared" si="27"/>
        <v>0</v>
      </c>
      <c r="CN339" s="238">
        <f t="shared" si="25"/>
        <v>0</v>
      </c>
      <c r="CO339" s="238">
        <f t="shared" si="26"/>
        <v>0</v>
      </c>
    </row>
    <row r="340" spans="1:93" ht="13.95" customHeight="1" x14ac:dyDescent="0.2">
      <c r="A340" s="231">
        <v>7347</v>
      </c>
      <c r="B340" s="232" t="s">
        <v>848</v>
      </c>
      <c r="C340" s="232" t="s">
        <v>1290</v>
      </c>
      <c r="D340" s="232" t="s">
        <v>1291</v>
      </c>
      <c r="E340" s="232" t="s">
        <v>1292</v>
      </c>
      <c r="F340" s="231">
        <v>529142</v>
      </c>
      <c r="G340" s="231">
        <v>170477</v>
      </c>
      <c r="H340" s="232" t="s">
        <v>166</v>
      </c>
      <c r="I340" s="233">
        <v>44651</v>
      </c>
      <c r="J340" s="231"/>
      <c r="K340" s="231">
        <v>0</v>
      </c>
      <c r="L340" s="231">
        <v>6</v>
      </c>
      <c r="M340" s="231">
        <v>6</v>
      </c>
      <c r="N340" s="231">
        <v>29</v>
      </c>
      <c r="O340" s="231">
        <v>29</v>
      </c>
      <c r="P340" s="234" t="s">
        <v>318</v>
      </c>
      <c r="Q340" s="232" t="s">
        <v>1293</v>
      </c>
      <c r="R340" s="234" t="s">
        <v>469</v>
      </c>
      <c r="S340" s="235">
        <v>44476</v>
      </c>
      <c r="T340" s="235">
        <v>44509</v>
      </c>
      <c r="U340" s="234"/>
      <c r="V340" s="232" t="s">
        <v>321</v>
      </c>
      <c r="W340" s="231"/>
      <c r="X340" s="232" t="s">
        <v>322</v>
      </c>
      <c r="Y340" s="232" t="s">
        <v>323</v>
      </c>
      <c r="Z340" s="232" t="s">
        <v>323</v>
      </c>
      <c r="AA340" s="232" t="s">
        <v>324</v>
      </c>
      <c r="AB340" s="236">
        <v>4.4172000000000003E-2</v>
      </c>
      <c r="AC340" s="235">
        <v>44652</v>
      </c>
      <c r="AD340" s="234" t="s">
        <v>318</v>
      </c>
      <c r="AE340" s="234"/>
      <c r="AF340" s="232" t="s">
        <v>56</v>
      </c>
      <c r="AG340" s="232" t="s">
        <v>345</v>
      </c>
      <c r="AH340" s="234" t="s">
        <v>317</v>
      </c>
      <c r="AI340" s="250"/>
      <c r="AJ340" s="234">
        <v>0</v>
      </c>
      <c r="AK340" s="224"/>
      <c r="AL340" s="234">
        <v>0</v>
      </c>
      <c r="AM340" s="224"/>
      <c r="AN340" s="234">
        <v>1</v>
      </c>
      <c r="AO340" s="234">
        <v>1</v>
      </c>
      <c r="AP340" s="234">
        <v>3</v>
      </c>
      <c r="AQ340" s="234">
        <v>1</v>
      </c>
      <c r="AR340" s="234">
        <v>0</v>
      </c>
      <c r="AS340" s="234">
        <v>0</v>
      </c>
      <c r="AT340" s="234">
        <v>0</v>
      </c>
      <c r="AU340" s="234">
        <v>1</v>
      </c>
      <c r="AV340" s="234">
        <v>1</v>
      </c>
      <c r="AW340" s="234">
        <v>3</v>
      </c>
      <c r="AX340" s="234">
        <v>1</v>
      </c>
      <c r="AY340" s="234">
        <v>0</v>
      </c>
      <c r="AZ340" s="234">
        <v>0</v>
      </c>
      <c r="BA340" s="234">
        <v>0</v>
      </c>
      <c r="BB340" s="234">
        <v>0</v>
      </c>
      <c r="BC340" s="234">
        <v>0</v>
      </c>
      <c r="BD340" s="234">
        <v>0</v>
      </c>
      <c r="BE340" s="234">
        <v>0</v>
      </c>
      <c r="BF340" s="234">
        <v>0</v>
      </c>
      <c r="BG340" s="234">
        <v>0</v>
      </c>
      <c r="BH340" s="234">
        <v>0</v>
      </c>
      <c r="BI340" s="234">
        <v>0</v>
      </c>
      <c r="BJ340" s="234">
        <v>0</v>
      </c>
      <c r="BK340" s="234">
        <v>0</v>
      </c>
      <c r="BL340" s="234">
        <v>0</v>
      </c>
      <c r="BM340" s="234">
        <v>0</v>
      </c>
      <c r="BN340" s="234">
        <v>0</v>
      </c>
      <c r="BO340" s="234">
        <v>0</v>
      </c>
      <c r="BP340" s="234"/>
      <c r="BQ340" s="234"/>
      <c r="BR340" s="237" t="s">
        <v>334</v>
      </c>
      <c r="BS340" s="238">
        <v>6</v>
      </c>
      <c r="BV340" s="239">
        <f>M340/4</f>
        <v>1.5</v>
      </c>
      <c r="BW340" s="239">
        <f>M340/4</f>
        <v>1.5</v>
      </c>
      <c r="BX340" s="239">
        <f>M340/4</f>
        <v>1.5</v>
      </c>
      <c r="BY340" s="239">
        <f>M340/4</f>
        <v>1.5</v>
      </c>
      <c r="CN340" s="238">
        <f t="shared" si="25"/>
        <v>6</v>
      </c>
      <c r="CO340" s="238">
        <f t="shared" si="26"/>
        <v>6</v>
      </c>
    </row>
    <row r="341" spans="1:93" ht="13.95" customHeight="1" x14ac:dyDescent="0.2">
      <c r="A341" s="231">
        <v>7101</v>
      </c>
      <c r="B341" s="232" t="s">
        <v>848</v>
      </c>
      <c r="C341" s="232" t="s">
        <v>1294</v>
      </c>
      <c r="D341" s="232" t="s">
        <v>1295</v>
      </c>
      <c r="E341" s="232" t="s">
        <v>1296</v>
      </c>
      <c r="F341" s="231">
        <v>526922</v>
      </c>
      <c r="G341" s="231">
        <v>175807</v>
      </c>
      <c r="H341" s="232" t="s">
        <v>165</v>
      </c>
      <c r="I341" s="233">
        <v>44609</v>
      </c>
      <c r="J341" s="231"/>
      <c r="K341" s="231">
        <v>0</v>
      </c>
      <c r="L341" s="231">
        <v>47</v>
      </c>
      <c r="M341" s="231">
        <v>47</v>
      </c>
      <c r="N341" s="231">
        <v>126</v>
      </c>
      <c r="O341" s="231">
        <v>126</v>
      </c>
      <c r="P341" s="234" t="s">
        <v>318</v>
      </c>
      <c r="Q341" s="232" t="s">
        <v>1297</v>
      </c>
      <c r="R341" s="234" t="s">
        <v>320</v>
      </c>
      <c r="S341" s="235">
        <v>44592</v>
      </c>
      <c r="T341" s="235">
        <v>44673</v>
      </c>
      <c r="U341" s="234" t="s">
        <v>318</v>
      </c>
      <c r="V341" s="232" t="s">
        <v>321</v>
      </c>
      <c r="W341" s="231"/>
      <c r="X341" s="232" t="s">
        <v>322</v>
      </c>
      <c r="Y341" s="232" t="s">
        <v>323</v>
      </c>
      <c r="Z341" s="232" t="s">
        <v>323</v>
      </c>
      <c r="AA341" s="232" t="s">
        <v>324</v>
      </c>
      <c r="AB341" s="236">
        <v>0</v>
      </c>
      <c r="AC341" s="235">
        <v>44609</v>
      </c>
      <c r="AD341" s="234"/>
      <c r="AE341" s="234"/>
      <c r="AF341" s="232" t="s">
        <v>57</v>
      </c>
      <c r="AG341" s="232" t="s">
        <v>333</v>
      </c>
      <c r="AH341" s="234" t="s">
        <v>317</v>
      </c>
      <c r="AI341" s="250"/>
      <c r="AJ341" s="234">
        <v>0</v>
      </c>
      <c r="AK341" s="224"/>
      <c r="AL341" s="234">
        <v>0</v>
      </c>
      <c r="AM341" s="224"/>
      <c r="AN341" s="234">
        <v>0</v>
      </c>
      <c r="AO341" s="234">
        <v>18</v>
      </c>
      <c r="AP341" s="234">
        <v>10</v>
      </c>
      <c r="AQ341" s="234">
        <v>14</v>
      </c>
      <c r="AR341" s="234">
        <v>5</v>
      </c>
      <c r="AS341" s="234">
        <v>0</v>
      </c>
      <c r="AT341" s="234">
        <v>0</v>
      </c>
      <c r="AU341" s="234">
        <v>0</v>
      </c>
      <c r="AV341" s="234">
        <v>18</v>
      </c>
      <c r="AW341" s="234">
        <v>10</v>
      </c>
      <c r="AX341" s="234">
        <v>14</v>
      </c>
      <c r="AY341" s="234">
        <v>5</v>
      </c>
      <c r="AZ341" s="234">
        <v>0</v>
      </c>
      <c r="BA341" s="234">
        <v>0</v>
      </c>
      <c r="BB341" s="234">
        <v>0</v>
      </c>
      <c r="BC341" s="234">
        <v>0</v>
      </c>
      <c r="BD341" s="234">
        <v>0</v>
      </c>
      <c r="BE341" s="234">
        <v>0</v>
      </c>
      <c r="BF341" s="234">
        <v>0</v>
      </c>
      <c r="BG341" s="234">
        <v>0</v>
      </c>
      <c r="BH341" s="234">
        <v>0</v>
      </c>
      <c r="BI341" s="234">
        <v>0</v>
      </c>
      <c r="BJ341" s="234">
        <v>0</v>
      </c>
      <c r="BK341" s="234">
        <v>0</v>
      </c>
      <c r="BL341" s="234">
        <v>0</v>
      </c>
      <c r="BM341" s="234">
        <v>0</v>
      </c>
      <c r="BN341" s="234">
        <v>0</v>
      </c>
      <c r="BO341" s="234">
        <v>0</v>
      </c>
      <c r="BP341" s="234"/>
      <c r="BQ341" s="234"/>
      <c r="BR341" s="237" t="s">
        <v>150</v>
      </c>
      <c r="BS341" s="238">
        <v>5</v>
      </c>
      <c r="BV341" s="239">
        <f t="shared" ref="BV341:BV346" si="28">M341</f>
        <v>47</v>
      </c>
      <c r="CN341" s="238">
        <f t="shared" si="25"/>
        <v>47</v>
      </c>
      <c r="CO341" s="238">
        <f t="shared" si="26"/>
        <v>47</v>
      </c>
    </row>
    <row r="342" spans="1:93" ht="13.95" customHeight="1" x14ac:dyDescent="0.2">
      <c r="A342" s="231">
        <v>7101</v>
      </c>
      <c r="B342" s="232" t="s">
        <v>848</v>
      </c>
      <c r="C342" s="232" t="s">
        <v>1294</v>
      </c>
      <c r="D342" s="232" t="s">
        <v>1295</v>
      </c>
      <c r="E342" s="232" t="s">
        <v>1296</v>
      </c>
      <c r="F342" s="231">
        <v>526922</v>
      </c>
      <c r="G342" s="231">
        <v>175807</v>
      </c>
      <c r="H342" s="232" t="s">
        <v>165</v>
      </c>
      <c r="I342" s="233">
        <v>44609</v>
      </c>
      <c r="J342" s="231"/>
      <c r="K342" s="231">
        <v>0</v>
      </c>
      <c r="L342" s="231">
        <v>8</v>
      </c>
      <c r="M342" s="231">
        <v>8</v>
      </c>
      <c r="N342" s="231">
        <v>126</v>
      </c>
      <c r="O342" s="231">
        <v>126</v>
      </c>
      <c r="P342" s="234" t="s">
        <v>318</v>
      </c>
      <c r="Q342" s="232" t="s">
        <v>1297</v>
      </c>
      <c r="R342" s="234" t="s">
        <v>320</v>
      </c>
      <c r="S342" s="235">
        <v>44592</v>
      </c>
      <c r="T342" s="235">
        <v>44673</v>
      </c>
      <c r="U342" s="234" t="s">
        <v>318</v>
      </c>
      <c r="V342" s="232" t="s">
        <v>321</v>
      </c>
      <c r="W342" s="231"/>
      <c r="X342" s="232" t="s">
        <v>322</v>
      </c>
      <c r="Y342" s="232" t="s">
        <v>323</v>
      </c>
      <c r="Z342" s="232" t="s">
        <v>323</v>
      </c>
      <c r="AA342" s="232" t="s">
        <v>324</v>
      </c>
      <c r="AB342" s="236">
        <v>0</v>
      </c>
      <c r="AC342" s="235">
        <v>44609</v>
      </c>
      <c r="AD342" s="234"/>
      <c r="AE342" s="234"/>
      <c r="AF342" s="232" t="s">
        <v>56</v>
      </c>
      <c r="AG342" s="232" t="s">
        <v>1298</v>
      </c>
      <c r="AH342" s="234" t="s">
        <v>317</v>
      </c>
      <c r="AI342" s="250"/>
      <c r="AJ342" s="234">
        <v>0</v>
      </c>
      <c r="AK342" s="224"/>
      <c r="AL342" s="234">
        <v>0</v>
      </c>
      <c r="AM342" s="224"/>
      <c r="AN342" s="234">
        <v>0</v>
      </c>
      <c r="AO342" s="234">
        <v>1</v>
      </c>
      <c r="AP342" s="234">
        <v>7</v>
      </c>
      <c r="AQ342" s="234">
        <v>0</v>
      </c>
      <c r="AR342" s="234">
        <v>0</v>
      </c>
      <c r="AS342" s="234">
        <v>0</v>
      </c>
      <c r="AT342" s="234">
        <v>0</v>
      </c>
      <c r="AU342" s="234">
        <v>0</v>
      </c>
      <c r="AV342" s="234">
        <v>1</v>
      </c>
      <c r="AW342" s="234">
        <v>7</v>
      </c>
      <c r="AX342" s="234">
        <v>0</v>
      </c>
      <c r="AY342" s="234">
        <v>0</v>
      </c>
      <c r="AZ342" s="234">
        <v>0</v>
      </c>
      <c r="BA342" s="234">
        <v>0</v>
      </c>
      <c r="BB342" s="234">
        <v>0</v>
      </c>
      <c r="BC342" s="234">
        <v>0</v>
      </c>
      <c r="BD342" s="234">
        <v>0</v>
      </c>
      <c r="BE342" s="234">
        <v>0</v>
      </c>
      <c r="BF342" s="234">
        <v>0</v>
      </c>
      <c r="BG342" s="234">
        <v>0</v>
      </c>
      <c r="BH342" s="234">
        <v>0</v>
      </c>
      <c r="BI342" s="234">
        <v>0</v>
      </c>
      <c r="BJ342" s="234">
        <v>0</v>
      </c>
      <c r="BK342" s="234">
        <v>0</v>
      </c>
      <c r="BL342" s="234">
        <v>0</v>
      </c>
      <c r="BM342" s="234">
        <v>0</v>
      </c>
      <c r="BN342" s="234">
        <v>0</v>
      </c>
      <c r="BO342" s="234">
        <v>0</v>
      </c>
      <c r="BP342" s="234"/>
      <c r="BQ342" s="234"/>
      <c r="BR342" s="237" t="s">
        <v>150</v>
      </c>
      <c r="BS342" s="238">
        <v>5</v>
      </c>
      <c r="BV342" s="239">
        <f t="shared" si="28"/>
        <v>8</v>
      </c>
      <c r="CN342" s="238">
        <f t="shared" si="25"/>
        <v>8</v>
      </c>
      <c r="CO342" s="238">
        <f t="shared" si="26"/>
        <v>8</v>
      </c>
    </row>
    <row r="343" spans="1:93" ht="13.95" customHeight="1" x14ac:dyDescent="0.2">
      <c r="A343" s="231">
        <v>7101</v>
      </c>
      <c r="B343" s="232" t="s">
        <v>848</v>
      </c>
      <c r="C343" s="232" t="s">
        <v>1294</v>
      </c>
      <c r="D343" s="232" t="s">
        <v>1295</v>
      </c>
      <c r="E343" s="232" t="s">
        <v>1299</v>
      </c>
      <c r="F343" s="231">
        <v>526922</v>
      </c>
      <c r="G343" s="231">
        <v>175807</v>
      </c>
      <c r="H343" s="232" t="s">
        <v>165</v>
      </c>
      <c r="I343" s="233">
        <v>44609</v>
      </c>
      <c r="J343" s="231"/>
      <c r="K343" s="231">
        <v>0</v>
      </c>
      <c r="L343" s="231">
        <v>15</v>
      </c>
      <c r="M343" s="231">
        <v>15</v>
      </c>
      <c r="N343" s="231">
        <v>126</v>
      </c>
      <c r="O343" s="231">
        <v>126</v>
      </c>
      <c r="P343" s="234" t="s">
        <v>318</v>
      </c>
      <c r="Q343" s="232" t="s">
        <v>1297</v>
      </c>
      <c r="R343" s="234" t="s">
        <v>320</v>
      </c>
      <c r="S343" s="235">
        <v>44592</v>
      </c>
      <c r="T343" s="235">
        <v>44673</v>
      </c>
      <c r="U343" s="234" t="s">
        <v>318</v>
      </c>
      <c r="V343" s="232" t="s">
        <v>321</v>
      </c>
      <c r="W343" s="231"/>
      <c r="X343" s="232" t="s">
        <v>322</v>
      </c>
      <c r="Y343" s="232" t="s">
        <v>323</v>
      </c>
      <c r="Z343" s="232" t="s">
        <v>323</v>
      </c>
      <c r="AA343" s="232" t="s">
        <v>324</v>
      </c>
      <c r="AB343" s="236">
        <v>0</v>
      </c>
      <c r="AC343" s="235">
        <v>44609</v>
      </c>
      <c r="AD343" s="234"/>
      <c r="AE343" s="234"/>
      <c r="AF343" s="232" t="s">
        <v>57</v>
      </c>
      <c r="AG343" s="232" t="s">
        <v>333</v>
      </c>
      <c r="AH343" s="234" t="s">
        <v>317</v>
      </c>
      <c r="AI343" s="250"/>
      <c r="AJ343" s="234">
        <v>0</v>
      </c>
      <c r="AK343" s="224"/>
      <c r="AL343" s="234">
        <v>0</v>
      </c>
      <c r="AM343" s="224"/>
      <c r="AN343" s="234">
        <v>0</v>
      </c>
      <c r="AO343" s="234">
        <v>0</v>
      </c>
      <c r="AP343" s="234">
        <v>2</v>
      </c>
      <c r="AQ343" s="234">
        <v>8</v>
      </c>
      <c r="AR343" s="234">
        <v>3</v>
      </c>
      <c r="AS343" s="234">
        <v>2</v>
      </c>
      <c r="AT343" s="234">
        <v>0</v>
      </c>
      <c r="AU343" s="234">
        <v>0</v>
      </c>
      <c r="AV343" s="234">
        <v>0</v>
      </c>
      <c r="AW343" s="234">
        <v>2</v>
      </c>
      <c r="AX343" s="234">
        <v>8</v>
      </c>
      <c r="AY343" s="234">
        <v>3</v>
      </c>
      <c r="AZ343" s="234">
        <v>2</v>
      </c>
      <c r="BA343" s="234">
        <v>0</v>
      </c>
      <c r="BB343" s="234">
        <v>0</v>
      </c>
      <c r="BC343" s="234">
        <v>0</v>
      </c>
      <c r="BD343" s="234">
        <v>0</v>
      </c>
      <c r="BE343" s="234">
        <v>0</v>
      </c>
      <c r="BF343" s="234">
        <v>0</v>
      </c>
      <c r="BG343" s="234">
        <v>0</v>
      </c>
      <c r="BH343" s="234">
        <v>0</v>
      </c>
      <c r="BI343" s="234">
        <v>0</v>
      </c>
      <c r="BJ343" s="234">
        <v>0</v>
      </c>
      <c r="BK343" s="234">
        <v>0</v>
      </c>
      <c r="BL343" s="234">
        <v>0</v>
      </c>
      <c r="BM343" s="234">
        <v>0</v>
      </c>
      <c r="BN343" s="234">
        <v>0</v>
      </c>
      <c r="BO343" s="234">
        <v>0</v>
      </c>
      <c r="BP343" s="234"/>
      <c r="BQ343" s="234"/>
      <c r="BR343" s="237" t="s">
        <v>150</v>
      </c>
      <c r="BS343" s="238">
        <v>5</v>
      </c>
      <c r="BV343" s="239">
        <f t="shared" si="28"/>
        <v>15</v>
      </c>
      <c r="CN343" s="238">
        <f t="shared" si="25"/>
        <v>15</v>
      </c>
      <c r="CO343" s="238">
        <f t="shared" si="26"/>
        <v>15</v>
      </c>
    </row>
    <row r="344" spans="1:93" ht="13.95" customHeight="1" x14ac:dyDescent="0.2">
      <c r="A344" s="231">
        <v>7101</v>
      </c>
      <c r="B344" s="232" t="s">
        <v>848</v>
      </c>
      <c r="C344" s="232" t="s">
        <v>1294</v>
      </c>
      <c r="D344" s="232" t="s">
        <v>1295</v>
      </c>
      <c r="E344" s="232" t="s">
        <v>1299</v>
      </c>
      <c r="F344" s="231">
        <v>526922</v>
      </c>
      <c r="G344" s="231">
        <v>175807</v>
      </c>
      <c r="H344" s="232" t="s">
        <v>165</v>
      </c>
      <c r="I344" s="233">
        <v>44609</v>
      </c>
      <c r="J344" s="231"/>
      <c r="K344" s="231">
        <v>0</v>
      </c>
      <c r="L344" s="231">
        <v>6</v>
      </c>
      <c r="M344" s="231">
        <v>6</v>
      </c>
      <c r="N344" s="231">
        <v>126</v>
      </c>
      <c r="O344" s="231">
        <v>126</v>
      </c>
      <c r="P344" s="234" t="s">
        <v>318</v>
      </c>
      <c r="Q344" s="232" t="s">
        <v>1297</v>
      </c>
      <c r="R344" s="234" t="s">
        <v>320</v>
      </c>
      <c r="S344" s="235">
        <v>44592</v>
      </c>
      <c r="T344" s="235">
        <v>44673</v>
      </c>
      <c r="U344" s="234" t="s">
        <v>318</v>
      </c>
      <c r="V344" s="232" t="s">
        <v>321</v>
      </c>
      <c r="W344" s="231"/>
      <c r="X344" s="232" t="s">
        <v>322</v>
      </c>
      <c r="Y344" s="232" t="s">
        <v>323</v>
      </c>
      <c r="Z344" s="232" t="s">
        <v>323</v>
      </c>
      <c r="AA344" s="232" t="s">
        <v>324</v>
      </c>
      <c r="AB344" s="236">
        <v>0</v>
      </c>
      <c r="AC344" s="235">
        <v>44609</v>
      </c>
      <c r="AD344" s="234"/>
      <c r="AE344" s="234"/>
      <c r="AF344" s="232" t="s">
        <v>56</v>
      </c>
      <c r="AG344" s="232" t="s">
        <v>1298</v>
      </c>
      <c r="AH344" s="234" t="s">
        <v>317</v>
      </c>
      <c r="AI344" s="250"/>
      <c r="AJ344" s="234">
        <v>0</v>
      </c>
      <c r="AK344" s="224"/>
      <c r="AL344" s="234">
        <v>0</v>
      </c>
      <c r="AM344" s="224"/>
      <c r="AN344" s="234">
        <v>0</v>
      </c>
      <c r="AO344" s="234">
        <v>0</v>
      </c>
      <c r="AP344" s="234">
        <v>2</v>
      </c>
      <c r="AQ344" s="234">
        <v>0</v>
      </c>
      <c r="AR344" s="234">
        <v>4</v>
      </c>
      <c r="AS344" s="234">
        <v>0</v>
      </c>
      <c r="AT344" s="234">
        <v>0</v>
      </c>
      <c r="AU344" s="234">
        <v>0</v>
      </c>
      <c r="AV344" s="234">
        <v>0</v>
      </c>
      <c r="AW344" s="234">
        <v>2</v>
      </c>
      <c r="AX344" s="234">
        <v>0</v>
      </c>
      <c r="AY344" s="234">
        <v>4</v>
      </c>
      <c r="AZ344" s="234">
        <v>0</v>
      </c>
      <c r="BA344" s="234">
        <v>0</v>
      </c>
      <c r="BB344" s="234">
        <v>0</v>
      </c>
      <c r="BC344" s="234">
        <v>0</v>
      </c>
      <c r="BD344" s="234">
        <v>0</v>
      </c>
      <c r="BE344" s="234">
        <v>0</v>
      </c>
      <c r="BF344" s="234">
        <v>0</v>
      </c>
      <c r="BG344" s="234">
        <v>0</v>
      </c>
      <c r="BH344" s="234">
        <v>0</v>
      </c>
      <c r="BI344" s="234">
        <v>0</v>
      </c>
      <c r="BJ344" s="234">
        <v>0</v>
      </c>
      <c r="BK344" s="234">
        <v>0</v>
      </c>
      <c r="BL344" s="234">
        <v>0</v>
      </c>
      <c r="BM344" s="234">
        <v>0</v>
      </c>
      <c r="BN344" s="234">
        <v>0</v>
      </c>
      <c r="BO344" s="234">
        <v>0</v>
      </c>
      <c r="BP344" s="234"/>
      <c r="BQ344" s="234"/>
      <c r="BR344" s="237" t="s">
        <v>150</v>
      </c>
      <c r="BS344" s="238">
        <v>5</v>
      </c>
      <c r="BV344" s="239">
        <f t="shared" si="28"/>
        <v>6</v>
      </c>
      <c r="CN344" s="238">
        <f t="shared" si="25"/>
        <v>6</v>
      </c>
      <c r="CO344" s="238">
        <f t="shared" si="26"/>
        <v>6</v>
      </c>
    </row>
    <row r="345" spans="1:93" ht="13.95" customHeight="1" x14ac:dyDescent="0.2">
      <c r="A345" s="231">
        <v>7101</v>
      </c>
      <c r="B345" s="232" t="s">
        <v>848</v>
      </c>
      <c r="C345" s="232" t="s">
        <v>1294</v>
      </c>
      <c r="D345" s="232" t="s">
        <v>1295</v>
      </c>
      <c r="E345" s="232" t="s">
        <v>1300</v>
      </c>
      <c r="F345" s="231">
        <v>526922</v>
      </c>
      <c r="G345" s="231">
        <v>175807</v>
      </c>
      <c r="H345" s="232" t="s">
        <v>165</v>
      </c>
      <c r="I345" s="233">
        <v>44609</v>
      </c>
      <c r="J345" s="231"/>
      <c r="K345" s="231">
        <v>0</v>
      </c>
      <c r="L345" s="231">
        <v>40</v>
      </c>
      <c r="M345" s="231">
        <v>40</v>
      </c>
      <c r="N345" s="231">
        <v>126</v>
      </c>
      <c r="O345" s="231">
        <v>126</v>
      </c>
      <c r="P345" s="234" t="s">
        <v>318</v>
      </c>
      <c r="Q345" s="232" t="s">
        <v>1297</v>
      </c>
      <c r="R345" s="234" t="s">
        <v>320</v>
      </c>
      <c r="S345" s="235">
        <v>44592</v>
      </c>
      <c r="T345" s="235">
        <v>44673</v>
      </c>
      <c r="U345" s="234" t="s">
        <v>318</v>
      </c>
      <c r="V345" s="232" t="s">
        <v>321</v>
      </c>
      <c r="W345" s="231"/>
      <c r="X345" s="232" t="s">
        <v>322</v>
      </c>
      <c r="Y345" s="232" t="s">
        <v>323</v>
      </c>
      <c r="Z345" s="232" t="s">
        <v>323</v>
      </c>
      <c r="AA345" s="232" t="s">
        <v>324</v>
      </c>
      <c r="AB345" s="236">
        <v>0</v>
      </c>
      <c r="AC345" s="235">
        <v>44609</v>
      </c>
      <c r="AD345" s="234"/>
      <c r="AE345" s="234"/>
      <c r="AF345" s="232" t="s">
        <v>57</v>
      </c>
      <c r="AG345" s="232" t="s">
        <v>333</v>
      </c>
      <c r="AH345" s="234" t="s">
        <v>317</v>
      </c>
      <c r="AI345" s="250"/>
      <c r="AJ345" s="234">
        <v>0</v>
      </c>
      <c r="AK345" s="224"/>
      <c r="AL345" s="234">
        <v>0</v>
      </c>
      <c r="AM345" s="224"/>
      <c r="AN345" s="234">
        <v>0</v>
      </c>
      <c r="AO345" s="234">
        <v>7</v>
      </c>
      <c r="AP345" s="234">
        <v>15</v>
      </c>
      <c r="AQ345" s="234">
        <v>14</v>
      </c>
      <c r="AR345" s="234">
        <v>3</v>
      </c>
      <c r="AS345" s="234">
        <v>1</v>
      </c>
      <c r="AT345" s="234">
        <v>0</v>
      </c>
      <c r="AU345" s="234">
        <v>0</v>
      </c>
      <c r="AV345" s="234">
        <v>7</v>
      </c>
      <c r="AW345" s="234">
        <v>15</v>
      </c>
      <c r="AX345" s="234">
        <v>14</v>
      </c>
      <c r="AY345" s="234">
        <v>3</v>
      </c>
      <c r="AZ345" s="234">
        <v>1</v>
      </c>
      <c r="BA345" s="234">
        <v>0</v>
      </c>
      <c r="BB345" s="234">
        <v>0</v>
      </c>
      <c r="BC345" s="234">
        <v>0</v>
      </c>
      <c r="BD345" s="234">
        <v>0</v>
      </c>
      <c r="BE345" s="234">
        <v>0</v>
      </c>
      <c r="BF345" s="234">
        <v>0</v>
      </c>
      <c r="BG345" s="234">
        <v>0</v>
      </c>
      <c r="BH345" s="234">
        <v>0</v>
      </c>
      <c r="BI345" s="234">
        <v>0</v>
      </c>
      <c r="BJ345" s="234">
        <v>0</v>
      </c>
      <c r="BK345" s="234">
        <v>0</v>
      </c>
      <c r="BL345" s="234">
        <v>0</v>
      </c>
      <c r="BM345" s="234">
        <v>0</v>
      </c>
      <c r="BN345" s="234">
        <v>0</v>
      </c>
      <c r="BO345" s="234">
        <v>0</v>
      </c>
      <c r="BP345" s="234"/>
      <c r="BQ345" s="234"/>
      <c r="BR345" s="237" t="s">
        <v>150</v>
      </c>
      <c r="BS345" s="238">
        <v>5</v>
      </c>
      <c r="BV345" s="239">
        <f t="shared" si="28"/>
        <v>40</v>
      </c>
      <c r="CN345" s="238">
        <f t="shared" si="25"/>
        <v>40</v>
      </c>
      <c r="CO345" s="238">
        <f t="shared" si="26"/>
        <v>40</v>
      </c>
    </row>
    <row r="346" spans="1:93" ht="13.95" customHeight="1" x14ac:dyDescent="0.2">
      <c r="A346" s="231">
        <v>7101</v>
      </c>
      <c r="B346" s="232" t="s">
        <v>848</v>
      </c>
      <c r="C346" s="232" t="s">
        <v>1294</v>
      </c>
      <c r="D346" s="232" t="s">
        <v>1295</v>
      </c>
      <c r="E346" s="232" t="s">
        <v>1300</v>
      </c>
      <c r="F346" s="231">
        <v>526922</v>
      </c>
      <c r="G346" s="231">
        <v>175807</v>
      </c>
      <c r="H346" s="232" t="s">
        <v>165</v>
      </c>
      <c r="I346" s="233">
        <v>44609</v>
      </c>
      <c r="J346" s="231"/>
      <c r="K346" s="231">
        <v>0</v>
      </c>
      <c r="L346" s="231">
        <v>10</v>
      </c>
      <c r="M346" s="231">
        <v>10</v>
      </c>
      <c r="N346" s="231">
        <v>126</v>
      </c>
      <c r="O346" s="231">
        <v>126</v>
      </c>
      <c r="P346" s="234" t="s">
        <v>318</v>
      </c>
      <c r="Q346" s="232" t="s">
        <v>1297</v>
      </c>
      <c r="R346" s="234" t="s">
        <v>320</v>
      </c>
      <c r="S346" s="235">
        <v>44592</v>
      </c>
      <c r="T346" s="235">
        <v>44673</v>
      </c>
      <c r="U346" s="234" t="s">
        <v>318</v>
      </c>
      <c r="V346" s="232" t="s">
        <v>321</v>
      </c>
      <c r="W346" s="231"/>
      <c r="X346" s="232" t="s">
        <v>322</v>
      </c>
      <c r="Y346" s="232" t="s">
        <v>323</v>
      </c>
      <c r="Z346" s="232" t="s">
        <v>323</v>
      </c>
      <c r="AA346" s="232" t="s">
        <v>324</v>
      </c>
      <c r="AB346" s="236">
        <v>0</v>
      </c>
      <c r="AC346" s="235">
        <v>44609</v>
      </c>
      <c r="AD346" s="234"/>
      <c r="AE346" s="234"/>
      <c r="AF346" s="232" t="s">
        <v>56</v>
      </c>
      <c r="AG346" s="232" t="s">
        <v>1298</v>
      </c>
      <c r="AH346" s="234" t="s">
        <v>317</v>
      </c>
      <c r="AI346" s="250"/>
      <c r="AJ346" s="234">
        <v>0</v>
      </c>
      <c r="AK346" s="224"/>
      <c r="AL346" s="234">
        <v>0</v>
      </c>
      <c r="AM346" s="224"/>
      <c r="AN346" s="234">
        <v>0</v>
      </c>
      <c r="AO346" s="234">
        <v>4</v>
      </c>
      <c r="AP346" s="234">
        <v>6</v>
      </c>
      <c r="AQ346" s="234">
        <v>0</v>
      </c>
      <c r="AR346" s="234">
        <v>0</v>
      </c>
      <c r="AS346" s="234">
        <v>0</v>
      </c>
      <c r="AT346" s="234">
        <v>0</v>
      </c>
      <c r="AU346" s="234">
        <v>0</v>
      </c>
      <c r="AV346" s="234">
        <v>4</v>
      </c>
      <c r="AW346" s="234">
        <v>6</v>
      </c>
      <c r="AX346" s="234">
        <v>0</v>
      </c>
      <c r="AY346" s="234">
        <v>0</v>
      </c>
      <c r="AZ346" s="234">
        <v>0</v>
      </c>
      <c r="BA346" s="234">
        <v>0</v>
      </c>
      <c r="BB346" s="234">
        <v>0</v>
      </c>
      <c r="BC346" s="234">
        <v>0</v>
      </c>
      <c r="BD346" s="234">
        <v>0</v>
      </c>
      <c r="BE346" s="234">
        <v>0</v>
      </c>
      <c r="BF346" s="234">
        <v>0</v>
      </c>
      <c r="BG346" s="234">
        <v>0</v>
      </c>
      <c r="BH346" s="234">
        <v>0</v>
      </c>
      <c r="BI346" s="234">
        <v>0</v>
      </c>
      <c r="BJ346" s="234">
        <v>0</v>
      </c>
      <c r="BK346" s="234">
        <v>0</v>
      </c>
      <c r="BL346" s="234">
        <v>0</v>
      </c>
      <c r="BM346" s="234">
        <v>0</v>
      </c>
      <c r="BN346" s="234">
        <v>0</v>
      </c>
      <c r="BO346" s="234">
        <v>0</v>
      </c>
      <c r="BP346" s="234"/>
      <c r="BQ346" s="234"/>
      <c r="BR346" s="237" t="s">
        <v>150</v>
      </c>
      <c r="BS346" s="238">
        <v>5</v>
      </c>
      <c r="BV346" s="239">
        <f t="shared" si="28"/>
        <v>10</v>
      </c>
      <c r="CN346" s="238">
        <f t="shared" si="25"/>
        <v>10</v>
      </c>
      <c r="CO346" s="238">
        <f t="shared" si="26"/>
        <v>10</v>
      </c>
    </row>
    <row r="347" spans="1:93" ht="13.95" customHeight="1" x14ac:dyDescent="0.2">
      <c r="A347" s="231">
        <v>3514</v>
      </c>
      <c r="B347" s="232" t="s">
        <v>848</v>
      </c>
      <c r="C347" s="232" t="s">
        <v>1301</v>
      </c>
      <c r="D347" s="232" t="s">
        <v>818</v>
      </c>
      <c r="E347" s="232" t="s">
        <v>801</v>
      </c>
      <c r="F347" s="231">
        <v>528809</v>
      </c>
      <c r="G347" s="231">
        <v>177181</v>
      </c>
      <c r="H347" s="232" t="s">
        <v>168</v>
      </c>
      <c r="I347" s="233">
        <v>42662</v>
      </c>
      <c r="J347" s="231"/>
      <c r="K347" s="231">
        <v>0</v>
      </c>
      <c r="L347" s="231">
        <v>46</v>
      </c>
      <c r="M347" s="231">
        <v>46</v>
      </c>
      <c r="N347" s="231">
        <v>233</v>
      </c>
      <c r="O347" s="231">
        <v>233</v>
      </c>
      <c r="P347" s="234" t="s">
        <v>318</v>
      </c>
      <c r="Q347" s="232" t="s">
        <v>1302</v>
      </c>
      <c r="R347" s="234" t="s">
        <v>320</v>
      </c>
      <c r="S347" s="235">
        <v>44147</v>
      </c>
      <c r="T347" s="235">
        <v>44301</v>
      </c>
      <c r="U347" s="234"/>
      <c r="V347" s="232" t="s">
        <v>321</v>
      </c>
      <c r="W347" s="231"/>
      <c r="X347" s="232" t="s">
        <v>322</v>
      </c>
      <c r="Y347" s="232" t="s">
        <v>323</v>
      </c>
      <c r="Z347" s="232" t="s">
        <v>323</v>
      </c>
      <c r="AA347" s="232" t="s">
        <v>324</v>
      </c>
      <c r="AB347" s="236">
        <v>7.9000000000000001E-2</v>
      </c>
      <c r="AC347" s="235">
        <v>44651</v>
      </c>
      <c r="AD347" s="234"/>
      <c r="AE347" s="234"/>
      <c r="AF347" s="232" t="s">
        <v>77</v>
      </c>
      <c r="AG347" s="232" t="s">
        <v>350</v>
      </c>
      <c r="AH347" s="234" t="s">
        <v>821</v>
      </c>
      <c r="AI347" s="250"/>
      <c r="AJ347" s="234">
        <v>46</v>
      </c>
      <c r="AK347" s="224"/>
      <c r="AL347" s="234">
        <v>4</v>
      </c>
      <c r="AM347" s="224"/>
      <c r="AN347" s="234">
        <v>0</v>
      </c>
      <c r="AO347" s="234">
        <v>0</v>
      </c>
      <c r="AP347" s="234">
        <v>42</v>
      </c>
      <c r="AQ347" s="234">
        <v>4</v>
      </c>
      <c r="AR347" s="234">
        <v>0</v>
      </c>
      <c r="AS347" s="234">
        <v>0</v>
      </c>
      <c r="AT347" s="234">
        <v>0</v>
      </c>
      <c r="AU347" s="234">
        <v>0</v>
      </c>
      <c r="AV347" s="234">
        <v>0</v>
      </c>
      <c r="AW347" s="234">
        <v>42</v>
      </c>
      <c r="AX347" s="234">
        <v>4</v>
      </c>
      <c r="AY347" s="234">
        <v>0</v>
      </c>
      <c r="AZ347" s="234">
        <v>0</v>
      </c>
      <c r="BA347" s="234">
        <v>0</v>
      </c>
      <c r="BB347" s="234">
        <v>0</v>
      </c>
      <c r="BC347" s="234">
        <v>0</v>
      </c>
      <c r="BD347" s="234">
        <v>0</v>
      </c>
      <c r="BE347" s="234">
        <v>0</v>
      </c>
      <c r="BF347" s="234">
        <v>0</v>
      </c>
      <c r="BG347" s="234">
        <v>0</v>
      </c>
      <c r="BH347" s="234">
        <v>0</v>
      </c>
      <c r="BI347" s="234">
        <v>0</v>
      </c>
      <c r="BJ347" s="234">
        <v>0</v>
      </c>
      <c r="BK347" s="234">
        <v>0</v>
      </c>
      <c r="BL347" s="234">
        <v>0</v>
      </c>
      <c r="BM347" s="234">
        <v>0</v>
      </c>
      <c r="BN347" s="234">
        <v>0</v>
      </c>
      <c r="BO347" s="234">
        <v>0</v>
      </c>
      <c r="BP347" s="234"/>
      <c r="BQ347" s="234" t="s">
        <v>318</v>
      </c>
      <c r="BR347" s="237" t="s">
        <v>151</v>
      </c>
      <c r="BS347" s="238">
        <v>2</v>
      </c>
      <c r="BU347" s="239">
        <v>46</v>
      </c>
      <c r="CN347" s="238">
        <f t="shared" si="25"/>
        <v>46</v>
      </c>
      <c r="CO347" s="238">
        <f t="shared" si="26"/>
        <v>46</v>
      </c>
    </row>
    <row r="348" spans="1:93" ht="13.95" customHeight="1" x14ac:dyDescent="0.2">
      <c r="A348" s="231">
        <v>3745</v>
      </c>
      <c r="B348" s="232" t="s">
        <v>848</v>
      </c>
      <c r="C348" s="232" t="s">
        <v>779</v>
      </c>
      <c r="D348" s="232" t="s">
        <v>780</v>
      </c>
      <c r="E348" s="232" t="s">
        <v>801</v>
      </c>
      <c r="F348" s="231">
        <v>529291</v>
      </c>
      <c r="G348" s="231">
        <v>171210</v>
      </c>
      <c r="H348" s="232" t="s">
        <v>166</v>
      </c>
      <c r="I348" s="233">
        <v>44136</v>
      </c>
      <c r="J348" s="231"/>
      <c r="K348" s="231">
        <v>0</v>
      </c>
      <c r="L348" s="231">
        <v>6</v>
      </c>
      <c r="M348" s="231">
        <v>6</v>
      </c>
      <c r="N348" s="231">
        <v>22</v>
      </c>
      <c r="O348" s="231">
        <v>22</v>
      </c>
      <c r="P348" s="234" t="s">
        <v>318</v>
      </c>
      <c r="Q348" s="232" t="s">
        <v>782</v>
      </c>
      <c r="R348" s="234" t="s">
        <v>320</v>
      </c>
      <c r="S348" s="235">
        <v>43164</v>
      </c>
      <c r="T348" s="235">
        <v>44054</v>
      </c>
      <c r="U348" s="234"/>
      <c r="V348" s="232" t="s">
        <v>321</v>
      </c>
      <c r="W348" s="231"/>
      <c r="X348" s="232" t="s">
        <v>322</v>
      </c>
      <c r="Y348" s="232" t="s">
        <v>323</v>
      </c>
      <c r="Z348" s="232" t="s">
        <v>323</v>
      </c>
      <c r="AA348" s="232" t="s">
        <v>324</v>
      </c>
      <c r="AB348" s="236">
        <v>4.7E-2</v>
      </c>
      <c r="AC348" s="235">
        <v>44136</v>
      </c>
      <c r="AD348" s="234"/>
      <c r="AE348" s="234"/>
      <c r="AF348" s="232" t="s">
        <v>56</v>
      </c>
      <c r="AG348" s="232" t="s">
        <v>345</v>
      </c>
      <c r="AH348" s="234" t="s">
        <v>317</v>
      </c>
      <c r="AI348" s="250"/>
      <c r="AJ348" s="234">
        <v>0</v>
      </c>
      <c r="AK348" s="224"/>
      <c r="AL348" s="234">
        <v>0</v>
      </c>
      <c r="AM348" s="234">
        <v>1</v>
      </c>
      <c r="AN348" s="234">
        <v>0</v>
      </c>
      <c r="AO348" s="234">
        <v>2</v>
      </c>
      <c r="AP348" s="234">
        <v>4</v>
      </c>
      <c r="AQ348" s="234">
        <v>0</v>
      </c>
      <c r="AR348" s="234">
        <v>0</v>
      </c>
      <c r="AS348" s="234">
        <v>0</v>
      </c>
      <c r="AT348" s="234">
        <v>0</v>
      </c>
      <c r="AU348" s="234">
        <v>0</v>
      </c>
      <c r="AV348" s="234">
        <v>2</v>
      </c>
      <c r="AW348" s="234">
        <v>4</v>
      </c>
      <c r="AX348" s="234">
        <v>0</v>
      </c>
      <c r="AY348" s="234">
        <v>0</v>
      </c>
      <c r="AZ348" s="234">
        <v>0</v>
      </c>
      <c r="BA348" s="234">
        <v>0</v>
      </c>
      <c r="BB348" s="234">
        <v>0</v>
      </c>
      <c r="BC348" s="234">
        <v>0</v>
      </c>
      <c r="BD348" s="234">
        <v>0</v>
      </c>
      <c r="BE348" s="234">
        <v>0</v>
      </c>
      <c r="BF348" s="234">
        <v>0</v>
      </c>
      <c r="BG348" s="234">
        <v>0</v>
      </c>
      <c r="BH348" s="234">
        <v>0</v>
      </c>
      <c r="BI348" s="234">
        <v>0</v>
      </c>
      <c r="BJ348" s="234">
        <v>0</v>
      </c>
      <c r="BK348" s="234">
        <v>0</v>
      </c>
      <c r="BL348" s="234">
        <v>0</v>
      </c>
      <c r="BM348" s="234">
        <v>0</v>
      </c>
      <c r="BN348" s="234">
        <v>0</v>
      </c>
      <c r="BO348" s="234">
        <v>0</v>
      </c>
      <c r="BP348" s="234"/>
      <c r="BQ348" s="234"/>
      <c r="BR348" s="237" t="s">
        <v>334</v>
      </c>
      <c r="BS348" s="238">
        <v>5</v>
      </c>
      <c r="BU348" s="239">
        <f>M348</f>
        <v>6</v>
      </c>
      <c r="CN348" s="238">
        <f t="shared" si="25"/>
        <v>6</v>
      </c>
      <c r="CO348" s="238">
        <f t="shared" si="26"/>
        <v>6</v>
      </c>
    </row>
    <row r="349" spans="1:93" ht="13.95" customHeight="1" x14ac:dyDescent="0.2">
      <c r="A349" s="231">
        <v>6852</v>
      </c>
      <c r="B349" s="232" t="s">
        <v>848</v>
      </c>
      <c r="C349" s="232" t="s">
        <v>1303</v>
      </c>
      <c r="D349" s="232" t="s">
        <v>1304</v>
      </c>
      <c r="E349" s="232" t="s">
        <v>801</v>
      </c>
      <c r="F349" s="231">
        <v>524063</v>
      </c>
      <c r="G349" s="231">
        <v>174446</v>
      </c>
      <c r="H349" s="232" t="s">
        <v>164</v>
      </c>
      <c r="I349" s="233">
        <v>44342</v>
      </c>
      <c r="J349" s="231"/>
      <c r="K349" s="231">
        <v>0</v>
      </c>
      <c r="L349" s="231">
        <v>4</v>
      </c>
      <c r="M349" s="231">
        <v>4</v>
      </c>
      <c r="N349" s="231">
        <v>41</v>
      </c>
      <c r="O349" s="231">
        <v>41</v>
      </c>
      <c r="P349" s="234" t="s">
        <v>318</v>
      </c>
      <c r="Q349" s="232" t="s">
        <v>1305</v>
      </c>
      <c r="R349" s="234" t="s">
        <v>320</v>
      </c>
      <c r="S349" s="235">
        <v>43452</v>
      </c>
      <c r="T349" s="235">
        <v>43889</v>
      </c>
      <c r="U349" s="234"/>
      <c r="V349" s="232" t="s">
        <v>321</v>
      </c>
      <c r="W349" s="231"/>
      <c r="X349" s="232" t="s">
        <v>322</v>
      </c>
      <c r="Y349" s="232" t="s">
        <v>323</v>
      </c>
      <c r="Z349" s="232" t="s">
        <v>323</v>
      </c>
      <c r="AA349" s="232" t="s">
        <v>324</v>
      </c>
      <c r="AB349" s="236">
        <v>5.6000000000000001E-2</v>
      </c>
      <c r="AC349" s="235">
        <v>44342</v>
      </c>
      <c r="AD349" s="234"/>
      <c r="AE349" s="234"/>
      <c r="AF349" s="232" t="s">
        <v>77</v>
      </c>
      <c r="AG349" s="232" t="s">
        <v>350</v>
      </c>
      <c r="AH349" s="234" t="s">
        <v>317</v>
      </c>
      <c r="AI349" s="250"/>
      <c r="AJ349" s="234">
        <v>0</v>
      </c>
      <c r="AK349" s="224"/>
      <c r="AL349" s="234">
        <v>0</v>
      </c>
      <c r="AM349" s="224"/>
      <c r="AN349" s="234">
        <v>0</v>
      </c>
      <c r="AO349" s="234">
        <v>1</v>
      </c>
      <c r="AP349" s="234">
        <v>3</v>
      </c>
      <c r="AQ349" s="234">
        <v>0</v>
      </c>
      <c r="AR349" s="234">
        <v>0</v>
      </c>
      <c r="AS349" s="234">
        <v>0</v>
      </c>
      <c r="AT349" s="234">
        <v>0</v>
      </c>
      <c r="AU349" s="234">
        <v>0</v>
      </c>
      <c r="AV349" s="234">
        <v>1</v>
      </c>
      <c r="AW349" s="234">
        <v>3</v>
      </c>
      <c r="AX349" s="234">
        <v>0</v>
      </c>
      <c r="AY349" s="234">
        <v>0</v>
      </c>
      <c r="AZ349" s="234">
        <v>0</v>
      </c>
      <c r="BA349" s="234">
        <v>0</v>
      </c>
      <c r="BB349" s="234">
        <v>0</v>
      </c>
      <c r="BC349" s="234">
        <v>0</v>
      </c>
      <c r="BD349" s="234">
        <v>0</v>
      </c>
      <c r="BE349" s="234">
        <v>0</v>
      </c>
      <c r="BF349" s="234">
        <v>0</v>
      </c>
      <c r="BG349" s="234">
        <v>0</v>
      </c>
      <c r="BH349" s="234">
        <v>0</v>
      </c>
      <c r="BI349" s="234">
        <v>0</v>
      </c>
      <c r="BJ349" s="234">
        <v>0</v>
      </c>
      <c r="BK349" s="234">
        <v>0</v>
      </c>
      <c r="BL349" s="234">
        <v>0</v>
      </c>
      <c r="BM349" s="234">
        <v>0</v>
      </c>
      <c r="BN349" s="234">
        <v>0</v>
      </c>
      <c r="BO349" s="234">
        <v>0</v>
      </c>
      <c r="BP349" s="234"/>
      <c r="BQ349" s="234"/>
      <c r="BR349" s="237" t="s">
        <v>334</v>
      </c>
      <c r="BS349" s="238">
        <v>5</v>
      </c>
      <c r="BU349" s="239">
        <f>M349</f>
        <v>4</v>
      </c>
      <c r="CN349" s="238">
        <f t="shared" si="25"/>
        <v>4</v>
      </c>
      <c r="CO349" s="238">
        <f t="shared" si="26"/>
        <v>4</v>
      </c>
    </row>
    <row r="350" spans="1:93" ht="13.95" customHeight="1" x14ac:dyDescent="0.2">
      <c r="A350" s="231">
        <v>6853</v>
      </c>
      <c r="B350" s="232" t="s">
        <v>848</v>
      </c>
      <c r="C350" s="232" t="s">
        <v>1306</v>
      </c>
      <c r="D350" s="232" t="s">
        <v>1307</v>
      </c>
      <c r="E350" s="232" t="s">
        <v>1308</v>
      </c>
      <c r="F350" s="231">
        <v>529335</v>
      </c>
      <c r="G350" s="231">
        <v>176880</v>
      </c>
      <c r="H350" s="232" t="s">
        <v>171</v>
      </c>
      <c r="I350" s="233">
        <v>44873</v>
      </c>
      <c r="J350" s="231"/>
      <c r="K350" s="231">
        <v>0</v>
      </c>
      <c r="L350" s="231">
        <v>18</v>
      </c>
      <c r="M350" s="231">
        <v>18</v>
      </c>
      <c r="N350" s="231">
        <v>57</v>
      </c>
      <c r="O350" s="231">
        <v>57</v>
      </c>
      <c r="P350" s="234" t="s">
        <v>318</v>
      </c>
      <c r="Q350" s="232" t="s">
        <v>1309</v>
      </c>
      <c r="R350" s="234" t="s">
        <v>320</v>
      </c>
      <c r="S350" s="235">
        <v>43863</v>
      </c>
      <c r="T350" s="235">
        <v>44441</v>
      </c>
      <c r="U350" s="234"/>
      <c r="V350" s="232" t="s">
        <v>321</v>
      </c>
      <c r="W350" s="231"/>
      <c r="X350" s="232" t="s">
        <v>322</v>
      </c>
      <c r="Y350" s="232" t="s">
        <v>323</v>
      </c>
      <c r="Z350" s="232" t="s">
        <v>323</v>
      </c>
      <c r="AA350" s="232" t="s">
        <v>324</v>
      </c>
      <c r="AB350" s="236">
        <v>3.5000000000000003E-2</v>
      </c>
      <c r="AC350" s="235">
        <v>44873</v>
      </c>
      <c r="AD350" s="234" t="s">
        <v>318</v>
      </c>
      <c r="AE350" s="234"/>
      <c r="AF350" s="232" t="s">
        <v>56</v>
      </c>
      <c r="AG350" s="232" t="s">
        <v>325</v>
      </c>
      <c r="AH350" s="234" t="s">
        <v>317</v>
      </c>
      <c r="AI350" s="250"/>
      <c r="AJ350" s="234">
        <v>0</v>
      </c>
      <c r="AK350" s="224"/>
      <c r="AL350" s="234">
        <v>0</v>
      </c>
      <c r="AM350" s="224"/>
      <c r="AN350" s="234">
        <v>0</v>
      </c>
      <c r="AO350" s="234">
        <v>9</v>
      </c>
      <c r="AP350" s="234">
        <v>9</v>
      </c>
      <c r="AQ350" s="234">
        <v>0</v>
      </c>
      <c r="AR350" s="234">
        <v>0</v>
      </c>
      <c r="AS350" s="234">
        <v>0</v>
      </c>
      <c r="AT350" s="234">
        <v>0</v>
      </c>
      <c r="AU350" s="234">
        <v>0</v>
      </c>
      <c r="AV350" s="234">
        <v>9</v>
      </c>
      <c r="AW350" s="234">
        <v>9</v>
      </c>
      <c r="AX350" s="234">
        <v>0</v>
      </c>
      <c r="AY350" s="234">
        <v>0</v>
      </c>
      <c r="AZ350" s="234">
        <v>0</v>
      </c>
      <c r="BA350" s="234">
        <v>0</v>
      </c>
      <c r="BB350" s="234">
        <v>0</v>
      </c>
      <c r="BC350" s="234">
        <v>0</v>
      </c>
      <c r="BD350" s="234">
        <v>0</v>
      </c>
      <c r="BE350" s="234">
        <v>0</v>
      </c>
      <c r="BF350" s="234">
        <v>0</v>
      </c>
      <c r="BG350" s="234">
        <v>0</v>
      </c>
      <c r="BH350" s="234">
        <v>0</v>
      </c>
      <c r="BI350" s="234">
        <v>0</v>
      </c>
      <c r="BJ350" s="234">
        <v>0</v>
      </c>
      <c r="BK350" s="234">
        <v>0</v>
      </c>
      <c r="BL350" s="234">
        <v>0</v>
      </c>
      <c r="BM350" s="234">
        <v>0</v>
      </c>
      <c r="BN350" s="234">
        <v>0</v>
      </c>
      <c r="BO350" s="234">
        <v>0</v>
      </c>
      <c r="BP350" s="234"/>
      <c r="BQ350" s="234" t="s">
        <v>318</v>
      </c>
      <c r="BR350" s="237" t="s">
        <v>151</v>
      </c>
      <c r="BS350" s="238">
        <v>5</v>
      </c>
      <c r="BV350" s="239">
        <f>M350</f>
        <v>18</v>
      </c>
      <c r="CN350" s="238">
        <f t="shared" si="25"/>
        <v>18</v>
      </c>
      <c r="CO350" s="238">
        <f t="shared" si="26"/>
        <v>18</v>
      </c>
    </row>
    <row r="351" spans="1:93" ht="13.95" customHeight="1" x14ac:dyDescent="0.2">
      <c r="A351" s="231">
        <v>3522</v>
      </c>
      <c r="B351" s="232" t="s">
        <v>848</v>
      </c>
      <c r="C351" s="232" t="s">
        <v>1310</v>
      </c>
      <c r="D351" s="232" t="s">
        <v>1311</v>
      </c>
      <c r="E351" s="232" t="s">
        <v>1312</v>
      </c>
      <c r="F351" s="231">
        <v>525912</v>
      </c>
      <c r="G351" s="231">
        <v>175143</v>
      </c>
      <c r="H351" s="232" t="s">
        <v>174</v>
      </c>
      <c r="I351" s="233">
        <v>43922</v>
      </c>
      <c r="J351" s="231"/>
      <c r="K351" s="231">
        <v>0</v>
      </c>
      <c r="L351" s="231">
        <v>128</v>
      </c>
      <c r="M351" s="231">
        <v>128</v>
      </c>
      <c r="N351" s="231">
        <v>480</v>
      </c>
      <c r="O351" s="231">
        <v>480</v>
      </c>
      <c r="P351" s="234" t="s">
        <v>318</v>
      </c>
      <c r="Q351" s="232" t="s">
        <v>1313</v>
      </c>
      <c r="R351" s="234" t="s">
        <v>320</v>
      </c>
      <c r="S351" s="235">
        <v>43836</v>
      </c>
      <c r="T351" s="235">
        <v>44474</v>
      </c>
      <c r="U351" s="234"/>
      <c r="V351" s="232" t="s">
        <v>321</v>
      </c>
      <c r="W351" s="231"/>
      <c r="X351" s="232" t="s">
        <v>322</v>
      </c>
      <c r="Y351" s="232" t="s">
        <v>323</v>
      </c>
      <c r="Z351" s="232" t="s">
        <v>323</v>
      </c>
      <c r="AA351" s="232" t="s">
        <v>324</v>
      </c>
      <c r="AB351" s="236">
        <v>0.127</v>
      </c>
      <c r="AC351" s="235">
        <v>44652</v>
      </c>
      <c r="AD351" s="234" t="s">
        <v>318</v>
      </c>
      <c r="AE351" s="234"/>
      <c r="AF351" s="232" t="s">
        <v>77</v>
      </c>
      <c r="AG351" s="232" t="s">
        <v>350</v>
      </c>
      <c r="AH351" s="234" t="s">
        <v>1314</v>
      </c>
      <c r="AI351" s="250"/>
      <c r="AJ351" s="234">
        <v>0</v>
      </c>
      <c r="AK351" s="224"/>
      <c r="AL351" s="234">
        <v>0</v>
      </c>
      <c r="AM351" s="234">
        <v>0</v>
      </c>
      <c r="AN351" s="234">
        <v>0</v>
      </c>
      <c r="AO351" s="234">
        <v>64</v>
      </c>
      <c r="AP351" s="234">
        <v>64</v>
      </c>
      <c r="AQ351" s="234">
        <v>0</v>
      </c>
      <c r="AR351" s="234">
        <v>0</v>
      </c>
      <c r="AS351" s="234">
        <v>0</v>
      </c>
      <c r="AT351" s="234">
        <v>0</v>
      </c>
      <c r="AU351" s="234">
        <v>0</v>
      </c>
      <c r="AV351" s="234">
        <v>64</v>
      </c>
      <c r="AW351" s="234">
        <v>64</v>
      </c>
      <c r="AX351" s="234">
        <v>0</v>
      </c>
      <c r="AY351" s="234">
        <v>0</v>
      </c>
      <c r="AZ351" s="234">
        <v>0</v>
      </c>
      <c r="BA351" s="234">
        <v>0</v>
      </c>
      <c r="BB351" s="234">
        <v>0</v>
      </c>
      <c r="BC351" s="234">
        <v>0</v>
      </c>
      <c r="BD351" s="234">
        <v>0</v>
      </c>
      <c r="BE351" s="234">
        <v>0</v>
      </c>
      <c r="BF351" s="234">
        <v>0</v>
      </c>
      <c r="BG351" s="234">
        <v>0</v>
      </c>
      <c r="BH351" s="234">
        <v>0</v>
      </c>
      <c r="BI351" s="234">
        <v>0</v>
      </c>
      <c r="BJ351" s="234">
        <v>0</v>
      </c>
      <c r="BK351" s="234">
        <v>0</v>
      </c>
      <c r="BL351" s="234">
        <v>0</v>
      </c>
      <c r="BM351" s="234">
        <v>0</v>
      </c>
      <c r="BN351" s="234">
        <v>0</v>
      </c>
      <c r="BO351" s="234">
        <v>0</v>
      </c>
      <c r="BP351" s="234"/>
      <c r="BQ351" s="234"/>
      <c r="BR351" s="237" t="s">
        <v>327</v>
      </c>
      <c r="BS351" s="238">
        <v>5</v>
      </c>
      <c r="BV351" s="239">
        <f>M351</f>
        <v>128</v>
      </c>
      <c r="CN351" s="238">
        <f t="shared" si="25"/>
        <v>128</v>
      </c>
      <c r="CO351" s="238">
        <f t="shared" si="26"/>
        <v>128</v>
      </c>
    </row>
    <row r="352" spans="1:93" ht="13.95" customHeight="1" x14ac:dyDescent="0.2">
      <c r="A352" s="231">
        <v>3519</v>
      </c>
      <c r="B352" s="232" t="s">
        <v>848</v>
      </c>
      <c r="C352" s="232" t="s">
        <v>1315</v>
      </c>
      <c r="D352" s="232" t="s">
        <v>1316</v>
      </c>
      <c r="E352" s="232" t="s">
        <v>1317</v>
      </c>
      <c r="F352" s="231">
        <v>525782</v>
      </c>
      <c r="G352" s="231">
        <v>175172</v>
      </c>
      <c r="H352" s="232" t="s">
        <v>174</v>
      </c>
      <c r="I352" s="233">
        <v>43848</v>
      </c>
      <c r="J352" s="231"/>
      <c r="K352" s="231">
        <v>0</v>
      </c>
      <c r="L352" s="231">
        <v>56</v>
      </c>
      <c r="M352" s="231">
        <v>56</v>
      </c>
      <c r="N352" s="231">
        <v>554</v>
      </c>
      <c r="O352" s="231">
        <v>554</v>
      </c>
      <c r="P352" s="234" t="s">
        <v>318</v>
      </c>
      <c r="Q352" s="232" t="s">
        <v>1318</v>
      </c>
      <c r="R352" s="234" t="s">
        <v>320</v>
      </c>
      <c r="S352" s="235">
        <v>43773</v>
      </c>
      <c r="T352" s="235">
        <v>44315</v>
      </c>
      <c r="U352" s="234"/>
      <c r="V352" s="232" t="s">
        <v>321</v>
      </c>
      <c r="W352" s="231"/>
      <c r="X352" s="232" t="s">
        <v>322</v>
      </c>
      <c r="Y352" s="232" t="s">
        <v>323</v>
      </c>
      <c r="Z352" s="232" t="s">
        <v>323</v>
      </c>
      <c r="AA352" s="232" t="s">
        <v>324</v>
      </c>
      <c r="AB352" s="236">
        <v>0.09</v>
      </c>
      <c r="AC352" s="235">
        <v>44409</v>
      </c>
      <c r="AD352" s="234"/>
      <c r="AE352" s="234"/>
      <c r="AF352" s="232" t="s">
        <v>77</v>
      </c>
      <c r="AG352" s="232" t="s">
        <v>350</v>
      </c>
      <c r="AH352" s="234" t="s">
        <v>1319</v>
      </c>
      <c r="AI352" s="250"/>
      <c r="AJ352" s="234">
        <v>0</v>
      </c>
      <c r="AK352" s="224"/>
      <c r="AL352" s="234">
        <v>0</v>
      </c>
      <c r="AM352" s="234">
        <v>20</v>
      </c>
      <c r="AN352" s="234">
        <v>0</v>
      </c>
      <c r="AO352" s="234">
        <v>0</v>
      </c>
      <c r="AP352" s="234">
        <v>54</v>
      </c>
      <c r="AQ352" s="234">
        <v>2</v>
      </c>
      <c r="AR352" s="234">
        <v>0</v>
      </c>
      <c r="AS352" s="234">
        <v>0</v>
      </c>
      <c r="AT352" s="234">
        <v>0</v>
      </c>
      <c r="AU352" s="234">
        <v>0</v>
      </c>
      <c r="AV352" s="234">
        <v>0</v>
      </c>
      <c r="AW352" s="234">
        <v>54</v>
      </c>
      <c r="AX352" s="234">
        <v>2</v>
      </c>
      <c r="AY352" s="234">
        <v>0</v>
      </c>
      <c r="AZ352" s="234">
        <v>0</v>
      </c>
      <c r="BA352" s="234">
        <v>0</v>
      </c>
      <c r="BB352" s="234">
        <v>0</v>
      </c>
      <c r="BC352" s="234">
        <v>0</v>
      </c>
      <c r="BD352" s="234">
        <v>0</v>
      </c>
      <c r="BE352" s="234">
        <v>0</v>
      </c>
      <c r="BF352" s="234">
        <v>0</v>
      </c>
      <c r="BG352" s="234">
        <v>0</v>
      </c>
      <c r="BH352" s="234">
        <v>0</v>
      </c>
      <c r="BI352" s="234">
        <v>0</v>
      </c>
      <c r="BJ352" s="234">
        <v>0</v>
      </c>
      <c r="BK352" s="234">
        <v>0</v>
      </c>
      <c r="BL352" s="234">
        <v>0</v>
      </c>
      <c r="BM352" s="234">
        <v>0</v>
      </c>
      <c r="BN352" s="234">
        <v>0</v>
      </c>
      <c r="BO352" s="234">
        <v>0</v>
      </c>
      <c r="BP352" s="234"/>
      <c r="BQ352" s="234"/>
      <c r="BR352" s="237" t="s">
        <v>327</v>
      </c>
      <c r="BS352" s="238">
        <v>5</v>
      </c>
      <c r="BU352" s="239">
        <f>M352</f>
        <v>56</v>
      </c>
      <c r="CN352" s="238">
        <f t="shared" si="25"/>
        <v>56</v>
      </c>
      <c r="CO352" s="238">
        <f t="shared" si="26"/>
        <v>56</v>
      </c>
    </row>
    <row r="353" spans="1:93" ht="13.95" customHeight="1" x14ac:dyDescent="0.2">
      <c r="A353" s="231">
        <v>7385</v>
      </c>
      <c r="B353" s="232" t="s">
        <v>848</v>
      </c>
      <c r="C353" s="232" t="s">
        <v>1320</v>
      </c>
      <c r="D353" s="232" t="s">
        <v>1321</v>
      </c>
      <c r="E353" s="232" t="s">
        <v>1322</v>
      </c>
      <c r="F353" s="231">
        <v>527211</v>
      </c>
      <c r="G353" s="231">
        <v>176872</v>
      </c>
      <c r="H353" s="232" t="s">
        <v>163</v>
      </c>
      <c r="I353" s="233">
        <v>44825</v>
      </c>
      <c r="J353" s="231"/>
      <c r="K353" s="231">
        <v>0</v>
      </c>
      <c r="L353" s="231">
        <v>27</v>
      </c>
      <c r="M353" s="231">
        <v>27</v>
      </c>
      <c r="N353" s="231">
        <v>106</v>
      </c>
      <c r="O353" s="231">
        <v>106</v>
      </c>
      <c r="P353" s="234" t="s">
        <v>318</v>
      </c>
      <c r="Q353" s="232" t="s">
        <v>1323</v>
      </c>
      <c r="R353" s="234" t="s">
        <v>320</v>
      </c>
      <c r="S353" s="235">
        <v>43913</v>
      </c>
      <c r="T353" s="235">
        <v>44323</v>
      </c>
      <c r="U353" s="234"/>
      <c r="V353" s="232" t="s">
        <v>321</v>
      </c>
      <c r="W353" s="231"/>
      <c r="X353" s="232" t="s">
        <v>322</v>
      </c>
      <c r="Y353" s="232" t="s">
        <v>323</v>
      </c>
      <c r="Z353" s="232" t="s">
        <v>323</v>
      </c>
      <c r="AA353" s="232" t="s">
        <v>324</v>
      </c>
      <c r="AB353" s="236">
        <v>0.16</v>
      </c>
      <c r="AC353" s="235">
        <v>44994</v>
      </c>
      <c r="AD353" s="234" t="s">
        <v>318</v>
      </c>
      <c r="AE353" s="234"/>
      <c r="AF353" s="232" t="s">
        <v>57</v>
      </c>
      <c r="AG353" s="232" t="s">
        <v>328</v>
      </c>
      <c r="AH353" s="234" t="s">
        <v>317</v>
      </c>
      <c r="AI353" s="250"/>
      <c r="AJ353" s="234">
        <v>0</v>
      </c>
      <c r="AK353" s="234">
        <v>16</v>
      </c>
      <c r="AL353" s="234">
        <v>0</v>
      </c>
      <c r="AM353" s="234">
        <v>11</v>
      </c>
      <c r="AN353" s="234">
        <v>0</v>
      </c>
      <c r="AO353" s="234">
        <v>4</v>
      </c>
      <c r="AP353" s="234">
        <v>17</v>
      </c>
      <c r="AQ353" s="234">
        <v>4</v>
      </c>
      <c r="AR353" s="234">
        <v>2</v>
      </c>
      <c r="AS353" s="234">
        <v>0</v>
      </c>
      <c r="AT353" s="234">
        <v>0</v>
      </c>
      <c r="AU353" s="234">
        <v>0</v>
      </c>
      <c r="AV353" s="234">
        <v>4</v>
      </c>
      <c r="AW353" s="234">
        <v>17</v>
      </c>
      <c r="AX353" s="234">
        <v>4</v>
      </c>
      <c r="AY353" s="234">
        <v>2</v>
      </c>
      <c r="AZ353" s="234">
        <v>0</v>
      </c>
      <c r="BA353" s="234">
        <v>0</v>
      </c>
      <c r="BB353" s="234">
        <v>0</v>
      </c>
      <c r="BC353" s="234">
        <v>0</v>
      </c>
      <c r="BD353" s="234">
        <v>0</v>
      </c>
      <c r="BE353" s="234">
        <v>0</v>
      </c>
      <c r="BF353" s="234">
        <v>0</v>
      </c>
      <c r="BG353" s="234">
        <v>0</v>
      </c>
      <c r="BH353" s="234">
        <v>0</v>
      </c>
      <c r="BI353" s="234">
        <v>0</v>
      </c>
      <c r="BJ353" s="234">
        <v>0</v>
      </c>
      <c r="BK353" s="234">
        <v>0</v>
      </c>
      <c r="BL353" s="234">
        <v>0</v>
      </c>
      <c r="BM353" s="234">
        <v>0</v>
      </c>
      <c r="BN353" s="234">
        <v>0</v>
      </c>
      <c r="BO353" s="234">
        <v>0</v>
      </c>
      <c r="BP353" s="234"/>
      <c r="BQ353" s="234"/>
      <c r="BR353" s="237" t="s">
        <v>334</v>
      </c>
      <c r="BS353" s="238">
        <v>5</v>
      </c>
      <c r="BV353" s="239">
        <f>M353</f>
        <v>27</v>
      </c>
      <c r="CN353" s="238">
        <f t="shared" si="25"/>
        <v>27</v>
      </c>
      <c r="CO353" s="238">
        <f t="shared" si="26"/>
        <v>27</v>
      </c>
    </row>
    <row r="354" spans="1:93" ht="13.95" customHeight="1" x14ac:dyDescent="0.2">
      <c r="A354" s="231">
        <v>3519</v>
      </c>
      <c r="B354" s="232" t="s">
        <v>848</v>
      </c>
      <c r="C354" s="232" t="s">
        <v>1315</v>
      </c>
      <c r="D354" s="232" t="s">
        <v>1316</v>
      </c>
      <c r="E354" s="232" t="s">
        <v>1324</v>
      </c>
      <c r="F354" s="231">
        <v>525782</v>
      </c>
      <c r="G354" s="231">
        <v>175172</v>
      </c>
      <c r="H354" s="232" t="s">
        <v>174</v>
      </c>
      <c r="I354" s="233">
        <v>43848</v>
      </c>
      <c r="J354" s="231"/>
      <c r="K354" s="231">
        <v>0</v>
      </c>
      <c r="L354" s="231">
        <v>38</v>
      </c>
      <c r="M354" s="231">
        <v>38</v>
      </c>
      <c r="N354" s="231">
        <v>554</v>
      </c>
      <c r="O354" s="231">
        <v>554</v>
      </c>
      <c r="P354" s="234" t="s">
        <v>318</v>
      </c>
      <c r="Q354" s="232" t="s">
        <v>1318</v>
      </c>
      <c r="R354" s="234" t="s">
        <v>320</v>
      </c>
      <c r="S354" s="235">
        <v>43773</v>
      </c>
      <c r="T354" s="235">
        <v>44315</v>
      </c>
      <c r="U354" s="234"/>
      <c r="V354" s="232" t="s">
        <v>321</v>
      </c>
      <c r="W354" s="231"/>
      <c r="X354" s="232" t="s">
        <v>322</v>
      </c>
      <c r="Y354" s="232" t="s">
        <v>323</v>
      </c>
      <c r="Z354" s="232" t="s">
        <v>323</v>
      </c>
      <c r="AA354" s="232" t="s">
        <v>324</v>
      </c>
      <c r="AB354" s="236">
        <v>6.0999999999999999E-2</v>
      </c>
      <c r="AC354" s="235">
        <v>44409</v>
      </c>
      <c r="AD354" s="234"/>
      <c r="AE354" s="234"/>
      <c r="AF354" s="232" t="s">
        <v>77</v>
      </c>
      <c r="AG354" s="232" t="s">
        <v>350</v>
      </c>
      <c r="AH354" s="234" t="s">
        <v>1319</v>
      </c>
      <c r="AI354" s="250"/>
      <c r="AJ354" s="234">
        <v>0</v>
      </c>
      <c r="AK354" s="224"/>
      <c r="AL354" s="234">
        <v>0</v>
      </c>
      <c r="AM354" s="224"/>
      <c r="AN354" s="234">
        <v>0</v>
      </c>
      <c r="AO354" s="234">
        <v>18</v>
      </c>
      <c r="AP354" s="234">
        <v>18</v>
      </c>
      <c r="AQ354" s="234">
        <v>2</v>
      </c>
      <c r="AR354" s="234">
        <v>0</v>
      </c>
      <c r="AS354" s="234">
        <v>0</v>
      </c>
      <c r="AT354" s="234">
        <v>0</v>
      </c>
      <c r="AU354" s="234">
        <v>0</v>
      </c>
      <c r="AV354" s="234">
        <v>18</v>
      </c>
      <c r="AW354" s="234">
        <v>18</v>
      </c>
      <c r="AX354" s="234">
        <v>2</v>
      </c>
      <c r="AY354" s="234">
        <v>0</v>
      </c>
      <c r="AZ354" s="234">
        <v>0</v>
      </c>
      <c r="BA354" s="234">
        <v>0</v>
      </c>
      <c r="BB354" s="234">
        <v>0</v>
      </c>
      <c r="BC354" s="234">
        <v>0</v>
      </c>
      <c r="BD354" s="234">
        <v>0</v>
      </c>
      <c r="BE354" s="234">
        <v>0</v>
      </c>
      <c r="BF354" s="234">
        <v>0</v>
      </c>
      <c r="BG354" s="234">
        <v>0</v>
      </c>
      <c r="BH354" s="234">
        <v>0</v>
      </c>
      <c r="BI354" s="234">
        <v>0</v>
      </c>
      <c r="BJ354" s="234">
        <v>0</v>
      </c>
      <c r="BK354" s="234">
        <v>0</v>
      </c>
      <c r="BL354" s="234">
        <v>0</v>
      </c>
      <c r="BM354" s="234">
        <v>0</v>
      </c>
      <c r="BN354" s="234">
        <v>0</v>
      </c>
      <c r="BO354" s="234">
        <v>0</v>
      </c>
      <c r="BP354" s="234"/>
      <c r="BQ354" s="234"/>
      <c r="BR354" s="237" t="s">
        <v>327</v>
      </c>
      <c r="BS354" s="238">
        <v>5</v>
      </c>
      <c r="BU354" s="239">
        <f>M354</f>
        <v>38</v>
      </c>
      <c r="CN354" s="238">
        <f t="shared" si="25"/>
        <v>38</v>
      </c>
      <c r="CO354" s="238">
        <f t="shared" si="26"/>
        <v>38</v>
      </c>
    </row>
    <row r="355" spans="1:93" ht="13.95" customHeight="1" x14ac:dyDescent="0.2">
      <c r="A355" s="231">
        <v>7385</v>
      </c>
      <c r="B355" s="232" t="s">
        <v>848</v>
      </c>
      <c r="C355" s="232" t="s">
        <v>1320</v>
      </c>
      <c r="D355" s="232" t="s">
        <v>1321</v>
      </c>
      <c r="E355" s="232" t="s">
        <v>1325</v>
      </c>
      <c r="F355" s="231">
        <v>527211</v>
      </c>
      <c r="G355" s="231">
        <v>176872</v>
      </c>
      <c r="H355" s="232" t="s">
        <v>163</v>
      </c>
      <c r="I355" s="233">
        <v>44825</v>
      </c>
      <c r="J355" s="231"/>
      <c r="K355" s="231">
        <v>0</v>
      </c>
      <c r="L355" s="231">
        <v>22</v>
      </c>
      <c r="M355" s="231">
        <v>22</v>
      </c>
      <c r="N355" s="231">
        <v>106</v>
      </c>
      <c r="O355" s="231">
        <v>106</v>
      </c>
      <c r="P355" s="234" t="s">
        <v>318</v>
      </c>
      <c r="Q355" s="232" t="s">
        <v>1323</v>
      </c>
      <c r="R355" s="234" t="s">
        <v>320</v>
      </c>
      <c r="S355" s="235">
        <v>43913</v>
      </c>
      <c r="T355" s="235">
        <v>44323</v>
      </c>
      <c r="U355" s="234"/>
      <c r="V355" s="232" t="s">
        <v>321</v>
      </c>
      <c r="W355" s="231"/>
      <c r="X355" s="232" t="s">
        <v>322</v>
      </c>
      <c r="Y355" s="232" t="s">
        <v>323</v>
      </c>
      <c r="Z355" s="232" t="s">
        <v>323</v>
      </c>
      <c r="AA355" s="232" t="s">
        <v>324</v>
      </c>
      <c r="AB355" s="236">
        <v>0.13</v>
      </c>
      <c r="AC355" s="235">
        <v>44994</v>
      </c>
      <c r="AD355" s="234" t="s">
        <v>318</v>
      </c>
      <c r="AE355" s="234"/>
      <c r="AF355" s="232" t="s">
        <v>56</v>
      </c>
      <c r="AG355" s="232" t="s">
        <v>325</v>
      </c>
      <c r="AH355" s="234" t="s">
        <v>317</v>
      </c>
      <c r="AI355" s="250"/>
      <c r="AJ355" s="234">
        <v>0</v>
      </c>
      <c r="AK355" s="234">
        <v>22</v>
      </c>
      <c r="AL355" s="234">
        <v>0</v>
      </c>
      <c r="AM355" s="234">
        <v>0</v>
      </c>
      <c r="AN355" s="234">
        <v>22</v>
      </c>
      <c r="AO355" s="234">
        <v>0</v>
      </c>
      <c r="AP355" s="234">
        <v>0</v>
      </c>
      <c r="AQ355" s="234">
        <v>0</v>
      </c>
      <c r="AR355" s="234">
        <v>0</v>
      </c>
      <c r="AS355" s="234">
        <v>0</v>
      </c>
      <c r="AT355" s="234">
        <v>0</v>
      </c>
      <c r="AU355" s="234">
        <v>22</v>
      </c>
      <c r="AV355" s="234">
        <v>0</v>
      </c>
      <c r="AW355" s="234">
        <v>0</v>
      </c>
      <c r="AX355" s="234">
        <v>0</v>
      </c>
      <c r="AY355" s="234">
        <v>0</v>
      </c>
      <c r="AZ355" s="234">
        <v>0</v>
      </c>
      <c r="BA355" s="234">
        <v>0</v>
      </c>
      <c r="BB355" s="234">
        <v>0</v>
      </c>
      <c r="BC355" s="234">
        <v>0</v>
      </c>
      <c r="BD355" s="234">
        <v>0</v>
      </c>
      <c r="BE355" s="234">
        <v>0</v>
      </c>
      <c r="BF355" s="234">
        <v>0</v>
      </c>
      <c r="BG355" s="234">
        <v>0</v>
      </c>
      <c r="BH355" s="234">
        <v>0</v>
      </c>
      <c r="BI355" s="234">
        <v>0</v>
      </c>
      <c r="BJ355" s="234">
        <v>0</v>
      </c>
      <c r="BK355" s="234">
        <v>0</v>
      </c>
      <c r="BL355" s="234">
        <v>0</v>
      </c>
      <c r="BM355" s="234">
        <v>0</v>
      </c>
      <c r="BN355" s="234">
        <v>0</v>
      </c>
      <c r="BO355" s="234">
        <v>0</v>
      </c>
      <c r="BP355" s="234"/>
      <c r="BQ355" s="234"/>
      <c r="BR355" s="237" t="s">
        <v>334</v>
      </c>
      <c r="BS355" s="238">
        <v>5</v>
      </c>
      <c r="BV355" s="239">
        <f>M355</f>
        <v>22</v>
      </c>
      <c r="CN355" s="238">
        <f t="shared" si="25"/>
        <v>22</v>
      </c>
      <c r="CO355" s="238">
        <f t="shared" si="26"/>
        <v>22</v>
      </c>
    </row>
    <row r="356" spans="1:93" ht="13.95" customHeight="1" x14ac:dyDescent="0.2">
      <c r="A356" s="231">
        <v>7385</v>
      </c>
      <c r="B356" s="232" t="s">
        <v>848</v>
      </c>
      <c r="C356" s="232" t="s">
        <v>1320</v>
      </c>
      <c r="D356" s="232" t="s">
        <v>1321</v>
      </c>
      <c r="E356" s="232" t="s">
        <v>1325</v>
      </c>
      <c r="F356" s="231">
        <v>527211</v>
      </c>
      <c r="G356" s="231">
        <v>176872</v>
      </c>
      <c r="H356" s="232" t="s">
        <v>163</v>
      </c>
      <c r="I356" s="233">
        <v>44825</v>
      </c>
      <c r="J356" s="231"/>
      <c r="K356" s="231">
        <v>0</v>
      </c>
      <c r="L356" s="231">
        <v>8</v>
      </c>
      <c r="M356" s="231">
        <v>8</v>
      </c>
      <c r="N356" s="231">
        <v>106</v>
      </c>
      <c r="O356" s="231">
        <v>106</v>
      </c>
      <c r="P356" s="234" t="s">
        <v>318</v>
      </c>
      <c r="Q356" s="232" t="s">
        <v>1323</v>
      </c>
      <c r="R356" s="234" t="s">
        <v>320</v>
      </c>
      <c r="S356" s="235">
        <v>43913</v>
      </c>
      <c r="T356" s="235">
        <v>44323</v>
      </c>
      <c r="U356" s="234"/>
      <c r="V356" s="232" t="s">
        <v>321</v>
      </c>
      <c r="W356" s="231"/>
      <c r="X356" s="232" t="s">
        <v>322</v>
      </c>
      <c r="Y356" s="232" t="s">
        <v>323</v>
      </c>
      <c r="Z356" s="232" t="s">
        <v>323</v>
      </c>
      <c r="AA356" s="232" t="s">
        <v>324</v>
      </c>
      <c r="AB356" s="236">
        <v>4.7E-2</v>
      </c>
      <c r="AC356" s="235">
        <v>44994</v>
      </c>
      <c r="AD356" s="234" t="s">
        <v>318</v>
      </c>
      <c r="AE356" s="234"/>
      <c r="AF356" s="232" t="s">
        <v>77</v>
      </c>
      <c r="AG356" s="232" t="s">
        <v>350</v>
      </c>
      <c r="AH356" s="234" t="s">
        <v>317</v>
      </c>
      <c r="AI356" s="250"/>
      <c r="AJ356" s="234">
        <v>0</v>
      </c>
      <c r="AK356" s="234">
        <v>8</v>
      </c>
      <c r="AL356" s="234">
        <v>0</v>
      </c>
      <c r="AM356" s="234">
        <v>0</v>
      </c>
      <c r="AN356" s="234">
        <v>0</v>
      </c>
      <c r="AO356" s="234">
        <v>0</v>
      </c>
      <c r="AP356" s="234">
        <v>8</v>
      </c>
      <c r="AQ356" s="234">
        <v>0</v>
      </c>
      <c r="AR356" s="234">
        <v>0</v>
      </c>
      <c r="AS356" s="234">
        <v>0</v>
      </c>
      <c r="AT356" s="234">
        <v>0</v>
      </c>
      <c r="AU356" s="234">
        <v>0</v>
      </c>
      <c r="AV356" s="234">
        <v>0</v>
      </c>
      <c r="AW356" s="234">
        <v>8</v>
      </c>
      <c r="AX356" s="234">
        <v>0</v>
      </c>
      <c r="AY356" s="234">
        <v>0</v>
      </c>
      <c r="AZ356" s="234">
        <v>0</v>
      </c>
      <c r="BA356" s="234">
        <v>0</v>
      </c>
      <c r="BB356" s="234">
        <v>0</v>
      </c>
      <c r="BC356" s="234">
        <v>0</v>
      </c>
      <c r="BD356" s="234">
        <v>0</v>
      </c>
      <c r="BE356" s="234">
        <v>0</v>
      </c>
      <c r="BF356" s="234">
        <v>0</v>
      </c>
      <c r="BG356" s="234">
        <v>0</v>
      </c>
      <c r="BH356" s="234">
        <v>0</v>
      </c>
      <c r="BI356" s="234">
        <v>0</v>
      </c>
      <c r="BJ356" s="234">
        <v>0</v>
      </c>
      <c r="BK356" s="234">
        <v>0</v>
      </c>
      <c r="BL356" s="234">
        <v>0</v>
      </c>
      <c r="BM356" s="234">
        <v>0</v>
      </c>
      <c r="BN356" s="234">
        <v>0</v>
      </c>
      <c r="BO356" s="234">
        <v>0</v>
      </c>
      <c r="BP356" s="234"/>
      <c r="BQ356" s="234"/>
      <c r="BR356" s="237" t="s">
        <v>334</v>
      </c>
      <c r="BS356" s="238">
        <v>5</v>
      </c>
      <c r="BV356" s="239">
        <f>M356</f>
        <v>8</v>
      </c>
      <c r="CN356" s="238">
        <f t="shared" si="25"/>
        <v>8</v>
      </c>
      <c r="CO356" s="238">
        <f t="shared" si="26"/>
        <v>8</v>
      </c>
    </row>
    <row r="357" spans="1:93" ht="13.95" customHeight="1" x14ac:dyDescent="0.2">
      <c r="A357" s="231">
        <v>3519</v>
      </c>
      <c r="B357" s="232" t="s">
        <v>848</v>
      </c>
      <c r="C357" s="232" t="s">
        <v>1315</v>
      </c>
      <c r="D357" s="232" t="s">
        <v>1316</v>
      </c>
      <c r="E357" s="232" t="s">
        <v>1326</v>
      </c>
      <c r="F357" s="231">
        <v>525782</v>
      </c>
      <c r="G357" s="231">
        <v>175172</v>
      </c>
      <c r="H357" s="232" t="s">
        <v>174</v>
      </c>
      <c r="I357" s="233">
        <v>43848</v>
      </c>
      <c r="J357" s="231"/>
      <c r="K357" s="231">
        <v>0</v>
      </c>
      <c r="L357" s="231">
        <v>49</v>
      </c>
      <c r="M357" s="231">
        <v>49</v>
      </c>
      <c r="N357" s="231">
        <v>554</v>
      </c>
      <c r="O357" s="231">
        <v>554</v>
      </c>
      <c r="P357" s="234" t="s">
        <v>318</v>
      </c>
      <c r="Q357" s="232" t="s">
        <v>1318</v>
      </c>
      <c r="R357" s="234" t="s">
        <v>320</v>
      </c>
      <c r="S357" s="235">
        <v>43773</v>
      </c>
      <c r="T357" s="235">
        <v>44315</v>
      </c>
      <c r="U357" s="234"/>
      <c r="V357" s="232" t="s">
        <v>321</v>
      </c>
      <c r="W357" s="231"/>
      <c r="X357" s="232" t="s">
        <v>322</v>
      </c>
      <c r="Y357" s="232" t="s">
        <v>323</v>
      </c>
      <c r="Z357" s="232" t="s">
        <v>323</v>
      </c>
      <c r="AA357" s="232" t="s">
        <v>324</v>
      </c>
      <c r="AB357" s="236">
        <v>7.8E-2</v>
      </c>
      <c r="AC357" s="235">
        <v>44409</v>
      </c>
      <c r="AD357" s="234"/>
      <c r="AE357" s="234"/>
      <c r="AF357" s="232" t="s">
        <v>77</v>
      </c>
      <c r="AG357" s="232" t="s">
        <v>350</v>
      </c>
      <c r="AH357" s="234" t="s">
        <v>1319</v>
      </c>
      <c r="AI357" s="250"/>
      <c r="AJ357" s="234">
        <v>0</v>
      </c>
      <c r="AK357" s="224"/>
      <c r="AL357" s="234">
        <v>0</v>
      </c>
      <c r="AM357" s="224"/>
      <c r="AN357" s="234">
        <v>0</v>
      </c>
      <c r="AO357" s="234">
        <v>23</v>
      </c>
      <c r="AP357" s="234">
        <v>24</v>
      </c>
      <c r="AQ357" s="234">
        <v>2</v>
      </c>
      <c r="AR357" s="234">
        <v>0</v>
      </c>
      <c r="AS357" s="234">
        <v>0</v>
      </c>
      <c r="AT357" s="234">
        <v>0</v>
      </c>
      <c r="AU357" s="234">
        <v>0</v>
      </c>
      <c r="AV357" s="234">
        <v>23</v>
      </c>
      <c r="AW357" s="234">
        <v>24</v>
      </c>
      <c r="AX357" s="234">
        <v>2</v>
      </c>
      <c r="AY357" s="234">
        <v>0</v>
      </c>
      <c r="AZ357" s="234">
        <v>0</v>
      </c>
      <c r="BA357" s="234">
        <v>0</v>
      </c>
      <c r="BB357" s="234">
        <v>0</v>
      </c>
      <c r="BC357" s="234">
        <v>0</v>
      </c>
      <c r="BD357" s="234">
        <v>0</v>
      </c>
      <c r="BE357" s="234">
        <v>0</v>
      </c>
      <c r="BF357" s="234">
        <v>0</v>
      </c>
      <c r="BG357" s="234">
        <v>0</v>
      </c>
      <c r="BH357" s="234">
        <v>0</v>
      </c>
      <c r="BI357" s="234">
        <v>0</v>
      </c>
      <c r="BJ357" s="234">
        <v>0</v>
      </c>
      <c r="BK357" s="234">
        <v>0</v>
      </c>
      <c r="BL357" s="234">
        <v>0</v>
      </c>
      <c r="BM357" s="234">
        <v>0</v>
      </c>
      <c r="BN357" s="234">
        <v>0</v>
      </c>
      <c r="BO357" s="234">
        <v>0</v>
      </c>
      <c r="BP357" s="234"/>
      <c r="BQ357" s="234"/>
      <c r="BR357" s="237" t="s">
        <v>327</v>
      </c>
      <c r="BS357" s="238">
        <v>5</v>
      </c>
      <c r="BU357" s="239">
        <f>M357</f>
        <v>49</v>
      </c>
      <c r="CN357" s="238">
        <f t="shared" si="25"/>
        <v>49</v>
      </c>
      <c r="CO357" s="238">
        <f t="shared" si="26"/>
        <v>49</v>
      </c>
    </row>
    <row r="358" spans="1:93" ht="13.95" customHeight="1" x14ac:dyDescent="0.2">
      <c r="A358" s="231">
        <v>3519</v>
      </c>
      <c r="B358" s="232" t="s">
        <v>848</v>
      </c>
      <c r="C358" s="232" t="s">
        <v>1315</v>
      </c>
      <c r="D358" s="232" t="s">
        <v>1316</v>
      </c>
      <c r="E358" s="232" t="s">
        <v>1327</v>
      </c>
      <c r="F358" s="231">
        <v>525782</v>
      </c>
      <c r="G358" s="231">
        <v>175172</v>
      </c>
      <c r="H358" s="232" t="s">
        <v>174</v>
      </c>
      <c r="I358" s="233">
        <v>43848</v>
      </c>
      <c r="J358" s="231"/>
      <c r="K358" s="231">
        <v>0</v>
      </c>
      <c r="L358" s="231">
        <v>42</v>
      </c>
      <c r="M358" s="231">
        <v>42</v>
      </c>
      <c r="N358" s="231">
        <v>554</v>
      </c>
      <c r="O358" s="231">
        <v>554</v>
      </c>
      <c r="P358" s="234" t="s">
        <v>318</v>
      </c>
      <c r="Q358" s="232" t="s">
        <v>1318</v>
      </c>
      <c r="R358" s="234" t="s">
        <v>320</v>
      </c>
      <c r="S358" s="235">
        <v>43773</v>
      </c>
      <c r="T358" s="235">
        <v>44315</v>
      </c>
      <c r="U358" s="234"/>
      <c r="V358" s="232" t="s">
        <v>321</v>
      </c>
      <c r="W358" s="231"/>
      <c r="X358" s="232" t="s">
        <v>322</v>
      </c>
      <c r="Y358" s="232" t="s">
        <v>323</v>
      </c>
      <c r="Z358" s="232" t="s">
        <v>323</v>
      </c>
      <c r="AA358" s="232" t="s">
        <v>324</v>
      </c>
      <c r="AB358" s="236">
        <v>6.7000000000000004E-2</v>
      </c>
      <c r="AC358" s="235">
        <v>44409</v>
      </c>
      <c r="AD358" s="234"/>
      <c r="AE358" s="234"/>
      <c r="AF358" s="232" t="s">
        <v>77</v>
      </c>
      <c r="AG358" s="232" t="s">
        <v>350</v>
      </c>
      <c r="AH358" s="234" t="s">
        <v>1319</v>
      </c>
      <c r="AI358" s="250"/>
      <c r="AJ358" s="234">
        <v>0</v>
      </c>
      <c r="AK358" s="224"/>
      <c r="AL358" s="234">
        <v>0</v>
      </c>
      <c r="AM358" s="224"/>
      <c r="AN358" s="234">
        <v>0</v>
      </c>
      <c r="AO358" s="234">
        <v>0</v>
      </c>
      <c r="AP358" s="234">
        <v>40</v>
      </c>
      <c r="AQ358" s="234">
        <v>2</v>
      </c>
      <c r="AR358" s="234">
        <v>0</v>
      </c>
      <c r="AS358" s="234">
        <v>0</v>
      </c>
      <c r="AT358" s="234">
        <v>0</v>
      </c>
      <c r="AU358" s="234">
        <v>0</v>
      </c>
      <c r="AV358" s="234">
        <v>0</v>
      </c>
      <c r="AW358" s="234">
        <v>40</v>
      </c>
      <c r="AX358" s="234">
        <v>2</v>
      </c>
      <c r="AY358" s="234">
        <v>0</v>
      </c>
      <c r="AZ358" s="234">
        <v>0</v>
      </c>
      <c r="BA358" s="234">
        <v>0</v>
      </c>
      <c r="BB358" s="234">
        <v>0</v>
      </c>
      <c r="BC358" s="234">
        <v>0</v>
      </c>
      <c r="BD358" s="234">
        <v>0</v>
      </c>
      <c r="BE358" s="234">
        <v>0</v>
      </c>
      <c r="BF358" s="234">
        <v>0</v>
      </c>
      <c r="BG358" s="234">
        <v>0</v>
      </c>
      <c r="BH358" s="234">
        <v>0</v>
      </c>
      <c r="BI358" s="234">
        <v>0</v>
      </c>
      <c r="BJ358" s="234">
        <v>0</v>
      </c>
      <c r="BK358" s="234">
        <v>0</v>
      </c>
      <c r="BL358" s="234">
        <v>0</v>
      </c>
      <c r="BM358" s="234">
        <v>0</v>
      </c>
      <c r="BN358" s="234">
        <v>0</v>
      </c>
      <c r="BO358" s="234">
        <v>0</v>
      </c>
      <c r="BP358" s="234"/>
      <c r="BQ358" s="234"/>
      <c r="BR358" s="237" t="s">
        <v>327</v>
      </c>
      <c r="BS358" s="238">
        <v>5</v>
      </c>
      <c r="BU358" s="239">
        <f>M358</f>
        <v>42</v>
      </c>
      <c r="CN358" s="238">
        <f t="shared" si="25"/>
        <v>42</v>
      </c>
      <c r="CO358" s="238">
        <f t="shared" si="26"/>
        <v>42</v>
      </c>
    </row>
    <row r="359" spans="1:93" ht="13.95" customHeight="1" x14ac:dyDescent="0.2">
      <c r="A359" s="231">
        <v>3514</v>
      </c>
      <c r="B359" s="232" t="s">
        <v>848</v>
      </c>
      <c r="C359" s="232" t="s">
        <v>1301</v>
      </c>
      <c r="D359" s="232" t="s">
        <v>818</v>
      </c>
      <c r="E359" s="232" t="s">
        <v>781</v>
      </c>
      <c r="F359" s="231">
        <v>528809</v>
      </c>
      <c r="G359" s="231">
        <v>177181</v>
      </c>
      <c r="H359" s="232" t="s">
        <v>168</v>
      </c>
      <c r="I359" s="233">
        <v>42662</v>
      </c>
      <c r="J359" s="231"/>
      <c r="K359" s="231">
        <v>0</v>
      </c>
      <c r="L359" s="231">
        <v>95</v>
      </c>
      <c r="M359" s="231">
        <v>95</v>
      </c>
      <c r="N359" s="231">
        <v>233</v>
      </c>
      <c r="O359" s="231">
        <v>233</v>
      </c>
      <c r="P359" s="234" t="s">
        <v>318</v>
      </c>
      <c r="Q359" s="232" t="s">
        <v>1302</v>
      </c>
      <c r="R359" s="234" t="s">
        <v>320</v>
      </c>
      <c r="S359" s="235">
        <v>44147</v>
      </c>
      <c r="T359" s="235">
        <v>44301</v>
      </c>
      <c r="U359" s="234"/>
      <c r="V359" s="232" t="s">
        <v>321</v>
      </c>
      <c r="W359" s="231"/>
      <c r="X359" s="232" t="s">
        <v>322</v>
      </c>
      <c r="Y359" s="232" t="s">
        <v>323</v>
      </c>
      <c r="Z359" s="232" t="s">
        <v>323</v>
      </c>
      <c r="AA359" s="232" t="s">
        <v>324</v>
      </c>
      <c r="AB359" s="236">
        <v>0.20399999999999999</v>
      </c>
      <c r="AC359" s="235">
        <v>44287</v>
      </c>
      <c r="AD359" s="234"/>
      <c r="AE359" s="234"/>
      <c r="AF359" s="232" t="s">
        <v>77</v>
      </c>
      <c r="AG359" s="232" t="s">
        <v>350</v>
      </c>
      <c r="AH359" s="234" t="s">
        <v>821</v>
      </c>
      <c r="AI359" s="250"/>
      <c r="AJ359" s="234">
        <v>95</v>
      </c>
      <c r="AK359" s="224"/>
      <c r="AL359" s="234">
        <v>10</v>
      </c>
      <c r="AM359" s="224"/>
      <c r="AN359" s="234">
        <v>0</v>
      </c>
      <c r="AO359" s="234">
        <v>17</v>
      </c>
      <c r="AP359" s="234">
        <v>53</v>
      </c>
      <c r="AQ359" s="234">
        <v>21</v>
      </c>
      <c r="AR359" s="234">
        <v>4</v>
      </c>
      <c r="AS359" s="234">
        <v>0</v>
      </c>
      <c r="AT359" s="234">
        <v>0</v>
      </c>
      <c r="AU359" s="234">
        <v>0</v>
      </c>
      <c r="AV359" s="234">
        <v>17</v>
      </c>
      <c r="AW359" s="234">
        <v>53</v>
      </c>
      <c r="AX359" s="234">
        <v>21</v>
      </c>
      <c r="AY359" s="234">
        <v>4</v>
      </c>
      <c r="AZ359" s="234">
        <v>0</v>
      </c>
      <c r="BA359" s="234">
        <v>0</v>
      </c>
      <c r="BB359" s="234">
        <v>0</v>
      </c>
      <c r="BC359" s="234">
        <v>0</v>
      </c>
      <c r="BD359" s="234">
        <v>0</v>
      </c>
      <c r="BE359" s="234">
        <v>0</v>
      </c>
      <c r="BF359" s="234">
        <v>0</v>
      </c>
      <c r="BG359" s="234">
        <v>0</v>
      </c>
      <c r="BH359" s="234">
        <v>0</v>
      </c>
      <c r="BI359" s="234">
        <v>0</v>
      </c>
      <c r="BJ359" s="234">
        <v>0</v>
      </c>
      <c r="BK359" s="234">
        <v>0</v>
      </c>
      <c r="BL359" s="234">
        <v>0</v>
      </c>
      <c r="BM359" s="234">
        <v>0</v>
      </c>
      <c r="BN359" s="234">
        <v>0</v>
      </c>
      <c r="BO359" s="234">
        <v>0</v>
      </c>
      <c r="BP359" s="234"/>
      <c r="BQ359" s="234" t="s">
        <v>318</v>
      </c>
      <c r="BR359" s="237" t="s">
        <v>151</v>
      </c>
      <c r="BS359" s="238">
        <v>2</v>
      </c>
      <c r="BU359" s="239">
        <v>95</v>
      </c>
      <c r="CN359" s="238">
        <f t="shared" si="25"/>
        <v>95</v>
      </c>
      <c r="CO359" s="238">
        <f t="shared" si="26"/>
        <v>95</v>
      </c>
    </row>
    <row r="360" spans="1:93" ht="13.95" customHeight="1" x14ac:dyDescent="0.2">
      <c r="A360" s="231">
        <v>6852</v>
      </c>
      <c r="B360" s="232" t="s">
        <v>848</v>
      </c>
      <c r="C360" s="232" t="s">
        <v>1303</v>
      </c>
      <c r="D360" s="232" t="s">
        <v>1304</v>
      </c>
      <c r="E360" s="232" t="s">
        <v>781</v>
      </c>
      <c r="F360" s="231">
        <v>524063</v>
      </c>
      <c r="G360" s="231">
        <v>174446</v>
      </c>
      <c r="H360" s="232" t="s">
        <v>164</v>
      </c>
      <c r="I360" s="233">
        <v>44342</v>
      </c>
      <c r="J360" s="231"/>
      <c r="K360" s="231">
        <v>0</v>
      </c>
      <c r="L360" s="231">
        <v>6</v>
      </c>
      <c r="M360" s="231">
        <v>6</v>
      </c>
      <c r="N360" s="231">
        <v>41</v>
      </c>
      <c r="O360" s="231">
        <v>41</v>
      </c>
      <c r="P360" s="234" t="s">
        <v>318</v>
      </c>
      <c r="Q360" s="232" t="s">
        <v>1305</v>
      </c>
      <c r="R360" s="234" t="s">
        <v>320</v>
      </c>
      <c r="S360" s="235">
        <v>43452</v>
      </c>
      <c r="T360" s="235">
        <v>43889</v>
      </c>
      <c r="U360" s="234"/>
      <c r="V360" s="232" t="s">
        <v>321</v>
      </c>
      <c r="W360" s="231"/>
      <c r="X360" s="232" t="s">
        <v>322</v>
      </c>
      <c r="Y360" s="232" t="s">
        <v>323</v>
      </c>
      <c r="Z360" s="232" t="s">
        <v>323</v>
      </c>
      <c r="AA360" s="232" t="s">
        <v>324</v>
      </c>
      <c r="AB360" s="236">
        <v>8.5000000000000006E-2</v>
      </c>
      <c r="AC360" s="235">
        <v>44342</v>
      </c>
      <c r="AD360" s="234"/>
      <c r="AE360" s="234"/>
      <c r="AF360" s="232" t="s">
        <v>77</v>
      </c>
      <c r="AG360" s="232" t="s">
        <v>350</v>
      </c>
      <c r="AH360" s="234" t="s">
        <v>317</v>
      </c>
      <c r="AI360" s="250"/>
      <c r="AJ360" s="234">
        <v>0</v>
      </c>
      <c r="AK360" s="224"/>
      <c r="AL360" s="234">
        <v>0</v>
      </c>
      <c r="AM360" s="224"/>
      <c r="AN360" s="234">
        <v>0</v>
      </c>
      <c r="AO360" s="234">
        <v>2</v>
      </c>
      <c r="AP360" s="234">
        <v>4</v>
      </c>
      <c r="AQ360" s="234">
        <v>0</v>
      </c>
      <c r="AR360" s="234">
        <v>0</v>
      </c>
      <c r="AS360" s="234">
        <v>0</v>
      </c>
      <c r="AT360" s="234">
        <v>0</v>
      </c>
      <c r="AU360" s="234">
        <v>0</v>
      </c>
      <c r="AV360" s="234">
        <v>2</v>
      </c>
      <c r="AW360" s="234">
        <v>4</v>
      </c>
      <c r="AX360" s="234">
        <v>0</v>
      </c>
      <c r="AY360" s="234">
        <v>0</v>
      </c>
      <c r="AZ360" s="234">
        <v>0</v>
      </c>
      <c r="BA360" s="234">
        <v>0</v>
      </c>
      <c r="BB360" s="234">
        <v>0</v>
      </c>
      <c r="BC360" s="234">
        <v>0</v>
      </c>
      <c r="BD360" s="234">
        <v>0</v>
      </c>
      <c r="BE360" s="234">
        <v>0</v>
      </c>
      <c r="BF360" s="234">
        <v>0</v>
      </c>
      <c r="BG360" s="234">
        <v>0</v>
      </c>
      <c r="BH360" s="234">
        <v>0</v>
      </c>
      <c r="BI360" s="234">
        <v>0</v>
      </c>
      <c r="BJ360" s="234">
        <v>0</v>
      </c>
      <c r="BK360" s="234">
        <v>0</v>
      </c>
      <c r="BL360" s="234">
        <v>0</v>
      </c>
      <c r="BM360" s="234">
        <v>0</v>
      </c>
      <c r="BN360" s="234">
        <v>0</v>
      </c>
      <c r="BO360" s="234">
        <v>0</v>
      </c>
      <c r="BP360" s="234"/>
      <c r="BQ360" s="234"/>
      <c r="BR360" s="237" t="s">
        <v>334</v>
      </c>
      <c r="BS360" s="238">
        <v>5</v>
      </c>
      <c r="BU360" s="239">
        <f>M360</f>
        <v>6</v>
      </c>
      <c r="CN360" s="238">
        <f t="shared" si="25"/>
        <v>6</v>
      </c>
      <c r="CO360" s="238">
        <f t="shared" si="26"/>
        <v>6</v>
      </c>
    </row>
    <row r="361" spans="1:93" ht="13.95" customHeight="1" x14ac:dyDescent="0.2">
      <c r="A361" s="231">
        <v>7385</v>
      </c>
      <c r="B361" s="232" t="s">
        <v>848</v>
      </c>
      <c r="C361" s="232" t="s">
        <v>1320</v>
      </c>
      <c r="D361" s="232" t="s">
        <v>1321</v>
      </c>
      <c r="E361" s="232" t="s">
        <v>1328</v>
      </c>
      <c r="F361" s="231">
        <v>527211</v>
      </c>
      <c r="G361" s="231">
        <v>176872</v>
      </c>
      <c r="H361" s="232" t="s">
        <v>163</v>
      </c>
      <c r="I361" s="233">
        <v>44825</v>
      </c>
      <c r="J361" s="231"/>
      <c r="K361" s="231">
        <v>0</v>
      </c>
      <c r="L361" s="231">
        <v>39</v>
      </c>
      <c r="M361" s="231">
        <v>39</v>
      </c>
      <c r="N361" s="231">
        <v>106</v>
      </c>
      <c r="O361" s="231">
        <v>106</v>
      </c>
      <c r="P361" s="234" t="s">
        <v>318</v>
      </c>
      <c r="Q361" s="232" t="s">
        <v>1323</v>
      </c>
      <c r="R361" s="234" t="s">
        <v>320</v>
      </c>
      <c r="S361" s="235">
        <v>43913</v>
      </c>
      <c r="T361" s="235">
        <v>44323</v>
      </c>
      <c r="U361" s="234"/>
      <c r="V361" s="232" t="s">
        <v>321</v>
      </c>
      <c r="W361" s="231"/>
      <c r="X361" s="232" t="s">
        <v>322</v>
      </c>
      <c r="Y361" s="232" t="s">
        <v>323</v>
      </c>
      <c r="Z361" s="232" t="s">
        <v>323</v>
      </c>
      <c r="AA361" s="232" t="s">
        <v>324</v>
      </c>
      <c r="AB361" s="236">
        <v>0.23</v>
      </c>
      <c r="AC361" s="235">
        <v>44994</v>
      </c>
      <c r="AD361" s="234" t="s">
        <v>318</v>
      </c>
      <c r="AE361" s="234"/>
      <c r="AF361" s="232" t="s">
        <v>77</v>
      </c>
      <c r="AG361" s="232" t="s">
        <v>350</v>
      </c>
      <c r="AH361" s="234" t="s">
        <v>317</v>
      </c>
      <c r="AI361" s="250"/>
      <c r="AJ361" s="234">
        <v>0</v>
      </c>
      <c r="AK361" s="234">
        <v>39</v>
      </c>
      <c r="AL361" s="234">
        <v>0</v>
      </c>
      <c r="AM361" s="234">
        <v>0</v>
      </c>
      <c r="AN361" s="234">
        <v>0</v>
      </c>
      <c r="AO361" s="234">
        <v>10</v>
      </c>
      <c r="AP361" s="234">
        <v>28</v>
      </c>
      <c r="AQ361" s="234">
        <v>1</v>
      </c>
      <c r="AR361" s="234">
        <v>0</v>
      </c>
      <c r="AS361" s="234">
        <v>0</v>
      </c>
      <c r="AT361" s="234">
        <v>0</v>
      </c>
      <c r="AU361" s="234">
        <v>0</v>
      </c>
      <c r="AV361" s="234">
        <v>10</v>
      </c>
      <c r="AW361" s="234">
        <v>28</v>
      </c>
      <c r="AX361" s="234">
        <v>1</v>
      </c>
      <c r="AY361" s="234">
        <v>0</v>
      </c>
      <c r="AZ361" s="234">
        <v>0</v>
      </c>
      <c r="BA361" s="234">
        <v>0</v>
      </c>
      <c r="BB361" s="234">
        <v>0</v>
      </c>
      <c r="BC361" s="234">
        <v>0</v>
      </c>
      <c r="BD361" s="234">
        <v>0</v>
      </c>
      <c r="BE361" s="234">
        <v>0</v>
      </c>
      <c r="BF361" s="234">
        <v>0</v>
      </c>
      <c r="BG361" s="234">
        <v>0</v>
      </c>
      <c r="BH361" s="234">
        <v>0</v>
      </c>
      <c r="BI361" s="234">
        <v>0</v>
      </c>
      <c r="BJ361" s="234">
        <v>0</v>
      </c>
      <c r="BK361" s="234">
        <v>0</v>
      </c>
      <c r="BL361" s="234">
        <v>0</v>
      </c>
      <c r="BM361" s="234">
        <v>0</v>
      </c>
      <c r="BN361" s="234">
        <v>0</v>
      </c>
      <c r="BO361" s="234">
        <v>0</v>
      </c>
      <c r="BP361" s="234"/>
      <c r="BQ361" s="234"/>
      <c r="BR361" s="237" t="s">
        <v>334</v>
      </c>
      <c r="BS361" s="238">
        <v>5</v>
      </c>
      <c r="BV361" s="239">
        <f>M361</f>
        <v>39</v>
      </c>
      <c r="CN361" s="238">
        <f t="shared" si="25"/>
        <v>39</v>
      </c>
      <c r="CO361" s="238">
        <f t="shared" si="26"/>
        <v>39</v>
      </c>
    </row>
    <row r="362" spans="1:93" ht="13.95" customHeight="1" x14ac:dyDescent="0.2">
      <c r="A362" s="231">
        <v>6853</v>
      </c>
      <c r="B362" s="232" t="s">
        <v>848</v>
      </c>
      <c r="C362" s="232" t="s">
        <v>1306</v>
      </c>
      <c r="D362" s="232" t="s">
        <v>1307</v>
      </c>
      <c r="E362" s="232" t="s">
        <v>1329</v>
      </c>
      <c r="F362" s="231">
        <v>529335</v>
      </c>
      <c r="G362" s="231">
        <v>176880</v>
      </c>
      <c r="H362" s="232" t="s">
        <v>171</v>
      </c>
      <c r="I362" s="233">
        <v>44873</v>
      </c>
      <c r="J362" s="231"/>
      <c r="K362" s="231">
        <v>0</v>
      </c>
      <c r="L362" s="231">
        <v>20</v>
      </c>
      <c r="M362" s="231">
        <v>20</v>
      </c>
      <c r="N362" s="231">
        <v>57</v>
      </c>
      <c r="O362" s="231">
        <v>57</v>
      </c>
      <c r="P362" s="234" t="s">
        <v>318</v>
      </c>
      <c r="Q362" s="232" t="s">
        <v>1309</v>
      </c>
      <c r="R362" s="234" t="s">
        <v>320</v>
      </c>
      <c r="S362" s="235">
        <v>43863</v>
      </c>
      <c r="T362" s="235">
        <v>44441</v>
      </c>
      <c r="U362" s="234"/>
      <c r="V362" s="232" t="s">
        <v>321</v>
      </c>
      <c r="W362" s="231"/>
      <c r="X362" s="232" t="s">
        <v>322</v>
      </c>
      <c r="Y362" s="232" t="s">
        <v>323</v>
      </c>
      <c r="Z362" s="232" t="s">
        <v>323</v>
      </c>
      <c r="AA362" s="232" t="s">
        <v>324</v>
      </c>
      <c r="AB362" s="236">
        <v>0.23300000000000001</v>
      </c>
      <c r="AC362" s="235">
        <v>44873</v>
      </c>
      <c r="AD362" s="234" t="s">
        <v>318</v>
      </c>
      <c r="AE362" s="234"/>
      <c r="AF362" s="232" t="s">
        <v>57</v>
      </c>
      <c r="AG362" s="232" t="s">
        <v>328</v>
      </c>
      <c r="AH362" s="234" t="s">
        <v>317</v>
      </c>
      <c r="AI362" s="250"/>
      <c r="AJ362" s="234">
        <v>0</v>
      </c>
      <c r="AK362" s="234">
        <v>16</v>
      </c>
      <c r="AL362" s="234">
        <v>0</v>
      </c>
      <c r="AM362" s="234">
        <v>4</v>
      </c>
      <c r="AN362" s="234">
        <v>0</v>
      </c>
      <c r="AO362" s="234">
        <v>6</v>
      </c>
      <c r="AP362" s="234">
        <v>8</v>
      </c>
      <c r="AQ362" s="234">
        <v>4</v>
      </c>
      <c r="AR362" s="234">
        <v>2</v>
      </c>
      <c r="AS362" s="234">
        <v>0</v>
      </c>
      <c r="AT362" s="234">
        <v>0</v>
      </c>
      <c r="AU362" s="234">
        <v>0</v>
      </c>
      <c r="AV362" s="234">
        <v>6</v>
      </c>
      <c r="AW362" s="234">
        <v>8</v>
      </c>
      <c r="AX362" s="234">
        <v>4</v>
      </c>
      <c r="AY362" s="234">
        <v>2</v>
      </c>
      <c r="AZ362" s="234">
        <v>0</v>
      </c>
      <c r="BA362" s="234">
        <v>0</v>
      </c>
      <c r="BB362" s="234">
        <v>0</v>
      </c>
      <c r="BC362" s="234">
        <v>0</v>
      </c>
      <c r="BD362" s="234">
        <v>0</v>
      </c>
      <c r="BE362" s="234">
        <v>0</v>
      </c>
      <c r="BF362" s="234">
        <v>0</v>
      </c>
      <c r="BG362" s="234">
        <v>0</v>
      </c>
      <c r="BH362" s="234">
        <v>0</v>
      </c>
      <c r="BI362" s="234">
        <v>0</v>
      </c>
      <c r="BJ362" s="234">
        <v>0</v>
      </c>
      <c r="BK362" s="234">
        <v>0</v>
      </c>
      <c r="BL362" s="234">
        <v>0</v>
      </c>
      <c r="BM362" s="234">
        <v>0</v>
      </c>
      <c r="BN362" s="234">
        <v>0</v>
      </c>
      <c r="BO362" s="234">
        <v>0</v>
      </c>
      <c r="BP362" s="234"/>
      <c r="BQ362" s="234" t="s">
        <v>318</v>
      </c>
      <c r="BR362" s="237" t="s">
        <v>151</v>
      </c>
      <c r="BS362" s="238">
        <v>5</v>
      </c>
      <c r="BV362" s="239">
        <f>M362</f>
        <v>20</v>
      </c>
      <c r="CN362" s="238">
        <f t="shared" si="25"/>
        <v>20</v>
      </c>
      <c r="CO362" s="238">
        <f t="shared" si="26"/>
        <v>20</v>
      </c>
    </row>
    <row r="363" spans="1:93" ht="13.95" customHeight="1" x14ac:dyDescent="0.2">
      <c r="A363" s="231">
        <v>3522</v>
      </c>
      <c r="B363" s="232" t="s">
        <v>848</v>
      </c>
      <c r="C363" s="232" t="s">
        <v>1310</v>
      </c>
      <c r="D363" s="232" t="s">
        <v>1311</v>
      </c>
      <c r="E363" s="232" t="s">
        <v>1330</v>
      </c>
      <c r="F363" s="231">
        <v>525912</v>
      </c>
      <c r="G363" s="231">
        <v>175143</v>
      </c>
      <c r="H363" s="232" t="s">
        <v>174</v>
      </c>
      <c r="I363" s="233">
        <v>43922</v>
      </c>
      <c r="J363" s="231"/>
      <c r="K363" s="231">
        <v>0</v>
      </c>
      <c r="L363" s="231">
        <v>94</v>
      </c>
      <c r="M363" s="231">
        <v>94</v>
      </c>
      <c r="N363" s="231">
        <v>480</v>
      </c>
      <c r="O363" s="231">
        <v>480</v>
      </c>
      <c r="P363" s="234" t="s">
        <v>318</v>
      </c>
      <c r="Q363" s="232" t="s">
        <v>1313</v>
      </c>
      <c r="R363" s="234" t="s">
        <v>320</v>
      </c>
      <c r="S363" s="235">
        <v>43836</v>
      </c>
      <c r="T363" s="235">
        <v>44474</v>
      </c>
      <c r="U363" s="234"/>
      <c r="V363" s="232" t="s">
        <v>321</v>
      </c>
      <c r="W363" s="231"/>
      <c r="X363" s="232" t="s">
        <v>322</v>
      </c>
      <c r="Y363" s="232" t="s">
        <v>323</v>
      </c>
      <c r="Z363" s="232" t="s">
        <v>323</v>
      </c>
      <c r="AA363" s="232" t="s">
        <v>324</v>
      </c>
      <c r="AB363" s="236">
        <v>9.2999999999999999E-2</v>
      </c>
      <c r="AC363" s="235">
        <v>44652</v>
      </c>
      <c r="AD363" s="234" t="s">
        <v>318</v>
      </c>
      <c r="AE363" s="234"/>
      <c r="AF363" s="232" t="s">
        <v>77</v>
      </c>
      <c r="AG363" s="232" t="s">
        <v>350</v>
      </c>
      <c r="AH363" s="234" t="s">
        <v>1314</v>
      </c>
      <c r="AI363" s="250"/>
      <c r="AJ363" s="234">
        <v>0</v>
      </c>
      <c r="AK363" s="224"/>
      <c r="AL363" s="234">
        <v>0</v>
      </c>
      <c r="AM363" s="234">
        <v>10</v>
      </c>
      <c r="AN363" s="234">
        <v>0</v>
      </c>
      <c r="AO363" s="234">
        <v>67</v>
      </c>
      <c r="AP363" s="234">
        <v>17</v>
      </c>
      <c r="AQ363" s="234">
        <v>10</v>
      </c>
      <c r="AR363" s="234">
        <v>0</v>
      </c>
      <c r="AS363" s="234">
        <v>0</v>
      </c>
      <c r="AT363" s="234">
        <v>0</v>
      </c>
      <c r="AU363" s="234">
        <v>0</v>
      </c>
      <c r="AV363" s="234">
        <v>67</v>
      </c>
      <c r="AW363" s="234">
        <v>17</v>
      </c>
      <c r="AX363" s="234">
        <v>10</v>
      </c>
      <c r="AY363" s="234">
        <v>0</v>
      </c>
      <c r="AZ363" s="234">
        <v>0</v>
      </c>
      <c r="BA363" s="234">
        <v>0</v>
      </c>
      <c r="BB363" s="234">
        <v>0</v>
      </c>
      <c r="BC363" s="234">
        <v>0</v>
      </c>
      <c r="BD363" s="234">
        <v>0</v>
      </c>
      <c r="BE363" s="234">
        <v>0</v>
      </c>
      <c r="BF363" s="234">
        <v>0</v>
      </c>
      <c r="BG363" s="234">
        <v>0</v>
      </c>
      <c r="BH363" s="234">
        <v>0</v>
      </c>
      <c r="BI363" s="234">
        <v>0</v>
      </c>
      <c r="BJ363" s="234">
        <v>0</v>
      </c>
      <c r="BK363" s="234">
        <v>0</v>
      </c>
      <c r="BL363" s="234">
        <v>0</v>
      </c>
      <c r="BM363" s="234">
        <v>0</v>
      </c>
      <c r="BN363" s="234">
        <v>0</v>
      </c>
      <c r="BO363" s="234">
        <v>0</v>
      </c>
      <c r="BP363" s="234"/>
      <c r="BQ363" s="234"/>
      <c r="BR363" s="237" t="s">
        <v>327</v>
      </c>
      <c r="BS363" s="238">
        <v>5</v>
      </c>
      <c r="BV363" s="239">
        <f>M363</f>
        <v>94</v>
      </c>
      <c r="CN363" s="238">
        <f t="shared" si="25"/>
        <v>94</v>
      </c>
      <c r="CO363" s="238">
        <f t="shared" si="26"/>
        <v>94</v>
      </c>
    </row>
    <row r="364" spans="1:93" ht="13.95" customHeight="1" x14ac:dyDescent="0.2">
      <c r="A364" s="231">
        <v>3519</v>
      </c>
      <c r="B364" s="232" t="s">
        <v>848</v>
      </c>
      <c r="C364" s="232" t="s">
        <v>1315</v>
      </c>
      <c r="D364" s="232" t="s">
        <v>1316</v>
      </c>
      <c r="E364" s="232" t="s">
        <v>1331</v>
      </c>
      <c r="F364" s="231">
        <v>525782</v>
      </c>
      <c r="G364" s="231">
        <v>175172</v>
      </c>
      <c r="H364" s="232" t="s">
        <v>174</v>
      </c>
      <c r="I364" s="233">
        <v>43848</v>
      </c>
      <c r="J364" s="231"/>
      <c r="K364" s="231">
        <v>0</v>
      </c>
      <c r="L364" s="231">
        <v>43</v>
      </c>
      <c r="M364" s="231">
        <v>43</v>
      </c>
      <c r="N364" s="231">
        <v>554</v>
      </c>
      <c r="O364" s="231">
        <v>554</v>
      </c>
      <c r="P364" s="234" t="s">
        <v>318</v>
      </c>
      <c r="Q364" s="232" t="s">
        <v>1318</v>
      </c>
      <c r="R364" s="234" t="s">
        <v>320</v>
      </c>
      <c r="S364" s="235">
        <v>43773</v>
      </c>
      <c r="T364" s="235">
        <v>44315</v>
      </c>
      <c r="U364" s="234"/>
      <c r="V364" s="232" t="s">
        <v>321</v>
      </c>
      <c r="W364" s="231"/>
      <c r="X364" s="232" t="s">
        <v>322</v>
      </c>
      <c r="Y364" s="232" t="s">
        <v>323</v>
      </c>
      <c r="Z364" s="232" t="s">
        <v>323</v>
      </c>
      <c r="AA364" s="232" t="s">
        <v>324</v>
      </c>
      <c r="AB364" s="236">
        <v>6.9000000000000006E-2</v>
      </c>
      <c r="AC364" s="235">
        <v>44409</v>
      </c>
      <c r="AD364" s="234"/>
      <c r="AE364" s="234"/>
      <c r="AF364" s="232" t="s">
        <v>56</v>
      </c>
      <c r="AG364" s="232" t="s">
        <v>355</v>
      </c>
      <c r="AH364" s="234" t="s">
        <v>1319</v>
      </c>
      <c r="AI364" s="250"/>
      <c r="AJ364" s="234">
        <v>0</v>
      </c>
      <c r="AK364" s="224"/>
      <c r="AL364" s="234">
        <v>0</v>
      </c>
      <c r="AM364" s="234">
        <v>22</v>
      </c>
      <c r="AN364" s="234">
        <v>0</v>
      </c>
      <c r="AO364" s="234">
        <v>21</v>
      </c>
      <c r="AP364" s="234">
        <v>22</v>
      </c>
      <c r="AQ364" s="234">
        <v>0</v>
      </c>
      <c r="AR364" s="234">
        <v>0</v>
      </c>
      <c r="AS364" s="234">
        <v>0</v>
      </c>
      <c r="AT364" s="234">
        <v>0</v>
      </c>
      <c r="AU364" s="234">
        <v>0</v>
      </c>
      <c r="AV364" s="234">
        <v>21</v>
      </c>
      <c r="AW364" s="234">
        <v>22</v>
      </c>
      <c r="AX364" s="234">
        <v>0</v>
      </c>
      <c r="AY364" s="234">
        <v>0</v>
      </c>
      <c r="AZ364" s="234">
        <v>0</v>
      </c>
      <c r="BA364" s="234">
        <v>0</v>
      </c>
      <c r="BB364" s="234">
        <v>0</v>
      </c>
      <c r="BC364" s="234">
        <v>0</v>
      </c>
      <c r="BD364" s="234">
        <v>0</v>
      </c>
      <c r="BE364" s="234">
        <v>0</v>
      </c>
      <c r="BF364" s="234">
        <v>0</v>
      </c>
      <c r="BG364" s="234">
        <v>0</v>
      </c>
      <c r="BH364" s="234">
        <v>0</v>
      </c>
      <c r="BI364" s="234">
        <v>0</v>
      </c>
      <c r="BJ364" s="234">
        <v>0</v>
      </c>
      <c r="BK364" s="234">
        <v>0</v>
      </c>
      <c r="BL364" s="234">
        <v>0</v>
      </c>
      <c r="BM364" s="234">
        <v>0</v>
      </c>
      <c r="BN364" s="234">
        <v>0</v>
      </c>
      <c r="BO364" s="234">
        <v>0</v>
      </c>
      <c r="BP364" s="234"/>
      <c r="BQ364" s="234"/>
      <c r="BR364" s="237" t="s">
        <v>327</v>
      </c>
      <c r="BS364" s="238">
        <v>5</v>
      </c>
      <c r="BU364" s="239">
        <f t="shared" ref="BU364:BU372" si="29">M364</f>
        <v>43</v>
      </c>
      <c r="CN364" s="238">
        <f t="shared" si="25"/>
        <v>43</v>
      </c>
      <c r="CO364" s="238">
        <f t="shared" si="26"/>
        <v>43</v>
      </c>
    </row>
    <row r="365" spans="1:93" ht="13.95" customHeight="1" x14ac:dyDescent="0.2">
      <c r="A365" s="231">
        <v>3519</v>
      </c>
      <c r="B365" s="232" t="s">
        <v>848</v>
      </c>
      <c r="C365" s="232" t="s">
        <v>1315</v>
      </c>
      <c r="D365" s="232" t="s">
        <v>1316</v>
      </c>
      <c r="E365" s="232" t="s">
        <v>1332</v>
      </c>
      <c r="F365" s="231">
        <v>525782</v>
      </c>
      <c r="G365" s="231">
        <v>175172</v>
      </c>
      <c r="H365" s="232" t="s">
        <v>174</v>
      </c>
      <c r="I365" s="233">
        <v>43848</v>
      </c>
      <c r="J365" s="231"/>
      <c r="K365" s="231">
        <v>0</v>
      </c>
      <c r="L365" s="231">
        <v>35</v>
      </c>
      <c r="M365" s="231">
        <v>35</v>
      </c>
      <c r="N365" s="231">
        <v>554</v>
      </c>
      <c r="O365" s="231">
        <v>554</v>
      </c>
      <c r="P365" s="234" t="s">
        <v>318</v>
      </c>
      <c r="Q365" s="232" t="s">
        <v>1318</v>
      </c>
      <c r="R365" s="234" t="s">
        <v>320</v>
      </c>
      <c r="S365" s="235">
        <v>43773</v>
      </c>
      <c r="T365" s="235">
        <v>44315</v>
      </c>
      <c r="U365" s="234"/>
      <c r="V365" s="232" t="s">
        <v>321</v>
      </c>
      <c r="W365" s="231"/>
      <c r="X365" s="232" t="s">
        <v>322</v>
      </c>
      <c r="Y365" s="232" t="s">
        <v>323</v>
      </c>
      <c r="Z365" s="232" t="s">
        <v>323</v>
      </c>
      <c r="AA365" s="232" t="s">
        <v>324</v>
      </c>
      <c r="AB365" s="236">
        <v>5.6000000000000001E-2</v>
      </c>
      <c r="AC365" s="235">
        <v>44409</v>
      </c>
      <c r="AD365" s="234"/>
      <c r="AE365" s="234"/>
      <c r="AF365" s="232" t="s">
        <v>56</v>
      </c>
      <c r="AG365" s="232" t="s">
        <v>355</v>
      </c>
      <c r="AH365" s="234" t="s">
        <v>1319</v>
      </c>
      <c r="AI365" s="250"/>
      <c r="AJ365" s="234">
        <v>0</v>
      </c>
      <c r="AK365" s="224"/>
      <c r="AL365" s="234">
        <v>0</v>
      </c>
      <c r="AM365" s="234">
        <v>0</v>
      </c>
      <c r="AN365" s="234">
        <v>0</v>
      </c>
      <c r="AO365" s="234">
        <v>0</v>
      </c>
      <c r="AP365" s="234">
        <v>35</v>
      </c>
      <c r="AQ365" s="234">
        <v>0</v>
      </c>
      <c r="AR365" s="234">
        <v>0</v>
      </c>
      <c r="AS365" s="234">
        <v>0</v>
      </c>
      <c r="AT365" s="234">
        <v>0</v>
      </c>
      <c r="AU365" s="234">
        <v>0</v>
      </c>
      <c r="AV365" s="234">
        <v>0</v>
      </c>
      <c r="AW365" s="234">
        <v>35</v>
      </c>
      <c r="AX365" s="234">
        <v>0</v>
      </c>
      <c r="AY365" s="234">
        <v>0</v>
      </c>
      <c r="AZ365" s="234">
        <v>0</v>
      </c>
      <c r="BA365" s="234">
        <v>0</v>
      </c>
      <c r="BB365" s="234">
        <v>0</v>
      </c>
      <c r="BC365" s="234">
        <v>0</v>
      </c>
      <c r="BD365" s="234">
        <v>0</v>
      </c>
      <c r="BE365" s="234">
        <v>0</v>
      </c>
      <c r="BF365" s="234">
        <v>0</v>
      </c>
      <c r="BG365" s="234">
        <v>0</v>
      </c>
      <c r="BH365" s="234">
        <v>0</v>
      </c>
      <c r="BI365" s="234">
        <v>0</v>
      </c>
      <c r="BJ365" s="234">
        <v>0</v>
      </c>
      <c r="BK365" s="234">
        <v>0</v>
      </c>
      <c r="BL365" s="234">
        <v>0</v>
      </c>
      <c r="BM365" s="234">
        <v>0</v>
      </c>
      <c r="BN365" s="234">
        <v>0</v>
      </c>
      <c r="BO365" s="234">
        <v>0</v>
      </c>
      <c r="BP365" s="234"/>
      <c r="BQ365" s="234"/>
      <c r="BR365" s="237" t="s">
        <v>327</v>
      </c>
      <c r="BS365" s="238">
        <v>5</v>
      </c>
      <c r="BU365" s="239">
        <f t="shared" si="29"/>
        <v>35</v>
      </c>
      <c r="CN365" s="238">
        <f t="shared" si="25"/>
        <v>35</v>
      </c>
      <c r="CO365" s="238">
        <f t="shared" si="26"/>
        <v>35</v>
      </c>
    </row>
    <row r="366" spans="1:93" ht="13.95" customHeight="1" x14ac:dyDescent="0.2">
      <c r="A366" s="231">
        <v>3519</v>
      </c>
      <c r="B366" s="232" t="s">
        <v>848</v>
      </c>
      <c r="C366" s="232" t="s">
        <v>1315</v>
      </c>
      <c r="D366" s="232" t="s">
        <v>1316</v>
      </c>
      <c r="E366" s="232" t="s">
        <v>1333</v>
      </c>
      <c r="F366" s="231">
        <v>525782</v>
      </c>
      <c r="G366" s="231">
        <v>175172</v>
      </c>
      <c r="H366" s="232" t="s">
        <v>174</v>
      </c>
      <c r="I366" s="233">
        <v>43848</v>
      </c>
      <c r="J366" s="231"/>
      <c r="K366" s="231">
        <v>0</v>
      </c>
      <c r="L366" s="231">
        <v>32</v>
      </c>
      <c r="M366" s="231">
        <v>32</v>
      </c>
      <c r="N366" s="231">
        <v>554</v>
      </c>
      <c r="O366" s="231">
        <v>554</v>
      </c>
      <c r="P366" s="234" t="s">
        <v>318</v>
      </c>
      <c r="Q366" s="232" t="s">
        <v>1318</v>
      </c>
      <c r="R366" s="234" t="s">
        <v>320</v>
      </c>
      <c r="S366" s="235">
        <v>43773</v>
      </c>
      <c r="T366" s="235">
        <v>44315</v>
      </c>
      <c r="U366" s="234"/>
      <c r="V366" s="232" t="s">
        <v>321</v>
      </c>
      <c r="W366" s="231"/>
      <c r="X366" s="232" t="s">
        <v>322</v>
      </c>
      <c r="Y366" s="232" t="s">
        <v>323</v>
      </c>
      <c r="Z366" s="232" t="s">
        <v>323</v>
      </c>
      <c r="AA366" s="232" t="s">
        <v>324</v>
      </c>
      <c r="AB366" s="236">
        <v>5.0999999999999997E-2</v>
      </c>
      <c r="AC366" s="235">
        <v>44409</v>
      </c>
      <c r="AD366" s="234"/>
      <c r="AE366" s="234"/>
      <c r="AF366" s="232" t="s">
        <v>57</v>
      </c>
      <c r="AG366" s="232" t="s">
        <v>470</v>
      </c>
      <c r="AH366" s="234" t="s">
        <v>1319</v>
      </c>
      <c r="AI366" s="250"/>
      <c r="AJ366" s="234">
        <v>0</v>
      </c>
      <c r="AK366" s="224"/>
      <c r="AL366" s="234">
        <v>0</v>
      </c>
      <c r="AM366" s="234">
        <v>8</v>
      </c>
      <c r="AN366" s="234">
        <v>0</v>
      </c>
      <c r="AO366" s="234">
        <v>16</v>
      </c>
      <c r="AP366" s="234">
        <v>16</v>
      </c>
      <c r="AQ366" s="234">
        <v>0</v>
      </c>
      <c r="AR366" s="234">
        <v>0</v>
      </c>
      <c r="AS366" s="234">
        <v>0</v>
      </c>
      <c r="AT366" s="234">
        <v>0</v>
      </c>
      <c r="AU366" s="234">
        <v>0</v>
      </c>
      <c r="AV366" s="234">
        <v>16</v>
      </c>
      <c r="AW366" s="234">
        <v>16</v>
      </c>
      <c r="AX366" s="234">
        <v>0</v>
      </c>
      <c r="AY366" s="234">
        <v>0</v>
      </c>
      <c r="AZ366" s="234">
        <v>0</v>
      </c>
      <c r="BA366" s="234">
        <v>0</v>
      </c>
      <c r="BB366" s="234">
        <v>0</v>
      </c>
      <c r="BC366" s="234">
        <v>0</v>
      </c>
      <c r="BD366" s="234">
        <v>0</v>
      </c>
      <c r="BE366" s="234">
        <v>0</v>
      </c>
      <c r="BF366" s="234">
        <v>0</v>
      </c>
      <c r="BG366" s="234">
        <v>0</v>
      </c>
      <c r="BH366" s="234">
        <v>0</v>
      </c>
      <c r="BI366" s="234">
        <v>0</v>
      </c>
      <c r="BJ366" s="234">
        <v>0</v>
      </c>
      <c r="BK366" s="234">
        <v>0</v>
      </c>
      <c r="BL366" s="234">
        <v>0</v>
      </c>
      <c r="BM366" s="234">
        <v>0</v>
      </c>
      <c r="BN366" s="234">
        <v>0</v>
      </c>
      <c r="BO366" s="234">
        <v>0</v>
      </c>
      <c r="BP366" s="234"/>
      <c r="BQ366" s="234"/>
      <c r="BR366" s="237" t="s">
        <v>327</v>
      </c>
      <c r="BS366" s="238">
        <v>5</v>
      </c>
      <c r="BU366" s="239">
        <f t="shared" si="29"/>
        <v>32</v>
      </c>
      <c r="CN366" s="238">
        <f t="shared" si="25"/>
        <v>32</v>
      </c>
      <c r="CO366" s="238">
        <f t="shared" si="26"/>
        <v>32</v>
      </c>
    </row>
    <row r="367" spans="1:93" ht="13.95" customHeight="1" x14ac:dyDescent="0.2">
      <c r="A367" s="231">
        <v>3519</v>
      </c>
      <c r="B367" s="232" t="s">
        <v>848</v>
      </c>
      <c r="C367" s="232" t="s">
        <v>1315</v>
      </c>
      <c r="D367" s="232" t="s">
        <v>1316</v>
      </c>
      <c r="E367" s="232" t="s">
        <v>1334</v>
      </c>
      <c r="F367" s="231">
        <v>525782</v>
      </c>
      <c r="G367" s="231">
        <v>175172</v>
      </c>
      <c r="H367" s="232" t="s">
        <v>174</v>
      </c>
      <c r="I367" s="233">
        <v>43848</v>
      </c>
      <c r="J367" s="231"/>
      <c r="K367" s="231">
        <v>0</v>
      </c>
      <c r="L367" s="231">
        <v>25</v>
      </c>
      <c r="M367" s="231">
        <v>25</v>
      </c>
      <c r="N367" s="231">
        <v>554</v>
      </c>
      <c r="O367" s="231">
        <v>554</v>
      </c>
      <c r="P367" s="234" t="s">
        <v>318</v>
      </c>
      <c r="Q367" s="232" t="s">
        <v>1318</v>
      </c>
      <c r="R367" s="234" t="s">
        <v>320</v>
      </c>
      <c r="S367" s="235">
        <v>43773</v>
      </c>
      <c r="T367" s="235">
        <v>44315</v>
      </c>
      <c r="U367" s="234"/>
      <c r="V367" s="232" t="s">
        <v>321</v>
      </c>
      <c r="W367" s="231"/>
      <c r="X367" s="232" t="s">
        <v>322</v>
      </c>
      <c r="Y367" s="232" t="s">
        <v>323</v>
      </c>
      <c r="Z367" s="232" t="s">
        <v>323</v>
      </c>
      <c r="AA367" s="232" t="s">
        <v>324</v>
      </c>
      <c r="AB367" s="236">
        <v>0.04</v>
      </c>
      <c r="AC367" s="235">
        <v>44409</v>
      </c>
      <c r="AD367" s="234"/>
      <c r="AE367" s="234"/>
      <c r="AF367" s="232" t="s">
        <v>57</v>
      </c>
      <c r="AG367" s="232" t="s">
        <v>470</v>
      </c>
      <c r="AH367" s="234" t="s">
        <v>1319</v>
      </c>
      <c r="AI367" s="250"/>
      <c r="AJ367" s="234">
        <v>0</v>
      </c>
      <c r="AK367" s="224"/>
      <c r="AL367" s="234">
        <v>0</v>
      </c>
      <c r="AM367" s="224"/>
      <c r="AN367" s="234">
        <v>0</v>
      </c>
      <c r="AO367" s="234">
        <v>0</v>
      </c>
      <c r="AP367" s="234">
        <v>16</v>
      </c>
      <c r="AQ367" s="234">
        <v>9</v>
      </c>
      <c r="AR367" s="234">
        <v>0</v>
      </c>
      <c r="AS367" s="234">
        <v>0</v>
      </c>
      <c r="AT367" s="234">
        <v>0</v>
      </c>
      <c r="AU367" s="234">
        <v>0</v>
      </c>
      <c r="AV367" s="234">
        <v>0</v>
      </c>
      <c r="AW367" s="234">
        <v>16</v>
      </c>
      <c r="AX367" s="234">
        <v>9</v>
      </c>
      <c r="AY367" s="234">
        <v>0</v>
      </c>
      <c r="AZ367" s="234">
        <v>0</v>
      </c>
      <c r="BA367" s="234">
        <v>0</v>
      </c>
      <c r="BB367" s="234">
        <v>0</v>
      </c>
      <c r="BC367" s="234">
        <v>0</v>
      </c>
      <c r="BD367" s="234">
        <v>0</v>
      </c>
      <c r="BE367" s="234">
        <v>0</v>
      </c>
      <c r="BF367" s="234">
        <v>0</v>
      </c>
      <c r="BG367" s="234">
        <v>0</v>
      </c>
      <c r="BH367" s="234">
        <v>0</v>
      </c>
      <c r="BI367" s="234">
        <v>0</v>
      </c>
      <c r="BJ367" s="234">
        <v>0</v>
      </c>
      <c r="BK367" s="234">
        <v>0</v>
      </c>
      <c r="BL367" s="234">
        <v>0</v>
      </c>
      <c r="BM367" s="234">
        <v>0</v>
      </c>
      <c r="BN367" s="234">
        <v>0</v>
      </c>
      <c r="BO367" s="234">
        <v>0</v>
      </c>
      <c r="BP367" s="234"/>
      <c r="BQ367" s="234"/>
      <c r="BR367" s="237" t="s">
        <v>327</v>
      </c>
      <c r="BS367" s="238">
        <v>5</v>
      </c>
      <c r="BU367" s="239">
        <f t="shared" si="29"/>
        <v>25</v>
      </c>
      <c r="CN367" s="238">
        <f t="shared" si="25"/>
        <v>25</v>
      </c>
      <c r="CO367" s="238">
        <f t="shared" si="26"/>
        <v>25</v>
      </c>
    </row>
    <row r="368" spans="1:93" ht="13.95" customHeight="1" x14ac:dyDescent="0.2">
      <c r="A368" s="231">
        <v>3519</v>
      </c>
      <c r="B368" s="232" t="s">
        <v>848</v>
      </c>
      <c r="C368" s="232" t="s">
        <v>1315</v>
      </c>
      <c r="D368" s="232" t="s">
        <v>1316</v>
      </c>
      <c r="E368" s="232" t="s">
        <v>1334</v>
      </c>
      <c r="F368" s="231">
        <v>525782</v>
      </c>
      <c r="G368" s="231">
        <v>175172</v>
      </c>
      <c r="H368" s="232" t="s">
        <v>174</v>
      </c>
      <c r="I368" s="233">
        <v>43848</v>
      </c>
      <c r="J368" s="231"/>
      <c r="K368" s="231">
        <v>0</v>
      </c>
      <c r="L368" s="231">
        <v>2</v>
      </c>
      <c r="M368" s="231">
        <v>2</v>
      </c>
      <c r="N368" s="231">
        <v>554</v>
      </c>
      <c r="O368" s="231">
        <v>554</v>
      </c>
      <c r="P368" s="234" t="s">
        <v>318</v>
      </c>
      <c r="Q368" s="232" t="s">
        <v>1318</v>
      </c>
      <c r="R368" s="234" t="s">
        <v>320</v>
      </c>
      <c r="S368" s="235">
        <v>43773</v>
      </c>
      <c r="T368" s="235">
        <v>44315</v>
      </c>
      <c r="U368" s="234"/>
      <c r="V368" s="232" t="s">
        <v>321</v>
      </c>
      <c r="W368" s="231"/>
      <c r="X368" s="232" t="s">
        <v>322</v>
      </c>
      <c r="Y368" s="232" t="s">
        <v>323</v>
      </c>
      <c r="Z368" s="232" t="s">
        <v>323</v>
      </c>
      <c r="AA368" s="232" t="s">
        <v>324</v>
      </c>
      <c r="AB368" s="236">
        <v>3.0000000000000001E-3</v>
      </c>
      <c r="AC368" s="235">
        <v>44409</v>
      </c>
      <c r="AD368" s="234"/>
      <c r="AE368" s="234"/>
      <c r="AF368" s="232" t="s">
        <v>57</v>
      </c>
      <c r="AG368" s="232" t="s">
        <v>470</v>
      </c>
      <c r="AH368" s="234" t="s">
        <v>1319</v>
      </c>
      <c r="AI368" s="250"/>
      <c r="AJ368" s="234">
        <v>0</v>
      </c>
      <c r="AK368" s="224"/>
      <c r="AL368" s="234">
        <v>0</v>
      </c>
      <c r="AM368" s="234">
        <v>9</v>
      </c>
      <c r="AN368" s="234">
        <v>0</v>
      </c>
      <c r="AO368" s="234">
        <v>0</v>
      </c>
      <c r="AP368" s="234">
        <v>2</v>
      </c>
      <c r="AQ368" s="234">
        <v>0</v>
      </c>
      <c r="AR368" s="234">
        <v>0</v>
      </c>
      <c r="AS368" s="234">
        <v>0</v>
      </c>
      <c r="AT368" s="234">
        <v>0</v>
      </c>
      <c r="AU368" s="234">
        <v>0</v>
      </c>
      <c r="AV368" s="234">
        <v>0</v>
      </c>
      <c r="AW368" s="234">
        <v>2</v>
      </c>
      <c r="AX368" s="234">
        <v>0</v>
      </c>
      <c r="AY368" s="234">
        <v>0</v>
      </c>
      <c r="AZ368" s="234">
        <v>0</v>
      </c>
      <c r="BA368" s="234">
        <v>0</v>
      </c>
      <c r="BB368" s="234">
        <v>0</v>
      </c>
      <c r="BC368" s="234">
        <v>0</v>
      </c>
      <c r="BD368" s="234">
        <v>0</v>
      </c>
      <c r="BE368" s="234">
        <v>0</v>
      </c>
      <c r="BF368" s="234">
        <v>0</v>
      </c>
      <c r="BG368" s="234">
        <v>0</v>
      </c>
      <c r="BH368" s="234">
        <v>0</v>
      </c>
      <c r="BI368" s="234">
        <v>0</v>
      </c>
      <c r="BJ368" s="234">
        <v>0</v>
      </c>
      <c r="BK368" s="234">
        <v>0</v>
      </c>
      <c r="BL368" s="234">
        <v>0</v>
      </c>
      <c r="BM368" s="234">
        <v>0</v>
      </c>
      <c r="BN368" s="234">
        <v>0</v>
      </c>
      <c r="BO368" s="234">
        <v>0</v>
      </c>
      <c r="BP368" s="234"/>
      <c r="BQ368" s="234"/>
      <c r="BR368" s="237" t="s">
        <v>327</v>
      </c>
      <c r="BS368" s="238">
        <v>5</v>
      </c>
      <c r="BU368" s="239">
        <f t="shared" si="29"/>
        <v>2</v>
      </c>
      <c r="CN368" s="238">
        <f t="shared" si="25"/>
        <v>2</v>
      </c>
      <c r="CO368" s="238">
        <f t="shared" si="26"/>
        <v>2</v>
      </c>
    </row>
    <row r="369" spans="1:93" ht="13.95" customHeight="1" x14ac:dyDescent="0.2">
      <c r="A369" s="231">
        <v>3519</v>
      </c>
      <c r="B369" s="232" t="s">
        <v>848</v>
      </c>
      <c r="C369" s="232" t="s">
        <v>1315</v>
      </c>
      <c r="D369" s="232" t="s">
        <v>1316</v>
      </c>
      <c r="E369" s="232" t="s">
        <v>1335</v>
      </c>
      <c r="F369" s="231">
        <v>525782</v>
      </c>
      <c r="G369" s="231">
        <v>175172</v>
      </c>
      <c r="H369" s="232" t="s">
        <v>174</v>
      </c>
      <c r="I369" s="233">
        <v>43848</v>
      </c>
      <c r="J369" s="231"/>
      <c r="K369" s="231">
        <v>0</v>
      </c>
      <c r="L369" s="231">
        <v>22</v>
      </c>
      <c r="M369" s="231">
        <v>22</v>
      </c>
      <c r="N369" s="231">
        <v>554</v>
      </c>
      <c r="O369" s="231">
        <v>554</v>
      </c>
      <c r="P369" s="234" t="s">
        <v>318</v>
      </c>
      <c r="Q369" s="232" t="s">
        <v>1318</v>
      </c>
      <c r="R369" s="234" t="s">
        <v>320</v>
      </c>
      <c r="S369" s="235">
        <v>43773</v>
      </c>
      <c r="T369" s="235">
        <v>44315</v>
      </c>
      <c r="U369" s="234"/>
      <c r="V369" s="232" t="s">
        <v>321</v>
      </c>
      <c r="W369" s="231"/>
      <c r="X369" s="232" t="s">
        <v>322</v>
      </c>
      <c r="Y369" s="232" t="s">
        <v>323</v>
      </c>
      <c r="Z369" s="232" t="s">
        <v>323</v>
      </c>
      <c r="AA369" s="232" t="s">
        <v>324</v>
      </c>
      <c r="AB369" s="236">
        <v>3.5000000000000003E-2</v>
      </c>
      <c r="AC369" s="235">
        <v>44409</v>
      </c>
      <c r="AD369" s="234"/>
      <c r="AE369" s="234"/>
      <c r="AF369" s="232" t="s">
        <v>77</v>
      </c>
      <c r="AG369" s="232" t="s">
        <v>350</v>
      </c>
      <c r="AH369" s="234" t="s">
        <v>1319</v>
      </c>
      <c r="AI369" s="250"/>
      <c r="AJ369" s="234">
        <v>0</v>
      </c>
      <c r="AK369" s="224"/>
      <c r="AL369" s="234">
        <v>0</v>
      </c>
      <c r="AM369" s="224"/>
      <c r="AN369" s="234">
        <v>0</v>
      </c>
      <c r="AO369" s="234">
        <v>0</v>
      </c>
      <c r="AP369" s="234">
        <v>21</v>
      </c>
      <c r="AQ369" s="234">
        <v>1</v>
      </c>
      <c r="AR369" s="234">
        <v>0</v>
      </c>
      <c r="AS369" s="234">
        <v>0</v>
      </c>
      <c r="AT369" s="234">
        <v>0</v>
      </c>
      <c r="AU369" s="234">
        <v>0</v>
      </c>
      <c r="AV369" s="234">
        <v>0</v>
      </c>
      <c r="AW369" s="234">
        <v>21</v>
      </c>
      <c r="AX369" s="234">
        <v>1</v>
      </c>
      <c r="AY369" s="234">
        <v>0</v>
      </c>
      <c r="AZ369" s="234">
        <v>0</v>
      </c>
      <c r="BA369" s="234">
        <v>0</v>
      </c>
      <c r="BB369" s="234">
        <v>0</v>
      </c>
      <c r="BC369" s="234">
        <v>0</v>
      </c>
      <c r="BD369" s="234">
        <v>0</v>
      </c>
      <c r="BE369" s="234">
        <v>0</v>
      </c>
      <c r="BF369" s="234">
        <v>0</v>
      </c>
      <c r="BG369" s="234">
        <v>0</v>
      </c>
      <c r="BH369" s="234">
        <v>0</v>
      </c>
      <c r="BI369" s="234">
        <v>0</v>
      </c>
      <c r="BJ369" s="234">
        <v>0</v>
      </c>
      <c r="BK369" s="234">
        <v>0</v>
      </c>
      <c r="BL369" s="234">
        <v>0</v>
      </c>
      <c r="BM369" s="234">
        <v>0</v>
      </c>
      <c r="BN369" s="234">
        <v>0</v>
      </c>
      <c r="BO369" s="234">
        <v>0</v>
      </c>
      <c r="BP369" s="234"/>
      <c r="BQ369" s="234"/>
      <c r="BR369" s="237" t="s">
        <v>327</v>
      </c>
      <c r="BS369" s="238">
        <v>5</v>
      </c>
      <c r="BU369" s="239">
        <f t="shared" si="29"/>
        <v>22</v>
      </c>
      <c r="CN369" s="238">
        <f t="shared" si="25"/>
        <v>22</v>
      </c>
      <c r="CO369" s="238">
        <f t="shared" si="26"/>
        <v>22</v>
      </c>
    </row>
    <row r="370" spans="1:93" ht="13.95" customHeight="1" x14ac:dyDescent="0.2">
      <c r="A370" s="231">
        <v>3519</v>
      </c>
      <c r="B370" s="232" t="s">
        <v>848</v>
      </c>
      <c r="C370" s="232" t="s">
        <v>1315</v>
      </c>
      <c r="D370" s="232" t="s">
        <v>1316</v>
      </c>
      <c r="E370" s="232" t="s">
        <v>1335</v>
      </c>
      <c r="F370" s="231">
        <v>525782</v>
      </c>
      <c r="G370" s="231">
        <v>175172</v>
      </c>
      <c r="H370" s="232" t="s">
        <v>174</v>
      </c>
      <c r="I370" s="233">
        <v>43848</v>
      </c>
      <c r="J370" s="231"/>
      <c r="K370" s="231">
        <v>0</v>
      </c>
      <c r="L370" s="231">
        <v>21</v>
      </c>
      <c r="M370" s="231">
        <v>21</v>
      </c>
      <c r="N370" s="231">
        <v>554</v>
      </c>
      <c r="O370" s="231">
        <v>554</v>
      </c>
      <c r="P370" s="234" t="s">
        <v>318</v>
      </c>
      <c r="Q370" s="232" t="s">
        <v>1318</v>
      </c>
      <c r="R370" s="234" t="s">
        <v>320</v>
      </c>
      <c r="S370" s="235">
        <v>43773</v>
      </c>
      <c r="T370" s="235">
        <v>44315</v>
      </c>
      <c r="U370" s="234"/>
      <c r="V370" s="232" t="s">
        <v>321</v>
      </c>
      <c r="W370" s="231"/>
      <c r="X370" s="232" t="s">
        <v>322</v>
      </c>
      <c r="Y370" s="232" t="s">
        <v>323</v>
      </c>
      <c r="Z370" s="232" t="s">
        <v>323</v>
      </c>
      <c r="AA370" s="232" t="s">
        <v>324</v>
      </c>
      <c r="AB370" s="236">
        <v>3.4000000000000002E-2</v>
      </c>
      <c r="AC370" s="235">
        <v>44409</v>
      </c>
      <c r="AD370" s="234"/>
      <c r="AE370" s="234"/>
      <c r="AF370" s="232" t="s">
        <v>56</v>
      </c>
      <c r="AG370" s="232" t="s">
        <v>355</v>
      </c>
      <c r="AH370" s="234" t="s">
        <v>1319</v>
      </c>
      <c r="AI370" s="250"/>
      <c r="AJ370" s="234">
        <v>0</v>
      </c>
      <c r="AK370" s="224"/>
      <c r="AL370" s="234">
        <v>0</v>
      </c>
      <c r="AM370" s="224"/>
      <c r="AN370" s="234">
        <v>0</v>
      </c>
      <c r="AO370" s="234">
        <v>0</v>
      </c>
      <c r="AP370" s="234">
        <v>21</v>
      </c>
      <c r="AQ370" s="234">
        <v>0</v>
      </c>
      <c r="AR370" s="234">
        <v>0</v>
      </c>
      <c r="AS370" s="234">
        <v>0</v>
      </c>
      <c r="AT370" s="234">
        <v>0</v>
      </c>
      <c r="AU370" s="234">
        <v>0</v>
      </c>
      <c r="AV370" s="234">
        <v>0</v>
      </c>
      <c r="AW370" s="234">
        <v>21</v>
      </c>
      <c r="AX370" s="234">
        <v>0</v>
      </c>
      <c r="AY370" s="234">
        <v>0</v>
      </c>
      <c r="AZ370" s="234">
        <v>0</v>
      </c>
      <c r="BA370" s="234">
        <v>0</v>
      </c>
      <c r="BB370" s="234">
        <v>0</v>
      </c>
      <c r="BC370" s="234">
        <v>0</v>
      </c>
      <c r="BD370" s="234">
        <v>0</v>
      </c>
      <c r="BE370" s="234">
        <v>0</v>
      </c>
      <c r="BF370" s="234">
        <v>0</v>
      </c>
      <c r="BG370" s="234">
        <v>0</v>
      </c>
      <c r="BH370" s="234">
        <v>0</v>
      </c>
      <c r="BI370" s="234">
        <v>0</v>
      </c>
      <c r="BJ370" s="234">
        <v>0</v>
      </c>
      <c r="BK370" s="234">
        <v>0</v>
      </c>
      <c r="BL370" s="234">
        <v>0</v>
      </c>
      <c r="BM370" s="234">
        <v>0</v>
      </c>
      <c r="BN370" s="234">
        <v>0</v>
      </c>
      <c r="BO370" s="234">
        <v>0</v>
      </c>
      <c r="BP370" s="234"/>
      <c r="BQ370" s="234"/>
      <c r="BR370" s="237" t="s">
        <v>327</v>
      </c>
      <c r="BS370" s="238">
        <v>5</v>
      </c>
      <c r="BU370" s="239">
        <f t="shared" si="29"/>
        <v>21</v>
      </c>
      <c r="CN370" s="238">
        <f t="shared" si="25"/>
        <v>21</v>
      </c>
      <c r="CO370" s="238">
        <f t="shared" si="26"/>
        <v>21</v>
      </c>
    </row>
    <row r="371" spans="1:93" ht="13.95" customHeight="1" x14ac:dyDescent="0.2">
      <c r="A371" s="231">
        <v>3519</v>
      </c>
      <c r="B371" s="232" t="s">
        <v>848</v>
      </c>
      <c r="C371" s="232" t="s">
        <v>1315</v>
      </c>
      <c r="D371" s="232" t="s">
        <v>1316</v>
      </c>
      <c r="E371" s="232" t="s">
        <v>1336</v>
      </c>
      <c r="F371" s="231">
        <v>525782</v>
      </c>
      <c r="G371" s="231">
        <v>175172</v>
      </c>
      <c r="H371" s="232" t="s">
        <v>174</v>
      </c>
      <c r="I371" s="233">
        <v>43848</v>
      </c>
      <c r="J371" s="231"/>
      <c r="K371" s="231">
        <v>0</v>
      </c>
      <c r="L371" s="231">
        <v>39</v>
      </c>
      <c r="M371" s="231">
        <v>39</v>
      </c>
      <c r="N371" s="231">
        <v>554</v>
      </c>
      <c r="O371" s="231">
        <v>554</v>
      </c>
      <c r="P371" s="234" t="s">
        <v>318</v>
      </c>
      <c r="Q371" s="232" t="s">
        <v>1318</v>
      </c>
      <c r="R371" s="234" t="s">
        <v>320</v>
      </c>
      <c r="S371" s="235">
        <v>43773</v>
      </c>
      <c r="T371" s="235">
        <v>44315</v>
      </c>
      <c r="U371" s="234"/>
      <c r="V371" s="232" t="s">
        <v>321</v>
      </c>
      <c r="W371" s="231"/>
      <c r="X371" s="232" t="s">
        <v>322</v>
      </c>
      <c r="Y371" s="232" t="s">
        <v>323</v>
      </c>
      <c r="Z371" s="232" t="s">
        <v>323</v>
      </c>
      <c r="AA371" s="232" t="s">
        <v>324</v>
      </c>
      <c r="AB371" s="236">
        <v>6.3E-2</v>
      </c>
      <c r="AC371" s="235">
        <v>44409</v>
      </c>
      <c r="AD371" s="234"/>
      <c r="AE371" s="234"/>
      <c r="AF371" s="232" t="s">
        <v>56</v>
      </c>
      <c r="AG371" s="232" t="s">
        <v>355</v>
      </c>
      <c r="AH371" s="234" t="s">
        <v>1319</v>
      </c>
      <c r="AI371" s="250"/>
      <c r="AJ371" s="234">
        <v>0</v>
      </c>
      <c r="AK371" s="224"/>
      <c r="AL371" s="234">
        <v>0</v>
      </c>
      <c r="AM371" s="224"/>
      <c r="AN371" s="234">
        <v>0</v>
      </c>
      <c r="AO371" s="234">
        <v>19</v>
      </c>
      <c r="AP371" s="234">
        <v>20</v>
      </c>
      <c r="AQ371" s="234">
        <v>0</v>
      </c>
      <c r="AR371" s="234">
        <v>0</v>
      </c>
      <c r="AS371" s="234">
        <v>0</v>
      </c>
      <c r="AT371" s="234">
        <v>0</v>
      </c>
      <c r="AU371" s="234">
        <v>0</v>
      </c>
      <c r="AV371" s="234">
        <v>19</v>
      </c>
      <c r="AW371" s="234">
        <v>20</v>
      </c>
      <c r="AX371" s="234">
        <v>0</v>
      </c>
      <c r="AY371" s="234">
        <v>0</v>
      </c>
      <c r="AZ371" s="234">
        <v>0</v>
      </c>
      <c r="BA371" s="234">
        <v>0</v>
      </c>
      <c r="BB371" s="234">
        <v>0</v>
      </c>
      <c r="BC371" s="234">
        <v>0</v>
      </c>
      <c r="BD371" s="234">
        <v>0</v>
      </c>
      <c r="BE371" s="234">
        <v>0</v>
      </c>
      <c r="BF371" s="234">
        <v>0</v>
      </c>
      <c r="BG371" s="234">
        <v>0</v>
      </c>
      <c r="BH371" s="234">
        <v>0</v>
      </c>
      <c r="BI371" s="234">
        <v>0</v>
      </c>
      <c r="BJ371" s="234">
        <v>0</v>
      </c>
      <c r="BK371" s="234">
        <v>0</v>
      </c>
      <c r="BL371" s="234">
        <v>0</v>
      </c>
      <c r="BM371" s="234">
        <v>0</v>
      </c>
      <c r="BN371" s="234">
        <v>0</v>
      </c>
      <c r="BO371" s="234">
        <v>0</v>
      </c>
      <c r="BP371" s="234"/>
      <c r="BQ371" s="234"/>
      <c r="BR371" s="237" t="s">
        <v>327</v>
      </c>
      <c r="BS371" s="238">
        <v>5</v>
      </c>
      <c r="BU371" s="239">
        <f t="shared" si="29"/>
        <v>39</v>
      </c>
      <c r="CN371" s="238">
        <f t="shared" si="25"/>
        <v>39</v>
      </c>
      <c r="CO371" s="238">
        <f t="shared" si="26"/>
        <v>39</v>
      </c>
    </row>
    <row r="372" spans="1:93" ht="13.95" customHeight="1" x14ac:dyDescent="0.2">
      <c r="A372" s="231">
        <v>6852</v>
      </c>
      <c r="B372" s="232" t="s">
        <v>848</v>
      </c>
      <c r="C372" s="232" t="s">
        <v>1303</v>
      </c>
      <c r="D372" s="232" t="s">
        <v>1304</v>
      </c>
      <c r="E372" s="232" t="s">
        <v>783</v>
      </c>
      <c r="F372" s="231">
        <v>524063</v>
      </c>
      <c r="G372" s="231">
        <v>174446</v>
      </c>
      <c r="H372" s="232" t="s">
        <v>164</v>
      </c>
      <c r="I372" s="233">
        <v>44342</v>
      </c>
      <c r="J372" s="231"/>
      <c r="K372" s="231">
        <v>0</v>
      </c>
      <c r="L372" s="231">
        <v>6</v>
      </c>
      <c r="M372" s="231">
        <v>6</v>
      </c>
      <c r="N372" s="231">
        <v>41</v>
      </c>
      <c r="O372" s="231">
        <v>41</v>
      </c>
      <c r="P372" s="234" t="s">
        <v>318</v>
      </c>
      <c r="Q372" s="232" t="s">
        <v>1305</v>
      </c>
      <c r="R372" s="234" t="s">
        <v>320</v>
      </c>
      <c r="S372" s="235">
        <v>43452</v>
      </c>
      <c r="T372" s="235">
        <v>43889</v>
      </c>
      <c r="U372" s="234"/>
      <c r="V372" s="232" t="s">
        <v>321</v>
      </c>
      <c r="W372" s="231"/>
      <c r="X372" s="232" t="s">
        <v>322</v>
      </c>
      <c r="Y372" s="232" t="s">
        <v>323</v>
      </c>
      <c r="Z372" s="232" t="s">
        <v>323</v>
      </c>
      <c r="AA372" s="232" t="s">
        <v>324</v>
      </c>
      <c r="AB372" s="236">
        <v>8.5000000000000006E-2</v>
      </c>
      <c r="AC372" s="235">
        <v>44342</v>
      </c>
      <c r="AD372" s="234"/>
      <c r="AE372" s="234"/>
      <c r="AF372" s="232" t="s">
        <v>77</v>
      </c>
      <c r="AG372" s="232" t="s">
        <v>350</v>
      </c>
      <c r="AH372" s="234" t="s">
        <v>317</v>
      </c>
      <c r="AI372" s="250"/>
      <c r="AJ372" s="234">
        <v>0</v>
      </c>
      <c r="AK372" s="224"/>
      <c r="AL372" s="234">
        <v>0</v>
      </c>
      <c r="AM372" s="224"/>
      <c r="AN372" s="234">
        <v>0</v>
      </c>
      <c r="AO372" s="234">
        <v>2</v>
      </c>
      <c r="AP372" s="234">
        <v>4</v>
      </c>
      <c r="AQ372" s="234">
        <v>0</v>
      </c>
      <c r="AR372" s="234">
        <v>0</v>
      </c>
      <c r="AS372" s="234">
        <v>0</v>
      </c>
      <c r="AT372" s="234">
        <v>0</v>
      </c>
      <c r="AU372" s="234">
        <v>0</v>
      </c>
      <c r="AV372" s="234">
        <v>2</v>
      </c>
      <c r="AW372" s="234">
        <v>4</v>
      </c>
      <c r="AX372" s="234">
        <v>0</v>
      </c>
      <c r="AY372" s="234">
        <v>0</v>
      </c>
      <c r="AZ372" s="234">
        <v>0</v>
      </c>
      <c r="BA372" s="234">
        <v>0</v>
      </c>
      <c r="BB372" s="234">
        <v>0</v>
      </c>
      <c r="BC372" s="234">
        <v>0</v>
      </c>
      <c r="BD372" s="234">
        <v>0</v>
      </c>
      <c r="BE372" s="234">
        <v>0</v>
      </c>
      <c r="BF372" s="234">
        <v>0</v>
      </c>
      <c r="BG372" s="234">
        <v>0</v>
      </c>
      <c r="BH372" s="234">
        <v>0</v>
      </c>
      <c r="BI372" s="234">
        <v>0</v>
      </c>
      <c r="BJ372" s="234">
        <v>0</v>
      </c>
      <c r="BK372" s="234">
        <v>0</v>
      </c>
      <c r="BL372" s="234">
        <v>0</v>
      </c>
      <c r="BM372" s="234">
        <v>0</v>
      </c>
      <c r="BN372" s="234">
        <v>0</v>
      </c>
      <c r="BO372" s="234">
        <v>0</v>
      </c>
      <c r="BP372" s="234"/>
      <c r="BQ372" s="234"/>
      <c r="BR372" s="237" t="s">
        <v>334</v>
      </c>
      <c r="BS372" s="238">
        <v>5</v>
      </c>
      <c r="BU372" s="239">
        <f t="shared" si="29"/>
        <v>6</v>
      </c>
      <c r="CN372" s="238">
        <f t="shared" si="25"/>
        <v>6</v>
      </c>
      <c r="CO372" s="238">
        <f t="shared" si="26"/>
        <v>6</v>
      </c>
    </row>
    <row r="373" spans="1:93" ht="13.95" customHeight="1" x14ac:dyDescent="0.2">
      <c r="A373" s="231">
        <v>7385</v>
      </c>
      <c r="B373" s="232" t="s">
        <v>848</v>
      </c>
      <c r="C373" s="232" t="s">
        <v>1320</v>
      </c>
      <c r="D373" s="232" t="s">
        <v>1321</v>
      </c>
      <c r="E373" s="232" t="s">
        <v>1337</v>
      </c>
      <c r="F373" s="231">
        <v>527211</v>
      </c>
      <c r="G373" s="231">
        <v>176872</v>
      </c>
      <c r="H373" s="232" t="s">
        <v>163</v>
      </c>
      <c r="I373" s="233">
        <v>44825</v>
      </c>
      <c r="J373" s="231"/>
      <c r="K373" s="231">
        <v>0</v>
      </c>
      <c r="L373" s="231">
        <v>10</v>
      </c>
      <c r="M373" s="231">
        <v>10</v>
      </c>
      <c r="N373" s="231">
        <v>106</v>
      </c>
      <c r="O373" s="231">
        <v>106</v>
      </c>
      <c r="P373" s="234" t="s">
        <v>318</v>
      </c>
      <c r="Q373" s="232" t="s">
        <v>1323</v>
      </c>
      <c r="R373" s="234" t="s">
        <v>320</v>
      </c>
      <c r="S373" s="235">
        <v>43913</v>
      </c>
      <c r="T373" s="235">
        <v>44323</v>
      </c>
      <c r="U373" s="234"/>
      <c r="V373" s="232" t="s">
        <v>321</v>
      </c>
      <c r="W373" s="231"/>
      <c r="X373" s="232" t="s">
        <v>322</v>
      </c>
      <c r="Y373" s="232" t="s">
        <v>323</v>
      </c>
      <c r="Z373" s="232" t="s">
        <v>323</v>
      </c>
      <c r="AA373" s="232" t="s">
        <v>324</v>
      </c>
      <c r="AB373" s="236">
        <v>5.8999999999999997E-2</v>
      </c>
      <c r="AC373" s="235">
        <v>44994</v>
      </c>
      <c r="AD373" s="234" t="s">
        <v>318</v>
      </c>
      <c r="AE373" s="234"/>
      <c r="AF373" s="232" t="s">
        <v>77</v>
      </c>
      <c r="AG373" s="232" t="s">
        <v>350</v>
      </c>
      <c r="AH373" s="234" t="s">
        <v>317</v>
      </c>
      <c r="AI373" s="250"/>
      <c r="AJ373" s="234">
        <v>0</v>
      </c>
      <c r="AK373" s="234">
        <v>10</v>
      </c>
      <c r="AL373" s="234">
        <v>0</v>
      </c>
      <c r="AM373" s="234">
        <v>0</v>
      </c>
      <c r="AN373" s="234">
        <v>0</v>
      </c>
      <c r="AO373" s="234">
        <v>6</v>
      </c>
      <c r="AP373" s="234">
        <v>4</v>
      </c>
      <c r="AQ373" s="234">
        <v>0</v>
      </c>
      <c r="AR373" s="234">
        <v>0</v>
      </c>
      <c r="AS373" s="234">
        <v>0</v>
      </c>
      <c r="AT373" s="234">
        <v>0</v>
      </c>
      <c r="AU373" s="234">
        <v>0</v>
      </c>
      <c r="AV373" s="234">
        <v>6</v>
      </c>
      <c r="AW373" s="234">
        <v>4</v>
      </c>
      <c r="AX373" s="234">
        <v>0</v>
      </c>
      <c r="AY373" s="234">
        <v>0</v>
      </c>
      <c r="AZ373" s="234">
        <v>0</v>
      </c>
      <c r="BA373" s="234">
        <v>0</v>
      </c>
      <c r="BB373" s="234">
        <v>0</v>
      </c>
      <c r="BC373" s="234">
        <v>0</v>
      </c>
      <c r="BD373" s="234">
        <v>0</v>
      </c>
      <c r="BE373" s="234">
        <v>0</v>
      </c>
      <c r="BF373" s="234">
        <v>0</v>
      </c>
      <c r="BG373" s="234">
        <v>0</v>
      </c>
      <c r="BH373" s="234">
        <v>0</v>
      </c>
      <c r="BI373" s="234">
        <v>0</v>
      </c>
      <c r="BJ373" s="234">
        <v>0</v>
      </c>
      <c r="BK373" s="234">
        <v>0</v>
      </c>
      <c r="BL373" s="234">
        <v>0</v>
      </c>
      <c r="BM373" s="234">
        <v>0</v>
      </c>
      <c r="BN373" s="234">
        <v>0</v>
      </c>
      <c r="BO373" s="234">
        <v>0</v>
      </c>
      <c r="BP373" s="234"/>
      <c r="BQ373" s="234"/>
      <c r="BR373" s="237" t="s">
        <v>334</v>
      </c>
      <c r="BS373" s="238">
        <v>5</v>
      </c>
      <c r="BV373" s="239">
        <f t="shared" ref="BV373:BV378" si="30">M373</f>
        <v>10</v>
      </c>
      <c r="CN373" s="238">
        <f t="shared" ref="CN373:CN436" si="31">SUM(BU373:BY373)</f>
        <v>10</v>
      </c>
      <c r="CO373" s="238">
        <f t="shared" ref="CO373:CO436" si="32">SUM(BU373:CD373)</f>
        <v>10</v>
      </c>
    </row>
    <row r="374" spans="1:93" ht="13.95" customHeight="1" x14ac:dyDescent="0.2">
      <c r="A374" s="231">
        <v>6853</v>
      </c>
      <c r="B374" s="232" t="s">
        <v>848</v>
      </c>
      <c r="C374" s="232" t="s">
        <v>1306</v>
      </c>
      <c r="D374" s="232" t="s">
        <v>1307</v>
      </c>
      <c r="E374" s="232" t="s">
        <v>1338</v>
      </c>
      <c r="F374" s="231">
        <v>529335</v>
      </c>
      <c r="G374" s="231">
        <v>176880</v>
      </c>
      <c r="H374" s="232" t="s">
        <v>171</v>
      </c>
      <c r="I374" s="233">
        <v>44873</v>
      </c>
      <c r="J374" s="231"/>
      <c r="K374" s="231">
        <v>0</v>
      </c>
      <c r="L374" s="231">
        <v>19</v>
      </c>
      <c r="M374" s="231">
        <v>19</v>
      </c>
      <c r="N374" s="231">
        <v>57</v>
      </c>
      <c r="O374" s="231">
        <v>57</v>
      </c>
      <c r="P374" s="234" t="s">
        <v>318</v>
      </c>
      <c r="Q374" s="232" t="s">
        <v>1309</v>
      </c>
      <c r="R374" s="234" t="s">
        <v>320</v>
      </c>
      <c r="S374" s="235">
        <v>43863</v>
      </c>
      <c r="T374" s="235">
        <v>44441</v>
      </c>
      <c r="U374" s="234"/>
      <c r="V374" s="232" t="s">
        <v>321</v>
      </c>
      <c r="W374" s="231"/>
      <c r="X374" s="232" t="s">
        <v>322</v>
      </c>
      <c r="Y374" s="232" t="s">
        <v>323</v>
      </c>
      <c r="Z374" s="232" t="s">
        <v>323</v>
      </c>
      <c r="AA374" s="232" t="s">
        <v>324</v>
      </c>
      <c r="AB374" s="236">
        <v>0.186</v>
      </c>
      <c r="AC374" s="235">
        <v>44873</v>
      </c>
      <c r="AD374" s="234" t="s">
        <v>318</v>
      </c>
      <c r="AE374" s="234"/>
      <c r="AF374" s="232" t="s">
        <v>57</v>
      </c>
      <c r="AG374" s="232" t="s">
        <v>328</v>
      </c>
      <c r="AH374" s="234" t="s">
        <v>317</v>
      </c>
      <c r="AI374" s="250"/>
      <c r="AJ374" s="234">
        <v>0</v>
      </c>
      <c r="AK374" s="234">
        <v>14</v>
      </c>
      <c r="AL374" s="234">
        <v>0</v>
      </c>
      <c r="AM374" s="234">
        <v>2</v>
      </c>
      <c r="AN374" s="234">
        <v>0</v>
      </c>
      <c r="AO374" s="234">
        <v>6</v>
      </c>
      <c r="AP374" s="234">
        <v>7</v>
      </c>
      <c r="AQ374" s="234">
        <v>4</v>
      </c>
      <c r="AR374" s="234">
        <v>2</v>
      </c>
      <c r="AS374" s="234">
        <v>0</v>
      </c>
      <c r="AT374" s="234">
        <v>0</v>
      </c>
      <c r="AU374" s="234">
        <v>0</v>
      </c>
      <c r="AV374" s="234">
        <v>6</v>
      </c>
      <c r="AW374" s="234">
        <v>7</v>
      </c>
      <c r="AX374" s="234">
        <v>4</v>
      </c>
      <c r="AY374" s="234">
        <v>2</v>
      </c>
      <c r="AZ374" s="234">
        <v>0</v>
      </c>
      <c r="BA374" s="234">
        <v>0</v>
      </c>
      <c r="BB374" s="234">
        <v>0</v>
      </c>
      <c r="BC374" s="234">
        <v>0</v>
      </c>
      <c r="BD374" s="234">
        <v>0</v>
      </c>
      <c r="BE374" s="234">
        <v>0</v>
      </c>
      <c r="BF374" s="234">
        <v>0</v>
      </c>
      <c r="BG374" s="234">
        <v>0</v>
      </c>
      <c r="BH374" s="234">
        <v>0</v>
      </c>
      <c r="BI374" s="234">
        <v>0</v>
      </c>
      <c r="BJ374" s="234">
        <v>0</v>
      </c>
      <c r="BK374" s="234">
        <v>0</v>
      </c>
      <c r="BL374" s="234">
        <v>0</v>
      </c>
      <c r="BM374" s="234">
        <v>0</v>
      </c>
      <c r="BN374" s="234">
        <v>0</v>
      </c>
      <c r="BO374" s="234">
        <v>0</v>
      </c>
      <c r="BP374" s="234"/>
      <c r="BQ374" s="234" t="s">
        <v>318</v>
      </c>
      <c r="BR374" s="237" t="s">
        <v>151</v>
      </c>
      <c r="BS374" s="238">
        <v>5</v>
      </c>
      <c r="BV374" s="239">
        <f t="shared" si="30"/>
        <v>19</v>
      </c>
      <c r="CN374" s="238">
        <f t="shared" si="31"/>
        <v>19</v>
      </c>
      <c r="CO374" s="238">
        <f t="shared" si="32"/>
        <v>19</v>
      </c>
    </row>
    <row r="375" spans="1:93" ht="13.95" customHeight="1" x14ac:dyDescent="0.2">
      <c r="A375" s="231">
        <v>3522</v>
      </c>
      <c r="B375" s="232" t="s">
        <v>848</v>
      </c>
      <c r="C375" s="232" t="s">
        <v>1310</v>
      </c>
      <c r="D375" s="232" t="s">
        <v>1311</v>
      </c>
      <c r="E375" s="232" t="s">
        <v>1339</v>
      </c>
      <c r="F375" s="231">
        <v>525912</v>
      </c>
      <c r="G375" s="231">
        <v>175143</v>
      </c>
      <c r="H375" s="232" t="s">
        <v>174</v>
      </c>
      <c r="I375" s="233">
        <v>43922</v>
      </c>
      <c r="J375" s="231"/>
      <c r="K375" s="231">
        <v>0</v>
      </c>
      <c r="L375" s="231">
        <v>99</v>
      </c>
      <c r="M375" s="231">
        <v>99</v>
      </c>
      <c r="N375" s="231">
        <v>480</v>
      </c>
      <c r="O375" s="231">
        <v>480</v>
      </c>
      <c r="P375" s="234" t="s">
        <v>318</v>
      </c>
      <c r="Q375" s="232" t="s">
        <v>1313</v>
      </c>
      <c r="R375" s="234" t="s">
        <v>320</v>
      </c>
      <c r="S375" s="235">
        <v>43836</v>
      </c>
      <c r="T375" s="235">
        <v>44474</v>
      </c>
      <c r="U375" s="234"/>
      <c r="V375" s="232" t="s">
        <v>321</v>
      </c>
      <c r="W375" s="231"/>
      <c r="X375" s="232" t="s">
        <v>322</v>
      </c>
      <c r="Y375" s="232" t="s">
        <v>323</v>
      </c>
      <c r="Z375" s="232" t="s">
        <v>323</v>
      </c>
      <c r="AA375" s="232" t="s">
        <v>324</v>
      </c>
      <c r="AB375" s="236">
        <v>9.8000000000000004E-2</v>
      </c>
      <c r="AC375" s="235">
        <v>44652</v>
      </c>
      <c r="AD375" s="234" t="s">
        <v>318</v>
      </c>
      <c r="AE375" s="234"/>
      <c r="AF375" s="232" t="s">
        <v>77</v>
      </c>
      <c r="AG375" s="232" t="s">
        <v>350</v>
      </c>
      <c r="AH375" s="234" t="s">
        <v>1314</v>
      </c>
      <c r="AI375" s="250"/>
      <c r="AJ375" s="234">
        <v>0</v>
      </c>
      <c r="AK375" s="224"/>
      <c r="AL375" s="234">
        <v>0</v>
      </c>
      <c r="AM375" s="234">
        <v>10</v>
      </c>
      <c r="AN375" s="234">
        <v>0</v>
      </c>
      <c r="AO375" s="234">
        <v>62</v>
      </c>
      <c r="AP375" s="234">
        <v>27</v>
      </c>
      <c r="AQ375" s="234">
        <v>10</v>
      </c>
      <c r="AR375" s="234">
        <v>0</v>
      </c>
      <c r="AS375" s="234">
        <v>0</v>
      </c>
      <c r="AT375" s="234">
        <v>0</v>
      </c>
      <c r="AU375" s="234">
        <v>0</v>
      </c>
      <c r="AV375" s="234">
        <v>62</v>
      </c>
      <c r="AW375" s="234">
        <v>27</v>
      </c>
      <c r="AX375" s="234">
        <v>10</v>
      </c>
      <c r="AY375" s="234">
        <v>0</v>
      </c>
      <c r="AZ375" s="234">
        <v>0</v>
      </c>
      <c r="BA375" s="234">
        <v>0</v>
      </c>
      <c r="BB375" s="234">
        <v>0</v>
      </c>
      <c r="BC375" s="234">
        <v>0</v>
      </c>
      <c r="BD375" s="234">
        <v>0</v>
      </c>
      <c r="BE375" s="234">
        <v>0</v>
      </c>
      <c r="BF375" s="234">
        <v>0</v>
      </c>
      <c r="BG375" s="234">
        <v>0</v>
      </c>
      <c r="BH375" s="234">
        <v>0</v>
      </c>
      <c r="BI375" s="234">
        <v>0</v>
      </c>
      <c r="BJ375" s="234">
        <v>0</v>
      </c>
      <c r="BK375" s="234">
        <v>0</v>
      </c>
      <c r="BL375" s="234">
        <v>0</v>
      </c>
      <c r="BM375" s="234">
        <v>0</v>
      </c>
      <c r="BN375" s="234">
        <v>0</v>
      </c>
      <c r="BO375" s="234">
        <v>0</v>
      </c>
      <c r="BP375" s="234"/>
      <c r="BQ375" s="234"/>
      <c r="BR375" s="237" t="s">
        <v>327</v>
      </c>
      <c r="BS375" s="238">
        <v>5</v>
      </c>
      <c r="BV375" s="239">
        <f t="shared" si="30"/>
        <v>99</v>
      </c>
      <c r="CN375" s="238">
        <f t="shared" si="31"/>
        <v>99</v>
      </c>
      <c r="CO375" s="238">
        <f t="shared" si="32"/>
        <v>99</v>
      </c>
    </row>
    <row r="376" spans="1:93" ht="13.95" customHeight="1" x14ac:dyDescent="0.2">
      <c r="A376" s="231">
        <v>3519</v>
      </c>
      <c r="B376" s="232" t="s">
        <v>848</v>
      </c>
      <c r="C376" s="232" t="s">
        <v>1315</v>
      </c>
      <c r="D376" s="232" t="s">
        <v>1316</v>
      </c>
      <c r="E376" s="232" t="s">
        <v>1340</v>
      </c>
      <c r="F376" s="231">
        <v>525782</v>
      </c>
      <c r="G376" s="231">
        <v>175172</v>
      </c>
      <c r="H376" s="232" t="s">
        <v>174</v>
      </c>
      <c r="I376" s="233">
        <v>43848</v>
      </c>
      <c r="J376" s="231"/>
      <c r="K376" s="231">
        <v>0</v>
      </c>
      <c r="L376" s="231">
        <v>42</v>
      </c>
      <c r="M376" s="231">
        <v>42</v>
      </c>
      <c r="N376" s="231">
        <v>554</v>
      </c>
      <c r="O376" s="231">
        <v>554</v>
      </c>
      <c r="P376" s="234" t="s">
        <v>318</v>
      </c>
      <c r="Q376" s="232" t="s">
        <v>1318</v>
      </c>
      <c r="R376" s="234" t="s">
        <v>320</v>
      </c>
      <c r="S376" s="235">
        <v>43773</v>
      </c>
      <c r="T376" s="235">
        <v>44315</v>
      </c>
      <c r="U376" s="234"/>
      <c r="V376" s="232" t="s">
        <v>321</v>
      </c>
      <c r="W376" s="231"/>
      <c r="X376" s="232" t="s">
        <v>322</v>
      </c>
      <c r="Y376" s="232" t="s">
        <v>323</v>
      </c>
      <c r="Z376" s="232" t="s">
        <v>323</v>
      </c>
      <c r="AA376" s="232" t="s">
        <v>324</v>
      </c>
      <c r="AB376" s="236">
        <v>6.7000000000000004E-2</v>
      </c>
      <c r="AC376" s="235">
        <v>45016</v>
      </c>
      <c r="AD376" s="234" t="s">
        <v>318</v>
      </c>
      <c r="AE376" s="234"/>
      <c r="AF376" s="232" t="s">
        <v>77</v>
      </c>
      <c r="AG376" s="232" t="s">
        <v>350</v>
      </c>
      <c r="AH376" s="234" t="s">
        <v>1319</v>
      </c>
      <c r="AI376" s="250"/>
      <c r="AJ376" s="234">
        <v>0</v>
      </c>
      <c r="AK376" s="224"/>
      <c r="AL376" s="234">
        <v>0</v>
      </c>
      <c r="AM376" s="224"/>
      <c r="AN376" s="234">
        <v>0</v>
      </c>
      <c r="AO376" s="234">
        <v>0</v>
      </c>
      <c r="AP376" s="234">
        <v>40</v>
      </c>
      <c r="AQ376" s="234">
        <v>2</v>
      </c>
      <c r="AR376" s="234">
        <v>0</v>
      </c>
      <c r="AS376" s="234">
        <v>0</v>
      </c>
      <c r="AT376" s="234">
        <v>0</v>
      </c>
      <c r="AU376" s="234">
        <v>0</v>
      </c>
      <c r="AV376" s="234">
        <v>0</v>
      </c>
      <c r="AW376" s="234">
        <v>40</v>
      </c>
      <c r="AX376" s="234">
        <v>2</v>
      </c>
      <c r="AY376" s="234">
        <v>0</v>
      </c>
      <c r="AZ376" s="234">
        <v>0</v>
      </c>
      <c r="BA376" s="234">
        <v>0</v>
      </c>
      <c r="BB376" s="234">
        <v>0</v>
      </c>
      <c r="BC376" s="234">
        <v>0</v>
      </c>
      <c r="BD376" s="234">
        <v>0</v>
      </c>
      <c r="BE376" s="234">
        <v>0</v>
      </c>
      <c r="BF376" s="234">
        <v>0</v>
      </c>
      <c r="BG376" s="234">
        <v>0</v>
      </c>
      <c r="BH376" s="234">
        <v>0</v>
      </c>
      <c r="BI376" s="234">
        <v>0</v>
      </c>
      <c r="BJ376" s="234">
        <v>0</v>
      </c>
      <c r="BK376" s="234">
        <v>0</v>
      </c>
      <c r="BL376" s="234">
        <v>0</v>
      </c>
      <c r="BM376" s="234">
        <v>0</v>
      </c>
      <c r="BN376" s="234">
        <v>0</v>
      </c>
      <c r="BO376" s="234">
        <v>0</v>
      </c>
      <c r="BP376" s="234"/>
      <c r="BQ376" s="234"/>
      <c r="BR376" s="237" t="s">
        <v>327</v>
      </c>
      <c r="BS376" s="238">
        <v>5</v>
      </c>
      <c r="BV376" s="239">
        <f t="shared" si="30"/>
        <v>42</v>
      </c>
      <c r="CN376" s="238">
        <f t="shared" si="31"/>
        <v>42</v>
      </c>
      <c r="CO376" s="238">
        <f t="shared" si="32"/>
        <v>42</v>
      </c>
    </row>
    <row r="377" spans="1:93" ht="13.95" customHeight="1" x14ac:dyDescent="0.2">
      <c r="A377" s="231">
        <v>3519</v>
      </c>
      <c r="B377" s="232" t="s">
        <v>848</v>
      </c>
      <c r="C377" s="232" t="s">
        <v>1315</v>
      </c>
      <c r="D377" s="232" t="s">
        <v>1316</v>
      </c>
      <c r="E377" s="232" t="s">
        <v>1341</v>
      </c>
      <c r="F377" s="231">
        <v>525782</v>
      </c>
      <c r="G377" s="231">
        <v>175172</v>
      </c>
      <c r="H377" s="232" t="s">
        <v>174</v>
      </c>
      <c r="I377" s="233">
        <v>43848</v>
      </c>
      <c r="J377" s="231"/>
      <c r="K377" s="231">
        <v>0</v>
      </c>
      <c r="L377" s="231">
        <v>50</v>
      </c>
      <c r="M377" s="231">
        <v>50</v>
      </c>
      <c r="N377" s="231">
        <v>554</v>
      </c>
      <c r="O377" s="231">
        <v>554</v>
      </c>
      <c r="P377" s="234" t="s">
        <v>318</v>
      </c>
      <c r="Q377" s="232" t="s">
        <v>1318</v>
      </c>
      <c r="R377" s="234" t="s">
        <v>320</v>
      </c>
      <c r="S377" s="235">
        <v>43773</v>
      </c>
      <c r="T377" s="235">
        <v>44315</v>
      </c>
      <c r="U377" s="234"/>
      <c r="V377" s="232" t="s">
        <v>321</v>
      </c>
      <c r="W377" s="231"/>
      <c r="X377" s="232" t="s">
        <v>322</v>
      </c>
      <c r="Y377" s="232" t="s">
        <v>323</v>
      </c>
      <c r="Z377" s="232" t="s">
        <v>323</v>
      </c>
      <c r="AA377" s="232" t="s">
        <v>324</v>
      </c>
      <c r="AB377" s="236">
        <v>0.08</v>
      </c>
      <c r="AC377" s="235">
        <v>45016</v>
      </c>
      <c r="AD377" s="234" t="s">
        <v>318</v>
      </c>
      <c r="AE377" s="234"/>
      <c r="AF377" s="232" t="s">
        <v>77</v>
      </c>
      <c r="AG377" s="232" t="s">
        <v>350</v>
      </c>
      <c r="AH377" s="234" t="s">
        <v>1319</v>
      </c>
      <c r="AI377" s="250"/>
      <c r="AJ377" s="234">
        <v>0</v>
      </c>
      <c r="AK377" s="224"/>
      <c r="AL377" s="234">
        <v>0</v>
      </c>
      <c r="AM377" s="224"/>
      <c r="AN377" s="234">
        <v>0</v>
      </c>
      <c r="AO377" s="234">
        <v>24</v>
      </c>
      <c r="AP377" s="234">
        <v>24</v>
      </c>
      <c r="AQ377" s="234">
        <v>2</v>
      </c>
      <c r="AR377" s="234">
        <v>0</v>
      </c>
      <c r="AS377" s="234">
        <v>0</v>
      </c>
      <c r="AT377" s="234">
        <v>0</v>
      </c>
      <c r="AU377" s="234">
        <v>0</v>
      </c>
      <c r="AV377" s="234">
        <v>24</v>
      </c>
      <c r="AW377" s="234">
        <v>24</v>
      </c>
      <c r="AX377" s="234">
        <v>2</v>
      </c>
      <c r="AY377" s="234">
        <v>0</v>
      </c>
      <c r="AZ377" s="234">
        <v>0</v>
      </c>
      <c r="BA377" s="234">
        <v>0</v>
      </c>
      <c r="BB377" s="234">
        <v>0</v>
      </c>
      <c r="BC377" s="234">
        <v>0</v>
      </c>
      <c r="BD377" s="234">
        <v>0</v>
      </c>
      <c r="BE377" s="234">
        <v>0</v>
      </c>
      <c r="BF377" s="234">
        <v>0</v>
      </c>
      <c r="BG377" s="234">
        <v>0</v>
      </c>
      <c r="BH377" s="234">
        <v>0</v>
      </c>
      <c r="BI377" s="234">
        <v>0</v>
      </c>
      <c r="BJ377" s="234">
        <v>0</v>
      </c>
      <c r="BK377" s="234">
        <v>0</v>
      </c>
      <c r="BL377" s="234">
        <v>0</v>
      </c>
      <c r="BM377" s="234">
        <v>0</v>
      </c>
      <c r="BN377" s="234">
        <v>0</v>
      </c>
      <c r="BO377" s="234">
        <v>0</v>
      </c>
      <c r="BP377" s="234"/>
      <c r="BQ377" s="234"/>
      <c r="BR377" s="237" t="s">
        <v>327</v>
      </c>
      <c r="BS377" s="238">
        <v>5</v>
      </c>
      <c r="BV377" s="239">
        <f t="shared" si="30"/>
        <v>50</v>
      </c>
      <c r="CN377" s="238">
        <f t="shared" si="31"/>
        <v>50</v>
      </c>
      <c r="CO377" s="238">
        <f t="shared" si="32"/>
        <v>50</v>
      </c>
    </row>
    <row r="378" spans="1:93" ht="13.95" customHeight="1" x14ac:dyDescent="0.2">
      <c r="A378" s="231">
        <v>3519</v>
      </c>
      <c r="B378" s="232" t="s">
        <v>848</v>
      </c>
      <c r="C378" s="232" t="s">
        <v>1315</v>
      </c>
      <c r="D378" s="232" t="s">
        <v>1316</v>
      </c>
      <c r="E378" s="232" t="s">
        <v>1342</v>
      </c>
      <c r="F378" s="231">
        <v>525782</v>
      </c>
      <c r="G378" s="231">
        <v>175172</v>
      </c>
      <c r="H378" s="232" t="s">
        <v>174</v>
      </c>
      <c r="I378" s="233">
        <v>43848</v>
      </c>
      <c r="J378" s="231"/>
      <c r="K378" s="231">
        <v>0</v>
      </c>
      <c r="L378" s="231">
        <v>58</v>
      </c>
      <c r="M378" s="231">
        <v>58</v>
      </c>
      <c r="N378" s="231">
        <v>554</v>
      </c>
      <c r="O378" s="231">
        <v>554</v>
      </c>
      <c r="P378" s="234" t="s">
        <v>318</v>
      </c>
      <c r="Q378" s="232" t="s">
        <v>1318</v>
      </c>
      <c r="R378" s="234" t="s">
        <v>320</v>
      </c>
      <c r="S378" s="235">
        <v>43773</v>
      </c>
      <c r="T378" s="235">
        <v>44315</v>
      </c>
      <c r="U378" s="234"/>
      <c r="V378" s="232" t="s">
        <v>321</v>
      </c>
      <c r="W378" s="231"/>
      <c r="X378" s="232" t="s">
        <v>322</v>
      </c>
      <c r="Y378" s="232" t="s">
        <v>323</v>
      </c>
      <c r="Z378" s="232" t="s">
        <v>323</v>
      </c>
      <c r="AA378" s="232" t="s">
        <v>324</v>
      </c>
      <c r="AB378" s="236">
        <v>9.2999999999999999E-2</v>
      </c>
      <c r="AC378" s="235">
        <v>45016</v>
      </c>
      <c r="AD378" s="234" t="s">
        <v>318</v>
      </c>
      <c r="AE378" s="234"/>
      <c r="AF378" s="232" t="s">
        <v>77</v>
      </c>
      <c r="AG378" s="232" t="s">
        <v>350</v>
      </c>
      <c r="AH378" s="234" t="s">
        <v>1319</v>
      </c>
      <c r="AI378" s="250"/>
      <c r="AJ378" s="234">
        <v>0</v>
      </c>
      <c r="AK378" s="224"/>
      <c r="AL378" s="234">
        <v>0</v>
      </c>
      <c r="AM378" s="224"/>
      <c r="AN378" s="234">
        <v>0</v>
      </c>
      <c r="AO378" s="234">
        <v>28</v>
      </c>
      <c r="AP378" s="234">
        <v>28</v>
      </c>
      <c r="AQ378" s="234">
        <v>2</v>
      </c>
      <c r="AR378" s="234">
        <v>0</v>
      </c>
      <c r="AS378" s="234">
        <v>0</v>
      </c>
      <c r="AT378" s="234">
        <v>0</v>
      </c>
      <c r="AU378" s="234">
        <v>0</v>
      </c>
      <c r="AV378" s="234">
        <v>28</v>
      </c>
      <c r="AW378" s="234">
        <v>28</v>
      </c>
      <c r="AX378" s="234">
        <v>2</v>
      </c>
      <c r="AY378" s="234">
        <v>0</v>
      </c>
      <c r="AZ378" s="234">
        <v>0</v>
      </c>
      <c r="BA378" s="234">
        <v>0</v>
      </c>
      <c r="BB378" s="234">
        <v>0</v>
      </c>
      <c r="BC378" s="234">
        <v>0</v>
      </c>
      <c r="BD378" s="234">
        <v>0</v>
      </c>
      <c r="BE378" s="234">
        <v>0</v>
      </c>
      <c r="BF378" s="234">
        <v>0</v>
      </c>
      <c r="BG378" s="234">
        <v>0</v>
      </c>
      <c r="BH378" s="234">
        <v>0</v>
      </c>
      <c r="BI378" s="234">
        <v>0</v>
      </c>
      <c r="BJ378" s="234">
        <v>0</v>
      </c>
      <c r="BK378" s="234">
        <v>0</v>
      </c>
      <c r="BL378" s="234">
        <v>0</v>
      </c>
      <c r="BM378" s="234">
        <v>0</v>
      </c>
      <c r="BN378" s="234">
        <v>0</v>
      </c>
      <c r="BO378" s="234">
        <v>0</v>
      </c>
      <c r="BP378" s="234"/>
      <c r="BQ378" s="234"/>
      <c r="BR378" s="237" t="s">
        <v>327</v>
      </c>
      <c r="BS378" s="238">
        <v>5</v>
      </c>
      <c r="BV378" s="239">
        <f t="shared" si="30"/>
        <v>58</v>
      </c>
      <c r="CN378" s="238">
        <f t="shared" si="31"/>
        <v>58</v>
      </c>
      <c r="CO378" s="238">
        <f t="shared" si="32"/>
        <v>58</v>
      </c>
    </row>
    <row r="379" spans="1:93" ht="13.95" customHeight="1" x14ac:dyDescent="0.2">
      <c r="A379" s="231">
        <v>6852</v>
      </c>
      <c r="B379" s="232" t="s">
        <v>848</v>
      </c>
      <c r="C379" s="232" t="s">
        <v>1303</v>
      </c>
      <c r="D379" s="232" t="s">
        <v>1304</v>
      </c>
      <c r="E379" s="232" t="s">
        <v>1343</v>
      </c>
      <c r="F379" s="231">
        <v>524063</v>
      </c>
      <c r="G379" s="231">
        <v>174446</v>
      </c>
      <c r="H379" s="232" t="s">
        <v>164</v>
      </c>
      <c r="I379" s="233">
        <v>44342</v>
      </c>
      <c r="J379" s="231"/>
      <c r="K379" s="231">
        <v>0</v>
      </c>
      <c r="L379" s="231">
        <v>6</v>
      </c>
      <c r="M379" s="231">
        <v>6</v>
      </c>
      <c r="N379" s="231">
        <v>41</v>
      </c>
      <c r="O379" s="231">
        <v>41</v>
      </c>
      <c r="P379" s="234" t="s">
        <v>318</v>
      </c>
      <c r="Q379" s="232" t="s">
        <v>1305</v>
      </c>
      <c r="R379" s="234" t="s">
        <v>320</v>
      </c>
      <c r="S379" s="235">
        <v>43452</v>
      </c>
      <c r="T379" s="235">
        <v>43889</v>
      </c>
      <c r="U379" s="234"/>
      <c r="V379" s="232" t="s">
        <v>321</v>
      </c>
      <c r="W379" s="231"/>
      <c r="X379" s="232" t="s">
        <v>322</v>
      </c>
      <c r="Y379" s="232" t="s">
        <v>323</v>
      </c>
      <c r="Z379" s="232" t="s">
        <v>323</v>
      </c>
      <c r="AA379" s="232" t="s">
        <v>324</v>
      </c>
      <c r="AB379" s="236">
        <v>8.5000000000000006E-2</v>
      </c>
      <c r="AC379" s="235">
        <v>44342</v>
      </c>
      <c r="AD379" s="234"/>
      <c r="AE379" s="234"/>
      <c r="AF379" s="232" t="s">
        <v>77</v>
      </c>
      <c r="AG379" s="232" t="s">
        <v>350</v>
      </c>
      <c r="AH379" s="234" t="s">
        <v>317</v>
      </c>
      <c r="AI379" s="250"/>
      <c r="AJ379" s="234">
        <v>0</v>
      </c>
      <c r="AK379" s="224"/>
      <c r="AL379" s="234">
        <v>0</v>
      </c>
      <c r="AM379" s="224"/>
      <c r="AN379" s="234">
        <v>0</v>
      </c>
      <c r="AO379" s="234">
        <v>2</v>
      </c>
      <c r="AP379" s="234">
        <v>4</v>
      </c>
      <c r="AQ379" s="234">
        <v>0</v>
      </c>
      <c r="AR379" s="234">
        <v>0</v>
      </c>
      <c r="AS379" s="234">
        <v>0</v>
      </c>
      <c r="AT379" s="234">
        <v>0</v>
      </c>
      <c r="AU379" s="234">
        <v>0</v>
      </c>
      <c r="AV379" s="234">
        <v>2</v>
      </c>
      <c r="AW379" s="234">
        <v>4</v>
      </c>
      <c r="AX379" s="234">
        <v>0</v>
      </c>
      <c r="AY379" s="234">
        <v>0</v>
      </c>
      <c r="AZ379" s="234">
        <v>0</v>
      </c>
      <c r="BA379" s="234">
        <v>0</v>
      </c>
      <c r="BB379" s="234">
        <v>0</v>
      </c>
      <c r="BC379" s="234">
        <v>0</v>
      </c>
      <c r="BD379" s="234">
        <v>0</v>
      </c>
      <c r="BE379" s="234">
        <v>0</v>
      </c>
      <c r="BF379" s="234">
        <v>0</v>
      </c>
      <c r="BG379" s="234">
        <v>0</v>
      </c>
      <c r="BH379" s="234">
        <v>0</v>
      </c>
      <c r="BI379" s="234">
        <v>0</v>
      </c>
      <c r="BJ379" s="234">
        <v>0</v>
      </c>
      <c r="BK379" s="234">
        <v>0</v>
      </c>
      <c r="BL379" s="234">
        <v>0</v>
      </c>
      <c r="BM379" s="234">
        <v>0</v>
      </c>
      <c r="BN379" s="234">
        <v>0</v>
      </c>
      <c r="BO379" s="234">
        <v>0</v>
      </c>
      <c r="BP379" s="234"/>
      <c r="BQ379" s="234"/>
      <c r="BR379" s="237" t="s">
        <v>334</v>
      </c>
      <c r="BS379" s="238">
        <v>5</v>
      </c>
      <c r="BU379" s="239">
        <f>M379</f>
        <v>6</v>
      </c>
      <c r="CN379" s="238">
        <f t="shared" si="31"/>
        <v>6</v>
      </c>
      <c r="CO379" s="238">
        <f t="shared" si="32"/>
        <v>6</v>
      </c>
    </row>
    <row r="380" spans="1:93" ht="13.95" customHeight="1" x14ac:dyDescent="0.2">
      <c r="A380" s="231">
        <v>3522</v>
      </c>
      <c r="B380" s="232" t="s">
        <v>848</v>
      </c>
      <c r="C380" s="232" t="s">
        <v>1310</v>
      </c>
      <c r="D380" s="232" t="s">
        <v>1311</v>
      </c>
      <c r="E380" s="232" t="s">
        <v>1344</v>
      </c>
      <c r="F380" s="231">
        <v>525912</v>
      </c>
      <c r="G380" s="231">
        <v>175143</v>
      </c>
      <c r="H380" s="232" t="s">
        <v>174</v>
      </c>
      <c r="I380" s="233">
        <v>43922</v>
      </c>
      <c r="J380" s="231"/>
      <c r="K380" s="231">
        <v>0</v>
      </c>
      <c r="L380" s="231">
        <v>27</v>
      </c>
      <c r="M380" s="231">
        <v>27</v>
      </c>
      <c r="N380" s="231">
        <v>480</v>
      </c>
      <c r="O380" s="231">
        <v>480</v>
      </c>
      <c r="P380" s="234" t="s">
        <v>318</v>
      </c>
      <c r="Q380" s="232" t="s">
        <v>1313</v>
      </c>
      <c r="R380" s="234" t="s">
        <v>320</v>
      </c>
      <c r="S380" s="235">
        <v>43836</v>
      </c>
      <c r="T380" s="235">
        <v>44474</v>
      </c>
      <c r="U380" s="234"/>
      <c r="V380" s="232" t="s">
        <v>321</v>
      </c>
      <c r="W380" s="231"/>
      <c r="X380" s="232" t="s">
        <v>322</v>
      </c>
      <c r="Y380" s="232" t="s">
        <v>323</v>
      </c>
      <c r="Z380" s="232" t="s">
        <v>323</v>
      </c>
      <c r="AA380" s="232" t="s">
        <v>324</v>
      </c>
      <c r="AB380" s="236">
        <v>2.7E-2</v>
      </c>
      <c r="AC380" s="235">
        <v>44652</v>
      </c>
      <c r="AD380" s="234" t="s">
        <v>318</v>
      </c>
      <c r="AE380" s="234"/>
      <c r="AF380" s="232" t="s">
        <v>57</v>
      </c>
      <c r="AG380" s="232" t="s">
        <v>328</v>
      </c>
      <c r="AH380" s="234" t="s">
        <v>1314</v>
      </c>
      <c r="AI380" s="250"/>
      <c r="AJ380" s="234">
        <v>0</v>
      </c>
      <c r="AK380" s="224"/>
      <c r="AL380" s="234">
        <v>0</v>
      </c>
      <c r="AM380" s="234">
        <v>10</v>
      </c>
      <c r="AN380" s="234">
        <v>0</v>
      </c>
      <c r="AO380" s="234">
        <v>13</v>
      </c>
      <c r="AP380" s="234">
        <v>11</v>
      </c>
      <c r="AQ380" s="234">
        <v>3</v>
      </c>
      <c r="AR380" s="234">
        <v>0</v>
      </c>
      <c r="AS380" s="234">
        <v>0</v>
      </c>
      <c r="AT380" s="234">
        <v>0</v>
      </c>
      <c r="AU380" s="234">
        <v>0</v>
      </c>
      <c r="AV380" s="234">
        <v>13</v>
      </c>
      <c r="AW380" s="234">
        <v>11</v>
      </c>
      <c r="AX380" s="234">
        <v>3</v>
      </c>
      <c r="AY380" s="234">
        <v>0</v>
      </c>
      <c r="AZ380" s="234">
        <v>0</v>
      </c>
      <c r="BA380" s="234">
        <v>0</v>
      </c>
      <c r="BB380" s="234">
        <v>0</v>
      </c>
      <c r="BC380" s="234">
        <v>0</v>
      </c>
      <c r="BD380" s="234">
        <v>0</v>
      </c>
      <c r="BE380" s="234">
        <v>0</v>
      </c>
      <c r="BF380" s="234">
        <v>0</v>
      </c>
      <c r="BG380" s="234">
        <v>0</v>
      </c>
      <c r="BH380" s="234">
        <v>0</v>
      </c>
      <c r="BI380" s="234">
        <v>0</v>
      </c>
      <c r="BJ380" s="234">
        <v>0</v>
      </c>
      <c r="BK380" s="234">
        <v>0</v>
      </c>
      <c r="BL380" s="234">
        <v>0</v>
      </c>
      <c r="BM380" s="234">
        <v>0</v>
      </c>
      <c r="BN380" s="234">
        <v>0</v>
      </c>
      <c r="BO380" s="234">
        <v>0</v>
      </c>
      <c r="BP380" s="234"/>
      <c r="BQ380" s="234"/>
      <c r="BR380" s="237" t="s">
        <v>327</v>
      </c>
      <c r="BS380" s="238">
        <v>5</v>
      </c>
      <c r="BU380" s="239">
        <f>M380</f>
        <v>27</v>
      </c>
      <c r="CN380" s="238">
        <f t="shared" si="31"/>
        <v>27</v>
      </c>
      <c r="CO380" s="238">
        <f t="shared" si="32"/>
        <v>27</v>
      </c>
    </row>
    <row r="381" spans="1:93" ht="13.95" customHeight="1" x14ac:dyDescent="0.2">
      <c r="A381" s="231">
        <v>3522</v>
      </c>
      <c r="B381" s="232" t="s">
        <v>848</v>
      </c>
      <c r="C381" s="232" t="s">
        <v>1310</v>
      </c>
      <c r="D381" s="232" t="s">
        <v>1311</v>
      </c>
      <c r="E381" s="232" t="s">
        <v>1345</v>
      </c>
      <c r="F381" s="231">
        <v>525912</v>
      </c>
      <c r="G381" s="231">
        <v>175143</v>
      </c>
      <c r="H381" s="232" t="s">
        <v>174</v>
      </c>
      <c r="I381" s="233">
        <v>43922</v>
      </c>
      <c r="J381" s="231"/>
      <c r="K381" s="231">
        <v>0</v>
      </c>
      <c r="L381" s="231">
        <v>62</v>
      </c>
      <c r="M381" s="231">
        <v>62</v>
      </c>
      <c r="N381" s="231">
        <v>480</v>
      </c>
      <c r="O381" s="231">
        <v>480</v>
      </c>
      <c r="P381" s="234" t="s">
        <v>318</v>
      </c>
      <c r="Q381" s="232" t="s">
        <v>1313</v>
      </c>
      <c r="R381" s="234" t="s">
        <v>320</v>
      </c>
      <c r="S381" s="235">
        <v>43836</v>
      </c>
      <c r="T381" s="235">
        <v>44474</v>
      </c>
      <c r="U381" s="234"/>
      <c r="V381" s="232" t="s">
        <v>321</v>
      </c>
      <c r="W381" s="231"/>
      <c r="X381" s="232" t="s">
        <v>322</v>
      </c>
      <c r="Y381" s="232" t="s">
        <v>323</v>
      </c>
      <c r="Z381" s="232" t="s">
        <v>323</v>
      </c>
      <c r="AA381" s="232" t="s">
        <v>324</v>
      </c>
      <c r="AB381" s="236">
        <v>6.0999999999999999E-2</v>
      </c>
      <c r="AC381" s="235">
        <v>44652</v>
      </c>
      <c r="AD381" s="234" t="s">
        <v>318</v>
      </c>
      <c r="AE381" s="234"/>
      <c r="AF381" s="232" t="s">
        <v>56</v>
      </c>
      <c r="AG381" s="232" t="s">
        <v>345</v>
      </c>
      <c r="AH381" s="234" t="s">
        <v>1314</v>
      </c>
      <c r="AI381" s="250"/>
      <c r="AJ381" s="234">
        <v>0</v>
      </c>
      <c r="AK381" s="224"/>
      <c r="AL381" s="234">
        <v>0</v>
      </c>
      <c r="AM381" s="224"/>
      <c r="AN381" s="234">
        <v>0</v>
      </c>
      <c r="AO381" s="234">
        <v>29</v>
      </c>
      <c r="AP381" s="234">
        <v>29</v>
      </c>
      <c r="AQ381" s="234">
        <v>4</v>
      </c>
      <c r="AR381" s="234">
        <v>0</v>
      </c>
      <c r="AS381" s="234">
        <v>0</v>
      </c>
      <c r="AT381" s="234">
        <v>0</v>
      </c>
      <c r="AU381" s="234">
        <v>0</v>
      </c>
      <c r="AV381" s="234">
        <v>29</v>
      </c>
      <c r="AW381" s="234">
        <v>29</v>
      </c>
      <c r="AX381" s="234">
        <v>4</v>
      </c>
      <c r="AY381" s="234">
        <v>0</v>
      </c>
      <c r="AZ381" s="234">
        <v>0</v>
      </c>
      <c r="BA381" s="234">
        <v>0</v>
      </c>
      <c r="BB381" s="234">
        <v>0</v>
      </c>
      <c r="BC381" s="234">
        <v>0</v>
      </c>
      <c r="BD381" s="234">
        <v>0</v>
      </c>
      <c r="BE381" s="234">
        <v>0</v>
      </c>
      <c r="BF381" s="234">
        <v>0</v>
      </c>
      <c r="BG381" s="234">
        <v>0</v>
      </c>
      <c r="BH381" s="234">
        <v>0</v>
      </c>
      <c r="BI381" s="234">
        <v>0</v>
      </c>
      <c r="BJ381" s="234">
        <v>0</v>
      </c>
      <c r="BK381" s="234">
        <v>0</v>
      </c>
      <c r="BL381" s="234">
        <v>0</v>
      </c>
      <c r="BM381" s="234">
        <v>0</v>
      </c>
      <c r="BN381" s="234">
        <v>0</v>
      </c>
      <c r="BO381" s="234">
        <v>0</v>
      </c>
      <c r="BP381" s="234"/>
      <c r="BQ381" s="234"/>
      <c r="BR381" s="237" t="s">
        <v>327</v>
      </c>
      <c r="BS381" s="238">
        <v>5</v>
      </c>
      <c r="BU381" s="239">
        <f>M381</f>
        <v>62</v>
      </c>
      <c r="CN381" s="238">
        <f t="shared" si="31"/>
        <v>62</v>
      </c>
      <c r="CO381" s="238">
        <f t="shared" si="32"/>
        <v>62</v>
      </c>
    </row>
    <row r="382" spans="1:93" ht="13.95" customHeight="1" x14ac:dyDescent="0.2">
      <c r="A382" s="231">
        <v>6852</v>
      </c>
      <c r="B382" s="232" t="s">
        <v>848</v>
      </c>
      <c r="C382" s="232" t="s">
        <v>1303</v>
      </c>
      <c r="D382" s="232" t="s">
        <v>1304</v>
      </c>
      <c r="E382" s="232" t="s">
        <v>1346</v>
      </c>
      <c r="F382" s="231">
        <v>524063</v>
      </c>
      <c r="G382" s="231">
        <v>174446</v>
      </c>
      <c r="H382" s="232" t="s">
        <v>164</v>
      </c>
      <c r="I382" s="233">
        <v>44342</v>
      </c>
      <c r="J382" s="231"/>
      <c r="K382" s="231">
        <v>0</v>
      </c>
      <c r="L382" s="231">
        <v>5</v>
      </c>
      <c r="M382" s="231">
        <v>5</v>
      </c>
      <c r="N382" s="231">
        <v>41</v>
      </c>
      <c r="O382" s="231">
        <v>41</v>
      </c>
      <c r="P382" s="234" t="s">
        <v>318</v>
      </c>
      <c r="Q382" s="232" t="s">
        <v>1305</v>
      </c>
      <c r="R382" s="234" t="s">
        <v>320</v>
      </c>
      <c r="S382" s="235">
        <v>43452</v>
      </c>
      <c r="T382" s="235">
        <v>43889</v>
      </c>
      <c r="U382" s="234"/>
      <c r="V382" s="232" t="s">
        <v>321</v>
      </c>
      <c r="W382" s="231"/>
      <c r="X382" s="232" t="s">
        <v>322</v>
      </c>
      <c r="Y382" s="232" t="s">
        <v>323</v>
      </c>
      <c r="Z382" s="232" t="s">
        <v>323</v>
      </c>
      <c r="AA382" s="232" t="s">
        <v>324</v>
      </c>
      <c r="AB382" s="236">
        <v>7.0000000000000007E-2</v>
      </c>
      <c r="AC382" s="235">
        <v>44342</v>
      </c>
      <c r="AD382" s="234"/>
      <c r="AE382" s="234"/>
      <c r="AF382" s="232" t="s">
        <v>77</v>
      </c>
      <c r="AG382" s="232" t="s">
        <v>350</v>
      </c>
      <c r="AH382" s="234" t="s">
        <v>317</v>
      </c>
      <c r="AI382" s="250"/>
      <c r="AJ382" s="234">
        <v>0</v>
      </c>
      <c r="AK382" s="224"/>
      <c r="AL382" s="234">
        <v>0</v>
      </c>
      <c r="AM382" s="224"/>
      <c r="AN382" s="234">
        <v>0</v>
      </c>
      <c r="AO382" s="234">
        <v>1</v>
      </c>
      <c r="AP382" s="234">
        <v>4</v>
      </c>
      <c r="AQ382" s="234">
        <v>0</v>
      </c>
      <c r="AR382" s="234">
        <v>0</v>
      </c>
      <c r="AS382" s="234">
        <v>0</v>
      </c>
      <c r="AT382" s="234">
        <v>0</v>
      </c>
      <c r="AU382" s="234">
        <v>0</v>
      </c>
      <c r="AV382" s="234">
        <v>1</v>
      </c>
      <c r="AW382" s="234">
        <v>4</v>
      </c>
      <c r="AX382" s="234">
        <v>0</v>
      </c>
      <c r="AY382" s="234">
        <v>0</v>
      </c>
      <c r="AZ382" s="234">
        <v>0</v>
      </c>
      <c r="BA382" s="234">
        <v>0</v>
      </c>
      <c r="BB382" s="234">
        <v>0</v>
      </c>
      <c r="BC382" s="234">
        <v>0</v>
      </c>
      <c r="BD382" s="234">
        <v>0</v>
      </c>
      <c r="BE382" s="234">
        <v>0</v>
      </c>
      <c r="BF382" s="234">
        <v>0</v>
      </c>
      <c r="BG382" s="234">
        <v>0</v>
      </c>
      <c r="BH382" s="234">
        <v>0</v>
      </c>
      <c r="BI382" s="234">
        <v>0</v>
      </c>
      <c r="BJ382" s="234">
        <v>0</v>
      </c>
      <c r="BK382" s="234">
        <v>0</v>
      </c>
      <c r="BL382" s="234">
        <v>0</v>
      </c>
      <c r="BM382" s="234">
        <v>0</v>
      </c>
      <c r="BN382" s="234">
        <v>0</v>
      </c>
      <c r="BO382" s="234">
        <v>0</v>
      </c>
      <c r="BP382" s="234"/>
      <c r="BQ382" s="234"/>
      <c r="BR382" s="237" t="s">
        <v>334</v>
      </c>
      <c r="BS382" s="238">
        <v>5</v>
      </c>
      <c r="BU382" s="239">
        <f>M382</f>
        <v>5</v>
      </c>
      <c r="CN382" s="238">
        <f t="shared" si="31"/>
        <v>5</v>
      </c>
      <c r="CO382" s="238">
        <f t="shared" si="32"/>
        <v>5</v>
      </c>
    </row>
    <row r="383" spans="1:93" ht="13.95" customHeight="1" x14ac:dyDescent="0.2">
      <c r="A383" s="231">
        <v>3522</v>
      </c>
      <c r="B383" s="232" t="s">
        <v>848</v>
      </c>
      <c r="C383" s="232" t="s">
        <v>1310</v>
      </c>
      <c r="D383" s="232" t="s">
        <v>1311</v>
      </c>
      <c r="E383" s="232" t="s">
        <v>1347</v>
      </c>
      <c r="F383" s="231">
        <v>525912</v>
      </c>
      <c r="G383" s="231">
        <v>175143</v>
      </c>
      <c r="H383" s="232" t="s">
        <v>174</v>
      </c>
      <c r="I383" s="233">
        <v>43922</v>
      </c>
      <c r="J383" s="231"/>
      <c r="K383" s="231">
        <v>0</v>
      </c>
      <c r="L383" s="231">
        <v>70</v>
      </c>
      <c r="M383" s="231">
        <v>70</v>
      </c>
      <c r="N383" s="231">
        <v>480</v>
      </c>
      <c r="O383" s="231">
        <v>480</v>
      </c>
      <c r="P383" s="234" t="s">
        <v>318</v>
      </c>
      <c r="Q383" s="232" t="s">
        <v>1313</v>
      </c>
      <c r="R383" s="234" t="s">
        <v>320</v>
      </c>
      <c r="S383" s="235">
        <v>43836</v>
      </c>
      <c r="T383" s="235">
        <v>44474</v>
      </c>
      <c r="U383" s="234"/>
      <c r="V383" s="232" t="s">
        <v>321</v>
      </c>
      <c r="W383" s="231"/>
      <c r="X383" s="232" t="s">
        <v>322</v>
      </c>
      <c r="Y383" s="232" t="s">
        <v>323</v>
      </c>
      <c r="Z383" s="232" t="s">
        <v>323</v>
      </c>
      <c r="AA383" s="232" t="s">
        <v>324</v>
      </c>
      <c r="AB383" s="236">
        <v>6.9000000000000006E-2</v>
      </c>
      <c r="AC383" s="235">
        <v>44287</v>
      </c>
      <c r="AD383" s="234"/>
      <c r="AE383" s="234"/>
      <c r="AF383" s="232" t="s">
        <v>57</v>
      </c>
      <c r="AG383" s="232" t="s">
        <v>328</v>
      </c>
      <c r="AH383" s="234" t="s">
        <v>1314</v>
      </c>
      <c r="AI383" s="250"/>
      <c r="AJ383" s="234">
        <v>0</v>
      </c>
      <c r="AK383" s="224"/>
      <c r="AL383" s="234">
        <v>0</v>
      </c>
      <c r="AM383" s="234">
        <v>18</v>
      </c>
      <c r="AN383" s="234">
        <v>0</v>
      </c>
      <c r="AO383" s="234">
        <v>36</v>
      </c>
      <c r="AP383" s="234">
        <v>17</v>
      </c>
      <c r="AQ383" s="234">
        <v>17</v>
      </c>
      <c r="AR383" s="234">
        <v>0</v>
      </c>
      <c r="AS383" s="234">
        <v>0</v>
      </c>
      <c r="AT383" s="234">
        <v>0</v>
      </c>
      <c r="AU383" s="234">
        <v>0</v>
      </c>
      <c r="AV383" s="234">
        <v>36</v>
      </c>
      <c r="AW383" s="234">
        <v>17</v>
      </c>
      <c r="AX383" s="234">
        <v>17</v>
      </c>
      <c r="AY383" s="234">
        <v>0</v>
      </c>
      <c r="AZ383" s="234">
        <v>0</v>
      </c>
      <c r="BA383" s="234">
        <v>0</v>
      </c>
      <c r="BB383" s="234">
        <v>0</v>
      </c>
      <c r="BC383" s="234">
        <v>0</v>
      </c>
      <c r="BD383" s="234">
        <v>0</v>
      </c>
      <c r="BE383" s="234">
        <v>0</v>
      </c>
      <c r="BF383" s="234">
        <v>0</v>
      </c>
      <c r="BG383" s="234">
        <v>0</v>
      </c>
      <c r="BH383" s="234">
        <v>0</v>
      </c>
      <c r="BI383" s="234">
        <v>0</v>
      </c>
      <c r="BJ383" s="234">
        <v>0</v>
      </c>
      <c r="BK383" s="234">
        <v>0</v>
      </c>
      <c r="BL383" s="234">
        <v>0</v>
      </c>
      <c r="BM383" s="234">
        <v>0</v>
      </c>
      <c r="BN383" s="234">
        <v>0</v>
      </c>
      <c r="BO383" s="234">
        <v>0</v>
      </c>
      <c r="BP383" s="234"/>
      <c r="BQ383" s="234"/>
      <c r="BR383" s="237" t="s">
        <v>327</v>
      </c>
      <c r="BS383" s="238">
        <v>5</v>
      </c>
      <c r="BU383" s="239">
        <f>M383</f>
        <v>70</v>
      </c>
      <c r="CN383" s="238">
        <f t="shared" si="31"/>
        <v>70</v>
      </c>
      <c r="CO383" s="238">
        <f t="shared" si="32"/>
        <v>70</v>
      </c>
    </row>
    <row r="384" spans="1:93" ht="13.95" customHeight="1" x14ac:dyDescent="0.2">
      <c r="A384" s="231">
        <v>3514</v>
      </c>
      <c r="B384" s="232" t="s">
        <v>848</v>
      </c>
      <c r="C384" s="232" t="s">
        <v>1301</v>
      </c>
      <c r="D384" s="232" t="s">
        <v>818</v>
      </c>
      <c r="E384" s="232" t="s">
        <v>1348</v>
      </c>
      <c r="F384" s="231">
        <v>528809</v>
      </c>
      <c r="G384" s="231">
        <v>177181</v>
      </c>
      <c r="H384" s="232" t="s">
        <v>168</v>
      </c>
      <c r="I384" s="233">
        <v>42662</v>
      </c>
      <c r="J384" s="231"/>
      <c r="K384" s="231">
        <v>0</v>
      </c>
      <c r="L384" s="231">
        <v>92</v>
      </c>
      <c r="M384" s="231">
        <v>92</v>
      </c>
      <c r="N384" s="231">
        <v>233</v>
      </c>
      <c r="O384" s="231">
        <v>233</v>
      </c>
      <c r="P384" s="234" t="s">
        <v>318</v>
      </c>
      <c r="Q384" s="232" t="s">
        <v>1302</v>
      </c>
      <c r="R384" s="234" t="s">
        <v>320</v>
      </c>
      <c r="S384" s="235">
        <v>44147</v>
      </c>
      <c r="T384" s="235">
        <v>44301</v>
      </c>
      <c r="U384" s="234"/>
      <c r="V384" s="232" t="s">
        <v>321</v>
      </c>
      <c r="W384" s="231"/>
      <c r="X384" s="232" t="s">
        <v>322</v>
      </c>
      <c r="Y384" s="232" t="s">
        <v>323</v>
      </c>
      <c r="Z384" s="232" t="s">
        <v>323</v>
      </c>
      <c r="AA384" s="232" t="s">
        <v>324</v>
      </c>
      <c r="AB384" s="236">
        <v>0.16900000000000001</v>
      </c>
      <c r="AC384" s="235">
        <v>44651</v>
      </c>
      <c r="AD384" s="234"/>
      <c r="AE384" s="234"/>
      <c r="AF384" s="232" t="s">
        <v>77</v>
      </c>
      <c r="AG384" s="232" t="s">
        <v>350</v>
      </c>
      <c r="AH384" s="234" t="s">
        <v>821</v>
      </c>
      <c r="AI384" s="250"/>
      <c r="AJ384" s="234">
        <v>92</v>
      </c>
      <c r="AK384" s="224"/>
      <c r="AL384" s="234">
        <v>10</v>
      </c>
      <c r="AM384" s="224"/>
      <c r="AN384" s="234">
        <v>0</v>
      </c>
      <c r="AO384" s="234">
        <v>28</v>
      </c>
      <c r="AP384" s="234">
        <v>56</v>
      </c>
      <c r="AQ384" s="234">
        <v>4</v>
      </c>
      <c r="AR384" s="234">
        <v>4</v>
      </c>
      <c r="AS384" s="234">
        <v>0</v>
      </c>
      <c r="AT384" s="234">
        <v>0</v>
      </c>
      <c r="AU384" s="234">
        <v>0</v>
      </c>
      <c r="AV384" s="234">
        <v>28</v>
      </c>
      <c r="AW384" s="234">
        <v>56</v>
      </c>
      <c r="AX384" s="234">
        <v>4</v>
      </c>
      <c r="AY384" s="234">
        <v>4</v>
      </c>
      <c r="AZ384" s="234">
        <v>0</v>
      </c>
      <c r="BA384" s="234">
        <v>0</v>
      </c>
      <c r="BB384" s="234">
        <v>0</v>
      </c>
      <c r="BC384" s="234">
        <v>0</v>
      </c>
      <c r="BD384" s="234">
        <v>0</v>
      </c>
      <c r="BE384" s="234">
        <v>0</v>
      </c>
      <c r="BF384" s="234">
        <v>0</v>
      </c>
      <c r="BG384" s="234">
        <v>0</v>
      </c>
      <c r="BH384" s="234">
        <v>0</v>
      </c>
      <c r="BI384" s="234">
        <v>0</v>
      </c>
      <c r="BJ384" s="234">
        <v>0</v>
      </c>
      <c r="BK384" s="234">
        <v>0</v>
      </c>
      <c r="BL384" s="234">
        <v>0</v>
      </c>
      <c r="BM384" s="234">
        <v>0</v>
      </c>
      <c r="BN384" s="234">
        <v>0</v>
      </c>
      <c r="BO384" s="234">
        <v>0</v>
      </c>
      <c r="BP384" s="234"/>
      <c r="BQ384" s="234" t="s">
        <v>318</v>
      </c>
      <c r="BR384" s="237" t="s">
        <v>151</v>
      </c>
      <c r="BS384" s="238">
        <v>2</v>
      </c>
      <c r="BU384" s="239">
        <v>92</v>
      </c>
      <c r="CN384" s="238">
        <f t="shared" si="31"/>
        <v>92</v>
      </c>
      <c r="CO384" s="238">
        <f t="shared" si="32"/>
        <v>92</v>
      </c>
    </row>
    <row r="385" spans="1:93" ht="13.95" customHeight="1" x14ac:dyDescent="0.2">
      <c r="A385" s="231">
        <v>6852</v>
      </c>
      <c r="B385" s="232" t="s">
        <v>848</v>
      </c>
      <c r="C385" s="232" t="s">
        <v>1303</v>
      </c>
      <c r="D385" s="232" t="s">
        <v>1304</v>
      </c>
      <c r="E385" s="232" t="s">
        <v>1348</v>
      </c>
      <c r="F385" s="231">
        <v>524063</v>
      </c>
      <c r="G385" s="231">
        <v>174446</v>
      </c>
      <c r="H385" s="232" t="s">
        <v>164</v>
      </c>
      <c r="I385" s="233">
        <v>44342</v>
      </c>
      <c r="J385" s="231"/>
      <c r="K385" s="231">
        <v>0</v>
      </c>
      <c r="L385" s="231">
        <v>7</v>
      </c>
      <c r="M385" s="231">
        <v>7</v>
      </c>
      <c r="N385" s="231">
        <v>41</v>
      </c>
      <c r="O385" s="231">
        <v>41</v>
      </c>
      <c r="P385" s="234" t="s">
        <v>318</v>
      </c>
      <c r="Q385" s="232" t="s">
        <v>1305</v>
      </c>
      <c r="R385" s="234" t="s">
        <v>320</v>
      </c>
      <c r="S385" s="235">
        <v>43452</v>
      </c>
      <c r="T385" s="235">
        <v>43889</v>
      </c>
      <c r="U385" s="234"/>
      <c r="V385" s="232" t="s">
        <v>321</v>
      </c>
      <c r="W385" s="231"/>
      <c r="X385" s="232" t="s">
        <v>322</v>
      </c>
      <c r="Y385" s="232" t="s">
        <v>323</v>
      </c>
      <c r="Z385" s="232" t="s">
        <v>323</v>
      </c>
      <c r="AA385" s="232" t="s">
        <v>324</v>
      </c>
      <c r="AB385" s="236">
        <v>9.9000000000000005E-2</v>
      </c>
      <c r="AC385" s="235">
        <v>44342</v>
      </c>
      <c r="AD385" s="234"/>
      <c r="AE385" s="234"/>
      <c r="AF385" s="232" t="s">
        <v>57</v>
      </c>
      <c r="AG385" s="232" t="s">
        <v>328</v>
      </c>
      <c r="AH385" s="234" t="s">
        <v>317</v>
      </c>
      <c r="AI385" s="250"/>
      <c r="AJ385" s="234">
        <v>0</v>
      </c>
      <c r="AK385" s="224"/>
      <c r="AL385" s="234">
        <v>0</v>
      </c>
      <c r="AM385" s="234">
        <v>1</v>
      </c>
      <c r="AN385" s="234">
        <v>0</v>
      </c>
      <c r="AO385" s="234">
        <v>3</v>
      </c>
      <c r="AP385" s="234">
        <v>3</v>
      </c>
      <c r="AQ385" s="234">
        <v>1</v>
      </c>
      <c r="AR385" s="234">
        <v>0</v>
      </c>
      <c r="AS385" s="234">
        <v>0</v>
      </c>
      <c r="AT385" s="234">
        <v>0</v>
      </c>
      <c r="AU385" s="234">
        <v>0</v>
      </c>
      <c r="AV385" s="234">
        <v>3</v>
      </c>
      <c r="AW385" s="234">
        <v>3</v>
      </c>
      <c r="AX385" s="234">
        <v>1</v>
      </c>
      <c r="AY385" s="234">
        <v>0</v>
      </c>
      <c r="AZ385" s="234">
        <v>0</v>
      </c>
      <c r="BA385" s="234">
        <v>0</v>
      </c>
      <c r="BB385" s="234">
        <v>0</v>
      </c>
      <c r="BC385" s="234">
        <v>0</v>
      </c>
      <c r="BD385" s="234">
        <v>0</v>
      </c>
      <c r="BE385" s="234">
        <v>0</v>
      </c>
      <c r="BF385" s="234">
        <v>0</v>
      </c>
      <c r="BG385" s="234">
        <v>0</v>
      </c>
      <c r="BH385" s="234">
        <v>0</v>
      </c>
      <c r="BI385" s="234">
        <v>0</v>
      </c>
      <c r="BJ385" s="234">
        <v>0</v>
      </c>
      <c r="BK385" s="234">
        <v>0</v>
      </c>
      <c r="BL385" s="234">
        <v>0</v>
      </c>
      <c r="BM385" s="234">
        <v>0</v>
      </c>
      <c r="BN385" s="234">
        <v>0</v>
      </c>
      <c r="BO385" s="234">
        <v>0</v>
      </c>
      <c r="BP385" s="234"/>
      <c r="BQ385" s="234"/>
      <c r="BR385" s="237" t="s">
        <v>334</v>
      </c>
      <c r="BS385" s="238">
        <v>5</v>
      </c>
      <c r="BU385" s="239">
        <f t="shared" ref="BU385:BU399" si="33">M385</f>
        <v>7</v>
      </c>
      <c r="CN385" s="238">
        <f t="shared" si="31"/>
        <v>7</v>
      </c>
      <c r="CO385" s="238">
        <f t="shared" si="32"/>
        <v>7</v>
      </c>
    </row>
    <row r="386" spans="1:93" ht="13.95" customHeight="1" x14ac:dyDescent="0.2">
      <c r="A386" s="231">
        <v>6852</v>
      </c>
      <c r="B386" s="232" t="s">
        <v>848</v>
      </c>
      <c r="C386" s="232" t="s">
        <v>1303</v>
      </c>
      <c r="D386" s="232" t="s">
        <v>1304</v>
      </c>
      <c r="E386" s="232" t="s">
        <v>1349</v>
      </c>
      <c r="F386" s="231">
        <v>524063</v>
      </c>
      <c r="G386" s="231">
        <v>174446</v>
      </c>
      <c r="H386" s="232" t="s">
        <v>164</v>
      </c>
      <c r="I386" s="233">
        <v>44342</v>
      </c>
      <c r="J386" s="231"/>
      <c r="K386" s="231">
        <v>0</v>
      </c>
      <c r="L386" s="231">
        <v>7</v>
      </c>
      <c r="M386" s="231">
        <v>7</v>
      </c>
      <c r="N386" s="231">
        <v>41</v>
      </c>
      <c r="O386" s="231">
        <v>41</v>
      </c>
      <c r="P386" s="234" t="s">
        <v>318</v>
      </c>
      <c r="Q386" s="232" t="s">
        <v>1305</v>
      </c>
      <c r="R386" s="234" t="s">
        <v>320</v>
      </c>
      <c r="S386" s="235">
        <v>43452</v>
      </c>
      <c r="T386" s="235">
        <v>43889</v>
      </c>
      <c r="U386" s="234"/>
      <c r="V386" s="232" t="s">
        <v>321</v>
      </c>
      <c r="W386" s="231"/>
      <c r="X386" s="232" t="s">
        <v>322</v>
      </c>
      <c r="Y386" s="232" t="s">
        <v>323</v>
      </c>
      <c r="Z386" s="232" t="s">
        <v>323</v>
      </c>
      <c r="AA386" s="232" t="s">
        <v>324</v>
      </c>
      <c r="AB386" s="236">
        <v>9.9000000000000005E-2</v>
      </c>
      <c r="AC386" s="235">
        <v>44342</v>
      </c>
      <c r="AD386" s="234"/>
      <c r="AE386" s="234"/>
      <c r="AF386" s="232" t="s">
        <v>57</v>
      </c>
      <c r="AG386" s="232" t="s">
        <v>328</v>
      </c>
      <c r="AH386" s="234" t="s">
        <v>317</v>
      </c>
      <c r="AI386" s="250"/>
      <c r="AJ386" s="234">
        <v>0</v>
      </c>
      <c r="AK386" s="224"/>
      <c r="AL386" s="234">
        <v>0</v>
      </c>
      <c r="AM386" s="234">
        <v>1</v>
      </c>
      <c r="AN386" s="234">
        <v>0</v>
      </c>
      <c r="AO386" s="234">
        <v>3</v>
      </c>
      <c r="AP386" s="234">
        <v>3</v>
      </c>
      <c r="AQ386" s="234">
        <v>1</v>
      </c>
      <c r="AR386" s="234">
        <v>0</v>
      </c>
      <c r="AS386" s="234">
        <v>0</v>
      </c>
      <c r="AT386" s="234">
        <v>0</v>
      </c>
      <c r="AU386" s="234">
        <v>0</v>
      </c>
      <c r="AV386" s="234">
        <v>3</v>
      </c>
      <c r="AW386" s="234">
        <v>3</v>
      </c>
      <c r="AX386" s="234">
        <v>1</v>
      </c>
      <c r="AY386" s="234">
        <v>0</v>
      </c>
      <c r="AZ386" s="234">
        <v>0</v>
      </c>
      <c r="BA386" s="234">
        <v>0</v>
      </c>
      <c r="BB386" s="234">
        <v>0</v>
      </c>
      <c r="BC386" s="234">
        <v>0</v>
      </c>
      <c r="BD386" s="234">
        <v>0</v>
      </c>
      <c r="BE386" s="234">
        <v>0</v>
      </c>
      <c r="BF386" s="234">
        <v>0</v>
      </c>
      <c r="BG386" s="234">
        <v>0</v>
      </c>
      <c r="BH386" s="234">
        <v>0</v>
      </c>
      <c r="BI386" s="234">
        <v>0</v>
      </c>
      <c r="BJ386" s="234">
        <v>0</v>
      </c>
      <c r="BK386" s="234">
        <v>0</v>
      </c>
      <c r="BL386" s="234">
        <v>0</v>
      </c>
      <c r="BM386" s="234">
        <v>0</v>
      </c>
      <c r="BN386" s="234">
        <v>0</v>
      </c>
      <c r="BO386" s="234">
        <v>0</v>
      </c>
      <c r="BP386" s="234"/>
      <c r="BQ386" s="234"/>
      <c r="BR386" s="237" t="s">
        <v>334</v>
      </c>
      <c r="BS386" s="238">
        <v>5</v>
      </c>
      <c r="BU386" s="239">
        <f t="shared" si="33"/>
        <v>7</v>
      </c>
      <c r="CN386" s="238">
        <f t="shared" si="31"/>
        <v>7</v>
      </c>
      <c r="CO386" s="238">
        <f t="shared" si="32"/>
        <v>7</v>
      </c>
    </row>
    <row r="387" spans="1:93" ht="13.95" customHeight="1" x14ac:dyDescent="0.2">
      <c r="A387" s="231">
        <v>6819</v>
      </c>
      <c r="B387" s="232" t="s">
        <v>848</v>
      </c>
      <c r="C387" s="232" t="s">
        <v>1350</v>
      </c>
      <c r="D387" s="232" t="s">
        <v>1351</v>
      </c>
      <c r="E387" s="232" t="s">
        <v>1352</v>
      </c>
      <c r="F387" s="231">
        <v>522285</v>
      </c>
      <c r="G387" s="231">
        <v>173138</v>
      </c>
      <c r="H387" s="232" t="s">
        <v>170</v>
      </c>
      <c r="I387" s="233">
        <v>43848</v>
      </c>
      <c r="J387" s="231"/>
      <c r="K387" s="231">
        <v>64</v>
      </c>
      <c r="L387" s="231">
        <v>41</v>
      </c>
      <c r="M387" s="231">
        <v>-23</v>
      </c>
      <c r="N387" s="231">
        <v>95</v>
      </c>
      <c r="O387" s="231">
        <v>31</v>
      </c>
      <c r="P387" s="234" t="s">
        <v>318</v>
      </c>
      <c r="Q387" s="232" t="s">
        <v>1353</v>
      </c>
      <c r="R387" s="234" t="s">
        <v>320</v>
      </c>
      <c r="S387" s="235">
        <v>43150</v>
      </c>
      <c r="T387" s="235">
        <v>43539</v>
      </c>
      <c r="U387" s="234"/>
      <c r="V387" s="232" t="s">
        <v>321</v>
      </c>
      <c r="W387" s="231"/>
      <c r="X387" s="232" t="s">
        <v>322</v>
      </c>
      <c r="Y387" s="232" t="s">
        <v>323</v>
      </c>
      <c r="Z387" s="232" t="s">
        <v>323</v>
      </c>
      <c r="AA387" s="232" t="s">
        <v>324</v>
      </c>
      <c r="AB387" s="236">
        <v>0.17799999999999999</v>
      </c>
      <c r="AC387" s="235">
        <v>43848</v>
      </c>
      <c r="AD387" s="234"/>
      <c r="AE387" s="234"/>
      <c r="AF387" s="232" t="s">
        <v>57</v>
      </c>
      <c r="AG387" s="232" t="s">
        <v>333</v>
      </c>
      <c r="AH387" s="234" t="s">
        <v>317</v>
      </c>
      <c r="AI387" s="250"/>
      <c r="AJ387" s="234">
        <v>0</v>
      </c>
      <c r="AK387" s="234">
        <v>33</v>
      </c>
      <c r="AL387" s="234">
        <v>0</v>
      </c>
      <c r="AM387" s="234">
        <v>8</v>
      </c>
      <c r="AN387" s="234">
        <v>-53</v>
      </c>
      <c r="AO387" s="234">
        <v>30</v>
      </c>
      <c r="AP387" s="234">
        <v>0</v>
      </c>
      <c r="AQ387" s="234">
        <v>0</v>
      </c>
      <c r="AR387" s="234">
        <v>0</v>
      </c>
      <c r="AS387" s="234">
        <v>0</v>
      </c>
      <c r="AT387" s="234">
        <v>0</v>
      </c>
      <c r="AU387" s="234">
        <v>-53</v>
      </c>
      <c r="AV387" s="234">
        <v>30</v>
      </c>
      <c r="AW387" s="234">
        <v>0</v>
      </c>
      <c r="AX387" s="234">
        <v>0</v>
      </c>
      <c r="AY387" s="234">
        <v>0</v>
      </c>
      <c r="AZ387" s="234">
        <v>0</v>
      </c>
      <c r="BA387" s="234">
        <v>0</v>
      </c>
      <c r="BB387" s="234">
        <v>0</v>
      </c>
      <c r="BC387" s="234">
        <v>0</v>
      </c>
      <c r="BD387" s="234">
        <v>0</v>
      </c>
      <c r="BE387" s="234">
        <v>0</v>
      </c>
      <c r="BF387" s="234">
        <v>0</v>
      </c>
      <c r="BG387" s="234">
        <v>0</v>
      </c>
      <c r="BH387" s="234">
        <v>0</v>
      </c>
      <c r="BI387" s="234">
        <v>0</v>
      </c>
      <c r="BJ387" s="234">
        <v>0</v>
      </c>
      <c r="BK387" s="234">
        <v>0</v>
      </c>
      <c r="BL387" s="234">
        <v>0</v>
      </c>
      <c r="BM387" s="234">
        <v>0</v>
      </c>
      <c r="BN387" s="234">
        <v>0</v>
      </c>
      <c r="BO387" s="234">
        <v>0</v>
      </c>
      <c r="BP387" s="234"/>
      <c r="BQ387" s="234"/>
      <c r="BR387" s="237" t="s">
        <v>334</v>
      </c>
      <c r="BS387" s="238">
        <v>5</v>
      </c>
      <c r="BU387" s="239">
        <f t="shared" si="33"/>
        <v>-23</v>
      </c>
      <c r="CN387" s="238">
        <f t="shared" si="31"/>
        <v>-23</v>
      </c>
      <c r="CO387" s="238">
        <f t="shared" si="32"/>
        <v>-23</v>
      </c>
    </row>
    <row r="388" spans="1:93" ht="13.95" customHeight="1" x14ac:dyDescent="0.2">
      <c r="A388" s="231">
        <v>6819</v>
      </c>
      <c r="B388" s="232" t="s">
        <v>848</v>
      </c>
      <c r="C388" s="232" t="s">
        <v>1350</v>
      </c>
      <c r="D388" s="232" t="s">
        <v>1351</v>
      </c>
      <c r="E388" s="232" t="s">
        <v>1354</v>
      </c>
      <c r="F388" s="231">
        <v>522285</v>
      </c>
      <c r="G388" s="231">
        <v>173138</v>
      </c>
      <c r="H388" s="232" t="s">
        <v>170</v>
      </c>
      <c r="I388" s="233">
        <v>43848</v>
      </c>
      <c r="J388" s="231"/>
      <c r="K388" s="231">
        <v>0</v>
      </c>
      <c r="L388" s="231">
        <v>28</v>
      </c>
      <c r="M388" s="231">
        <v>28</v>
      </c>
      <c r="N388" s="231">
        <v>95</v>
      </c>
      <c r="O388" s="231">
        <v>31</v>
      </c>
      <c r="P388" s="234" t="s">
        <v>318</v>
      </c>
      <c r="Q388" s="232" t="s">
        <v>1353</v>
      </c>
      <c r="R388" s="234" t="s">
        <v>320</v>
      </c>
      <c r="S388" s="235">
        <v>43150</v>
      </c>
      <c r="T388" s="235">
        <v>43539</v>
      </c>
      <c r="U388" s="234"/>
      <c r="V388" s="232" t="s">
        <v>321</v>
      </c>
      <c r="W388" s="231"/>
      <c r="X388" s="232" t="s">
        <v>322</v>
      </c>
      <c r="Y388" s="232" t="s">
        <v>323</v>
      </c>
      <c r="Z388" s="232" t="s">
        <v>323</v>
      </c>
      <c r="AA388" s="232" t="s">
        <v>324</v>
      </c>
      <c r="AB388" s="236">
        <v>0.17499999999999999</v>
      </c>
      <c r="AC388" s="235">
        <v>43848</v>
      </c>
      <c r="AD388" s="234"/>
      <c r="AE388" s="234"/>
      <c r="AF388" s="232" t="s">
        <v>56</v>
      </c>
      <c r="AG388" s="232" t="s">
        <v>1355</v>
      </c>
      <c r="AH388" s="234" t="s">
        <v>317</v>
      </c>
      <c r="AI388" s="250"/>
      <c r="AJ388" s="234">
        <v>0</v>
      </c>
      <c r="AK388" s="234">
        <v>28</v>
      </c>
      <c r="AL388" s="234">
        <v>0</v>
      </c>
      <c r="AM388" s="234">
        <v>0</v>
      </c>
      <c r="AN388" s="234">
        <v>0</v>
      </c>
      <c r="AO388" s="234">
        <v>15</v>
      </c>
      <c r="AP388" s="234">
        <v>10</v>
      </c>
      <c r="AQ388" s="234">
        <v>3</v>
      </c>
      <c r="AR388" s="234">
        <v>0</v>
      </c>
      <c r="AS388" s="234">
        <v>0</v>
      </c>
      <c r="AT388" s="234">
        <v>0</v>
      </c>
      <c r="AU388" s="234">
        <v>0</v>
      </c>
      <c r="AV388" s="234">
        <v>15</v>
      </c>
      <c r="AW388" s="234">
        <v>10</v>
      </c>
      <c r="AX388" s="234">
        <v>3</v>
      </c>
      <c r="AY388" s="234">
        <v>0</v>
      </c>
      <c r="AZ388" s="234">
        <v>0</v>
      </c>
      <c r="BA388" s="234">
        <v>0</v>
      </c>
      <c r="BB388" s="234">
        <v>0</v>
      </c>
      <c r="BC388" s="234">
        <v>0</v>
      </c>
      <c r="BD388" s="234">
        <v>0</v>
      </c>
      <c r="BE388" s="234">
        <v>0</v>
      </c>
      <c r="BF388" s="234">
        <v>0</v>
      </c>
      <c r="BG388" s="234">
        <v>0</v>
      </c>
      <c r="BH388" s="234">
        <v>0</v>
      </c>
      <c r="BI388" s="234">
        <v>0</v>
      </c>
      <c r="BJ388" s="234">
        <v>0</v>
      </c>
      <c r="BK388" s="234">
        <v>0</v>
      </c>
      <c r="BL388" s="234">
        <v>0</v>
      </c>
      <c r="BM388" s="234">
        <v>0</v>
      </c>
      <c r="BN388" s="234">
        <v>0</v>
      </c>
      <c r="BO388" s="234">
        <v>0</v>
      </c>
      <c r="BP388" s="234"/>
      <c r="BQ388" s="234"/>
      <c r="BR388" s="237" t="s">
        <v>334</v>
      </c>
      <c r="BS388" s="238">
        <v>5</v>
      </c>
      <c r="BU388" s="239">
        <f t="shared" si="33"/>
        <v>28</v>
      </c>
      <c r="CN388" s="238">
        <f t="shared" si="31"/>
        <v>28</v>
      </c>
      <c r="CO388" s="238">
        <f t="shared" si="32"/>
        <v>28</v>
      </c>
    </row>
    <row r="389" spans="1:93" ht="13.95" customHeight="1" x14ac:dyDescent="0.2">
      <c r="A389" s="231">
        <v>6819</v>
      </c>
      <c r="B389" s="232" t="s">
        <v>848</v>
      </c>
      <c r="C389" s="232" t="s">
        <v>1350</v>
      </c>
      <c r="D389" s="232" t="s">
        <v>1351</v>
      </c>
      <c r="E389" s="232" t="s">
        <v>1356</v>
      </c>
      <c r="F389" s="231">
        <v>522285</v>
      </c>
      <c r="G389" s="231">
        <v>173138</v>
      </c>
      <c r="H389" s="232" t="s">
        <v>170</v>
      </c>
      <c r="I389" s="233">
        <v>43848</v>
      </c>
      <c r="J389" s="231"/>
      <c r="K389" s="231">
        <v>0</v>
      </c>
      <c r="L389" s="231">
        <v>26</v>
      </c>
      <c r="M389" s="231">
        <v>26</v>
      </c>
      <c r="N389" s="231">
        <v>95</v>
      </c>
      <c r="O389" s="231">
        <v>31</v>
      </c>
      <c r="P389" s="234" t="s">
        <v>318</v>
      </c>
      <c r="Q389" s="232" t="s">
        <v>1353</v>
      </c>
      <c r="R389" s="234" t="s">
        <v>320</v>
      </c>
      <c r="S389" s="235">
        <v>43150</v>
      </c>
      <c r="T389" s="235">
        <v>43539</v>
      </c>
      <c r="U389" s="234"/>
      <c r="V389" s="232" t="s">
        <v>321</v>
      </c>
      <c r="W389" s="231"/>
      <c r="X389" s="232" t="s">
        <v>322</v>
      </c>
      <c r="Y389" s="232" t="s">
        <v>323</v>
      </c>
      <c r="Z389" s="232" t="s">
        <v>323</v>
      </c>
      <c r="AA389" s="232" t="s">
        <v>324</v>
      </c>
      <c r="AB389" s="236">
        <v>0.16800000000000001</v>
      </c>
      <c r="AC389" s="235">
        <v>43848</v>
      </c>
      <c r="AD389" s="234"/>
      <c r="AE389" s="234"/>
      <c r="AF389" s="232" t="s">
        <v>56</v>
      </c>
      <c r="AG389" s="232" t="s">
        <v>1355</v>
      </c>
      <c r="AH389" s="234" t="s">
        <v>317</v>
      </c>
      <c r="AI389" s="250"/>
      <c r="AJ389" s="234">
        <v>0</v>
      </c>
      <c r="AK389" s="234">
        <v>24</v>
      </c>
      <c r="AL389" s="234">
        <v>0</v>
      </c>
      <c r="AM389" s="234">
        <v>2</v>
      </c>
      <c r="AN389" s="234">
        <v>0</v>
      </c>
      <c r="AO389" s="234">
        <v>9</v>
      </c>
      <c r="AP389" s="234">
        <v>14</v>
      </c>
      <c r="AQ389" s="234">
        <v>3</v>
      </c>
      <c r="AR389" s="234">
        <v>0</v>
      </c>
      <c r="AS389" s="234">
        <v>0</v>
      </c>
      <c r="AT389" s="234">
        <v>0</v>
      </c>
      <c r="AU389" s="234">
        <v>0</v>
      </c>
      <c r="AV389" s="234">
        <v>9</v>
      </c>
      <c r="AW389" s="234">
        <v>14</v>
      </c>
      <c r="AX389" s="234">
        <v>3</v>
      </c>
      <c r="AY389" s="234">
        <v>0</v>
      </c>
      <c r="AZ389" s="234">
        <v>0</v>
      </c>
      <c r="BA389" s="234">
        <v>0</v>
      </c>
      <c r="BB389" s="234">
        <v>0</v>
      </c>
      <c r="BC389" s="234">
        <v>0</v>
      </c>
      <c r="BD389" s="234">
        <v>0</v>
      </c>
      <c r="BE389" s="234">
        <v>0</v>
      </c>
      <c r="BF389" s="234">
        <v>0</v>
      </c>
      <c r="BG389" s="234">
        <v>0</v>
      </c>
      <c r="BH389" s="234">
        <v>0</v>
      </c>
      <c r="BI389" s="234">
        <v>0</v>
      </c>
      <c r="BJ389" s="234">
        <v>0</v>
      </c>
      <c r="BK389" s="234">
        <v>0</v>
      </c>
      <c r="BL389" s="234">
        <v>0</v>
      </c>
      <c r="BM389" s="234">
        <v>0</v>
      </c>
      <c r="BN389" s="234">
        <v>0</v>
      </c>
      <c r="BO389" s="234">
        <v>0</v>
      </c>
      <c r="BP389" s="234"/>
      <c r="BQ389" s="234"/>
      <c r="BR389" s="237" t="s">
        <v>334</v>
      </c>
      <c r="BS389" s="238">
        <v>5</v>
      </c>
      <c r="BU389" s="239">
        <f t="shared" si="33"/>
        <v>26</v>
      </c>
      <c r="CN389" s="238">
        <f t="shared" si="31"/>
        <v>26</v>
      </c>
      <c r="CO389" s="238">
        <f t="shared" si="32"/>
        <v>26</v>
      </c>
    </row>
    <row r="390" spans="1:93" ht="13.95" customHeight="1" x14ac:dyDescent="0.2">
      <c r="A390" s="231">
        <v>7090</v>
      </c>
      <c r="B390" s="232" t="s">
        <v>848</v>
      </c>
      <c r="C390" s="232" t="s">
        <v>1357</v>
      </c>
      <c r="D390" s="232" t="s">
        <v>1358</v>
      </c>
      <c r="E390" s="232" t="s">
        <v>1359</v>
      </c>
      <c r="F390" s="231">
        <v>527587</v>
      </c>
      <c r="G390" s="231">
        <v>174507</v>
      </c>
      <c r="H390" s="232" t="s">
        <v>169</v>
      </c>
      <c r="I390" s="233">
        <v>44287</v>
      </c>
      <c r="J390" s="231"/>
      <c r="K390" s="231">
        <v>0</v>
      </c>
      <c r="L390" s="231">
        <v>7</v>
      </c>
      <c r="M390" s="231">
        <v>7</v>
      </c>
      <c r="N390" s="231">
        <v>16</v>
      </c>
      <c r="O390" s="231">
        <v>16</v>
      </c>
      <c r="P390" s="234" t="s">
        <v>318</v>
      </c>
      <c r="Q390" s="232" t="s">
        <v>1360</v>
      </c>
      <c r="R390" s="234" t="s">
        <v>320</v>
      </c>
      <c r="S390" s="235">
        <v>43480</v>
      </c>
      <c r="T390" s="235">
        <v>43915</v>
      </c>
      <c r="U390" s="234"/>
      <c r="V390" s="232" t="s">
        <v>321</v>
      </c>
      <c r="W390" s="231"/>
      <c r="X390" s="232" t="s">
        <v>322</v>
      </c>
      <c r="Y390" s="232" t="s">
        <v>323</v>
      </c>
      <c r="Z390" s="232" t="s">
        <v>323</v>
      </c>
      <c r="AA390" s="232" t="s">
        <v>324</v>
      </c>
      <c r="AB390" s="236">
        <v>6.3E-2</v>
      </c>
      <c r="AC390" s="235">
        <v>44287</v>
      </c>
      <c r="AD390" s="234"/>
      <c r="AE390" s="234"/>
      <c r="AF390" s="232" t="s">
        <v>77</v>
      </c>
      <c r="AG390" s="232" t="s">
        <v>350</v>
      </c>
      <c r="AH390" s="234" t="s">
        <v>317</v>
      </c>
      <c r="AI390" s="250"/>
      <c r="AJ390" s="234">
        <v>0</v>
      </c>
      <c r="AK390" s="234">
        <v>1</v>
      </c>
      <c r="AL390" s="234">
        <v>0</v>
      </c>
      <c r="AM390" s="234">
        <v>0</v>
      </c>
      <c r="AN390" s="234">
        <v>0</v>
      </c>
      <c r="AO390" s="234">
        <v>3</v>
      </c>
      <c r="AP390" s="234">
        <v>4</v>
      </c>
      <c r="AQ390" s="234">
        <v>0</v>
      </c>
      <c r="AR390" s="234">
        <v>0</v>
      </c>
      <c r="AS390" s="234">
        <v>0</v>
      </c>
      <c r="AT390" s="234">
        <v>0</v>
      </c>
      <c r="AU390" s="234">
        <v>0</v>
      </c>
      <c r="AV390" s="234">
        <v>3</v>
      </c>
      <c r="AW390" s="234">
        <v>4</v>
      </c>
      <c r="AX390" s="234">
        <v>0</v>
      </c>
      <c r="AY390" s="234">
        <v>0</v>
      </c>
      <c r="AZ390" s="234">
        <v>0</v>
      </c>
      <c r="BA390" s="234">
        <v>0</v>
      </c>
      <c r="BB390" s="234">
        <v>0</v>
      </c>
      <c r="BC390" s="234">
        <v>0</v>
      </c>
      <c r="BD390" s="234">
        <v>0</v>
      </c>
      <c r="BE390" s="234">
        <v>0</v>
      </c>
      <c r="BF390" s="234">
        <v>0</v>
      </c>
      <c r="BG390" s="234">
        <v>0</v>
      </c>
      <c r="BH390" s="234">
        <v>0</v>
      </c>
      <c r="BI390" s="234">
        <v>0</v>
      </c>
      <c r="BJ390" s="234">
        <v>0</v>
      </c>
      <c r="BK390" s="234">
        <v>0</v>
      </c>
      <c r="BL390" s="234">
        <v>0</v>
      </c>
      <c r="BM390" s="234">
        <v>0</v>
      </c>
      <c r="BN390" s="234">
        <v>0</v>
      </c>
      <c r="BO390" s="234">
        <v>0</v>
      </c>
      <c r="BP390" s="234"/>
      <c r="BQ390" s="234"/>
      <c r="BR390" s="237" t="s">
        <v>334</v>
      </c>
      <c r="BS390" s="238">
        <v>3</v>
      </c>
      <c r="BU390" s="239">
        <f t="shared" si="33"/>
        <v>7</v>
      </c>
      <c r="CN390" s="238">
        <f t="shared" si="31"/>
        <v>7</v>
      </c>
      <c r="CO390" s="238">
        <f t="shared" si="32"/>
        <v>7</v>
      </c>
    </row>
    <row r="391" spans="1:93" ht="13.95" customHeight="1" x14ac:dyDescent="0.2">
      <c r="A391" s="231">
        <v>365</v>
      </c>
      <c r="B391" s="232" t="s">
        <v>848</v>
      </c>
      <c r="C391" s="232" t="s">
        <v>1361</v>
      </c>
      <c r="D391" s="232" t="s">
        <v>867</v>
      </c>
      <c r="E391" s="232" t="s">
        <v>1362</v>
      </c>
      <c r="F391" s="231">
        <v>530104</v>
      </c>
      <c r="G391" s="231">
        <v>177808</v>
      </c>
      <c r="H391" s="232" t="s">
        <v>168</v>
      </c>
      <c r="I391" s="233">
        <v>42228</v>
      </c>
      <c r="J391" s="231"/>
      <c r="K391" s="231">
        <v>0</v>
      </c>
      <c r="L391" s="231">
        <v>57</v>
      </c>
      <c r="M391" s="231">
        <v>57</v>
      </c>
      <c r="N391" s="231">
        <v>57</v>
      </c>
      <c r="O391" s="231">
        <v>57</v>
      </c>
      <c r="P391" s="234" t="s">
        <v>318</v>
      </c>
      <c r="Q391" s="232" t="s">
        <v>1363</v>
      </c>
      <c r="R391" s="234" t="s">
        <v>469</v>
      </c>
      <c r="S391" s="235">
        <v>41920</v>
      </c>
      <c r="T391" s="235">
        <v>42016</v>
      </c>
      <c r="U391" s="234"/>
      <c r="V391" s="232" t="s">
        <v>321</v>
      </c>
      <c r="W391" s="231"/>
      <c r="X391" s="232" t="s">
        <v>322</v>
      </c>
      <c r="Y391" s="232" t="s">
        <v>323</v>
      </c>
      <c r="Z391" s="232" t="s">
        <v>323</v>
      </c>
      <c r="AA391" s="232" t="s">
        <v>324</v>
      </c>
      <c r="AB391" s="236">
        <v>1.4E-2</v>
      </c>
      <c r="AC391" s="235">
        <v>42228</v>
      </c>
      <c r="AD391" s="234"/>
      <c r="AE391" s="234"/>
      <c r="AF391" s="232" t="s">
        <v>56</v>
      </c>
      <c r="AG391" s="232" t="s">
        <v>345</v>
      </c>
      <c r="AH391" s="234" t="s">
        <v>869</v>
      </c>
      <c r="AI391" s="250"/>
      <c r="AJ391" s="234">
        <v>57</v>
      </c>
      <c r="AK391" s="234">
        <v>0</v>
      </c>
      <c r="AL391" s="234">
        <v>6</v>
      </c>
      <c r="AM391" s="234">
        <v>0</v>
      </c>
      <c r="AN391" s="234">
        <v>0</v>
      </c>
      <c r="AO391" s="234">
        <v>35</v>
      </c>
      <c r="AP391" s="234">
        <v>22</v>
      </c>
      <c r="AQ391" s="234">
        <v>0</v>
      </c>
      <c r="AR391" s="234">
        <v>0</v>
      </c>
      <c r="AS391" s="234">
        <v>0</v>
      </c>
      <c r="AT391" s="234">
        <v>0</v>
      </c>
      <c r="AU391" s="234">
        <v>0</v>
      </c>
      <c r="AV391" s="234">
        <v>35</v>
      </c>
      <c r="AW391" s="234">
        <v>22</v>
      </c>
      <c r="AX391" s="234">
        <v>0</v>
      </c>
      <c r="AY391" s="234">
        <v>0</v>
      </c>
      <c r="AZ391" s="234">
        <v>0</v>
      </c>
      <c r="BA391" s="234">
        <v>0</v>
      </c>
      <c r="BB391" s="234">
        <v>0</v>
      </c>
      <c r="BC391" s="234">
        <v>0</v>
      </c>
      <c r="BD391" s="234">
        <v>0</v>
      </c>
      <c r="BE391" s="234">
        <v>0</v>
      </c>
      <c r="BF391" s="234">
        <v>0</v>
      </c>
      <c r="BG391" s="234">
        <v>0</v>
      </c>
      <c r="BH391" s="234">
        <v>0</v>
      </c>
      <c r="BI391" s="234">
        <v>0</v>
      </c>
      <c r="BJ391" s="234">
        <v>0</v>
      </c>
      <c r="BK391" s="234">
        <v>0</v>
      </c>
      <c r="BL391" s="234">
        <v>0</v>
      </c>
      <c r="BM391" s="234">
        <v>0</v>
      </c>
      <c r="BN391" s="234">
        <v>0</v>
      </c>
      <c r="BO391" s="234">
        <v>0</v>
      </c>
      <c r="BP391" s="234"/>
      <c r="BQ391" s="234" t="s">
        <v>318</v>
      </c>
      <c r="BR391" s="237" t="s">
        <v>151</v>
      </c>
      <c r="BS391" s="238">
        <v>5</v>
      </c>
      <c r="BU391" s="239">
        <f t="shared" si="33"/>
        <v>57</v>
      </c>
      <c r="CN391" s="238">
        <f t="shared" si="31"/>
        <v>57</v>
      </c>
      <c r="CO391" s="238">
        <f t="shared" si="32"/>
        <v>57</v>
      </c>
    </row>
    <row r="392" spans="1:93" ht="13.95" customHeight="1" x14ac:dyDescent="0.2">
      <c r="A392" s="231">
        <v>4689</v>
      </c>
      <c r="B392" s="232" t="s">
        <v>848</v>
      </c>
      <c r="C392" s="232" t="s">
        <v>1364</v>
      </c>
      <c r="D392" s="232" t="s">
        <v>1365</v>
      </c>
      <c r="E392" s="232" t="s">
        <v>1366</v>
      </c>
      <c r="F392" s="231">
        <v>527473</v>
      </c>
      <c r="G392" s="231">
        <v>175071</v>
      </c>
      <c r="H392" s="232" t="s">
        <v>167</v>
      </c>
      <c r="I392" s="233">
        <v>44652</v>
      </c>
      <c r="J392" s="231"/>
      <c r="K392" s="231">
        <v>1</v>
      </c>
      <c r="L392" s="231">
        <v>1</v>
      </c>
      <c r="M392" s="231">
        <v>0</v>
      </c>
      <c r="N392" s="231">
        <v>2</v>
      </c>
      <c r="O392" s="231">
        <v>1</v>
      </c>
      <c r="P392" s="234"/>
      <c r="Q392" s="232" t="s">
        <v>1367</v>
      </c>
      <c r="R392" s="234" t="s">
        <v>332</v>
      </c>
      <c r="S392" s="235">
        <v>43543</v>
      </c>
      <c r="T392" s="235">
        <v>43599</v>
      </c>
      <c r="U392" s="234"/>
      <c r="V392" s="232" t="s">
        <v>321</v>
      </c>
      <c r="W392" s="231"/>
      <c r="X392" s="232" t="s">
        <v>322</v>
      </c>
      <c r="Y392" s="232" t="s">
        <v>338</v>
      </c>
      <c r="Z392" s="232" t="s">
        <v>324</v>
      </c>
      <c r="AA392" s="232" t="s">
        <v>411</v>
      </c>
      <c r="AB392" s="236">
        <v>3.0000000000000001E-3</v>
      </c>
      <c r="AC392" s="235">
        <v>44652</v>
      </c>
      <c r="AD392" s="234" t="s">
        <v>318</v>
      </c>
      <c r="AE392" s="234"/>
      <c r="AF392" s="232" t="s">
        <v>77</v>
      </c>
      <c r="AG392" s="232" t="s">
        <v>350</v>
      </c>
      <c r="AH392" s="234" t="s">
        <v>317</v>
      </c>
      <c r="AI392" s="250"/>
      <c r="AJ392" s="234">
        <v>0</v>
      </c>
      <c r="AK392" s="224"/>
      <c r="AL392" s="234">
        <v>0</v>
      </c>
      <c r="AM392" s="224"/>
      <c r="AN392" s="234">
        <v>0</v>
      </c>
      <c r="AO392" s="234">
        <v>1</v>
      </c>
      <c r="AP392" s="234">
        <v>0</v>
      </c>
      <c r="AQ392" s="234">
        <v>-1</v>
      </c>
      <c r="AR392" s="234">
        <v>0</v>
      </c>
      <c r="AS392" s="234">
        <v>0</v>
      </c>
      <c r="AT392" s="234">
        <v>0</v>
      </c>
      <c r="AU392" s="234">
        <v>0</v>
      </c>
      <c r="AV392" s="234">
        <v>1</v>
      </c>
      <c r="AW392" s="234">
        <v>0</v>
      </c>
      <c r="AX392" s="234">
        <v>-1</v>
      </c>
      <c r="AY392" s="234">
        <v>0</v>
      </c>
      <c r="AZ392" s="234">
        <v>0</v>
      </c>
      <c r="BA392" s="234">
        <v>0</v>
      </c>
      <c r="BB392" s="234">
        <v>0</v>
      </c>
      <c r="BC392" s="234">
        <v>0</v>
      </c>
      <c r="BD392" s="234">
        <v>0</v>
      </c>
      <c r="BE392" s="234">
        <v>0</v>
      </c>
      <c r="BF392" s="234">
        <v>0</v>
      </c>
      <c r="BG392" s="234">
        <v>0</v>
      </c>
      <c r="BH392" s="234">
        <v>0</v>
      </c>
      <c r="BI392" s="234">
        <v>0</v>
      </c>
      <c r="BJ392" s="234">
        <v>0</v>
      </c>
      <c r="BK392" s="234">
        <v>0</v>
      </c>
      <c r="BL392" s="234">
        <v>0</v>
      </c>
      <c r="BM392" s="234">
        <v>0</v>
      </c>
      <c r="BN392" s="234">
        <v>0</v>
      </c>
      <c r="BO392" s="234">
        <v>0</v>
      </c>
      <c r="BP392" s="234" t="s">
        <v>142</v>
      </c>
      <c r="BQ392" s="234"/>
      <c r="BR392" s="237" t="s">
        <v>150</v>
      </c>
      <c r="BS392" s="238">
        <v>13</v>
      </c>
      <c r="BU392" s="239">
        <f t="shared" si="33"/>
        <v>0</v>
      </c>
      <c r="CN392" s="238">
        <f t="shared" si="31"/>
        <v>0</v>
      </c>
      <c r="CO392" s="238">
        <f t="shared" si="32"/>
        <v>0</v>
      </c>
    </row>
    <row r="393" spans="1:93" ht="13.95" customHeight="1" x14ac:dyDescent="0.2">
      <c r="A393" s="231">
        <v>5862</v>
      </c>
      <c r="B393" s="232" t="s">
        <v>848</v>
      </c>
      <c r="C393" s="232" t="s">
        <v>1368</v>
      </c>
      <c r="D393" s="232" t="s">
        <v>1369</v>
      </c>
      <c r="E393" s="232" t="s">
        <v>1370</v>
      </c>
      <c r="F393" s="231">
        <v>524068</v>
      </c>
      <c r="G393" s="231">
        <v>175336</v>
      </c>
      <c r="H393" s="232" t="s">
        <v>175</v>
      </c>
      <c r="I393" s="233">
        <v>43190</v>
      </c>
      <c r="J393" s="231"/>
      <c r="K393" s="231">
        <v>1</v>
      </c>
      <c r="L393" s="231">
        <v>3</v>
      </c>
      <c r="M393" s="231">
        <v>2</v>
      </c>
      <c r="N393" s="231">
        <v>5</v>
      </c>
      <c r="O393" s="231">
        <v>4</v>
      </c>
      <c r="P393" s="234"/>
      <c r="Q393" s="232" t="s">
        <v>1371</v>
      </c>
      <c r="R393" s="234" t="s">
        <v>332</v>
      </c>
      <c r="S393" s="235">
        <v>43188</v>
      </c>
      <c r="T393" s="235">
        <v>43335</v>
      </c>
      <c r="U393" s="234"/>
      <c r="V393" s="232" t="s">
        <v>321</v>
      </c>
      <c r="W393" s="231"/>
      <c r="X393" s="232" t="s">
        <v>322</v>
      </c>
      <c r="Y393" s="232" t="s">
        <v>338</v>
      </c>
      <c r="Z393" s="232" t="s">
        <v>324</v>
      </c>
      <c r="AA393" s="232" t="s">
        <v>411</v>
      </c>
      <c r="AB393" s="236">
        <v>8.9999999999999993E-3</v>
      </c>
      <c r="AC393" s="235">
        <v>43190</v>
      </c>
      <c r="AD393" s="234"/>
      <c r="AE393" s="234"/>
      <c r="AF393" s="232" t="s">
        <v>77</v>
      </c>
      <c r="AG393" s="232" t="s">
        <v>350</v>
      </c>
      <c r="AH393" s="234" t="s">
        <v>317</v>
      </c>
      <c r="AI393" s="250"/>
      <c r="AJ393" s="234">
        <v>0</v>
      </c>
      <c r="AK393" s="224"/>
      <c r="AL393" s="234">
        <v>0</v>
      </c>
      <c r="AM393" s="224"/>
      <c r="AN393" s="234">
        <v>0</v>
      </c>
      <c r="AO393" s="234">
        <v>0</v>
      </c>
      <c r="AP393" s="234">
        <v>3</v>
      </c>
      <c r="AQ393" s="234">
        <v>-1</v>
      </c>
      <c r="AR393" s="234">
        <v>0</v>
      </c>
      <c r="AS393" s="234">
        <v>0</v>
      </c>
      <c r="AT393" s="234">
        <v>0</v>
      </c>
      <c r="AU393" s="234">
        <v>0</v>
      </c>
      <c r="AV393" s="234">
        <v>0</v>
      </c>
      <c r="AW393" s="234">
        <v>3</v>
      </c>
      <c r="AX393" s="234">
        <v>-1</v>
      </c>
      <c r="AY393" s="234">
        <v>0</v>
      </c>
      <c r="AZ393" s="234">
        <v>0</v>
      </c>
      <c r="BA393" s="234">
        <v>0</v>
      </c>
      <c r="BB393" s="234">
        <v>0</v>
      </c>
      <c r="BC393" s="234">
        <v>0</v>
      </c>
      <c r="BD393" s="234">
        <v>0</v>
      </c>
      <c r="BE393" s="234">
        <v>0</v>
      </c>
      <c r="BF393" s="234">
        <v>0</v>
      </c>
      <c r="BG393" s="234">
        <v>0</v>
      </c>
      <c r="BH393" s="234">
        <v>0</v>
      </c>
      <c r="BI393" s="234">
        <v>0</v>
      </c>
      <c r="BJ393" s="234">
        <v>0</v>
      </c>
      <c r="BK393" s="234">
        <v>0</v>
      </c>
      <c r="BL393" s="234">
        <v>0</v>
      </c>
      <c r="BM393" s="234">
        <v>0</v>
      </c>
      <c r="BN393" s="234">
        <v>0</v>
      </c>
      <c r="BO393" s="234">
        <v>0</v>
      </c>
      <c r="BP393" s="234" t="s">
        <v>143</v>
      </c>
      <c r="BQ393" s="234"/>
      <c r="BR393" s="237" t="s">
        <v>152</v>
      </c>
      <c r="BS393" s="238">
        <v>13</v>
      </c>
      <c r="BU393" s="239">
        <f t="shared" si="33"/>
        <v>2</v>
      </c>
      <c r="CN393" s="238">
        <f t="shared" si="31"/>
        <v>2</v>
      </c>
      <c r="CO393" s="238">
        <f t="shared" si="32"/>
        <v>2</v>
      </c>
    </row>
    <row r="394" spans="1:93" ht="13.95" customHeight="1" x14ac:dyDescent="0.2">
      <c r="A394" s="231">
        <v>7194</v>
      </c>
      <c r="B394" s="232" t="s">
        <v>848</v>
      </c>
      <c r="C394" s="232" t="s">
        <v>1372</v>
      </c>
      <c r="D394" s="232" t="s">
        <v>1373</v>
      </c>
      <c r="E394" s="232" t="s">
        <v>1374</v>
      </c>
      <c r="F394" s="231">
        <v>524291</v>
      </c>
      <c r="G394" s="231">
        <v>174776</v>
      </c>
      <c r="H394" s="232" t="s">
        <v>164</v>
      </c>
      <c r="I394" s="233">
        <v>44487</v>
      </c>
      <c r="J394" s="231"/>
      <c r="K394" s="231">
        <v>15</v>
      </c>
      <c r="L394" s="231">
        <v>0</v>
      </c>
      <c r="M394" s="231">
        <v>-15</v>
      </c>
      <c r="N394" s="231">
        <v>8</v>
      </c>
      <c r="O394" s="231">
        <v>-7</v>
      </c>
      <c r="P394" s="234"/>
      <c r="Q394" s="232" t="s">
        <v>1375</v>
      </c>
      <c r="R394" s="234" t="s">
        <v>332</v>
      </c>
      <c r="S394" s="235">
        <v>43635</v>
      </c>
      <c r="T394" s="235">
        <v>43696</v>
      </c>
      <c r="U394" s="234"/>
      <c r="V394" s="232" t="s">
        <v>321</v>
      </c>
      <c r="W394" s="231"/>
      <c r="X394" s="232" t="s">
        <v>322</v>
      </c>
      <c r="Y394" s="232" t="s">
        <v>378</v>
      </c>
      <c r="Z394" s="232" t="s">
        <v>324</v>
      </c>
      <c r="AA394" s="232" t="s">
        <v>553</v>
      </c>
      <c r="AB394" s="236">
        <v>0</v>
      </c>
      <c r="AC394" s="235">
        <v>44487</v>
      </c>
      <c r="AD394" s="234"/>
      <c r="AE394" s="234"/>
      <c r="AF394" s="232" t="s">
        <v>57</v>
      </c>
      <c r="AG394" s="232" t="s">
        <v>1376</v>
      </c>
      <c r="AH394" s="234" t="s">
        <v>317</v>
      </c>
      <c r="AI394" s="250"/>
      <c r="AJ394" s="234">
        <v>0</v>
      </c>
      <c r="AK394" s="224"/>
      <c r="AL394" s="234">
        <v>0</v>
      </c>
      <c r="AM394" s="224"/>
      <c r="AN394" s="234">
        <v>-15</v>
      </c>
      <c r="AO394" s="234">
        <v>0</v>
      </c>
      <c r="AP394" s="234">
        <v>0</v>
      </c>
      <c r="AQ394" s="234">
        <v>0</v>
      </c>
      <c r="AR394" s="234">
        <v>0</v>
      </c>
      <c r="AS394" s="234">
        <v>0</v>
      </c>
      <c r="AT394" s="234">
        <v>0</v>
      </c>
      <c r="AU394" s="234">
        <v>-15</v>
      </c>
      <c r="AV394" s="234">
        <v>0</v>
      </c>
      <c r="AW394" s="234">
        <v>0</v>
      </c>
      <c r="AX394" s="234">
        <v>0</v>
      </c>
      <c r="AY394" s="234">
        <v>0</v>
      </c>
      <c r="AZ394" s="234">
        <v>0</v>
      </c>
      <c r="BA394" s="234">
        <v>0</v>
      </c>
      <c r="BB394" s="234">
        <v>0</v>
      </c>
      <c r="BC394" s="234">
        <v>0</v>
      </c>
      <c r="BD394" s="234">
        <v>0</v>
      </c>
      <c r="BE394" s="234">
        <v>0</v>
      </c>
      <c r="BF394" s="234">
        <v>0</v>
      </c>
      <c r="BG394" s="234">
        <v>0</v>
      </c>
      <c r="BH394" s="234">
        <v>0</v>
      </c>
      <c r="BI394" s="234">
        <v>0</v>
      </c>
      <c r="BJ394" s="234">
        <v>0</v>
      </c>
      <c r="BK394" s="234">
        <v>0</v>
      </c>
      <c r="BL394" s="234">
        <v>0</v>
      </c>
      <c r="BM394" s="234">
        <v>0</v>
      </c>
      <c r="BN394" s="234">
        <v>0</v>
      </c>
      <c r="BO394" s="234">
        <v>0</v>
      </c>
      <c r="BP394" s="234"/>
      <c r="BQ394" s="234"/>
      <c r="BR394" s="237" t="s">
        <v>334</v>
      </c>
      <c r="BS394" s="238">
        <v>13</v>
      </c>
      <c r="BU394" s="239">
        <f t="shared" si="33"/>
        <v>-15</v>
      </c>
      <c r="CN394" s="238">
        <f t="shared" si="31"/>
        <v>-15</v>
      </c>
      <c r="CO394" s="238">
        <f t="shared" si="32"/>
        <v>-15</v>
      </c>
    </row>
    <row r="395" spans="1:93" ht="13.95" customHeight="1" x14ac:dyDescent="0.2">
      <c r="A395" s="231">
        <v>4689</v>
      </c>
      <c r="B395" s="232" t="s">
        <v>848</v>
      </c>
      <c r="C395" s="232" t="s">
        <v>1364</v>
      </c>
      <c r="D395" s="232" t="s">
        <v>1365</v>
      </c>
      <c r="E395" s="232" t="s">
        <v>1377</v>
      </c>
      <c r="F395" s="231">
        <v>527473</v>
      </c>
      <c r="G395" s="231">
        <v>175071</v>
      </c>
      <c r="H395" s="232" t="s">
        <v>167</v>
      </c>
      <c r="I395" s="233">
        <v>44652</v>
      </c>
      <c r="J395" s="231"/>
      <c r="K395" s="231">
        <v>0</v>
      </c>
      <c r="L395" s="231">
        <v>1</v>
      </c>
      <c r="M395" s="231">
        <v>1</v>
      </c>
      <c r="N395" s="231">
        <v>2</v>
      </c>
      <c r="O395" s="231">
        <v>1</v>
      </c>
      <c r="P395" s="234"/>
      <c r="Q395" s="232" t="s">
        <v>1367</v>
      </c>
      <c r="R395" s="234" t="s">
        <v>332</v>
      </c>
      <c r="S395" s="235">
        <v>43543</v>
      </c>
      <c r="T395" s="235">
        <v>43599</v>
      </c>
      <c r="U395" s="234"/>
      <c r="V395" s="232" t="s">
        <v>321</v>
      </c>
      <c r="W395" s="231"/>
      <c r="X395" s="232" t="s">
        <v>322</v>
      </c>
      <c r="Y395" s="232" t="s">
        <v>338</v>
      </c>
      <c r="Z395" s="232" t="s">
        <v>324</v>
      </c>
      <c r="AA395" s="232" t="s">
        <v>354</v>
      </c>
      <c r="AB395" s="236">
        <v>4.0000000000000001E-3</v>
      </c>
      <c r="AC395" s="235">
        <v>44652</v>
      </c>
      <c r="AD395" s="234" t="s">
        <v>318</v>
      </c>
      <c r="AE395" s="234"/>
      <c r="AF395" s="232" t="s">
        <v>77</v>
      </c>
      <c r="AG395" s="232" t="s">
        <v>350</v>
      </c>
      <c r="AH395" s="234" t="s">
        <v>317</v>
      </c>
      <c r="AI395" s="250"/>
      <c r="AJ395" s="234">
        <v>0</v>
      </c>
      <c r="AK395" s="224"/>
      <c r="AL395" s="234">
        <v>0</v>
      </c>
      <c r="AM395" s="224"/>
      <c r="AN395" s="234">
        <v>0</v>
      </c>
      <c r="AO395" s="234">
        <v>0</v>
      </c>
      <c r="AP395" s="234">
        <v>0</v>
      </c>
      <c r="AQ395" s="234">
        <v>1</v>
      </c>
      <c r="AR395" s="234">
        <v>0</v>
      </c>
      <c r="AS395" s="234">
        <v>0</v>
      </c>
      <c r="AT395" s="234">
        <v>0</v>
      </c>
      <c r="AU395" s="234">
        <v>0</v>
      </c>
      <c r="AV395" s="234">
        <v>0</v>
      </c>
      <c r="AW395" s="234">
        <v>0</v>
      </c>
      <c r="AX395" s="234">
        <v>1</v>
      </c>
      <c r="AY395" s="234">
        <v>0</v>
      </c>
      <c r="AZ395" s="234">
        <v>0</v>
      </c>
      <c r="BA395" s="234">
        <v>0</v>
      </c>
      <c r="BB395" s="234">
        <v>0</v>
      </c>
      <c r="BC395" s="234">
        <v>0</v>
      </c>
      <c r="BD395" s="234">
        <v>0</v>
      </c>
      <c r="BE395" s="234">
        <v>0</v>
      </c>
      <c r="BF395" s="234">
        <v>0</v>
      </c>
      <c r="BG395" s="234">
        <v>0</v>
      </c>
      <c r="BH395" s="234">
        <v>0</v>
      </c>
      <c r="BI395" s="234">
        <v>0</v>
      </c>
      <c r="BJ395" s="234">
        <v>0</v>
      </c>
      <c r="BK395" s="234">
        <v>0</v>
      </c>
      <c r="BL395" s="234">
        <v>0</v>
      </c>
      <c r="BM395" s="234">
        <v>0</v>
      </c>
      <c r="BN395" s="234">
        <v>0</v>
      </c>
      <c r="BO395" s="234">
        <v>0</v>
      </c>
      <c r="BP395" s="234" t="s">
        <v>142</v>
      </c>
      <c r="BQ395" s="234"/>
      <c r="BR395" s="237" t="s">
        <v>150</v>
      </c>
      <c r="BS395" s="238">
        <v>13</v>
      </c>
      <c r="BU395" s="239">
        <f t="shared" si="33"/>
        <v>1</v>
      </c>
      <c r="CN395" s="238">
        <f t="shared" si="31"/>
        <v>1</v>
      </c>
      <c r="CO395" s="238">
        <f t="shared" si="32"/>
        <v>1</v>
      </c>
    </row>
    <row r="396" spans="1:93" ht="13.95" customHeight="1" x14ac:dyDescent="0.2">
      <c r="A396" s="231">
        <v>967</v>
      </c>
      <c r="B396" s="232" t="s">
        <v>848</v>
      </c>
      <c r="C396" s="232" t="s">
        <v>1378</v>
      </c>
      <c r="D396" s="232" t="s">
        <v>1379</v>
      </c>
      <c r="E396" s="232" t="s">
        <v>1380</v>
      </c>
      <c r="F396" s="231">
        <v>525095</v>
      </c>
      <c r="G396" s="231">
        <v>174084</v>
      </c>
      <c r="H396" s="232" t="s">
        <v>164</v>
      </c>
      <c r="I396" s="233">
        <v>44468</v>
      </c>
      <c r="J396" s="231"/>
      <c r="K396" s="231">
        <v>0</v>
      </c>
      <c r="L396" s="231">
        <v>2</v>
      </c>
      <c r="M396" s="231">
        <v>2</v>
      </c>
      <c r="N396" s="231">
        <v>8</v>
      </c>
      <c r="O396" s="231">
        <v>4</v>
      </c>
      <c r="P396" s="234"/>
      <c r="Q396" s="232" t="s">
        <v>1381</v>
      </c>
      <c r="R396" s="234" t="s">
        <v>332</v>
      </c>
      <c r="S396" s="235">
        <v>43291</v>
      </c>
      <c r="T396" s="235">
        <v>43426</v>
      </c>
      <c r="U396" s="234"/>
      <c r="V396" s="232" t="s">
        <v>321</v>
      </c>
      <c r="W396" s="231"/>
      <c r="X396" s="232" t="s">
        <v>322</v>
      </c>
      <c r="Y396" s="232" t="s">
        <v>365</v>
      </c>
      <c r="Z396" s="232" t="s">
        <v>324</v>
      </c>
      <c r="AA396" s="232" t="s">
        <v>354</v>
      </c>
      <c r="AB396" s="236">
        <v>1.7999999999999999E-2</v>
      </c>
      <c r="AC396" s="235">
        <v>44468</v>
      </c>
      <c r="AD396" s="234"/>
      <c r="AE396" s="234"/>
      <c r="AF396" s="232" t="s">
        <v>77</v>
      </c>
      <c r="AG396" s="232" t="s">
        <v>350</v>
      </c>
      <c r="AH396" s="234" t="s">
        <v>317</v>
      </c>
      <c r="AI396" s="250"/>
      <c r="AJ396" s="234">
        <v>0</v>
      </c>
      <c r="AK396" s="224"/>
      <c r="AL396" s="234">
        <v>0</v>
      </c>
      <c r="AM396" s="224"/>
      <c r="AN396" s="234">
        <v>0</v>
      </c>
      <c r="AO396" s="234">
        <v>0</v>
      </c>
      <c r="AP396" s="234">
        <v>2</v>
      </c>
      <c r="AQ396" s="234">
        <v>0</v>
      </c>
      <c r="AR396" s="234">
        <v>0</v>
      </c>
      <c r="AS396" s="234">
        <v>0</v>
      </c>
      <c r="AT396" s="234">
        <v>0</v>
      </c>
      <c r="AU396" s="234">
        <v>0</v>
      </c>
      <c r="AV396" s="234">
        <v>0</v>
      </c>
      <c r="AW396" s="234">
        <v>2</v>
      </c>
      <c r="AX396" s="234">
        <v>0</v>
      </c>
      <c r="AY396" s="234">
        <v>0</v>
      </c>
      <c r="AZ396" s="234">
        <v>0</v>
      </c>
      <c r="BA396" s="234">
        <v>0</v>
      </c>
      <c r="BB396" s="234">
        <v>0</v>
      </c>
      <c r="BC396" s="234">
        <v>0</v>
      </c>
      <c r="BD396" s="234">
        <v>0</v>
      </c>
      <c r="BE396" s="234">
        <v>0</v>
      </c>
      <c r="BF396" s="234">
        <v>0</v>
      </c>
      <c r="BG396" s="234">
        <v>0</v>
      </c>
      <c r="BH396" s="234">
        <v>0</v>
      </c>
      <c r="BI396" s="234">
        <v>0</v>
      </c>
      <c r="BJ396" s="234">
        <v>0</v>
      </c>
      <c r="BK396" s="234">
        <v>0</v>
      </c>
      <c r="BL396" s="234">
        <v>0</v>
      </c>
      <c r="BM396" s="234">
        <v>0</v>
      </c>
      <c r="BN396" s="234">
        <v>0</v>
      </c>
      <c r="BO396" s="234">
        <v>0</v>
      </c>
      <c r="BP396" s="234"/>
      <c r="BQ396" s="234"/>
      <c r="BR396" s="237" t="s">
        <v>334</v>
      </c>
      <c r="BS396" s="238">
        <v>13</v>
      </c>
      <c r="BU396" s="239">
        <f t="shared" si="33"/>
        <v>2</v>
      </c>
      <c r="CN396" s="238">
        <f t="shared" si="31"/>
        <v>2</v>
      </c>
      <c r="CO396" s="238">
        <f t="shared" si="32"/>
        <v>2</v>
      </c>
    </row>
    <row r="397" spans="1:93" ht="13.95" customHeight="1" x14ac:dyDescent="0.2">
      <c r="A397" s="231">
        <v>7296</v>
      </c>
      <c r="B397" s="232" t="s">
        <v>848</v>
      </c>
      <c r="C397" s="232" t="s">
        <v>1382</v>
      </c>
      <c r="D397" s="232" t="s">
        <v>1383</v>
      </c>
      <c r="E397" s="232" t="s">
        <v>1384</v>
      </c>
      <c r="F397" s="231">
        <v>522049</v>
      </c>
      <c r="G397" s="231">
        <v>173511</v>
      </c>
      <c r="H397" s="232" t="s">
        <v>170</v>
      </c>
      <c r="I397" s="233">
        <v>44652</v>
      </c>
      <c r="J397" s="231"/>
      <c r="K397" s="231">
        <v>0</v>
      </c>
      <c r="L397" s="231">
        <v>7</v>
      </c>
      <c r="M397" s="231">
        <v>7</v>
      </c>
      <c r="N397" s="231">
        <v>14</v>
      </c>
      <c r="O397" s="231">
        <v>14</v>
      </c>
      <c r="P397" s="234" t="s">
        <v>318</v>
      </c>
      <c r="Q397" s="232" t="s">
        <v>1385</v>
      </c>
      <c r="R397" s="234" t="s">
        <v>320</v>
      </c>
      <c r="S397" s="235">
        <v>43780</v>
      </c>
      <c r="T397" s="235">
        <v>44505</v>
      </c>
      <c r="U397" s="234"/>
      <c r="V397" s="232" t="s">
        <v>321</v>
      </c>
      <c r="W397" s="231"/>
      <c r="X397" s="232" t="s">
        <v>322</v>
      </c>
      <c r="Y397" s="232" t="s">
        <v>323</v>
      </c>
      <c r="Z397" s="232" t="s">
        <v>323</v>
      </c>
      <c r="AA397" s="232" t="s">
        <v>324</v>
      </c>
      <c r="AB397" s="236">
        <v>4.5999999999999999E-2</v>
      </c>
      <c r="AC397" s="235">
        <v>44819</v>
      </c>
      <c r="AD397" s="234" t="s">
        <v>318</v>
      </c>
      <c r="AE397" s="234"/>
      <c r="AF397" s="232" t="s">
        <v>57</v>
      </c>
      <c r="AG397" s="232" t="s">
        <v>333</v>
      </c>
      <c r="AH397" s="234" t="s">
        <v>317</v>
      </c>
      <c r="AI397" s="250"/>
      <c r="AJ397" s="234">
        <v>0</v>
      </c>
      <c r="AK397" s="234">
        <v>5</v>
      </c>
      <c r="AL397" s="234">
        <v>0</v>
      </c>
      <c r="AM397" s="234">
        <v>2</v>
      </c>
      <c r="AN397" s="234">
        <v>0</v>
      </c>
      <c r="AO397" s="234">
        <v>0</v>
      </c>
      <c r="AP397" s="234">
        <v>0</v>
      </c>
      <c r="AQ397" s="234">
        <v>5</v>
      </c>
      <c r="AR397" s="234">
        <v>2</v>
      </c>
      <c r="AS397" s="234">
        <v>0</v>
      </c>
      <c r="AT397" s="234">
        <v>0</v>
      </c>
      <c r="AU397" s="234">
        <v>0</v>
      </c>
      <c r="AV397" s="234">
        <v>0</v>
      </c>
      <c r="AW397" s="234">
        <v>0</v>
      </c>
      <c r="AX397" s="234">
        <v>5</v>
      </c>
      <c r="AY397" s="234">
        <v>2</v>
      </c>
      <c r="AZ397" s="234">
        <v>0</v>
      </c>
      <c r="BA397" s="234">
        <v>0</v>
      </c>
      <c r="BB397" s="234">
        <v>0</v>
      </c>
      <c r="BC397" s="234">
        <v>0</v>
      </c>
      <c r="BD397" s="234">
        <v>0</v>
      </c>
      <c r="BE397" s="234">
        <v>0</v>
      </c>
      <c r="BF397" s="234">
        <v>0</v>
      </c>
      <c r="BG397" s="234">
        <v>0</v>
      </c>
      <c r="BH397" s="234">
        <v>0</v>
      </c>
      <c r="BI397" s="234">
        <v>0</v>
      </c>
      <c r="BJ397" s="234">
        <v>0</v>
      </c>
      <c r="BK397" s="234">
        <v>0</v>
      </c>
      <c r="BL397" s="234">
        <v>0</v>
      </c>
      <c r="BM397" s="234">
        <v>0</v>
      </c>
      <c r="BN397" s="234">
        <v>0</v>
      </c>
      <c r="BO397" s="234">
        <v>0</v>
      </c>
      <c r="BP397" s="234"/>
      <c r="BQ397" s="234"/>
      <c r="BR397" s="237" t="s">
        <v>334</v>
      </c>
      <c r="BS397" s="238">
        <v>2</v>
      </c>
      <c r="BU397" s="239">
        <f t="shared" si="33"/>
        <v>7</v>
      </c>
      <c r="CN397" s="238">
        <f t="shared" si="31"/>
        <v>7</v>
      </c>
      <c r="CO397" s="238">
        <f t="shared" si="32"/>
        <v>7</v>
      </c>
    </row>
    <row r="398" spans="1:93" ht="13.95" customHeight="1" x14ac:dyDescent="0.2">
      <c r="A398" s="231">
        <v>7433</v>
      </c>
      <c r="B398" s="232" t="s">
        <v>848</v>
      </c>
      <c r="C398" s="232" t="s">
        <v>1386</v>
      </c>
      <c r="D398" s="232" t="s">
        <v>1387</v>
      </c>
      <c r="E398" s="232" t="s">
        <v>1388</v>
      </c>
      <c r="F398" s="231">
        <v>528136</v>
      </c>
      <c r="G398" s="231">
        <v>174080</v>
      </c>
      <c r="H398" s="232" t="s">
        <v>141</v>
      </c>
      <c r="I398" s="233">
        <v>44258</v>
      </c>
      <c r="J398" s="231"/>
      <c r="K398" s="231">
        <v>1</v>
      </c>
      <c r="L398" s="231">
        <v>1</v>
      </c>
      <c r="M398" s="231">
        <v>0</v>
      </c>
      <c r="N398" s="231">
        <v>2</v>
      </c>
      <c r="O398" s="231">
        <v>1</v>
      </c>
      <c r="P398" s="234"/>
      <c r="Q398" s="232" t="s">
        <v>1389</v>
      </c>
      <c r="R398" s="234" t="s">
        <v>332</v>
      </c>
      <c r="S398" s="235">
        <v>44043</v>
      </c>
      <c r="T398" s="235">
        <v>44165</v>
      </c>
      <c r="U398" s="234"/>
      <c r="V398" s="232" t="s">
        <v>321</v>
      </c>
      <c r="W398" s="231"/>
      <c r="X398" s="232" t="s">
        <v>322</v>
      </c>
      <c r="Y398" s="232" t="s">
        <v>323</v>
      </c>
      <c r="Z398" s="232" t="s">
        <v>324</v>
      </c>
      <c r="AA398" s="232" t="s">
        <v>349</v>
      </c>
      <c r="AB398" s="236">
        <v>3.2000000000000001E-2</v>
      </c>
      <c r="AC398" s="235">
        <v>44258</v>
      </c>
      <c r="AD398" s="234"/>
      <c r="AE398" s="234"/>
      <c r="AF398" s="232" t="s">
        <v>77</v>
      </c>
      <c r="AG398" s="232" t="s">
        <v>350</v>
      </c>
      <c r="AH398" s="234" t="s">
        <v>317</v>
      </c>
      <c r="AI398" s="250"/>
      <c r="AJ398" s="234">
        <v>0</v>
      </c>
      <c r="AK398" s="224"/>
      <c r="AL398" s="234">
        <v>0</v>
      </c>
      <c r="AM398" s="224"/>
      <c r="AN398" s="234">
        <v>0</v>
      </c>
      <c r="AO398" s="234">
        <v>0</v>
      </c>
      <c r="AP398" s="234">
        <v>0</v>
      </c>
      <c r="AQ398" s="234">
        <v>0</v>
      </c>
      <c r="AR398" s="234">
        <v>-1</v>
      </c>
      <c r="AS398" s="234">
        <v>1</v>
      </c>
      <c r="AT398" s="234">
        <v>0</v>
      </c>
      <c r="AU398" s="234">
        <v>0</v>
      </c>
      <c r="AV398" s="234">
        <v>0</v>
      </c>
      <c r="AW398" s="234">
        <v>0</v>
      </c>
      <c r="AX398" s="234">
        <v>0</v>
      </c>
      <c r="AY398" s="234">
        <v>0</v>
      </c>
      <c r="AZ398" s="234">
        <v>0</v>
      </c>
      <c r="BA398" s="234">
        <v>0</v>
      </c>
      <c r="BB398" s="234">
        <v>0</v>
      </c>
      <c r="BC398" s="234">
        <v>0</v>
      </c>
      <c r="BD398" s="234">
        <v>0</v>
      </c>
      <c r="BE398" s="234">
        <v>0</v>
      </c>
      <c r="BF398" s="234">
        <v>-1</v>
      </c>
      <c r="BG398" s="234">
        <v>1</v>
      </c>
      <c r="BH398" s="234">
        <v>0</v>
      </c>
      <c r="BI398" s="234">
        <v>0</v>
      </c>
      <c r="BJ398" s="234">
        <v>0</v>
      </c>
      <c r="BK398" s="234">
        <v>0</v>
      </c>
      <c r="BL398" s="234">
        <v>0</v>
      </c>
      <c r="BM398" s="234">
        <v>0</v>
      </c>
      <c r="BN398" s="234">
        <v>0</v>
      </c>
      <c r="BO398" s="234">
        <v>0</v>
      </c>
      <c r="BP398" s="234"/>
      <c r="BQ398" s="234"/>
      <c r="BR398" s="237" t="s">
        <v>334</v>
      </c>
      <c r="BS398" s="238">
        <v>3</v>
      </c>
      <c r="BU398" s="239">
        <f t="shared" si="33"/>
        <v>0</v>
      </c>
      <c r="CN398" s="238">
        <f t="shared" si="31"/>
        <v>0</v>
      </c>
      <c r="CO398" s="238">
        <f t="shared" si="32"/>
        <v>0</v>
      </c>
    </row>
    <row r="399" spans="1:93" ht="13.95" customHeight="1" x14ac:dyDescent="0.2">
      <c r="A399" s="231">
        <v>7433</v>
      </c>
      <c r="B399" s="232" t="s">
        <v>848</v>
      </c>
      <c r="C399" s="232" t="s">
        <v>1386</v>
      </c>
      <c r="D399" s="232" t="s">
        <v>1387</v>
      </c>
      <c r="E399" s="232" t="s">
        <v>1390</v>
      </c>
      <c r="F399" s="231">
        <v>528136</v>
      </c>
      <c r="G399" s="231">
        <v>174080</v>
      </c>
      <c r="H399" s="232" t="s">
        <v>141</v>
      </c>
      <c r="I399" s="233">
        <v>44258</v>
      </c>
      <c r="J399" s="231"/>
      <c r="K399" s="231">
        <v>0</v>
      </c>
      <c r="L399" s="231">
        <v>1</v>
      </c>
      <c r="M399" s="231">
        <v>1</v>
      </c>
      <c r="N399" s="231">
        <v>2</v>
      </c>
      <c r="O399" s="231">
        <v>1</v>
      </c>
      <c r="P399" s="234"/>
      <c r="Q399" s="232" t="s">
        <v>1389</v>
      </c>
      <c r="R399" s="234" t="s">
        <v>332</v>
      </c>
      <c r="S399" s="235">
        <v>44043</v>
      </c>
      <c r="T399" s="235">
        <v>44165</v>
      </c>
      <c r="U399" s="234"/>
      <c r="V399" s="232" t="s">
        <v>321</v>
      </c>
      <c r="W399" s="231"/>
      <c r="X399" s="232" t="s">
        <v>322</v>
      </c>
      <c r="Y399" s="232" t="s">
        <v>323</v>
      </c>
      <c r="Z399" s="232" t="s">
        <v>324</v>
      </c>
      <c r="AA399" s="232" t="s">
        <v>349</v>
      </c>
      <c r="AB399" s="236">
        <v>3.1E-2</v>
      </c>
      <c r="AC399" s="235">
        <v>44258</v>
      </c>
      <c r="AD399" s="234"/>
      <c r="AE399" s="234"/>
      <c r="AF399" s="232" t="s">
        <v>77</v>
      </c>
      <c r="AG399" s="232" t="s">
        <v>350</v>
      </c>
      <c r="AH399" s="234" t="s">
        <v>317</v>
      </c>
      <c r="AI399" s="250"/>
      <c r="AJ399" s="234">
        <v>0</v>
      </c>
      <c r="AK399" s="224"/>
      <c r="AL399" s="234">
        <v>0</v>
      </c>
      <c r="AM399" s="224"/>
      <c r="AN399" s="234">
        <v>0</v>
      </c>
      <c r="AO399" s="234">
        <v>0</v>
      </c>
      <c r="AP399" s="234">
        <v>0</v>
      </c>
      <c r="AQ399" s="234">
        <v>0</v>
      </c>
      <c r="AR399" s="234">
        <v>0</v>
      </c>
      <c r="AS399" s="234">
        <v>1</v>
      </c>
      <c r="AT399" s="234">
        <v>0</v>
      </c>
      <c r="AU399" s="234">
        <v>0</v>
      </c>
      <c r="AV399" s="234">
        <v>0</v>
      </c>
      <c r="AW399" s="234">
        <v>0</v>
      </c>
      <c r="AX399" s="234">
        <v>0</v>
      </c>
      <c r="AY399" s="234">
        <v>0</v>
      </c>
      <c r="AZ399" s="234">
        <v>0</v>
      </c>
      <c r="BA399" s="234">
        <v>0</v>
      </c>
      <c r="BB399" s="234">
        <v>0</v>
      </c>
      <c r="BC399" s="234">
        <v>0</v>
      </c>
      <c r="BD399" s="234">
        <v>0</v>
      </c>
      <c r="BE399" s="234">
        <v>0</v>
      </c>
      <c r="BF399" s="234">
        <v>0</v>
      </c>
      <c r="BG399" s="234">
        <v>1</v>
      </c>
      <c r="BH399" s="234">
        <v>0</v>
      </c>
      <c r="BI399" s="234">
        <v>0</v>
      </c>
      <c r="BJ399" s="234">
        <v>0</v>
      </c>
      <c r="BK399" s="234">
        <v>0</v>
      </c>
      <c r="BL399" s="234">
        <v>0</v>
      </c>
      <c r="BM399" s="234">
        <v>0</v>
      </c>
      <c r="BN399" s="234">
        <v>0</v>
      </c>
      <c r="BO399" s="234">
        <v>0</v>
      </c>
      <c r="BP399" s="234"/>
      <c r="BQ399" s="234"/>
      <c r="BR399" s="237" t="s">
        <v>334</v>
      </c>
      <c r="BS399" s="238">
        <v>3</v>
      </c>
      <c r="BU399" s="239">
        <f t="shared" si="33"/>
        <v>1</v>
      </c>
      <c r="CN399" s="238">
        <f t="shared" si="31"/>
        <v>1</v>
      </c>
      <c r="CO399" s="238">
        <f t="shared" si="32"/>
        <v>1</v>
      </c>
    </row>
    <row r="400" spans="1:93" ht="13.95" customHeight="1" x14ac:dyDescent="0.2">
      <c r="A400" s="231">
        <v>7187</v>
      </c>
      <c r="B400" s="232" t="s">
        <v>848</v>
      </c>
      <c r="C400" s="232" t="s">
        <v>1391</v>
      </c>
      <c r="D400" s="232" t="s">
        <v>1392</v>
      </c>
      <c r="E400" s="232" t="s">
        <v>56</v>
      </c>
      <c r="F400" s="231">
        <v>526782</v>
      </c>
      <c r="G400" s="231">
        <v>176145</v>
      </c>
      <c r="H400" s="232" t="s">
        <v>174</v>
      </c>
      <c r="I400" s="233">
        <v>44169</v>
      </c>
      <c r="J400" s="231"/>
      <c r="K400" s="231">
        <v>0</v>
      </c>
      <c r="L400" s="231">
        <v>41</v>
      </c>
      <c r="M400" s="231">
        <v>41</v>
      </c>
      <c r="N400" s="231">
        <v>79</v>
      </c>
      <c r="O400" s="231">
        <v>79</v>
      </c>
      <c r="P400" s="234" t="s">
        <v>318</v>
      </c>
      <c r="Q400" s="232" t="s">
        <v>1393</v>
      </c>
      <c r="R400" s="234" t="s">
        <v>320</v>
      </c>
      <c r="S400" s="235">
        <v>44294</v>
      </c>
      <c r="T400" s="235">
        <v>44917</v>
      </c>
      <c r="U400" s="234" t="s">
        <v>318</v>
      </c>
      <c r="V400" s="232" t="s">
        <v>321</v>
      </c>
      <c r="W400" s="231"/>
      <c r="X400" s="232" t="s">
        <v>322</v>
      </c>
      <c r="Y400" s="232" t="s">
        <v>323</v>
      </c>
      <c r="Z400" s="232" t="s">
        <v>323</v>
      </c>
      <c r="AA400" s="232" t="s">
        <v>324</v>
      </c>
      <c r="AB400" s="236">
        <v>2.1000000000000001E-2</v>
      </c>
      <c r="AC400" s="235">
        <v>44169</v>
      </c>
      <c r="AD400" s="234"/>
      <c r="AE400" s="234"/>
      <c r="AF400" s="232" t="s">
        <v>56</v>
      </c>
      <c r="AG400" s="232" t="s">
        <v>325</v>
      </c>
      <c r="AH400" s="234" t="s">
        <v>317</v>
      </c>
      <c r="AI400" s="250"/>
      <c r="AJ400" s="234">
        <v>0</v>
      </c>
      <c r="AK400" s="224"/>
      <c r="AL400" s="234">
        <v>0</v>
      </c>
      <c r="AM400" s="234">
        <v>8</v>
      </c>
      <c r="AN400" s="234">
        <v>0</v>
      </c>
      <c r="AO400" s="234">
        <v>16</v>
      </c>
      <c r="AP400" s="234">
        <v>25</v>
      </c>
      <c r="AQ400" s="234">
        <v>0</v>
      </c>
      <c r="AR400" s="234">
        <v>0</v>
      </c>
      <c r="AS400" s="234">
        <v>0</v>
      </c>
      <c r="AT400" s="234">
        <v>0</v>
      </c>
      <c r="AU400" s="234">
        <v>0</v>
      </c>
      <c r="AV400" s="234">
        <v>16</v>
      </c>
      <c r="AW400" s="234">
        <v>25</v>
      </c>
      <c r="AX400" s="234">
        <v>0</v>
      </c>
      <c r="AY400" s="234">
        <v>0</v>
      </c>
      <c r="AZ400" s="234">
        <v>0</v>
      </c>
      <c r="BA400" s="234">
        <v>0</v>
      </c>
      <c r="BB400" s="234">
        <v>0</v>
      </c>
      <c r="BC400" s="234">
        <v>0</v>
      </c>
      <c r="BD400" s="234">
        <v>0</v>
      </c>
      <c r="BE400" s="234">
        <v>0</v>
      </c>
      <c r="BF400" s="234">
        <v>0</v>
      </c>
      <c r="BG400" s="234">
        <v>0</v>
      </c>
      <c r="BH400" s="234">
        <v>0</v>
      </c>
      <c r="BI400" s="234">
        <v>0</v>
      </c>
      <c r="BJ400" s="234">
        <v>0</v>
      </c>
      <c r="BK400" s="234">
        <v>0</v>
      </c>
      <c r="BL400" s="234">
        <v>0</v>
      </c>
      <c r="BM400" s="234">
        <v>0</v>
      </c>
      <c r="BN400" s="234">
        <v>0</v>
      </c>
      <c r="BO400" s="234">
        <v>0</v>
      </c>
      <c r="BP400" s="234"/>
      <c r="BQ400" s="234"/>
      <c r="BR400" s="237" t="s">
        <v>481</v>
      </c>
      <c r="BS400" s="238">
        <v>6</v>
      </c>
      <c r="BV400" s="239">
        <f>M400/4</f>
        <v>10.25</v>
      </c>
      <c r="BW400" s="239">
        <f>M400/4</f>
        <v>10.25</v>
      </c>
      <c r="BX400" s="239">
        <f>M400/4</f>
        <v>10.25</v>
      </c>
      <c r="BY400" s="239">
        <f>M400/4</f>
        <v>10.25</v>
      </c>
      <c r="CN400" s="238">
        <f t="shared" si="31"/>
        <v>41</v>
      </c>
      <c r="CO400" s="238">
        <f t="shared" si="32"/>
        <v>41</v>
      </c>
    </row>
    <row r="401" spans="1:93" ht="13.95" customHeight="1" x14ac:dyDescent="0.2">
      <c r="A401" s="231">
        <v>7629</v>
      </c>
      <c r="B401" s="232" t="s">
        <v>848</v>
      </c>
      <c r="C401" s="232" t="s">
        <v>1394</v>
      </c>
      <c r="D401" s="232" t="s">
        <v>1395</v>
      </c>
      <c r="E401" s="232" t="s">
        <v>56</v>
      </c>
      <c r="F401" s="231">
        <v>527264</v>
      </c>
      <c r="G401" s="231">
        <v>176919</v>
      </c>
      <c r="H401" s="232" t="s">
        <v>163</v>
      </c>
      <c r="I401" s="233">
        <v>44743</v>
      </c>
      <c r="J401" s="231"/>
      <c r="K401" s="231">
        <v>0</v>
      </c>
      <c r="L401" s="231">
        <v>9</v>
      </c>
      <c r="M401" s="231">
        <v>9</v>
      </c>
      <c r="N401" s="231">
        <v>24</v>
      </c>
      <c r="O401" s="231">
        <v>24</v>
      </c>
      <c r="P401" s="234" t="s">
        <v>318</v>
      </c>
      <c r="Q401" s="232" t="s">
        <v>1396</v>
      </c>
      <c r="R401" s="234" t="s">
        <v>320</v>
      </c>
      <c r="S401" s="235">
        <v>44299</v>
      </c>
      <c r="T401" s="235">
        <v>44701</v>
      </c>
      <c r="U401" s="234" t="s">
        <v>318</v>
      </c>
      <c r="V401" s="232" t="s">
        <v>321</v>
      </c>
      <c r="W401" s="231"/>
      <c r="X401" s="232" t="s">
        <v>322</v>
      </c>
      <c r="Y401" s="232" t="s">
        <v>323</v>
      </c>
      <c r="Z401" s="232" t="s">
        <v>323</v>
      </c>
      <c r="AA401" s="232" t="s">
        <v>324</v>
      </c>
      <c r="AB401" s="236">
        <v>8.3000000000000004E-2</v>
      </c>
      <c r="AC401" s="235">
        <v>44743</v>
      </c>
      <c r="AD401" s="234" t="s">
        <v>318</v>
      </c>
      <c r="AE401" s="234"/>
      <c r="AF401" s="232" t="s">
        <v>56</v>
      </c>
      <c r="AG401" s="232" t="s">
        <v>325</v>
      </c>
      <c r="AH401" s="234" t="s">
        <v>317</v>
      </c>
      <c r="AI401" s="250"/>
      <c r="AJ401" s="234">
        <v>0</v>
      </c>
      <c r="AK401" s="224"/>
      <c r="AL401" s="234">
        <v>0</v>
      </c>
      <c r="AM401" s="234">
        <v>2</v>
      </c>
      <c r="AN401" s="234">
        <v>0</v>
      </c>
      <c r="AO401" s="234">
        <v>4</v>
      </c>
      <c r="AP401" s="234">
        <v>5</v>
      </c>
      <c r="AQ401" s="234">
        <v>0</v>
      </c>
      <c r="AR401" s="234">
        <v>0</v>
      </c>
      <c r="AS401" s="234">
        <v>0</v>
      </c>
      <c r="AT401" s="234">
        <v>0</v>
      </c>
      <c r="AU401" s="234">
        <v>0</v>
      </c>
      <c r="AV401" s="234">
        <v>4</v>
      </c>
      <c r="AW401" s="234">
        <v>5</v>
      </c>
      <c r="AX401" s="234">
        <v>0</v>
      </c>
      <c r="AY401" s="234">
        <v>0</v>
      </c>
      <c r="AZ401" s="234">
        <v>0</v>
      </c>
      <c r="BA401" s="234">
        <v>0</v>
      </c>
      <c r="BB401" s="234">
        <v>0</v>
      </c>
      <c r="BC401" s="234">
        <v>0</v>
      </c>
      <c r="BD401" s="234">
        <v>0</v>
      </c>
      <c r="BE401" s="234">
        <v>0</v>
      </c>
      <c r="BF401" s="234">
        <v>0</v>
      </c>
      <c r="BG401" s="234">
        <v>0</v>
      </c>
      <c r="BH401" s="234">
        <v>0</v>
      </c>
      <c r="BI401" s="234">
        <v>0</v>
      </c>
      <c r="BJ401" s="234">
        <v>0</v>
      </c>
      <c r="BK401" s="234">
        <v>0</v>
      </c>
      <c r="BL401" s="234">
        <v>0</v>
      </c>
      <c r="BM401" s="234">
        <v>0</v>
      </c>
      <c r="BN401" s="234">
        <v>0</v>
      </c>
      <c r="BO401" s="234">
        <v>0</v>
      </c>
      <c r="BP401" s="234"/>
      <c r="BQ401" s="234"/>
      <c r="BR401" s="237" t="s">
        <v>334</v>
      </c>
      <c r="BS401" s="238">
        <v>6</v>
      </c>
      <c r="BV401" s="239">
        <f>M401/4</f>
        <v>2.25</v>
      </c>
      <c r="BW401" s="239">
        <f>M401/4</f>
        <v>2.25</v>
      </c>
      <c r="BX401" s="239">
        <f>M401/4</f>
        <v>2.25</v>
      </c>
      <c r="BY401" s="239">
        <f>M401/4</f>
        <v>2.25</v>
      </c>
      <c r="CN401" s="238">
        <f t="shared" si="31"/>
        <v>9</v>
      </c>
      <c r="CO401" s="238">
        <f t="shared" si="32"/>
        <v>9</v>
      </c>
    </row>
    <row r="402" spans="1:93" ht="13.95" customHeight="1" x14ac:dyDescent="0.2">
      <c r="A402" s="231">
        <v>967</v>
      </c>
      <c r="B402" s="232" t="s">
        <v>848</v>
      </c>
      <c r="C402" s="232" t="s">
        <v>1378</v>
      </c>
      <c r="D402" s="232" t="s">
        <v>1379</v>
      </c>
      <c r="E402" s="232" t="s">
        <v>1397</v>
      </c>
      <c r="F402" s="231">
        <v>525095</v>
      </c>
      <c r="G402" s="231">
        <v>174084</v>
      </c>
      <c r="H402" s="232" t="s">
        <v>164</v>
      </c>
      <c r="I402" s="233">
        <v>44468</v>
      </c>
      <c r="J402" s="231"/>
      <c r="K402" s="231">
        <v>4</v>
      </c>
      <c r="L402" s="231">
        <v>2</v>
      </c>
      <c r="M402" s="231">
        <v>-2</v>
      </c>
      <c r="N402" s="231">
        <v>8</v>
      </c>
      <c r="O402" s="231">
        <v>4</v>
      </c>
      <c r="P402" s="234"/>
      <c r="Q402" s="232" t="s">
        <v>1381</v>
      </c>
      <c r="R402" s="234" t="s">
        <v>332</v>
      </c>
      <c r="S402" s="235">
        <v>43291</v>
      </c>
      <c r="T402" s="235">
        <v>43426</v>
      </c>
      <c r="U402" s="234"/>
      <c r="V402" s="232" t="s">
        <v>321</v>
      </c>
      <c r="W402" s="231"/>
      <c r="X402" s="232" t="s">
        <v>322</v>
      </c>
      <c r="Y402" s="232" t="s">
        <v>365</v>
      </c>
      <c r="Z402" s="232" t="s">
        <v>324</v>
      </c>
      <c r="AA402" s="232" t="s">
        <v>354</v>
      </c>
      <c r="AB402" s="236">
        <v>2.5999999999999999E-2</v>
      </c>
      <c r="AC402" s="235">
        <v>44468</v>
      </c>
      <c r="AD402" s="234"/>
      <c r="AE402" s="234"/>
      <c r="AF402" s="232" t="s">
        <v>77</v>
      </c>
      <c r="AG402" s="232" t="s">
        <v>350</v>
      </c>
      <c r="AH402" s="234" t="s">
        <v>317</v>
      </c>
      <c r="AI402" s="250"/>
      <c r="AJ402" s="234">
        <v>0</v>
      </c>
      <c r="AK402" s="224"/>
      <c r="AL402" s="234">
        <v>0</v>
      </c>
      <c r="AM402" s="224"/>
      <c r="AN402" s="234">
        <v>0</v>
      </c>
      <c r="AO402" s="234">
        <v>-1</v>
      </c>
      <c r="AP402" s="234">
        <v>-1</v>
      </c>
      <c r="AQ402" s="234">
        <v>0</v>
      </c>
      <c r="AR402" s="234">
        <v>0</v>
      </c>
      <c r="AS402" s="234">
        <v>0</v>
      </c>
      <c r="AT402" s="234">
        <v>0</v>
      </c>
      <c r="AU402" s="234">
        <v>0</v>
      </c>
      <c r="AV402" s="234">
        <v>-1</v>
      </c>
      <c r="AW402" s="234">
        <v>-1</v>
      </c>
      <c r="AX402" s="234">
        <v>0</v>
      </c>
      <c r="AY402" s="234">
        <v>0</v>
      </c>
      <c r="AZ402" s="234">
        <v>0</v>
      </c>
      <c r="BA402" s="234">
        <v>0</v>
      </c>
      <c r="BB402" s="234">
        <v>0</v>
      </c>
      <c r="BC402" s="234">
        <v>0</v>
      </c>
      <c r="BD402" s="234">
        <v>0</v>
      </c>
      <c r="BE402" s="234">
        <v>0</v>
      </c>
      <c r="BF402" s="234">
        <v>0</v>
      </c>
      <c r="BG402" s="234">
        <v>0</v>
      </c>
      <c r="BH402" s="234">
        <v>0</v>
      </c>
      <c r="BI402" s="234">
        <v>0</v>
      </c>
      <c r="BJ402" s="234">
        <v>0</v>
      </c>
      <c r="BK402" s="234">
        <v>0</v>
      </c>
      <c r="BL402" s="234">
        <v>0</v>
      </c>
      <c r="BM402" s="234">
        <v>0</v>
      </c>
      <c r="BN402" s="234">
        <v>0</v>
      </c>
      <c r="BO402" s="234">
        <v>0</v>
      </c>
      <c r="BP402" s="234"/>
      <c r="BQ402" s="234"/>
      <c r="BR402" s="237" t="s">
        <v>334</v>
      </c>
      <c r="BS402" s="238">
        <v>13</v>
      </c>
      <c r="BU402" s="239">
        <f>M402</f>
        <v>-2</v>
      </c>
      <c r="CN402" s="238">
        <f t="shared" si="31"/>
        <v>-2</v>
      </c>
      <c r="CO402" s="238">
        <f t="shared" si="32"/>
        <v>-2</v>
      </c>
    </row>
    <row r="403" spans="1:93" ht="13.95" customHeight="1" x14ac:dyDescent="0.2">
      <c r="A403" s="231">
        <v>7187</v>
      </c>
      <c r="B403" s="232" t="s">
        <v>848</v>
      </c>
      <c r="C403" s="232" t="s">
        <v>1391</v>
      </c>
      <c r="D403" s="232" t="s">
        <v>1392</v>
      </c>
      <c r="E403" s="232" t="s">
        <v>187</v>
      </c>
      <c r="F403" s="231">
        <v>526782</v>
      </c>
      <c r="G403" s="231">
        <v>176145</v>
      </c>
      <c r="H403" s="232" t="s">
        <v>174</v>
      </c>
      <c r="I403" s="233">
        <v>44169</v>
      </c>
      <c r="J403" s="231"/>
      <c r="K403" s="231">
        <v>0</v>
      </c>
      <c r="L403" s="231">
        <v>38</v>
      </c>
      <c r="M403" s="231">
        <v>38</v>
      </c>
      <c r="N403" s="231">
        <v>79</v>
      </c>
      <c r="O403" s="231">
        <v>79</v>
      </c>
      <c r="P403" s="234" t="s">
        <v>318</v>
      </c>
      <c r="Q403" s="232" t="s">
        <v>1393</v>
      </c>
      <c r="R403" s="234" t="s">
        <v>320</v>
      </c>
      <c r="S403" s="235">
        <v>44294</v>
      </c>
      <c r="T403" s="235">
        <v>44917</v>
      </c>
      <c r="U403" s="234" t="s">
        <v>318</v>
      </c>
      <c r="V403" s="232" t="s">
        <v>321</v>
      </c>
      <c r="W403" s="231"/>
      <c r="X403" s="232" t="s">
        <v>322</v>
      </c>
      <c r="Y403" s="232" t="s">
        <v>323</v>
      </c>
      <c r="Z403" s="232" t="s">
        <v>323</v>
      </c>
      <c r="AA403" s="232" t="s">
        <v>324</v>
      </c>
      <c r="AB403" s="236">
        <v>0.02</v>
      </c>
      <c r="AC403" s="235">
        <v>44169</v>
      </c>
      <c r="AD403" s="234"/>
      <c r="AE403" s="234"/>
      <c r="AF403" s="232" t="s">
        <v>77</v>
      </c>
      <c r="AG403" s="232" t="s">
        <v>340</v>
      </c>
      <c r="AH403" s="234" t="s">
        <v>317</v>
      </c>
      <c r="AI403" s="250"/>
      <c r="AJ403" s="234">
        <v>0</v>
      </c>
      <c r="AK403" s="224"/>
      <c r="AL403" s="234">
        <v>0</v>
      </c>
      <c r="AM403" s="224"/>
      <c r="AN403" s="234">
        <v>0</v>
      </c>
      <c r="AO403" s="234">
        <v>8</v>
      </c>
      <c r="AP403" s="234">
        <v>28</v>
      </c>
      <c r="AQ403" s="234">
        <v>2</v>
      </c>
      <c r="AR403" s="234">
        <v>0</v>
      </c>
      <c r="AS403" s="234">
        <v>0</v>
      </c>
      <c r="AT403" s="234">
        <v>0</v>
      </c>
      <c r="AU403" s="234">
        <v>0</v>
      </c>
      <c r="AV403" s="234">
        <v>8</v>
      </c>
      <c r="AW403" s="234">
        <v>28</v>
      </c>
      <c r="AX403" s="234">
        <v>2</v>
      </c>
      <c r="AY403" s="234">
        <v>0</v>
      </c>
      <c r="AZ403" s="234">
        <v>0</v>
      </c>
      <c r="BA403" s="234">
        <v>0</v>
      </c>
      <c r="BB403" s="234">
        <v>0</v>
      </c>
      <c r="BC403" s="234">
        <v>0</v>
      </c>
      <c r="BD403" s="234">
        <v>0</v>
      </c>
      <c r="BE403" s="234">
        <v>0</v>
      </c>
      <c r="BF403" s="234">
        <v>0</v>
      </c>
      <c r="BG403" s="234">
        <v>0</v>
      </c>
      <c r="BH403" s="234">
        <v>0</v>
      </c>
      <c r="BI403" s="234">
        <v>0</v>
      </c>
      <c r="BJ403" s="234">
        <v>0</v>
      </c>
      <c r="BK403" s="234">
        <v>0</v>
      </c>
      <c r="BL403" s="234">
        <v>0</v>
      </c>
      <c r="BM403" s="234">
        <v>0</v>
      </c>
      <c r="BN403" s="234">
        <v>0</v>
      </c>
      <c r="BO403" s="234">
        <v>0</v>
      </c>
      <c r="BP403" s="234"/>
      <c r="BQ403" s="234"/>
      <c r="BR403" s="237" t="s">
        <v>481</v>
      </c>
      <c r="BS403" s="238">
        <v>6</v>
      </c>
      <c r="BV403" s="239">
        <f>M403/4</f>
        <v>9.5</v>
      </c>
      <c r="BW403" s="239">
        <f>M403/4</f>
        <v>9.5</v>
      </c>
      <c r="BX403" s="239">
        <f>M403/4</f>
        <v>9.5</v>
      </c>
      <c r="BY403" s="239">
        <f>M403/4</f>
        <v>9.5</v>
      </c>
      <c r="CN403" s="238">
        <f t="shared" si="31"/>
        <v>38</v>
      </c>
      <c r="CO403" s="238">
        <f t="shared" si="32"/>
        <v>38</v>
      </c>
    </row>
    <row r="404" spans="1:93" ht="13.95" customHeight="1" x14ac:dyDescent="0.2">
      <c r="A404" s="231">
        <v>7629</v>
      </c>
      <c r="B404" s="232" t="s">
        <v>848</v>
      </c>
      <c r="C404" s="232" t="s">
        <v>1394</v>
      </c>
      <c r="D404" s="232" t="s">
        <v>1395</v>
      </c>
      <c r="E404" s="232" t="s">
        <v>187</v>
      </c>
      <c r="F404" s="231">
        <v>527264</v>
      </c>
      <c r="G404" s="231">
        <v>176919</v>
      </c>
      <c r="H404" s="232" t="s">
        <v>163</v>
      </c>
      <c r="I404" s="233">
        <v>44743</v>
      </c>
      <c r="J404" s="231"/>
      <c r="K404" s="231">
        <v>0</v>
      </c>
      <c r="L404" s="231">
        <v>15</v>
      </c>
      <c r="M404" s="231">
        <v>15</v>
      </c>
      <c r="N404" s="231">
        <v>24</v>
      </c>
      <c r="O404" s="231">
        <v>24</v>
      </c>
      <c r="P404" s="234" t="s">
        <v>318</v>
      </c>
      <c r="Q404" s="232" t="s">
        <v>1396</v>
      </c>
      <c r="R404" s="234" t="s">
        <v>320</v>
      </c>
      <c r="S404" s="235">
        <v>44299</v>
      </c>
      <c r="T404" s="235">
        <v>44701</v>
      </c>
      <c r="U404" s="234" t="s">
        <v>318</v>
      </c>
      <c r="V404" s="232" t="s">
        <v>321</v>
      </c>
      <c r="W404" s="231"/>
      <c r="X404" s="232" t="s">
        <v>322</v>
      </c>
      <c r="Y404" s="232" t="s">
        <v>323</v>
      </c>
      <c r="Z404" s="232" t="s">
        <v>323</v>
      </c>
      <c r="AA404" s="232" t="s">
        <v>324</v>
      </c>
      <c r="AB404" s="236">
        <v>0.13800000000000001</v>
      </c>
      <c r="AC404" s="235">
        <v>44743</v>
      </c>
      <c r="AD404" s="234" t="s">
        <v>318</v>
      </c>
      <c r="AE404" s="234"/>
      <c r="AF404" s="232" t="s">
        <v>77</v>
      </c>
      <c r="AG404" s="232" t="s">
        <v>350</v>
      </c>
      <c r="AH404" s="234" t="s">
        <v>317</v>
      </c>
      <c r="AI404" s="250"/>
      <c r="AJ404" s="234">
        <v>0</v>
      </c>
      <c r="AK404" s="224"/>
      <c r="AL404" s="234">
        <v>0</v>
      </c>
      <c r="AM404" s="224"/>
      <c r="AN404" s="234">
        <v>2</v>
      </c>
      <c r="AO404" s="234">
        <v>2</v>
      </c>
      <c r="AP404" s="234">
        <v>9</v>
      </c>
      <c r="AQ404" s="234">
        <v>2</v>
      </c>
      <c r="AR404" s="234">
        <v>0</v>
      </c>
      <c r="AS404" s="234">
        <v>0</v>
      </c>
      <c r="AT404" s="234">
        <v>0</v>
      </c>
      <c r="AU404" s="234">
        <v>2</v>
      </c>
      <c r="AV404" s="234">
        <v>2</v>
      </c>
      <c r="AW404" s="234">
        <v>9</v>
      </c>
      <c r="AX404" s="234">
        <v>2</v>
      </c>
      <c r="AY404" s="234">
        <v>0</v>
      </c>
      <c r="AZ404" s="234">
        <v>0</v>
      </c>
      <c r="BA404" s="234">
        <v>0</v>
      </c>
      <c r="BB404" s="234">
        <v>0</v>
      </c>
      <c r="BC404" s="234">
        <v>0</v>
      </c>
      <c r="BD404" s="234">
        <v>0</v>
      </c>
      <c r="BE404" s="234">
        <v>0</v>
      </c>
      <c r="BF404" s="234">
        <v>0</v>
      </c>
      <c r="BG404" s="234">
        <v>0</v>
      </c>
      <c r="BH404" s="234">
        <v>0</v>
      </c>
      <c r="BI404" s="234">
        <v>0</v>
      </c>
      <c r="BJ404" s="234">
        <v>0</v>
      </c>
      <c r="BK404" s="234">
        <v>0</v>
      </c>
      <c r="BL404" s="234">
        <v>0</v>
      </c>
      <c r="BM404" s="234">
        <v>0</v>
      </c>
      <c r="BN404" s="234">
        <v>0</v>
      </c>
      <c r="BO404" s="234">
        <v>0</v>
      </c>
      <c r="BP404" s="234"/>
      <c r="BQ404" s="234"/>
      <c r="BR404" s="237" t="s">
        <v>334</v>
      </c>
      <c r="BS404" s="238">
        <v>6</v>
      </c>
      <c r="BV404" s="239">
        <f>M404/4</f>
        <v>3.75</v>
      </c>
      <c r="BW404" s="239">
        <f>M404/4</f>
        <v>3.75</v>
      </c>
      <c r="BX404" s="239">
        <f>M404/4</f>
        <v>3.75</v>
      </c>
      <c r="BY404" s="239">
        <f>M404/4</f>
        <v>3.75</v>
      </c>
      <c r="CN404" s="238">
        <f t="shared" si="31"/>
        <v>15</v>
      </c>
      <c r="CO404" s="238">
        <f t="shared" si="32"/>
        <v>15</v>
      </c>
    </row>
    <row r="405" spans="1:93" ht="13.95" customHeight="1" x14ac:dyDescent="0.2">
      <c r="A405" s="231">
        <v>3511</v>
      </c>
      <c r="B405" s="232" t="s">
        <v>822</v>
      </c>
      <c r="C405" s="232" t="s">
        <v>844</v>
      </c>
      <c r="D405" s="232" t="s">
        <v>824</v>
      </c>
      <c r="E405" s="232" t="s">
        <v>1398</v>
      </c>
      <c r="F405" s="231">
        <v>529369</v>
      </c>
      <c r="G405" s="231">
        <v>177317</v>
      </c>
      <c r="H405" s="232" t="s">
        <v>168</v>
      </c>
      <c r="I405" s="233">
        <v>42825</v>
      </c>
      <c r="J405" s="231"/>
      <c r="K405" s="231">
        <v>0</v>
      </c>
      <c r="L405" s="231">
        <v>101</v>
      </c>
      <c r="M405" s="231">
        <v>101</v>
      </c>
      <c r="N405" s="231">
        <v>2971</v>
      </c>
      <c r="O405" s="231">
        <v>2966</v>
      </c>
      <c r="P405" s="234" t="s">
        <v>318</v>
      </c>
      <c r="Q405" s="232" t="s">
        <v>846</v>
      </c>
      <c r="R405" s="234" t="s">
        <v>847</v>
      </c>
      <c r="S405" s="235">
        <v>41774</v>
      </c>
      <c r="T405" s="235">
        <v>42046</v>
      </c>
      <c r="U405" s="234"/>
      <c r="V405" s="232" t="s">
        <v>321</v>
      </c>
      <c r="W405" s="231"/>
      <c r="X405" s="232" t="s">
        <v>322</v>
      </c>
      <c r="Y405" s="232" t="s">
        <v>323</v>
      </c>
      <c r="Z405" s="232" t="s">
        <v>323</v>
      </c>
      <c r="AA405" s="232" t="s">
        <v>324</v>
      </c>
      <c r="AB405" s="236">
        <v>0.61</v>
      </c>
      <c r="AC405" s="235"/>
      <c r="AD405" s="234"/>
      <c r="AE405" s="234"/>
      <c r="AF405" s="232" t="s">
        <v>56</v>
      </c>
      <c r="AG405" s="232" t="s">
        <v>345</v>
      </c>
      <c r="AH405" s="234" t="s">
        <v>827</v>
      </c>
      <c r="AJ405" s="234">
        <v>0</v>
      </c>
      <c r="AK405" s="234">
        <v>91</v>
      </c>
      <c r="AL405" s="234">
        <v>0</v>
      </c>
      <c r="AM405" s="234">
        <v>10</v>
      </c>
      <c r="AN405" s="234">
        <v>0</v>
      </c>
      <c r="AO405" s="234">
        <v>45</v>
      </c>
      <c r="AP405" s="234">
        <v>46</v>
      </c>
      <c r="AQ405" s="234">
        <v>10</v>
      </c>
      <c r="AR405" s="234">
        <v>0</v>
      </c>
      <c r="AS405" s="234">
        <v>0</v>
      </c>
      <c r="AT405" s="234">
        <v>0</v>
      </c>
      <c r="AU405" s="234">
        <v>0</v>
      </c>
      <c r="AV405" s="234">
        <v>45</v>
      </c>
      <c r="AW405" s="234">
        <v>46</v>
      </c>
      <c r="AX405" s="234">
        <v>10</v>
      </c>
      <c r="AY405" s="234">
        <v>0</v>
      </c>
      <c r="AZ405" s="234">
        <v>0</v>
      </c>
      <c r="BA405" s="234">
        <v>0</v>
      </c>
      <c r="BB405" s="234">
        <v>0</v>
      </c>
      <c r="BC405" s="234">
        <v>0</v>
      </c>
      <c r="BD405" s="234">
        <v>0</v>
      </c>
      <c r="BE405" s="234">
        <v>0</v>
      </c>
      <c r="BF405" s="234">
        <v>0</v>
      </c>
      <c r="BG405" s="234">
        <v>0</v>
      </c>
      <c r="BH405" s="234">
        <v>0</v>
      </c>
      <c r="BI405" s="234">
        <v>0</v>
      </c>
      <c r="BJ405" s="234">
        <v>0</v>
      </c>
      <c r="BK405" s="234">
        <v>0</v>
      </c>
      <c r="BL405" s="234">
        <v>0</v>
      </c>
      <c r="BM405" s="234">
        <v>0</v>
      </c>
      <c r="BN405" s="234">
        <v>0</v>
      </c>
      <c r="BO405" s="234">
        <v>0</v>
      </c>
      <c r="BP405" s="234"/>
      <c r="BQ405" s="234" t="s">
        <v>318</v>
      </c>
      <c r="BR405" s="237" t="s">
        <v>151</v>
      </c>
      <c r="BS405" s="238">
        <v>8</v>
      </c>
      <c r="CB405" s="239">
        <f>M405</f>
        <v>101</v>
      </c>
      <c r="CN405" s="238">
        <f t="shared" si="31"/>
        <v>0</v>
      </c>
      <c r="CO405" s="238">
        <f t="shared" si="32"/>
        <v>101</v>
      </c>
    </row>
    <row r="406" spans="1:93" ht="13.95" customHeight="1" x14ac:dyDescent="0.2">
      <c r="A406" s="231">
        <v>3511</v>
      </c>
      <c r="B406" s="232" t="s">
        <v>822</v>
      </c>
      <c r="C406" s="232" t="s">
        <v>844</v>
      </c>
      <c r="D406" s="232" t="s">
        <v>824</v>
      </c>
      <c r="E406" s="232" t="s">
        <v>1399</v>
      </c>
      <c r="F406" s="231">
        <v>529369</v>
      </c>
      <c r="G406" s="231">
        <v>177317</v>
      </c>
      <c r="H406" s="232" t="s">
        <v>168</v>
      </c>
      <c r="I406" s="233">
        <v>42825</v>
      </c>
      <c r="J406" s="231"/>
      <c r="K406" s="231">
        <v>0</v>
      </c>
      <c r="L406" s="231">
        <v>151</v>
      </c>
      <c r="M406" s="231">
        <v>151</v>
      </c>
      <c r="N406" s="231">
        <v>2971</v>
      </c>
      <c r="O406" s="231">
        <v>2966</v>
      </c>
      <c r="P406" s="234" t="s">
        <v>318</v>
      </c>
      <c r="Q406" s="232" t="s">
        <v>846</v>
      </c>
      <c r="R406" s="234" t="s">
        <v>847</v>
      </c>
      <c r="S406" s="235">
        <v>41774</v>
      </c>
      <c r="T406" s="235">
        <v>42046</v>
      </c>
      <c r="U406" s="234"/>
      <c r="V406" s="232" t="s">
        <v>321</v>
      </c>
      <c r="W406" s="231"/>
      <c r="X406" s="232" t="s">
        <v>322</v>
      </c>
      <c r="Y406" s="232" t="s">
        <v>323</v>
      </c>
      <c r="Z406" s="232" t="s">
        <v>323</v>
      </c>
      <c r="AA406" s="232" t="s">
        <v>324</v>
      </c>
      <c r="AB406" s="236">
        <v>0.91100000000000003</v>
      </c>
      <c r="AC406" s="235"/>
      <c r="AD406" s="234"/>
      <c r="AE406" s="234"/>
      <c r="AF406" s="232" t="s">
        <v>77</v>
      </c>
      <c r="AG406" s="232" t="s">
        <v>350</v>
      </c>
      <c r="AH406" s="234" t="s">
        <v>827</v>
      </c>
      <c r="AJ406" s="234">
        <v>0</v>
      </c>
      <c r="AK406" s="234">
        <v>136</v>
      </c>
      <c r="AL406" s="234">
        <v>0</v>
      </c>
      <c r="AM406" s="234">
        <v>15</v>
      </c>
      <c r="AN406" s="234">
        <v>19</v>
      </c>
      <c r="AO406" s="234">
        <v>30</v>
      </c>
      <c r="AP406" s="234">
        <v>91</v>
      </c>
      <c r="AQ406" s="234">
        <v>11</v>
      </c>
      <c r="AR406" s="234">
        <v>0</v>
      </c>
      <c r="AS406" s="234">
        <v>0</v>
      </c>
      <c r="AT406" s="234">
        <v>0</v>
      </c>
      <c r="AU406" s="234">
        <v>19</v>
      </c>
      <c r="AV406" s="234">
        <v>30</v>
      </c>
      <c r="AW406" s="234">
        <v>91</v>
      </c>
      <c r="AX406" s="234">
        <v>11</v>
      </c>
      <c r="AY406" s="234">
        <v>0</v>
      </c>
      <c r="AZ406" s="234">
        <v>0</v>
      </c>
      <c r="BA406" s="234">
        <v>0</v>
      </c>
      <c r="BB406" s="234">
        <v>0</v>
      </c>
      <c r="BC406" s="234">
        <v>0</v>
      </c>
      <c r="BD406" s="234">
        <v>0</v>
      </c>
      <c r="BE406" s="234">
        <v>0</v>
      </c>
      <c r="BF406" s="234">
        <v>0</v>
      </c>
      <c r="BG406" s="234">
        <v>0</v>
      </c>
      <c r="BH406" s="234">
        <v>0</v>
      </c>
      <c r="BI406" s="234">
        <v>0</v>
      </c>
      <c r="BJ406" s="234">
        <v>0</v>
      </c>
      <c r="BK406" s="234">
        <v>0</v>
      </c>
      <c r="BL406" s="234">
        <v>0</v>
      </c>
      <c r="BM406" s="234">
        <v>0</v>
      </c>
      <c r="BN406" s="234">
        <v>0</v>
      </c>
      <c r="BO406" s="234">
        <v>0</v>
      </c>
      <c r="BP406" s="234"/>
      <c r="BQ406" s="234" t="s">
        <v>318</v>
      </c>
      <c r="BR406" s="237" t="s">
        <v>151</v>
      </c>
      <c r="BS406" s="238">
        <v>8</v>
      </c>
      <c r="CC406" s="239">
        <f>M406</f>
        <v>151</v>
      </c>
      <c r="CN406" s="238">
        <f t="shared" si="31"/>
        <v>0</v>
      </c>
      <c r="CO406" s="238">
        <f t="shared" si="32"/>
        <v>151</v>
      </c>
    </row>
    <row r="407" spans="1:93" ht="13.95" customHeight="1" x14ac:dyDescent="0.2">
      <c r="A407" s="231">
        <v>3511</v>
      </c>
      <c r="B407" s="232" t="s">
        <v>822</v>
      </c>
      <c r="C407" s="232" t="s">
        <v>844</v>
      </c>
      <c r="D407" s="232" t="s">
        <v>824</v>
      </c>
      <c r="E407" s="232" t="s">
        <v>1400</v>
      </c>
      <c r="F407" s="231">
        <v>529369</v>
      </c>
      <c r="G407" s="231">
        <v>177317</v>
      </c>
      <c r="H407" s="232" t="s">
        <v>168</v>
      </c>
      <c r="I407" s="233">
        <v>42825</v>
      </c>
      <c r="J407" s="231"/>
      <c r="K407" s="231">
        <v>0</v>
      </c>
      <c r="L407" s="231">
        <v>17</v>
      </c>
      <c r="M407" s="231">
        <v>17</v>
      </c>
      <c r="N407" s="231">
        <v>2971</v>
      </c>
      <c r="O407" s="231">
        <v>2966</v>
      </c>
      <c r="P407" s="234" t="s">
        <v>318</v>
      </c>
      <c r="Q407" s="232" t="s">
        <v>846</v>
      </c>
      <c r="R407" s="234" t="s">
        <v>847</v>
      </c>
      <c r="S407" s="235">
        <v>41774</v>
      </c>
      <c r="T407" s="235">
        <v>42046</v>
      </c>
      <c r="U407" s="234"/>
      <c r="V407" s="232" t="s">
        <v>321</v>
      </c>
      <c r="W407" s="231"/>
      <c r="X407" s="232" t="s">
        <v>322</v>
      </c>
      <c r="Y407" s="232" t="s">
        <v>323</v>
      </c>
      <c r="Z407" s="232" t="s">
        <v>323</v>
      </c>
      <c r="AA407" s="232" t="s">
        <v>324</v>
      </c>
      <c r="AB407" s="236">
        <v>0.10299999999999999</v>
      </c>
      <c r="AC407" s="235"/>
      <c r="AD407" s="234"/>
      <c r="AE407" s="234"/>
      <c r="AF407" s="232" t="s">
        <v>77</v>
      </c>
      <c r="AG407" s="232" t="s">
        <v>350</v>
      </c>
      <c r="AH407" s="234" t="s">
        <v>827</v>
      </c>
      <c r="AJ407" s="234">
        <v>0</v>
      </c>
      <c r="AK407" s="234">
        <v>15</v>
      </c>
      <c r="AL407" s="234">
        <v>0</v>
      </c>
      <c r="AM407" s="234">
        <v>2</v>
      </c>
      <c r="AN407" s="234">
        <v>2</v>
      </c>
      <c r="AO407" s="234">
        <v>3</v>
      </c>
      <c r="AP407" s="234">
        <v>10</v>
      </c>
      <c r="AQ407" s="234">
        <v>2</v>
      </c>
      <c r="AR407" s="234">
        <v>0</v>
      </c>
      <c r="AS407" s="234">
        <v>0</v>
      </c>
      <c r="AT407" s="234">
        <v>0</v>
      </c>
      <c r="AU407" s="234">
        <v>2</v>
      </c>
      <c r="AV407" s="234">
        <v>3</v>
      </c>
      <c r="AW407" s="234">
        <v>10</v>
      </c>
      <c r="AX407" s="234">
        <v>2</v>
      </c>
      <c r="AY407" s="234">
        <v>0</v>
      </c>
      <c r="AZ407" s="234">
        <v>0</v>
      </c>
      <c r="BA407" s="234">
        <v>0</v>
      </c>
      <c r="BB407" s="234">
        <v>0</v>
      </c>
      <c r="BC407" s="234">
        <v>0</v>
      </c>
      <c r="BD407" s="234">
        <v>0</v>
      </c>
      <c r="BE407" s="234">
        <v>0</v>
      </c>
      <c r="BF407" s="234">
        <v>0</v>
      </c>
      <c r="BG407" s="234">
        <v>0</v>
      </c>
      <c r="BH407" s="234">
        <v>0</v>
      </c>
      <c r="BI407" s="234">
        <v>0</v>
      </c>
      <c r="BJ407" s="234">
        <v>0</v>
      </c>
      <c r="BK407" s="234">
        <v>0</v>
      </c>
      <c r="BL407" s="234">
        <v>0</v>
      </c>
      <c r="BM407" s="234">
        <v>0</v>
      </c>
      <c r="BN407" s="234">
        <v>0</v>
      </c>
      <c r="BO407" s="234">
        <v>0</v>
      </c>
      <c r="BP407" s="234"/>
      <c r="BQ407" s="234" t="s">
        <v>318</v>
      </c>
      <c r="BR407" s="237" t="s">
        <v>151</v>
      </c>
      <c r="BS407" s="238">
        <v>8</v>
      </c>
      <c r="CC407" s="239">
        <f>M407</f>
        <v>17</v>
      </c>
      <c r="CN407" s="238">
        <f t="shared" si="31"/>
        <v>0</v>
      </c>
      <c r="CO407" s="238">
        <f t="shared" si="32"/>
        <v>17</v>
      </c>
    </row>
    <row r="408" spans="1:93" ht="13.95" customHeight="1" x14ac:dyDescent="0.2">
      <c r="A408" s="231">
        <v>3511</v>
      </c>
      <c r="B408" s="232" t="s">
        <v>822</v>
      </c>
      <c r="C408" s="232" t="s">
        <v>844</v>
      </c>
      <c r="D408" s="232" t="s">
        <v>824</v>
      </c>
      <c r="E408" s="232" t="s">
        <v>1401</v>
      </c>
      <c r="F408" s="231">
        <v>529369</v>
      </c>
      <c r="G408" s="231">
        <v>177317</v>
      </c>
      <c r="H408" s="232" t="s">
        <v>168</v>
      </c>
      <c r="I408" s="233">
        <v>42825</v>
      </c>
      <c r="J408" s="231"/>
      <c r="K408" s="231">
        <v>0</v>
      </c>
      <c r="L408" s="231">
        <v>11</v>
      </c>
      <c r="M408" s="231">
        <v>11</v>
      </c>
      <c r="N408" s="231">
        <v>2971</v>
      </c>
      <c r="O408" s="231">
        <v>2966</v>
      </c>
      <c r="P408" s="234" t="s">
        <v>318</v>
      </c>
      <c r="Q408" s="232" t="s">
        <v>846</v>
      </c>
      <c r="R408" s="234" t="s">
        <v>847</v>
      </c>
      <c r="S408" s="235">
        <v>41774</v>
      </c>
      <c r="T408" s="235">
        <v>42046</v>
      </c>
      <c r="U408" s="234"/>
      <c r="V408" s="232" t="s">
        <v>321</v>
      </c>
      <c r="W408" s="231"/>
      <c r="X408" s="232" t="s">
        <v>322</v>
      </c>
      <c r="Y408" s="232" t="s">
        <v>323</v>
      </c>
      <c r="Z408" s="232" t="s">
        <v>323</v>
      </c>
      <c r="AA408" s="232" t="s">
        <v>324</v>
      </c>
      <c r="AB408" s="236">
        <v>6.0999999999999999E-2</v>
      </c>
      <c r="AC408" s="235"/>
      <c r="AD408" s="234"/>
      <c r="AE408" s="234"/>
      <c r="AF408" s="232" t="s">
        <v>56</v>
      </c>
      <c r="AG408" s="232" t="s">
        <v>1355</v>
      </c>
      <c r="AH408" s="234" t="s">
        <v>827</v>
      </c>
      <c r="AJ408" s="234">
        <v>0</v>
      </c>
      <c r="AK408" s="234">
        <v>10</v>
      </c>
      <c r="AL408" s="234">
        <v>0</v>
      </c>
      <c r="AM408" s="234">
        <v>1</v>
      </c>
      <c r="AN408" s="234">
        <v>0</v>
      </c>
      <c r="AO408" s="234">
        <v>2</v>
      </c>
      <c r="AP408" s="234">
        <v>5</v>
      </c>
      <c r="AQ408" s="234">
        <v>3</v>
      </c>
      <c r="AR408" s="234">
        <v>1</v>
      </c>
      <c r="AS408" s="234">
        <v>0</v>
      </c>
      <c r="AT408" s="234">
        <v>0</v>
      </c>
      <c r="AU408" s="234">
        <v>0</v>
      </c>
      <c r="AV408" s="234">
        <v>2</v>
      </c>
      <c r="AW408" s="234">
        <v>5</v>
      </c>
      <c r="AX408" s="234">
        <v>3</v>
      </c>
      <c r="AY408" s="234">
        <v>0</v>
      </c>
      <c r="AZ408" s="234">
        <v>0</v>
      </c>
      <c r="BA408" s="234">
        <v>0</v>
      </c>
      <c r="BB408" s="234">
        <v>0</v>
      </c>
      <c r="BC408" s="234">
        <v>0</v>
      </c>
      <c r="BD408" s="234">
        <v>0</v>
      </c>
      <c r="BE408" s="234">
        <v>0</v>
      </c>
      <c r="BF408" s="234">
        <v>1</v>
      </c>
      <c r="BG408" s="234">
        <v>0</v>
      </c>
      <c r="BH408" s="234">
        <v>0</v>
      </c>
      <c r="BI408" s="234">
        <v>0</v>
      </c>
      <c r="BJ408" s="234">
        <v>0</v>
      </c>
      <c r="BK408" s="234">
        <v>0</v>
      </c>
      <c r="BL408" s="234">
        <v>0</v>
      </c>
      <c r="BM408" s="234">
        <v>0</v>
      </c>
      <c r="BN408" s="234">
        <v>0</v>
      </c>
      <c r="BO408" s="234">
        <v>0</v>
      </c>
      <c r="BP408" s="234"/>
      <c r="BQ408" s="234" t="s">
        <v>318</v>
      </c>
      <c r="BR408" s="237" t="s">
        <v>151</v>
      </c>
      <c r="BS408" s="238">
        <v>8</v>
      </c>
      <c r="CB408" s="239">
        <f>M408</f>
        <v>11</v>
      </c>
      <c r="CN408" s="238">
        <f t="shared" si="31"/>
        <v>0</v>
      </c>
      <c r="CO408" s="238">
        <f t="shared" si="32"/>
        <v>11</v>
      </c>
    </row>
    <row r="409" spans="1:93" ht="13.95" customHeight="1" x14ac:dyDescent="0.2">
      <c r="A409" s="231">
        <v>3511</v>
      </c>
      <c r="B409" s="232" t="s">
        <v>822</v>
      </c>
      <c r="C409" s="232" t="s">
        <v>844</v>
      </c>
      <c r="D409" s="232" t="s">
        <v>824</v>
      </c>
      <c r="E409" s="232" t="s">
        <v>1402</v>
      </c>
      <c r="F409" s="231">
        <v>529369</v>
      </c>
      <c r="G409" s="231">
        <v>177317</v>
      </c>
      <c r="H409" s="232" t="s">
        <v>168</v>
      </c>
      <c r="I409" s="233">
        <v>42825</v>
      </c>
      <c r="J409" s="231"/>
      <c r="K409" s="231">
        <v>0</v>
      </c>
      <c r="L409" s="231">
        <v>27</v>
      </c>
      <c r="M409" s="231">
        <v>27</v>
      </c>
      <c r="N409" s="231">
        <v>2971</v>
      </c>
      <c r="O409" s="231">
        <v>2966</v>
      </c>
      <c r="P409" s="234" t="s">
        <v>318</v>
      </c>
      <c r="Q409" s="232" t="s">
        <v>846</v>
      </c>
      <c r="R409" s="234" t="s">
        <v>847</v>
      </c>
      <c r="S409" s="235">
        <v>41774</v>
      </c>
      <c r="T409" s="235">
        <v>42046</v>
      </c>
      <c r="U409" s="234"/>
      <c r="V409" s="232" t="s">
        <v>321</v>
      </c>
      <c r="W409" s="231"/>
      <c r="X409" s="232" t="s">
        <v>322</v>
      </c>
      <c r="Y409" s="232" t="s">
        <v>323</v>
      </c>
      <c r="Z409" s="232" t="s">
        <v>323</v>
      </c>
      <c r="AA409" s="232" t="s">
        <v>324</v>
      </c>
      <c r="AB409" s="236">
        <v>0.16400000000000001</v>
      </c>
      <c r="AC409" s="235"/>
      <c r="AD409" s="234"/>
      <c r="AE409" s="234"/>
      <c r="AF409" s="232" t="s">
        <v>57</v>
      </c>
      <c r="AG409" s="232" t="s">
        <v>470</v>
      </c>
      <c r="AH409" s="234" t="s">
        <v>827</v>
      </c>
      <c r="AJ409" s="234">
        <v>0</v>
      </c>
      <c r="AK409" s="234">
        <v>24</v>
      </c>
      <c r="AL409" s="234">
        <v>0</v>
      </c>
      <c r="AM409" s="234">
        <v>3</v>
      </c>
      <c r="AN409" s="234">
        <v>0</v>
      </c>
      <c r="AO409" s="234">
        <v>4</v>
      </c>
      <c r="AP409" s="234">
        <v>12</v>
      </c>
      <c r="AQ409" s="234">
        <v>8</v>
      </c>
      <c r="AR409" s="234">
        <v>3</v>
      </c>
      <c r="AS409" s="234">
        <v>0</v>
      </c>
      <c r="AT409" s="234">
        <v>0</v>
      </c>
      <c r="AU409" s="234">
        <v>0</v>
      </c>
      <c r="AV409" s="234">
        <v>4</v>
      </c>
      <c r="AW409" s="234">
        <v>12</v>
      </c>
      <c r="AX409" s="234">
        <v>8</v>
      </c>
      <c r="AY409" s="234">
        <v>3</v>
      </c>
      <c r="AZ409" s="234">
        <v>0</v>
      </c>
      <c r="BA409" s="234">
        <v>0</v>
      </c>
      <c r="BB409" s="234">
        <v>0</v>
      </c>
      <c r="BC409" s="234">
        <v>0</v>
      </c>
      <c r="BD409" s="234">
        <v>0</v>
      </c>
      <c r="BE409" s="234">
        <v>0</v>
      </c>
      <c r="BF409" s="234">
        <v>0</v>
      </c>
      <c r="BG409" s="234">
        <v>0</v>
      </c>
      <c r="BH409" s="234">
        <v>0</v>
      </c>
      <c r="BI409" s="234">
        <v>0</v>
      </c>
      <c r="BJ409" s="234">
        <v>0</v>
      </c>
      <c r="BK409" s="234">
        <v>0</v>
      </c>
      <c r="BL409" s="234">
        <v>0</v>
      </c>
      <c r="BM409" s="234">
        <v>0</v>
      </c>
      <c r="BN409" s="234">
        <v>0</v>
      </c>
      <c r="BO409" s="234">
        <v>0</v>
      </c>
      <c r="BP409" s="234"/>
      <c r="BQ409" s="234" t="s">
        <v>318</v>
      </c>
      <c r="BR409" s="237" t="s">
        <v>151</v>
      </c>
      <c r="BS409" s="238">
        <v>8</v>
      </c>
      <c r="CB409" s="239">
        <f>M409</f>
        <v>27</v>
      </c>
      <c r="CN409" s="238">
        <f t="shared" si="31"/>
        <v>0</v>
      </c>
      <c r="CO409" s="238">
        <f t="shared" si="32"/>
        <v>27</v>
      </c>
    </row>
    <row r="410" spans="1:93" ht="13.95" customHeight="1" x14ac:dyDescent="0.2">
      <c r="A410" s="231">
        <v>3511</v>
      </c>
      <c r="B410" s="232" t="s">
        <v>822</v>
      </c>
      <c r="C410" s="232" t="s">
        <v>844</v>
      </c>
      <c r="D410" s="232" t="s">
        <v>824</v>
      </c>
      <c r="E410" s="232" t="s">
        <v>1403</v>
      </c>
      <c r="F410" s="231">
        <v>529369</v>
      </c>
      <c r="G410" s="231">
        <v>177317</v>
      </c>
      <c r="H410" s="232" t="s">
        <v>168</v>
      </c>
      <c r="I410" s="233">
        <v>42825</v>
      </c>
      <c r="J410" s="231"/>
      <c r="K410" s="231">
        <v>0</v>
      </c>
      <c r="L410" s="231">
        <v>36</v>
      </c>
      <c r="M410" s="231">
        <v>36</v>
      </c>
      <c r="N410" s="231">
        <v>2971</v>
      </c>
      <c r="O410" s="231">
        <v>2966</v>
      </c>
      <c r="P410" s="234" t="s">
        <v>318</v>
      </c>
      <c r="Q410" s="232" t="s">
        <v>846</v>
      </c>
      <c r="R410" s="234" t="s">
        <v>847</v>
      </c>
      <c r="S410" s="235">
        <v>41774</v>
      </c>
      <c r="T410" s="235">
        <v>42046</v>
      </c>
      <c r="U410" s="234"/>
      <c r="V410" s="232" t="s">
        <v>321</v>
      </c>
      <c r="W410" s="231"/>
      <c r="X410" s="232" t="s">
        <v>322</v>
      </c>
      <c r="Y410" s="232" t="s">
        <v>323</v>
      </c>
      <c r="Z410" s="232" t="s">
        <v>323</v>
      </c>
      <c r="AA410" s="232" t="s">
        <v>324</v>
      </c>
      <c r="AB410" s="236">
        <v>0.217</v>
      </c>
      <c r="AC410" s="235"/>
      <c r="AD410" s="234"/>
      <c r="AE410" s="234"/>
      <c r="AF410" s="232" t="s">
        <v>57</v>
      </c>
      <c r="AG410" s="232" t="s">
        <v>470</v>
      </c>
      <c r="AH410" s="234" t="s">
        <v>827</v>
      </c>
      <c r="AJ410" s="234">
        <v>0</v>
      </c>
      <c r="AK410" s="234">
        <v>32</v>
      </c>
      <c r="AL410" s="234">
        <v>0</v>
      </c>
      <c r="AM410" s="234">
        <v>4</v>
      </c>
      <c r="AN410" s="234">
        <v>0</v>
      </c>
      <c r="AO410" s="234">
        <v>5</v>
      </c>
      <c r="AP410" s="234">
        <v>16</v>
      </c>
      <c r="AQ410" s="234">
        <v>11</v>
      </c>
      <c r="AR410" s="234">
        <v>4</v>
      </c>
      <c r="AS410" s="234">
        <v>0</v>
      </c>
      <c r="AT410" s="234">
        <v>0</v>
      </c>
      <c r="AU410" s="234">
        <v>0</v>
      </c>
      <c r="AV410" s="234">
        <v>5</v>
      </c>
      <c r="AW410" s="234">
        <v>16</v>
      </c>
      <c r="AX410" s="234">
        <v>11</v>
      </c>
      <c r="AY410" s="234">
        <v>4</v>
      </c>
      <c r="AZ410" s="234">
        <v>0</v>
      </c>
      <c r="BA410" s="234">
        <v>0</v>
      </c>
      <c r="BB410" s="234">
        <v>0</v>
      </c>
      <c r="BC410" s="234">
        <v>0</v>
      </c>
      <c r="BD410" s="234">
        <v>0</v>
      </c>
      <c r="BE410" s="234">
        <v>0</v>
      </c>
      <c r="BF410" s="234">
        <v>0</v>
      </c>
      <c r="BG410" s="234">
        <v>0</v>
      </c>
      <c r="BH410" s="234">
        <v>0</v>
      </c>
      <c r="BI410" s="234">
        <v>0</v>
      </c>
      <c r="BJ410" s="234">
        <v>0</v>
      </c>
      <c r="BK410" s="234">
        <v>0</v>
      </c>
      <c r="BL410" s="234">
        <v>0</v>
      </c>
      <c r="BM410" s="234">
        <v>0</v>
      </c>
      <c r="BN410" s="234">
        <v>0</v>
      </c>
      <c r="BO410" s="234">
        <v>0</v>
      </c>
      <c r="BP410" s="234"/>
      <c r="BQ410" s="234" t="s">
        <v>318</v>
      </c>
      <c r="BR410" s="237" t="s">
        <v>151</v>
      </c>
      <c r="BS410" s="238">
        <v>8</v>
      </c>
      <c r="CB410" s="239">
        <f>M410</f>
        <v>36</v>
      </c>
      <c r="CN410" s="238">
        <f t="shared" si="31"/>
        <v>0</v>
      </c>
      <c r="CO410" s="238">
        <f t="shared" si="32"/>
        <v>36</v>
      </c>
    </row>
    <row r="411" spans="1:93" ht="13.95" customHeight="1" x14ac:dyDescent="0.2">
      <c r="A411" s="231">
        <v>3511</v>
      </c>
      <c r="B411" s="232" t="s">
        <v>822</v>
      </c>
      <c r="C411" s="232" t="s">
        <v>844</v>
      </c>
      <c r="D411" s="232" t="s">
        <v>824</v>
      </c>
      <c r="E411" s="232" t="s">
        <v>1404</v>
      </c>
      <c r="F411" s="231">
        <v>529369</v>
      </c>
      <c r="G411" s="231">
        <v>177317</v>
      </c>
      <c r="H411" s="232" t="s">
        <v>168</v>
      </c>
      <c r="I411" s="233">
        <v>42825</v>
      </c>
      <c r="J411" s="231"/>
      <c r="K411" s="231">
        <v>0</v>
      </c>
      <c r="L411" s="231">
        <v>54</v>
      </c>
      <c r="M411" s="231">
        <v>54</v>
      </c>
      <c r="N411" s="231">
        <v>2971</v>
      </c>
      <c r="O411" s="231">
        <v>2966</v>
      </c>
      <c r="P411" s="234" t="s">
        <v>318</v>
      </c>
      <c r="Q411" s="232" t="s">
        <v>846</v>
      </c>
      <c r="R411" s="234" t="s">
        <v>847</v>
      </c>
      <c r="S411" s="235">
        <v>41774</v>
      </c>
      <c r="T411" s="235">
        <v>42046</v>
      </c>
      <c r="U411" s="234"/>
      <c r="V411" s="232" t="s">
        <v>321</v>
      </c>
      <c r="W411" s="231"/>
      <c r="X411" s="232" t="s">
        <v>322</v>
      </c>
      <c r="Y411" s="232" t="s">
        <v>323</v>
      </c>
      <c r="Z411" s="232" t="s">
        <v>323</v>
      </c>
      <c r="AA411" s="232" t="s">
        <v>324</v>
      </c>
      <c r="AB411" s="236">
        <v>0.32600000000000001</v>
      </c>
      <c r="AC411" s="235"/>
      <c r="AD411" s="234"/>
      <c r="AE411" s="234"/>
      <c r="AF411" s="232" t="s">
        <v>57</v>
      </c>
      <c r="AG411" s="232" t="s">
        <v>470</v>
      </c>
      <c r="AH411" s="234" t="s">
        <v>827</v>
      </c>
      <c r="AJ411" s="234">
        <v>0</v>
      </c>
      <c r="AK411" s="234">
        <v>49</v>
      </c>
      <c r="AL411" s="234">
        <v>0</v>
      </c>
      <c r="AM411" s="234">
        <v>5</v>
      </c>
      <c r="AN411" s="234">
        <v>0</v>
      </c>
      <c r="AO411" s="234">
        <v>8</v>
      </c>
      <c r="AP411" s="234">
        <v>25</v>
      </c>
      <c r="AQ411" s="234">
        <v>16</v>
      </c>
      <c r="AR411" s="234">
        <v>5</v>
      </c>
      <c r="AS411" s="234">
        <v>0</v>
      </c>
      <c r="AT411" s="234">
        <v>0</v>
      </c>
      <c r="AU411" s="234">
        <v>0</v>
      </c>
      <c r="AV411" s="234">
        <v>8</v>
      </c>
      <c r="AW411" s="234">
        <v>25</v>
      </c>
      <c r="AX411" s="234">
        <v>16</v>
      </c>
      <c r="AY411" s="234">
        <v>5</v>
      </c>
      <c r="AZ411" s="234">
        <v>0</v>
      </c>
      <c r="BA411" s="234">
        <v>0</v>
      </c>
      <c r="BB411" s="234">
        <v>0</v>
      </c>
      <c r="BC411" s="234">
        <v>0</v>
      </c>
      <c r="BD411" s="234">
        <v>0</v>
      </c>
      <c r="BE411" s="234">
        <v>0</v>
      </c>
      <c r="BF411" s="234">
        <v>0</v>
      </c>
      <c r="BG411" s="234">
        <v>0</v>
      </c>
      <c r="BH411" s="234">
        <v>0</v>
      </c>
      <c r="BI411" s="234">
        <v>0</v>
      </c>
      <c r="BJ411" s="234">
        <v>0</v>
      </c>
      <c r="BK411" s="234">
        <v>0</v>
      </c>
      <c r="BL411" s="234">
        <v>0</v>
      </c>
      <c r="BM411" s="234">
        <v>0</v>
      </c>
      <c r="BN411" s="234">
        <v>0</v>
      </c>
      <c r="BO411" s="234">
        <v>0</v>
      </c>
      <c r="BP411" s="234"/>
      <c r="BQ411" s="234" t="s">
        <v>318</v>
      </c>
      <c r="BR411" s="237" t="s">
        <v>151</v>
      </c>
      <c r="BS411" s="238">
        <v>8</v>
      </c>
      <c r="CB411" s="239">
        <f>M411</f>
        <v>54</v>
      </c>
      <c r="CN411" s="238">
        <f t="shared" si="31"/>
        <v>0</v>
      </c>
      <c r="CO411" s="238">
        <f t="shared" si="32"/>
        <v>54</v>
      </c>
    </row>
    <row r="412" spans="1:93" ht="13.95" customHeight="1" x14ac:dyDescent="0.2">
      <c r="A412" s="231">
        <v>3511</v>
      </c>
      <c r="B412" s="232" t="s">
        <v>822</v>
      </c>
      <c r="C412" s="232" t="s">
        <v>844</v>
      </c>
      <c r="D412" s="232" t="s">
        <v>824</v>
      </c>
      <c r="E412" s="232" t="s">
        <v>1405</v>
      </c>
      <c r="F412" s="231">
        <v>529369</v>
      </c>
      <c r="G412" s="231">
        <v>177317</v>
      </c>
      <c r="H412" s="232" t="s">
        <v>168</v>
      </c>
      <c r="I412" s="233">
        <v>42825</v>
      </c>
      <c r="J412" s="231"/>
      <c r="K412" s="231">
        <v>0</v>
      </c>
      <c r="L412" s="231">
        <v>59</v>
      </c>
      <c r="M412" s="231">
        <v>59</v>
      </c>
      <c r="N412" s="231">
        <v>2971</v>
      </c>
      <c r="O412" s="231">
        <v>2966</v>
      </c>
      <c r="P412" s="234" t="s">
        <v>318</v>
      </c>
      <c r="Q412" s="232" t="s">
        <v>846</v>
      </c>
      <c r="R412" s="234" t="s">
        <v>847</v>
      </c>
      <c r="S412" s="235">
        <v>41774</v>
      </c>
      <c r="T412" s="235">
        <v>42046</v>
      </c>
      <c r="U412" s="234"/>
      <c r="V412" s="232" t="s">
        <v>321</v>
      </c>
      <c r="W412" s="231"/>
      <c r="X412" s="232" t="s">
        <v>322</v>
      </c>
      <c r="Y412" s="232" t="s">
        <v>323</v>
      </c>
      <c r="Z412" s="232" t="s">
        <v>323</v>
      </c>
      <c r="AA412" s="232" t="s">
        <v>324</v>
      </c>
      <c r="AB412" s="236">
        <v>0.35599999999999998</v>
      </c>
      <c r="AC412" s="235"/>
      <c r="AD412" s="234"/>
      <c r="AE412" s="234"/>
      <c r="AF412" s="232" t="s">
        <v>57</v>
      </c>
      <c r="AG412" s="232" t="s">
        <v>470</v>
      </c>
      <c r="AH412" s="234" t="s">
        <v>827</v>
      </c>
      <c r="AJ412" s="234">
        <v>0</v>
      </c>
      <c r="AK412" s="234">
        <v>53</v>
      </c>
      <c r="AL412" s="234">
        <v>0</v>
      </c>
      <c r="AM412" s="234">
        <v>6</v>
      </c>
      <c r="AN412" s="234">
        <v>7</v>
      </c>
      <c r="AO412" s="234">
        <v>12</v>
      </c>
      <c r="AP412" s="234">
        <v>36</v>
      </c>
      <c r="AQ412" s="234">
        <v>4</v>
      </c>
      <c r="AR412" s="234">
        <v>0</v>
      </c>
      <c r="AS412" s="234">
        <v>0</v>
      </c>
      <c r="AT412" s="234">
        <v>0</v>
      </c>
      <c r="AU412" s="234">
        <v>7</v>
      </c>
      <c r="AV412" s="234">
        <v>12</v>
      </c>
      <c r="AW412" s="234">
        <v>36</v>
      </c>
      <c r="AX412" s="234">
        <v>4</v>
      </c>
      <c r="AY412" s="234">
        <v>0</v>
      </c>
      <c r="AZ412" s="234">
        <v>0</v>
      </c>
      <c r="BA412" s="234">
        <v>0</v>
      </c>
      <c r="BB412" s="234">
        <v>0</v>
      </c>
      <c r="BC412" s="234">
        <v>0</v>
      </c>
      <c r="BD412" s="234">
        <v>0</v>
      </c>
      <c r="BE412" s="234">
        <v>0</v>
      </c>
      <c r="BF412" s="234">
        <v>0</v>
      </c>
      <c r="BG412" s="234">
        <v>0</v>
      </c>
      <c r="BH412" s="234">
        <v>0</v>
      </c>
      <c r="BI412" s="234">
        <v>0</v>
      </c>
      <c r="BJ412" s="234">
        <v>0</v>
      </c>
      <c r="BK412" s="234">
        <v>0</v>
      </c>
      <c r="BL412" s="234">
        <v>0</v>
      </c>
      <c r="BM412" s="234">
        <v>0</v>
      </c>
      <c r="BN412" s="234">
        <v>0</v>
      </c>
      <c r="BO412" s="234">
        <v>0</v>
      </c>
      <c r="BP412" s="234"/>
      <c r="BQ412" s="234" t="s">
        <v>318</v>
      </c>
      <c r="BR412" s="237" t="s">
        <v>151</v>
      </c>
      <c r="BS412" s="238">
        <v>8</v>
      </c>
      <c r="CC412" s="239">
        <f>M412</f>
        <v>59</v>
      </c>
      <c r="CN412" s="238">
        <f t="shared" si="31"/>
        <v>0</v>
      </c>
      <c r="CO412" s="238">
        <f t="shared" si="32"/>
        <v>59</v>
      </c>
    </row>
    <row r="413" spans="1:93" ht="13.95" customHeight="1" x14ac:dyDescent="0.2">
      <c r="A413" s="231">
        <v>5862</v>
      </c>
      <c r="B413" s="232" t="s">
        <v>848</v>
      </c>
      <c r="C413" s="232" t="s">
        <v>1368</v>
      </c>
      <c r="D413" s="232" t="s">
        <v>1369</v>
      </c>
      <c r="E413" s="232" t="s">
        <v>1406</v>
      </c>
      <c r="F413" s="231">
        <v>524068</v>
      </c>
      <c r="G413" s="231">
        <v>175336</v>
      </c>
      <c r="H413" s="232" t="s">
        <v>175</v>
      </c>
      <c r="I413" s="233">
        <v>43190</v>
      </c>
      <c r="J413" s="231"/>
      <c r="K413" s="231">
        <v>0</v>
      </c>
      <c r="L413" s="231">
        <v>2</v>
      </c>
      <c r="M413" s="231">
        <v>2</v>
      </c>
      <c r="N413" s="231">
        <v>5</v>
      </c>
      <c r="O413" s="231">
        <v>4</v>
      </c>
      <c r="P413" s="234"/>
      <c r="Q413" s="232" t="s">
        <v>1371</v>
      </c>
      <c r="R413" s="234" t="s">
        <v>332</v>
      </c>
      <c r="S413" s="235">
        <v>43188</v>
      </c>
      <c r="T413" s="235">
        <v>43335</v>
      </c>
      <c r="U413" s="234"/>
      <c r="V413" s="232" t="s">
        <v>321</v>
      </c>
      <c r="W413" s="231"/>
      <c r="X413" s="232" t="s">
        <v>322</v>
      </c>
      <c r="Y413" s="232" t="s">
        <v>338</v>
      </c>
      <c r="Z413" s="232" t="s">
        <v>324</v>
      </c>
      <c r="AA413" s="232" t="s">
        <v>349</v>
      </c>
      <c r="AB413" s="236">
        <v>5.0000000000000001E-3</v>
      </c>
      <c r="AC413" s="235">
        <v>43190</v>
      </c>
      <c r="AD413" s="234"/>
      <c r="AE413" s="234"/>
      <c r="AF413" s="232" t="s">
        <v>77</v>
      </c>
      <c r="AG413" s="232" t="s">
        <v>350</v>
      </c>
      <c r="AH413" s="234" t="s">
        <v>317</v>
      </c>
      <c r="AI413" s="250"/>
      <c r="AJ413" s="234">
        <v>0</v>
      </c>
      <c r="AK413" s="224"/>
      <c r="AL413" s="234">
        <v>0</v>
      </c>
      <c r="AM413" s="224"/>
      <c r="AN413" s="234">
        <v>0</v>
      </c>
      <c r="AO413" s="234">
        <v>1</v>
      </c>
      <c r="AP413" s="234">
        <v>1</v>
      </c>
      <c r="AQ413" s="234">
        <v>0</v>
      </c>
      <c r="AR413" s="234">
        <v>0</v>
      </c>
      <c r="AS413" s="234">
        <v>0</v>
      </c>
      <c r="AT413" s="234">
        <v>0</v>
      </c>
      <c r="AU413" s="234">
        <v>0</v>
      </c>
      <c r="AV413" s="234">
        <v>1</v>
      </c>
      <c r="AW413" s="234">
        <v>1</v>
      </c>
      <c r="AX413" s="234">
        <v>0</v>
      </c>
      <c r="AY413" s="234">
        <v>0</v>
      </c>
      <c r="AZ413" s="234">
        <v>0</v>
      </c>
      <c r="BA413" s="234">
        <v>0</v>
      </c>
      <c r="BB413" s="234">
        <v>0</v>
      </c>
      <c r="BC413" s="234">
        <v>0</v>
      </c>
      <c r="BD413" s="234">
        <v>0</v>
      </c>
      <c r="BE413" s="234">
        <v>0</v>
      </c>
      <c r="BF413" s="234">
        <v>0</v>
      </c>
      <c r="BG413" s="234">
        <v>0</v>
      </c>
      <c r="BH413" s="234">
        <v>0</v>
      </c>
      <c r="BI413" s="234">
        <v>0</v>
      </c>
      <c r="BJ413" s="234">
        <v>0</v>
      </c>
      <c r="BK413" s="234">
        <v>0</v>
      </c>
      <c r="BL413" s="234">
        <v>0</v>
      </c>
      <c r="BM413" s="234">
        <v>0</v>
      </c>
      <c r="BN413" s="234">
        <v>0</v>
      </c>
      <c r="BO413" s="234">
        <v>0</v>
      </c>
      <c r="BP413" s="234" t="s">
        <v>143</v>
      </c>
      <c r="BQ413" s="234"/>
      <c r="BR413" s="237" t="s">
        <v>152</v>
      </c>
      <c r="BS413" s="238">
        <v>13</v>
      </c>
      <c r="BU413" s="239">
        <f t="shared" ref="BU413:BU420" si="34">M413</f>
        <v>2</v>
      </c>
      <c r="CN413" s="238">
        <f t="shared" si="31"/>
        <v>2</v>
      </c>
      <c r="CO413" s="238">
        <f t="shared" si="32"/>
        <v>2</v>
      </c>
    </row>
    <row r="414" spans="1:93" ht="13.95" customHeight="1" x14ac:dyDescent="0.2">
      <c r="A414" s="231">
        <v>6657</v>
      </c>
      <c r="B414" s="232" t="s">
        <v>848</v>
      </c>
      <c r="C414" s="232" t="s">
        <v>804</v>
      </c>
      <c r="D414" s="232" t="s">
        <v>805</v>
      </c>
      <c r="E414" s="232" t="s">
        <v>1407</v>
      </c>
      <c r="F414" s="231">
        <v>525999</v>
      </c>
      <c r="G414" s="231">
        <v>173647</v>
      </c>
      <c r="H414" s="232" t="s">
        <v>179</v>
      </c>
      <c r="I414" s="233">
        <v>44581</v>
      </c>
      <c r="J414" s="231"/>
      <c r="K414" s="231">
        <v>0</v>
      </c>
      <c r="L414" s="231">
        <v>21</v>
      </c>
      <c r="M414" s="231">
        <v>21</v>
      </c>
      <c r="N414" s="231">
        <v>193</v>
      </c>
      <c r="O414" s="231">
        <v>182</v>
      </c>
      <c r="P414" s="234" t="s">
        <v>318</v>
      </c>
      <c r="Q414" s="232" t="s">
        <v>807</v>
      </c>
      <c r="R414" s="234" t="s">
        <v>655</v>
      </c>
      <c r="S414" s="235">
        <v>44260</v>
      </c>
      <c r="T414" s="235">
        <v>44396</v>
      </c>
      <c r="U414" s="234"/>
      <c r="V414" s="232" t="s">
        <v>321</v>
      </c>
      <c r="W414" s="231"/>
      <c r="X414" s="232" t="s">
        <v>322</v>
      </c>
      <c r="Y414" s="232" t="s">
        <v>323</v>
      </c>
      <c r="Z414" s="232" t="s">
        <v>323</v>
      </c>
      <c r="AA414" s="232" t="s">
        <v>324</v>
      </c>
      <c r="AB414" s="236">
        <v>1.9E-2</v>
      </c>
      <c r="AC414" s="235">
        <v>44581</v>
      </c>
      <c r="AD414" s="234"/>
      <c r="AE414" s="234"/>
      <c r="AF414" s="232" t="s">
        <v>56</v>
      </c>
      <c r="AG414" s="232" t="s">
        <v>325</v>
      </c>
      <c r="AH414" s="234" t="s">
        <v>317</v>
      </c>
      <c r="AI414" s="250"/>
      <c r="AJ414" s="234">
        <v>0</v>
      </c>
      <c r="AK414" s="234">
        <v>18</v>
      </c>
      <c r="AL414" s="234">
        <v>0</v>
      </c>
      <c r="AM414" s="234">
        <v>3</v>
      </c>
      <c r="AN414" s="234">
        <v>0</v>
      </c>
      <c r="AO414" s="234">
        <v>5</v>
      </c>
      <c r="AP414" s="234">
        <v>16</v>
      </c>
      <c r="AQ414" s="234">
        <v>0</v>
      </c>
      <c r="AR414" s="234">
        <v>0</v>
      </c>
      <c r="AS414" s="234">
        <v>0</v>
      </c>
      <c r="AT414" s="234">
        <v>0</v>
      </c>
      <c r="AU414" s="234">
        <v>0</v>
      </c>
      <c r="AV414" s="234">
        <v>5</v>
      </c>
      <c r="AW414" s="234">
        <v>16</v>
      </c>
      <c r="AX414" s="234">
        <v>0</v>
      </c>
      <c r="AY414" s="234">
        <v>0</v>
      </c>
      <c r="AZ414" s="234">
        <v>0</v>
      </c>
      <c r="BA414" s="234">
        <v>0</v>
      </c>
      <c r="BB414" s="234">
        <v>0</v>
      </c>
      <c r="BC414" s="234">
        <v>0</v>
      </c>
      <c r="BD414" s="234">
        <v>0</v>
      </c>
      <c r="BE414" s="234">
        <v>0</v>
      </c>
      <c r="BF414" s="234">
        <v>0</v>
      </c>
      <c r="BG414" s="234">
        <v>0</v>
      </c>
      <c r="BH414" s="234">
        <v>0</v>
      </c>
      <c r="BI414" s="234">
        <v>0</v>
      </c>
      <c r="BJ414" s="234">
        <v>0</v>
      </c>
      <c r="BK414" s="234">
        <v>0</v>
      </c>
      <c r="BL414" s="234">
        <v>0</v>
      </c>
      <c r="BM414" s="234">
        <v>0</v>
      </c>
      <c r="BN414" s="234">
        <v>0</v>
      </c>
      <c r="BO414" s="234">
        <v>0</v>
      </c>
      <c r="BP414" s="234"/>
      <c r="BQ414" s="234"/>
      <c r="BR414" s="237" t="s">
        <v>334</v>
      </c>
      <c r="BS414" s="238">
        <v>5</v>
      </c>
      <c r="BU414" s="239">
        <f t="shared" si="34"/>
        <v>21</v>
      </c>
      <c r="CN414" s="238">
        <f t="shared" si="31"/>
        <v>21</v>
      </c>
      <c r="CO414" s="238">
        <f t="shared" si="32"/>
        <v>21</v>
      </c>
    </row>
    <row r="415" spans="1:93" ht="13.95" customHeight="1" x14ac:dyDescent="0.2">
      <c r="A415" s="231">
        <v>6657</v>
      </c>
      <c r="B415" s="232" t="s">
        <v>848</v>
      </c>
      <c r="C415" s="232" t="s">
        <v>804</v>
      </c>
      <c r="D415" s="232" t="s">
        <v>805</v>
      </c>
      <c r="E415" s="232" t="s">
        <v>1408</v>
      </c>
      <c r="F415" s="231">
        <v>525999</v>
      </c>
      <c r="G415" s="231">
        <v>173647</v>
      </c>
      <c r="H415" s="232" t="s">
        <v>179</v>
      </c>
      <c r="I415" s="233">
        <v>44581</v>
      </c>
      <c r="J415" s="231"/>
      <c r="K415" s="231">
        <v>0</v>
      </c>
      <c r="L415" s="231">
        <v>22</v>
      </c>
      <c r="M415" s="231">
        <v>22</v>
      </c>
      <c r="N415" s="231">
        <v>193</v>
      </c>
      <c r="O415" s="231">
        <v>182</v>
      </c>
      <c r="P415" s="234" t="s">
        <v>318</v>
      </c>
      <c r="Q415" s="232" t="s">
        <v>807</v>
      </c>
      <c r="R415" s="234" t="s">
        <v>655</v>
      </c>
      <c r="S415" s="235">
        <v>44260</v>
      </c>
      <c r="T415" s="235">
        <v>44396</v>
      </c>
      <c r="U415" s="234"/>
      <c r="V415" s="232" t="s">
        <v>321</v>
      </c>
      <c r="W415" s="231"/>
      <c r="X415" s="232" t="s">
        <v>322</v>
      </c>
      <c r="Y415" s="232" t="s">
        <v>323</v>
      </c>
      <c r="Z415" s="232" t="s">
        <v>323</v>
      </c>
      <c r="AA415" s="232" t="s">
        <v>324</v>
      </c>
      <c r="AB415" s="236">
        <v>0.02</v>
      </c>
      <c r="AC415" s="235">
        <v>44581</v>
      </c>
      <c r="AD415" s="234"/>
      <c r="AE415" s="234"/>
      <c r="AF415" s="232" t="s">
        <v>77</v>
      </c>
      <c r="AG415" s="232" t="s">
        <v>350</v>
      </c>
      <c r="AH415" s="234" t="s">
        <v>317</v>
      </c>
      <c r="AI415" s="250"/>
      <c r="AJ415" s="234">
        <v>0</v>
      </c>
      <c r="AK415" s="234">
        <v>20</v>
      </c>
      <c r="AL415" s="234">
        <v>0</v>
      </c>
      <c r="AM415" s="234">
        <v>2</v>
      </c>
      <c r="AN415" s="234">
        <v>0</v>
      </c>
      <c r="AO415" s="234">
        <v>2</v>
      </c>
      <c r="AP415" s="234">
        <v>19</v>
      </c>
      <c r="AQ415" s="234">
        <v>1</v>
      </c>
      <c r="AR415" s="234">
        <v>0</v>
      </c>
      <c r="AS415" s="234">
        <v>0</v>
      </c>
      <c r="AT415" s="234">
        <v>0</v>
      </c>
      <c r="AU415" s="234">
        <v>0</v>
      </c>
      <c r="AV415" s="234">
        <v>2</v>
      </c>
      <c r="AW415" s="234">
        <v>19</v>
      </c>
      <c r="AX415" s="234">
        <v>1</v>
      </c>
      <c r="AY415" s="234">
        <v>0</v>
      </c>
      <c r="AZ415" s="234">
        <v>0</v>
      </c>
      <c r="BA415" s="234">
        <v>0</v>
      </c>
      <c r="BB415" s="234">
        <v>0</v>
      </c>
      <c r="BC415" s="234">
        <v>0</v>
      </c>
      <c r="BD415" s="234">
        <v>0</v>
      </c>
      <c r="BE415" s="234">
        <v>0</v>
      </c>
      <c r="BF415" s="234">
        <v>0</v>
      </c>
      <c r="BG415" s="234">
        <v>0</v>
      </c>
      <c r="BH415" s="234">
        <v>0</v>
      </c>
      <c r="BI415" s="234">
        <v>0</v>
      </c>
      <c r="BJ415" s="234">
        <v>0</v>
      </c>
      <c r="BK415" s="234">
        <v>0</v>
      </c>
      <c r="BL415" s="234">
        <v>0</v>
      </c>
      <c r="BM415" s="234">
        <v>0</v>
      </c>
      <c r="BN415" s="234">
        <v>0</v>
      </c>
      <c r="BO415" s="234">
        <v>0</v>
      </c>
      <c r="BP415" s="234"/>
      <c r="BQ415" s="234"/>
      <c r="BR415" s="237" t="s">
        <v>334</v>
      </c>
      <c r="BS415" s="238">
        <v>5</v>
      </c>
      <c r="BU415" s="239">
        <f t="shared" si="34"/>
        <v>22</v>
      </c>
      <c r="CN415" s="238">
        <f t="shared" si="31"/>
        <v>22</v>
      </c>
      <c r="CO415" s="238">
        <f t="shared" si="32"/>
        <v>22</v>
      </c>
    </row>
    <row r="416" spans="1:93" ht="13.95" customHeight="1" x14ac:dyDescent="0.2">
      <c r="A416" s="231">
        <v>6657</v>
      </c>
      <c r="B416" s="232" t="s">
        <v>848</v>
      </c>
      <c r="C416" s="232" t="s">
        <v>804</v>
      </c>
      <c r="D416" s="232" t="s">
        <v>805</v>
      </c>
      <c r="E416" s="232" t="s">
        <v>1408</v>
      </c>
      <c r="F416" s="231">
        <v>525999</v>
      </c>
      <c r="G416" s="231">
        <v>173647</v>
      </c>
      <c r="H416" s="232" t="s">
        <v>179</v>
      </c>
      <c r="I416" s="233">
        <v>44581</v>
      </c>
      <c r="J416" s="231"/>
      <c r="K416" s="231">
        <v>0</v>
      </c>
      <c r="L416" s="231">
        <v>5</v>
      </c>
      <c r="M416" s="231">
        <v>5</v>
      </c>
      <c r="N416" s="231">
        <v>193</v>
      </c>
      <c r="O416" s="231">
        <v>182</v>
      </c>
      <c r="P416" s="234" t="s">
        <v>318</v>
      </c>
      <c r="Q416" s="232" t="s">
        <v>807</v>
      </c>
      <c r="R416" s="234" t="s">
        <v>655</v>
      </c>
      <c r="S416" s="235">
        <v>44260</v>
      </c>
      <c r="T416" s="235">
        <v>44396</v>
      </c>
      <c r="U416" s="234"/>
      <c r="V416" s="232" t="s">
        <v>321</v>
      </c>
      <c r="W416" s="231"/>
      <c r="X416" s="232" t="s">
        <v>322</v>
      </c>
      <c r="Y416" s="232" t="s">
        <v>323</v>
      </c>
      <c r="Z416" s="232" t="s">
        <v>323</v>
      </c>
      <c r="AA416" s="232" t="s">
        <v>324</v>
      </c>
      <c r="AB416" s="236">
        <v>4.0000000000000001E-3</v>
      </c>
      <c r="AC416" s="235">
        <v>44581</v>
      </c>
      <c r="AD416" s="234"/>
      <c r="AE416" s="234"/>
      <c r="AF416" s="232" t="s">
        <v>56</v>
      </c>
      <c r="AG416" s="232" t="s">
        <v>325</v>
      </c>
      <c r="AH416" s="234" t="s">
        <v>317</v>
      </c>
      <c r="AI416" s="250"/>
      <c r="AJ416" s="234">
        <v>0</v>
      </c>
      <c r="AK416" s="234">
        <v>5</v>
      </c>
      <c r="AL416" s="234">
        <v>0</v>
      </c>
      <c r="AM416" s="224"/>
      <c r="AN416" s="234">
        <v>0</v>
      </c>
      <c r="AO416" s="234">
        <v>2</v>
      </c>
      <c r="AP416" s="234">
        <v>3</v>
      </c>
      <c r="AQ416" s="234">
        <v>0</v>
      </c>
      <c r="AR416" s="234">
        <v>0</v>
      </c>
      <c r="AS416" s="234">
        <v>0</v>
      </c>
      <c r="AT416" s="234">
        <v>0</v>
      </c>
      <c r="AU416" s="234">
        <v>0</v>
      </c>
      <c r="AV416" s="234">
        <v>2</v>
      </c>
      <c r="AW416" s="234">
        <v>3</v>
      </c>
      <c r="AX416" s="234">
        <v>0</v>
      </c>
      <c r="AY416" s="234">
        <v>0</v>
      </c>
      <c r="AZ416" s="234">
        <v>0</v>
      </c>
      <c r="BA416" s="234">
        <v>0</v>
      </c>
      <c r="BB416" s="234">
        <v>0</v>
      </c>
      <c r="BC416" s="234">
        <v>0</v>
      </c>
      <c r="BD416" s="234">
        <v>0</v>
      </c>
      <c r="BE416" s="234">
        <v>0</v>
      </c>
      <c r="BF416" s="234">
        <v>0</v>
      </c>
      <c r="BG416" s="234">
        <v>0</v>
      </c>
      <c r="BH416" s="234">
        <v>0</v>
      </c>
      <c r="BI416" s="234">
        <v>0</v>
      </c>
      <c r="BJ416" s="234">
        <v>0</v>
      </c>
      <c r="BK416" s="234">
        <v>0</v>
      </c>
      <c r="BL416" s="234">
        <v>0</v>
      </c>
      <c r="BM416" s="234">
        <v>0</v>
      </c>
      <c r="BN416" s="234">
        <v>0</v>
      </c>
      <c r="BO416" s="234">
        <v>0</v>
      </c>
      <c r="BP416" s="234"/>
      <c r="BQ416" s="234"/>
      <c r="BR416" s="237" t="s">
        <v>334</v>
      </c>
      <c r="BS416" s="238">
        <v>5</v>
      </c>
      <c r="BU416" s="239">
        <f t="shared" si="34"/>
        <v>5</v>
      </c>
      <c r="CN416" s="238">
        <f t="shared" si="31"/>
        <v>5</v>
      </c>
      <c r="CO416" s="238">
        <f t="shared" si="32"/>
        <v>5</v>
      </c>
    </row>
    <row r="417" spans="1:93" ht="13.95" customHeight="1" x14ac:dyDescent="0.2">
      <c r="A417" s="231">
        <v>6657</v>
      </c>
      <c r="B417" s="232" t="s">
        <v>848</v>
      </c>
      <c r="C417" s="232" t="s">
        <v>804</v>
      </c>
      <c r="D417" s="232" t="s">
        <v>805</v>
      </c>
      <c r="E417" s="232" t="s">
        <v>1409</v>
      </c>
      <c r="F417" s="231">
        <v>525999</v>
      </c>
      <c r="G417" s="231">
        <v>173647</v>
      </c>
      <c r="H417" s="232" t="s">
        <v>179</v>
      </c>
      <c r="I417" s="233">
        <v>44581</v>
      </c>
      <c r="J417" s="231"/>
      <c r="K417" s="231">
        <v>0</v>
      </c>
      <c r="L417" s="231">
        <v>25</v>
      </c>
      <c r="M417" s="231">
        <v>25</v>
      </c>
      <c r="N417" s="231">
        <v>193</v>
      </c>
      <c r="O417" s="231">
        <v>182</v>
      </c>
      <c r="P417" s="234" t="s">
        <v>318</v>
      </c>
      <c r="Q417" s="232" t="s">
        <v>807</v>
      </c>
      <c r="R417" s="234" t="s">
        <v>655</v>
      </c>
      <c r="S417" s="235">
        <v>44260</v>
      </c>
      <c r="T417" s="235">
        <v>44396</v>
      </c>
      <c r="U417" s="234"/>
      <c r="V417" s="232" t="s">
        <v>321</v>
      </c>
      <c r="W417" s="231"/>
      <c r="X417" s="232" t="s">
        <v>322</v>
      </c>
      <c r="Y417" s="232" t="s">
        <v>323</v>
      </c>
      <c r="Z417" s="232" t="s">
        <v>323</v>
      </c>
      <c r="AA417" s="232" t="s">
        <v>324</v>
      </c>
      <c r="AB417" s="236">
        <v>2.1999999999999999E-2</v>
      </c>
      <c r="AC417" s="235">
        <v>44581</v>
      </c>
      <c r="AD417" s="234"/>
      <c r="AE417" s="234"/>
      <c r="AF417" s="232" t="s">
        <v>56</v>
      </c>
      <c r="AG417" s="232" t="s">
        <v>325</v>
      </c>
      <c r="AH417" s="234" t="s">
        <v>317</v>
      </c>
      <c r="AI417" s="250"/>
      <c r="AJ417" s="234">
        <v>0</v>
      </c>
      <c r="AK417" s="234">
        <v>21</v>
      </c>
      <c r="AL417" s="234">
        <v>0</v>
      </c>
      <c r="AM417" s="234">
        <v>4</v>
      </c>
      <c r="AN417" s="234">
        <v>0</v>
      </c>
      <c r="AO417" s="234">
        <v>11</v>
      </c>
      <c r="AP417" s="234">
        <v>10</v>
      </c>
      <c r="AQ417" s="234">
        <v>4</v>
      </c>
      <c r="AR417" s="234">
        <v>0</v>
      </c>
      <c r="AS417" s="234">
        <v>0</v>
      </c>
      <c r="AT417" s="234">
        <v>0</v>
      </c>
      <c r="AU417" s="234">
        <v>0</v>
      </c>
      <c r="AV417" s="234">
        <v>11</v>
      </c>
      <c r="AW417" s="234">
        <v>10</v>
      </c>
      <c r="AX417" s="234">
        <v>4</v>
      </c>
      <c r="AY417" s="234">
        <v>0</v>
      </c>
      <c r="AZ417" s="234">
        <v>0</v>
      </c>
      <c r="BA417" s="234">
        <v>0</v>
      </c>
      <c r="BB417" s="234">
        <v>0</v>
      </c>
      <c r="BC417" s="234">
        <v>0</v>
      </c>
      <c r="BD417" s="234">
        <v>0</v>
      </c>
      <c r="BE417" s="234">
        <v>0</v>
      </c>
      <c r="BF417" s="234">
        <v>0</v>
      </c>
      <c r="BG417" s="234">
        <v>0</v>
      </c>
      <c r="BH417" s="234">
        <v>0</v>
      </c>
      <c r="BI417" s="234">
        <v>0</v>
      </c>
      <c r="BJ417" s="234">
        <v>0</v>
      </c>
      <c r="BK417" s="234">
        <v>0</v>
      </c>
      <c r="BL417" s="234">
        <v>0</v>
      </c>
      <c r="BM417" s="234">
        <v>0</v>
      </c>
      <c r="BN417" s="234">
        <v>0</v>
      </c>
      <c r="BO417" s="234">
        <v>0</v>
      </c>
      <c r="BP417" s="234"/>
      <c r="BQ417" s="234"/>
      <c r="BR417" s="237" t="s">
        <v>334</v>
      </c>
      <c r="BS417" s="238">
        <v>5</v>
      </c>
      <c r="BU417" s="239">
        <f t="shared" si="34"/>
        <v>25</v>
      </c>
      <c r="CN417" s="238">
        <f t="shared" si="31"/>
        <v>25</v>
      </c>
      <c r="CO417" s="238">
        <f t="shared" si="32"/>
        <v>25</v>
      </c>
    </row>
    <row r="418" spans="1:93" ht="13.95" customHeight="1" x14ac:dyDescent="0.2">
      <c r="A418" s="231">
        <v>6657</v>
      </c>
      <c r="B418" s="232" t="s">
        <v>848</v>
      </c>
      <c r="C418" s="232" t="s">
        <v>804</v>
      </c>
      <c r="D418" s="232" t="s">
        <v>805</v>
      </c>
      <c r="E418" s="232" t="s">
        <v>1409</v>
      </c>
      <c r="F418" s="231">
        <v>525999</v>
      </c>
      <c r="G418" s="231">
        <v>173647</v>
      </c>
      <c r="H418" s="232" t="s">
        <v>179</v>
      </c>
      <c r="I418" s="233">
        <v>44581</v>
      </c>
      <c r="J418" s="231"/>
      <c r="K418" s="231">
        <v>11</v>
      </c>
      <c r="L418" s="231">
        <v>2</v>
      </c>
      <c r="M418" s="231">
        <v>-9</v>
      </c>
      <c r="N418" s="231">
        <v>193</v>
      </c>
      <c r="O418" s="231">
        <v>182</v>
      </c>
      <c r="P418" s="234" t="s">
        <v>318</v>
      </c>
      <c r="Q418" s="232" t="s">
        <v>807</v>
      </c>
      <c r="R418" s="234" t="s">
        <v>655</v>
      </c>
      <c r="S418" s="235">
        <v>44260</v>
      </c>
      <c r="T418" s="235">
        <v>44396</v>
      </c>
      <c r="U418" s="234"/>
      <c r="V418" s="232" t="s">
        <v>321</v>
      </c>
      <c r="W418" s="231"/>
      <c r="X418" s="232" t="s">
        <v>322</v>
      </c>
      <c r="Y418" s="232" t="s">
        <v>323</v>
      </c>
      <c r="Z418" s="232" t="s">
        <v>323</v>
      </c>
      <c r="AA418" s="232" t="s">
        <v>324</v>
      </c>
      <c r="AB418" s="236">
        <v>2E-3</v>
      </c>
      <c r="AC418" s="235">
        <v>44581</v>
      </c>
      <c r="AD418" s="234"/>
      <c r="AE418" s="234"/>
      <c r="AF418" s="232" t="s">
        <v>56</v>
      </c>
      <c r="AG418" s="232" t="s">
        <v>355</v>
      </c>
      <c r="AH418" s="234" t="s">
        <v>317</v>
      </c>
      <c r="AI418" s="250"/>
      <c r="AJ418" s="234">
        <v>0</v>
      </c>
      <c r="AK418" s="234">
        <v>1</v>
      </c>
      <c r="AL418" s="234">
        <v>0</v>
      </c>
      <c r="AM418" s="234">
        <v>1</v>
      </c>
      <c r="AN418" s="234">
        <v>0</v>
      </c>
      <c r="AO418" s="234">
        <v>0</v>
      </c>
      <c r="AP418" s="234">
        <v>-5</v>
      </c>
      <c r="AQ418" s="234">
        <v>-4</v>
      </c>
      <c r="AR418" s="234">
        <v>0</v>
      </c>
      <c r="AS418" s="234">
        <v>0</v>
      </c>
      <c r="AT418" s="234">
        <v>0</v>
      </c>
      <c r="AU418" s="234">
        <v>0</v>
      </c>
      <c r="AV418" s="234">
        <v>0</v>
      </c>
      <c r="AW418" s="234">
        <v>-5</v>
      </c>
      <c r="AX418" s="234">
        <v>2</v>
      </c>
      <c r="AY418" s="234">
        <v>0</v>
      </c>
      <c r="AZ418" s="234">
        <v>0</v>
      </c>
      <c r="BA418" s="234">
        <v>0</v>
      </c>
      <c r="BB418" s="234">
        <v>0</v>
      </c>
      <c r="BC418" s="234">
        <v>0</v>
      </c>
      <c r="BD418" s="234">
        <v>0</v>
      </c>
      <c r="BE418" s="234">
        <v>-6</v>
      </c>
      <c r="BF418" s="234">
        <v>0</v>
      </c>
      <c r="BG418" s="234">
        <v>0</v>
      </c>
      <c r="BH418" s="234">
        <v>0</v>
      </c>
      <c r="BI418" s="234">
        <v>0</v>
      </c>
      <c r="BJ418" s="234">
        <v>0</v>
      </c>
      <c r="BK418" s="234">
        <v>0</v>
      </c>
      <c r="BL418" s="234">
        <v>0</v>
      </c>
      <c r="BM418" s="234">
        <v>0</v>
      </c>
      <c r="BN418" s="234">
        <v>0</v>
      </c>
      <c r="BO418" s="234">
        <v>0</v>
      </c>
      <c r="BP418" s="234"/>
      <c r="BQ418" s="234"/>
      <c r="BR418" s="237" t="s">
        <v>334</v>
      </c>
      <c r="BS418" s="238">
        <v>5</v>
      </c>
      <c r="BU418" s="239">
        <f t="shared" si="34"/>
        <v>-9</v>
      </c>
      <c r="CN418" s="238">
        <f t="shared" si="31"/>
        <v>-9</v>
      </c>
      <c r="CO418" s="238">
        <f t="shared" si="32"/>
        <v>-9</v>
      </c>
    </row>
    <row r="419" spans="1:93" ht="13.95" customHeight="1" x14ac:dyDescent="0.2">
      <c r="A419" s="231">
        <v>6657</v>
      </c>
      <c r="B419" s="232" t="s">
        <v>848</v>
      </c>
      <c r="C419" s="232" t="s">
        <v>804</v>
      </c>
      <c r="D419" s="232" t="s">
        <v>805</v>
      </c>
      <c r="E419" s="232" t="s">
        <v>1410</v>
      </c>
      <c r="F419" s="231">
        <v>525999</v>
      </c>
      <c r="G419" s="231">
        <v>173647</v>
      </c>
      <c r="H419" s="232" t="s">
        <v>179</v>
      </c>
      <c r="I419" s="233">
        <v>44581</v>
      </c>
      <c r="J419" s="231"/>
      <c r="K419" s="231">
        <v>0</v>
      </c>
      <c r="L419" s="231">
        <v>14</v>
      </c>
      <c r="M419" s="231">
        <v>14</v>
      </c>
      <c r="N419" s="231">
        <v>193</v>
      </c>
      <c r="O419" s="231">
        <v>182</v>
      </c>
      <c r="P419" s="234" t="s">
        <v>318</v>
      </c>
      <c r="Q419" s="232" t="s">
        <v>807</v>
      </c>
      <c r="R419" s="234" t="s">
        <v>655</v>
      </c>
      <c r="S419" s="235">
        <v>44260</v>
      </c>
      <c r="T419" s="235">
        <v>44396</v>
      </c>
      <c r="U419" s="234"/>
      <c r="V419" s="232" t="s">
        <v>321</v>
      </c>
      <c r="W419" s="231"/>
      <c r="X419" s="232" t="s">
        <v>322</v>
      </c>
      <c r="Y419" s="232" t="s">
        <v>323</v>
      </c>
      <c r="Z419" s="232" t="s">
        <v>323</v>
      </c>
      <c r="AA419" s="232" t="s">
        <v>324</v>
      </c>
      <c r="AB419" s="236">
        <v>1.4E-2</v>
      </c>
      <c r="AC419" s="235">
        <v>44581</v>
      </c>
      <c r="AD419" s="234"/>
      <c r="AE419" s="234"/>
      <c r="AF419" s="232" t="s">
        <v>77</v>
      </c>
      <c r="AG419" s="232" t="s">
        <v>350</v>
      </c>
      <c r="AH419" s="234" t="s">
        <v>317</v>
      </c>
      <c r="AI419" s="250"/>
      <c r="AJ419" s="234">
        <v>0</v>
      </c>
      <c r="AK419" s="234">
        <v>16</v>
      </c>
      <c r="AL419" s="234">
        <v>0</v>
      </c>
      <c r="AM419" s="224"/>
      <c r="AN419" s="234">
        <v>0</v>
      </c>
      <c r="AO419" s="234">
        <v>0</v>
      </c>
      <c r="AP419" s="234">
        <v>0</v>
      </c>
      <c r="AQ419" s="234">
        <v>0</v>
      </c>
      <c r="AR419" s="234">
        <v>14</v>
      </c>
      <c r="AS419" s="234">
        <v>0</v>
      </c>
      <c r="AT419" s="234">
        <v>0</v>
      </c>
      <c r="AU419" s="234">
        <v>0</v>
      </c>
      <c r="AV419" s="234">
        <v>0</v>
      </c>
      <c r="AW419" s="234">
        <v>0</v>
      </c>
      <c r="AX419" s="234">
        <v>0</v>
      </c>
      <c r="AY419" s="234">
        <v>0</v>
      </c>
      <c r="AZ419" s="234">
        <v>0</v>
      </c>
      <c r="BA419" s="234">
        <v>0</v>
      </c>
      <c r="BB419" s="234">
        <v>0</v>
      </c>
      <c r="BC419" s="234">
        <v>0</v>
      </c>
      <c r="BD419" s="234">
        <v>0</v>
      </c>
      <c r="BE419" s="234">
        <v>0</v>
      </c>
      <c r="BF419" s="234">
        <v>14</v>
      </c>
      <c r="BG419" s="234">
        <v>0</v>
      </c>
      <c r="BH419" s="234">
        <v>0</v>
      </c>
      <c r="BI419" s="234">
        <v>0</v>
      </c>
      <c r="BJ419" s="234">
        <v>0</v>
      </c>
      <c r="BK419" s="234">
        <v>0</v>
      </c>
      <c r="BL419" s="234">
        <v>0</v>
      </c>
      <c r="BM419" s="234">
        <v>0</v>
      </c>
      <c r="BN419" s="234">
        <v>0</v>
      </c>
      <c r="BO419" s="234">
        <v>0</v>
      </c>
      <c r="BP419" s="234"/>
      <c r="BQ419" s="234"/>
      <c r="BR419" s="237" t="s">
        <v>334</v>
      </c>
      <c r="BS419" s="238">
        <v>5</v>
      </c>
      <c r="BU419" s="239">
        <f t="shared" si="34"/>
        <v>14</v>
      </c>
      <c r="CN419" s="238">
        <f t="shared" si="31"/>
        <v>14</v>
      </c>
      <c r="CO419" s="238">
        <f t="shared" si="32"/>
        <v>14</v>
      </c>
    </row>
    <row r="420" spans="1:93" ht="13.95" customHeight="1" x14ac:dyDescent="0.2">
      <c r="A420" s="231">
        <v>6657</v>
      </c>
      <c r="B420" s="232" t="s">
        <v>848</v>
      </c>
      <c r="C420" s="232" t="s">
        <v>804</v>
      </c>
      <c r="D420" s="232" t="s">
        <v>805</v>
      </c>
      <c r="E420" s="232" t="s">
        <v>1410</v>
      </c>
      <c r="F420" s="231">
        <v>525999</v>
      </c>
      <c r="G420" s="231">
        <v>173647</v>
      </c>
      <c r="H420" s="232" t="s">
        <v>179</v>
      </c>
      <c r="I420" s="233">
        <v>44581</v>
      </c>
      <c r="J420" s="231"/>
      <c r="K420" s="231">
        <v>0</v>
      </c>
      <c r="L420" s="231">
        <v>9</v>
      </c>
      <c r="M420" s="231">
        <v>9</v>
      </c>
      <c r="N420" s="231">
        <v>193</v>
      </c>
      <c r="O420" s="231">
        <v>182</v>
      </c>
      <c r="P420" s="234" t="s">
        <v>318</v>
      </c>
      <c r="Q420" s="232" t="s">
        <v>807</v>
      </c>
      <c r="R420" s="234" t="s">
        <v>655</v>
      </c>
      <c r="S420" s="235">
        <v>44260</v>
      </c>
      <c r="T420" s="235">
        <v>44396</v>
      </c>
      <c r="U420" s="234"/>
      <c r="V420" s="232" t="s">
        <v>321</v>
      </c>
      <c r="W420" s="231"/>
      <c r="X420" s="232" t="s">
        <v>322</v>
      </c>
      <c r="Y420" s="232" t="s">
        <v>323</v>
      </c>
      <c r="Z420" s="232" t="s">
        <v>323</v>
      </c>
      <c r="AA420" s="232" t="s">
        <v>324</v>
      </c>
      <c r="AB420" s="236">
        <v>6.0000000000000001E-3</v>
      </c>
      <c r="AC420" s="235">
        <v>44581</v>
      </c>
      <c r="AD420" s="234"/>
      <c r="AE420" s="234"/>
      <c r="AF420" s="232" t="s">
        <v>57</v>
      </c>
      <c r="AG420" s="232" t="s">
        <v>328</v>
      </c>
      <c r="AH420" s="234" t="s">
        <v>317</v>
      </c>
      <c r="AI420" s="250"/>
      <c r="AJ420" s="234">
        <v>0</v>
      </c>
      <c r="AK420" s="234">
        <v>7</v>
      </c>
      <c r="AL420" s="234">
        <v>0</v>
      </c>
      <c r="AM420" s="224"/>
      <c r="AN420" s="234">
        <v>0</v>
      </c>
      <c r="AO420" s="234">
        <v>0</v>
      </c>
      <c r="AP420" s="234">
        <v>0</v>
      </c>
      <c r="AQ420" s="234">
        <v>1</v>
      </c>
      <c r="AR420" s="234">
        <v>8</v>
      </c>
      <c r="AS420" s="234">
        <v>0</v>
      </c>
      <c r="AT420" s="234">
        <v>0</v>
      </c>
      <c r="AU420" s="234">
        <v>0</v>
      </c>
      <c r="AV420" s="234">
        <v>0</v>
      </c>
      <c r="AW420" s="234">
        <v>0</v>
      </c>
      <c r="AX420" s="234">
        <v>0</v>
      </c>
      <c r="AY420" s="234">
        <v>0</v>
      </c>
      <c r="AZ420" s="234">
        <v>0</v>
      </c>
      <c r="BA420" s="234">
        <v>0</v>
      </c>
      <c r="BB420" s="234">
        <v>0</v>
      </c>
      <c r="BC420" s="234">
        <v>0</v>
      </c>
      <c r="BD420" s="234">
        <v>0</v>
      </c>
      <c r="BE420" s="234">
        <v>1</v>
      </c>
      <c r="BF420" s="234">
        <v>8</v>
      </c>
      <c r="BG420" s="234">
        <v>0</v>
      </c>
      <c r="BH420" s="234">
        <v>0</v>
      </c>
      <c r="BI420" s="234">
        <v>0</v>
      </c>
      <c r="BJ420" s="234">
        <v>0</v>
      </c>
      <c r="BK420" s="234">
        <v>0</v>
      </c>
      <c r="BL420" s="234">
        <v>0</v>
      </c>
      <c r="BM420" s="234">
        <v>0</v>
      </c>
      <c r="BN420" s="234">
        <v>0</v>
      </c>
      <c r="BO420" s="234">
        <v>0</v>
      </c>
      <c r="BP420" s="234"/>
      <c r="BQ420" s="234"/>
      <c r="BR420" s="237" t="s">
        <v>334</v>
      </c>
      <c r="BS420" s="238">
        <v>5</v>
      </c>
      <c r="BU420" s="239">
        <f t="shared" si="34"/>
        <v>9</v>
      </c>
      <c r="CN420" s="238">
        <f t="shared" si="31"/>
        <v>9</v>
      </c>
      <c r="CO420" s="238">
        <f t="shared" si="32"/>
        <v>9</v>
      </c>
    </row>
    <row r="421" spans="1:93" ht="13.95" customHeight="1" x14ac:dyDescent="0.2">
      <c r="A421" s="231">
        <v>6657</v>
      </c>
      <c r="B421" s="232" t="s">
        <v>848</v>
      </c>
      <c r="C421" s="232" t="s">
        <v>804</v>
      </c>
      <c r="D421" s="232" t="s">
        <v>805</v>
      </c>
      <c r="E421" s="232" t="s">
        <v>1410</v>
      </c>
      <c r="F421" s="231">
        <v>525999</v>
      </c>
      <c r="G421" s="231">
        <v>173647</v>
      </c>
      <c r="H421" s="232" t="s">
        <v>179</v>
      </c>
      <c r="I421" s="233">
        <v>44581</v>
      </c>
      <c r="J421" s="231"/>
      <c r="K421" s="231">
        <v>0</v>
      </c>
      <c r="L421" s="231">
        <v>2</v>
      </c>
      <c r="M421" s="231">
        <v>2</v>
      </c>
      <c r="N421" s="231">
        <v>193</v>
      </c>
      <c r="O421" s="231">
        <v>182</v>
      </c>
      <c r="P421" s="234" t="s">
        <v>318</v>
      </c>
      <c r="Q421" s="232" t="s">
        <v>807</v>
      </c>
      <c r="R421" s="234" t="s">
        <v>655</v>
      </c>
      <c r="S421" s="235">
        <v>44260</v>
      </c>
      <c r="T421" s="235">
        <v>44396</v>
      </c>
      <c r="U421" s="234"/>
      <c r="V421" s="232" t="s">
        <v>321</v>
      </c>
      <c r="W421" s="231"/>
      <c r="X421" s="232" t="s">
        <v>322</v>
      </c>
      <c r="Y421" s="232" t="s">
        <v>323</v>
      </c>
      <c r="Z421" s="232" t="s">
        <v>323</v>
      </c>
      <c r="AA421" s="232" t="s">
        <v>324</v>
      </c>
      <c r="AB421" s="236">
        <v>2E-3</v>
      </c>
      <c r="AC421" s="235">
        <v>44581</v>
      </c>
      <c r="AD421" s="234"/>
      <c r="AE421" s="234"/>
      <c r="AF421" s="232" t="s">
        <v>56</v>
      </c>
      <c r="AG421" s="232" t="s">
        <v>325</v>
      </c>
      <c r="AH421" s="234" t="s">
        <v>317</v>
      </c>
      <c r="AI421" s="250"/>
      <c r="AJ421" s="234">
        <v>0</v>
      </c>
      <c r="AK421" s="234">
        <v>2</v>
      </c>
      <c r="AL421" s="234">
        <v>0</v>
      </c>
      <c r="AM421" s="224"/>
      <c r="AN421" s="234">
        <v>0</v>
      </c>
      <c r="AO421" s="234">
        <v>0</v>
      </c>
      <c r="AP421" s="234">
        <v>0</v>
      </c>
      <c r="AQ421" s="234">
        <v>2</v>
      </c>
      <c r="AR421" s="234">
        <v>0</v>
      </c>
      <c r="AS421" s="234">
        <v>0</v>
      </c>
      <c r="AT421" s="234">
        <v>0</v>
      </c>
      <c r="AU421" s="234">
        <v>0</v>
      </c>
      <c r="AV421" s="234">
        <v>0</v>
      </c>
      <c r="AW421" s="234">
        <v>0</v>
      </c>
      <c r="AX421" s="234">
        <v>0</v>
      </c>
      <c r="AY421" s="234">
        <v>0</v>
      </c>
      <c r="AZ421" s="234">
        <v>0</v>
      </c>
      <c r="BA421" s="234">
        <v>0</v>
      </c>
      <c r="BB421" s="234">
        <v>0</v>
      </c>
      <c r="BC421" s="234">
        <v>0</v>
      </c>
      <c r="BD421" s="234">
        <v>0</v>
      </c>
      <c r="BE421" s="234">
        <v>2</v>
      </c>
      <c r="BF421" s="234">
        <v>0</v>
      </c>
      <c r="BG421" s="234">
        <v>0</v>
      </c>
      <c r="BH421" s="234">
        <v>0</v>
      </c>
      <c r="BI421" s="234">
        <v>0</v>
      </c>
      <c r="BJ421" s="234">
        <v>0</v>
      </c>
      <c r="BK421" s="234">
        <v>0</v>
      </c>
      <c r="BL421" s="234">
        <v>0</v>
      </c>
      <c r="BM421" s="234">
        <v>0</v>
      </c>
      <c r="BN421" s="234">
        <v>0</v>
      </c>
      <c r="BO421" s="234">
        <v>0</v>
      </c>
      <c r="BP421" s="234"/>
      <c r="BQ421" s="234"/>
      <c r="BR421" s="237" t="s">
        <v>334</v>
      </c>
      <c r="BS421" s="238">
        <v>5</v>
      </c>
      <c r="BV421" s="239">
        <f>M421</f>
        <v>2</v>
      </c>
      <c r="CN421" s="238">
        <f t="shared" si="31"/>
        <v>2</v>
      </c>
      <c r="CO421" s="238">
        <f t="shared" si="32"/>
        <v>2</v>
      </c>
    </row>
    <row r="422" spans="1:93" ht="13.95" customHeight="1" x14ac:dyDescent="0.2">
      <c r="A422" s="231">
        <v>2411</v>
      </c>
      <c r="B422" s="232" t="s">
        <v>822</v>
      </c>
      <c r="C422" s="232" t="s">
        <v>533</v>
      </c>
      <c r="D422" s="232" t="s">
        <v>534</v>
      </c>
      <c r="E422" s="232" t="s">
        <v>1411</v>
      </c>
      <c r="F422" s="231">
        <v>528934</v>
      </c>
      <c r="G422" s="231">
        <v>177496</v>
      </c>
      <c r="H422" s="232" t="s">
        <v>168</v>
      </c>
      <c r="I422" s="233">
        <v>42506</v>
      </c>
      <c r="J422" s="231"/>
      <c r="K422" s="231">
        <v>0</v>
      </c>
      <c r="L422" s="231">
        <v>883</v>
      </c>
      <c r="M422" s="231">
        <v>883</v>
      </c>
      <c r="N422" s="231">
        <v>2027</v>
      </c>
      <c r="O422" s="231">
        <v>2027</v>
      </c>
      <c r="P422" s="234" t="s">
        <v>318</v>
      </c>
      <c r="Q422" s="232" t="s">
        <v>536</v>
      </c>
      <c r="R422" s="234" t="s">
        <v>469</v>
      </c>
      <c r="S422" s="235">
        <v>44210</v>
      </c>
      <c r="T422" s="235">
        <v>44264</v>
      </c>
      <c r="U422" s="234"/>
      <c r="V422" s="232" t="s">
        <v>321</v>
      </c>
      <c r="W422" s="231"/>
      <c r="X422" s="232" t="s">
        <v>322</v>
      </c>
      <c r="Y422" s="232" t="s">
        <v>323</v>
      </c>
      <c r="Z422" s="232" t="s">
        <v>323</v>
      </c>
      <c r="AA422" s="232" t="s">
        <v>324</v>
      </c>
      <c r="AB422" s="236">
        <v>0.79500000000000004</v>
      </c>
      <c r="AC422" s="235"/>
      <c r="AD422" s="234"/>
      <c r="AE422" s="234"/>
      <c r="AF422" s="232" t="s">
        <v>77</v>
      </c>
      <c r="AG422" s="232" t="s">
        <v>350</v>
      </c>
      <c r="AH422" s="234" t="s">
        <v>537</v>
      </c>
      <c r="AJ422" s="234">
        <v>0</v>
      </c>
      <c r="AK422" s="224"/>
      <c r="AL422" s="234">
        <v>0</v>
      </c>
      <c r="AM422" s="224"/>
      <c r="AN422" s="234">
        <v>20</v>
      </c>
      <c r="AO422" s="234">
        <v>390</v>
      </c>
      <c r="AP422" s="234">
        <v>307</v>
      </c>
      <c r="AQ422" s="234">
        <v>129</v>
      </c>
      <c r="AR422" s="234">
        <v>11</v>
      </c>
      <c r="AS422" s="234">
        <v>26</v>
      </c>
      <c r="AT422" s="234">
        <v>0</v>
      </c>
      <c r="AU422" s="234">
        <v>20</v>
      </c>
      <c r="AV422" s="234">
        <v>390</v>
      </c>
      <c r="AW422" s="234">
        <v>307</v>
      </c>
      <c r="AX422" s="234">
        <v>129</v>
      </c>
      <c r="AY422" s="234">
        <v>11</v>
      </c>
      <c r="AZ422" s="234">
        <v>26</v>
      </c>
      <c r="BA422" s="234">
        <v>0</v>
      </c>
      <c r="BB422" s="234">
        <v>0</v>
      </c>
      <c r="BC422" s="234">
        <v>0</v>
      </c>
      <c r="BD422" s="234">
        <v>0</v>
      </c>
      <c r="BE422" s="234">
        <v>0</v>
      </c>
      <c r="BF422" s="234">
        <v>0</v>
      </c>
      <c r="BG422" s="234">
        <v>0</v>
      </c>
      <c r="BH422" s="234">
        <v>0</v>
      </c>
      <c r="BI422" s="234">
        <v>0</v>
      </c>
      <c r="BJ422" s="234">
        <v>0</v>
      </c>
      <c r="BK422" s="234">
        <v>0</v>
      </c>
      <c r="BL422" s="234">
        <v>0</v>
      </c>
      <c r="BM422" s="234">
        <v>0</v>
      </c>
      <c r="BN422" s="234">
        <v>0</v>
      </c>
      <c r="BO422" s="234">
        <v>0</v>
      </c>
      <c r="BP422" s="234"/>
      <c r="BQ422" s="234" t="s">
        <v>318</v>
      </c>
      <c r="BR422" s="237" t="s">
        <v>151</v>
      </c>
      <c r="BS422" s="238">
        <v>10</v>
      </c>
      <c r="BX422" s="239">
        <f>M422/3</f>
        <v>294.33333333333331</v>
      </c>
      <c r="BY422" s="239">
        <f>M422/3</f>
        <v>294.33333333333331</v>
      </c>
      <c r="BZ422" s="239">
        <f>M422/3</f>
        <v>294.33333333333331</v>
      </c>
      <c r="CN422" s="238">
        <f t="shared" si="31"/>
        <v>588.66666666666663</v>
      </c>
      <c r="CO422" s="238">
        <f t="shared" si="32"/>
        <v>883</v>
      </c>
    </row>
    <row r="423" spans="1:93" ht="13.95" customHeight="1" x14ac:dyDescent="0.2">
      <c r="A423" s="231">
        <v>2411</v>
      </c>
      <c r="B423" s="232" t="s">
        <v>822</v>
      </c>
      <c r="C423" s="232" t="s">
        <v>1412</v>
      </c>
      <c r="D423" s="232" t="s">
        <v>534</v>
      </c>
      <c r="E423" s="232" t="s">
        <v>1413</v>
      </c>
      <c r="F423" s="231">
        <v>528934</v>
      </c>
      <c r="G423" s="231">
        <v>177496</v>
      </c>
      <c r="H423" s="232" t="s">
        <v>168</v>
      </c>
      <c r="I423" s="233">
        <v>42506</v>
      </c>
      <c r="J423" s="231"/>
      <c r="K423" s="231">
        <v>0</v>
      </c>
      <c r="L423" s="231">
        <v>147</v>
      </c>
      <c r="M423" s="231">
        <v>147</v>
      </c>
      <c r="N423" s="231">
        <v>1192</v>
      </c>
      <c r="O423" s="231">
        <v>1192</v>
      </c>
      <c r="P423" s="234" t="s">
        <v>318</v>
      </c>
      <c r="Q423" s="232" t="s">
        <v>1414</v>
      </c>
      <c r="R423" s="234" t="s">
        <v>655</v>
      </c>
      <c r="S423" s="235">
        <v>42809</v>
      </c>
      <c r="T423" s="235">
        <v>43049</v>
      </c>
      <c r="U423" s="234"/>
      <c r="V423" s="232" t="s">
        <v>321</v>
      </c>
      <c r="W423" s="231"/>
      <c r="X423" s="232" t="s">
        <v>322</v>
      </c>
      <c r="Y423" s="232" t="s">
        <v>323</v>
      </c>
      <c r="Z423" s="232" t="s">
        <v>323</v>
      </c>
      <c r="AA423" s="232" t="s">
        <v>324</v>
      </c>
      <c r="AB423" s="236">
        <v>0.186</v>
      </c>
      <c r="AC423" s="235"/>
      <c r="AD423" s="234"/>
      <c r="AE423" s="234"/>
      <c r="AF423" s="232" t="s">
        <v>56</v>
      </c>
      <c r="AG423" s="232" t="s">
        <v>1355</v>
      </c>
      <c r="AH423" s="234" t="s">
        <v>537</v>
      </c>
      <c r="AJ423" s="234">
        <v>147</v>
      </c>
      <c r="AK423" s="224"/>
      <c r="AL423" s="234">
        <v>15</v>
      </c>
      <c r="AM423" s="224"/>
      <c r="AN423" s="234">
        <v>0</v>
      </c>
      <c r="AO423" s="234">
        <v>21</v>
      </c>
      <c r="AP423" s="234">
        <v>71</v>
      </c>
      <c r="AQ423" s="234">
        <v>47</v>
      </c>
      <c r="AR423" s="234">
        <v>8</v>
      </c>
      <c r="AS423" s="234">
        <v>0</v>
      </c>
      <c r="AT423" s="234">
        <v>0</v>
      </c>
      <c r="AU423" s="234">
        <v>0</v>
      </c>
      <c r="AV423" s="234">
        <v>21</v>
      </c>
      <c r="AW423" s="234">
        <v>71</v>
      </c>
      <c r="AX423" s="234">
        <v>47</v>
      </c>
      <c r="AY423" s="234">
        <v>8</v>
      </c>
      <c r="AZ423" s="234">
        <v>0</v>
      </c>
      <c r="BA423" s="234">
        <v>0</v>
      </c>
      <c r="BB423" s="234">
        <v>0</v>
      </c>
      <c r="BC423" s="234">
        <v>0</v>
      </c>
      <c r="BD423" s="234">
        <v>0</v>
      </c>
      <c r="BE423" s="234">
        <v>0</v>
      </c>
      <c r="BF423" s="234">
        <v>0</v>
      </c>
      <c r="BG423" s="234">
        <v>0</v>
      </c>
      <c r="BH423" s="234">
        <v>0</v>
      </c>
      <c r="BI423" s="234">
        <v>0</v>
      </c>
      <c r="BJ423" s="234">
        <v>0</v>
      </c>
      <c r="BK423" s="234">
        <v>0</v>
      </c>
      <c r="BL423" s="234">
        <v>0</v>
      </c>
      <c r="BM423" s="234">
        <v>0</v>
      </c>
      <c r="BN423" s="234">
        <v>0</v>
      </c>
      <c r="BO423" s="234">
        <v>0</v>
      </c>
      <c r="BP423" s="234"/>
      <c r="BQ423" s="234" t="s">
        <v>318</v>
      </c>
      <c r="BR423" s="237" t="s">
        <v>151</v>
      </c>
      <c r="BS423" s="238">
        <v>10</v>
      </c>
      <c r="BX423" s="239">
        <f>M423/3</f>
        <v>49</v>
      </c>
      <c r="BY423" s="239">
        <f>M423/3</f>
        <v>49</v>
      </c>
      <c r="BZ423" s="239">
        <f>M423/3</f>
        <v>49</v>
      </c>
      <c r="CN423" s="238">
        <f t="shared" si="31"/>
        <v>98</v>
      </c>
      <c r="CO423" s="238">
        <f t="shared" si="32"/>
        <v>147</v>
      </c>
    </row>
    <row r="424" spans="1:93" ht="13.95" customHeight="1" x14ac:dyDescent="0.2">
      <c r="A424" s="231">
        <v>2411</v>
      </c>
      <c r="B424" s="232" t="s">
        <v>822</v>
      </c>
      <c r="C424" s="232" t="s">
        <v>1412</v>
      </c>
      <c r="D424" s="232" t="s">
        <v>534</v>
      </c>
      <c r="E424" s="232" t="s">
        <v>1413</v>
      </c>
      <c r="F424" s="231">
        <v>528934</v>
      </c>
      <c r="G424" s="231">
        <v>177496</v>
      </c>
      <c r="H424" s="232" t="s">
        <v>168</v>
      </c>
      <c r="I424" s="233">
        <v>42506</v>
      </c>
      <c r="J424" s="231"/>
      <c r="K424" s="231">
        <v>0</v>
      </c>
      <c r="L424" s="231">
        <v>11</v>
      </c>
      <c r="M424" s="231">
        <v>11</v>
      </c>
      <c r="N424" s="231">
        <v>1192</v>
      </c>
      <c r="O424" s="231">
        <v>1192</v>
      </c>
      <c r="P424" s="234" t="s">
        <v>318</v>
      </c>
      <c r="Q424" s="232" t="s">
        <v>1414</v>
      </c>
      <c r="R424" s="234" t="s">
        <v>655</v>
      </c>
      <c r="S424" s="235">
        <v>42809</v>
      </c>
      <c r="T424" s="235">
        <v>43049</v>
      </c>
      <c r="U424" s="234"/>
      <c r="V424" s="232" t="s">
        <v>321</v>
      </c>
      <c r="W424" s="231"/>
      <c r="X424" s="232" t="s">
        <v>322</v>
      </c>
      <c r="Y424" s="232" t="s">
        <v>323</v>
      </c>
      <c r="Z424" s="232" t="s">
        <v>323</v>
      </c>
      <c r="AA424" s="232" t="s">
        <v>324</v>
      </c>
      <c r="AB424" s="236">
        <v>1.4E-2</v>
      </c>
      <c r="AC424" s="235"/>
      <c r="AD424" s="234"/>
      <c r="AE424" s="234"/>
      <c r="AF424" s="232" t="s">
        <v>56</v>
      </c>
      <c r="AG424" s="232" t="s">
        <v>355</v>
      </c>
      <c r="AH424" s="234" t="s">
        <v>537</v>
      </c>
      <c r="AJ424" s="234">
        <v>11</v>
      </c>
      <c r="AK424" s="224"/>
      <c r="AL424" s="234">
        <v>1</v>
      </c>
      <c r="AM424" s="224"/>
      <c r="AN424" s="234">
        <v>0</v>
      </c>
      <c r="AO424" s="234">
        <v>11</v>
      </c>
      <c r="AP424" s="234">
        <v>0</v>
      </c>
      <c r="AQ424" s="234">
        <v>0</v>
      </c>
      <c r="AR424" s="234">
        <v>0</v>
      </c>
      <c r="AS424" s="234">
        <v>0</v>
      </c>
      <c r="AT424" s="234">
        <v>0</v>
      </c>
      <c r="AU424" s="234">
        <v>0</v>
      </c>
      <c r="AV424" s="234">
        <v>11</v>
      </c>
      <c r="AW424" s="234">
        <v>0</v>
      </c>
      <c r="AX424" s="234">
        <v>0</v>
      </c>
      <c r="AY424" s="234">
        <v>0</v>
      </c>
      <c r="AZ424" s="234">
        <v>0</v>
      </c>
      <c r="BA424" s="234">
        <v>0</v>
      </c>
      <c r="BB424" s="234">
        <v>0</v>
      </c>
      <c r="BC424" s="234">
        <v>0</v>
      </c>
      <c r="BD424" s="234">
        <v>0</v>
      </c>
      <c r="BE424" s="234">
        <v>0</v>
      </c>
      <c r="BF424" s="234">
        <v>0</v>
      </c>
      <c r="BG424" s="234">
        <v>0</v>
      </c>
      <c r="BH424" s="234">
        <v>0</v>
      </c>
      <c r="BI424" s="234">
        <v>0</v>
      </c>
      <c r="BJ424" s="234">
        <v>0</v>
      </c>
      <c r="BK424" s="234">
        <v>0</v>
      </c>
      <c r="BL424" s="234">
        <v>0</v>
      </c>
      <c r="BM424" s="234">
        <v>0</v>
      </c>
      <c r="BN424" s="234">
        <v>0</v>
      </c>
      <c r="BO424" s="234">
        <v>0</v>
      </c>
      <c r="BP424" s="234"/>
      <c r="BQ424" s="234" t="s">
        <v>318</v>
      </c>
      <c r="BR424" s="237" t="s">
        <v>151</v>
      </c>
      <c r="BS424" s="238">
        <v>10</v>
      </c>
      <c r="BX424" s="239">
        <f>M424/3</f>
        <v>3.6666666666666665</v>
      </c>
      <c r="BY424" s="239">
        <f>M424/3</f>
        <v>3.6666666666666665</v>
      </c>
      <c r="BZ424" s="239">
        <f>M424/3</f>
        <v>3.6666666666666665</v>
      </c>
      <c r="CN424" s="238">
        <f t="shared" si="31"/>
        <v>7.333333333333333</v>
      </c>
      <c r="CO424" s="238">
        <f t="shared" si="32"/>
        <v>11</v>
      </c>
    </row>
    <row r="425" spans="1:93" ht="13.95" customHeight="1" x14ac:dyDescent="0.2">
      <c r="A425" s="231">
        <v>2502</v>
      </c>
      <c r="B425" s="232" t="s">
        <v>848</v>
      </c>
      <c r="C425" s="232" t="s">
        <v>828</v>
      </c>
      <c r="D425" s="232" t="s">
        <v>829</v>
      </c>
      <c r="E425" s="232" t="s">
        <v>830</v>
      </c>
      <c r="F425" s="231">
        <v>527221</v>
      </c>
      <c r="G425" s="231">
        <v>172443</v>
      </c>
      <c r="H425" s="232" t="s">
        <v>180</v>
      </c>
      <c r="I425" s="233">
        <v>44286</v>
      </c>
      <c r="J425" s="231"/>
      <c r="K425" s="231">
        <v>0</v>
      </c>
      <c r="L425" s="231">
        <v>4</v>
      </c>
      <c r="M425" s="231">
        <v>4</v>
      </c>
      <c r="N425" s="231">
        <v>227</v>
      </c>
      <c r="O425" s="231">
        <v>227</v>
      </c>
      <c r="P425" s="234" t="s">
        <v>318</v>
      </c>
      <c r="Q425" s="232" t="s">
        <v>831</v>
      </c>
      <c r="R425" s="234" t="s">
        <v>517</v>
      </c>
      <c r="S425" s="235">
        <v>43971</v>
      </c>
      <c r="T425" s="235">
        <v>44127</v>
      </c>
      <c r="U425" s="234"/>
      <c r="V425" s="232" t="s">
        <v>321</v>
      </c>
      <c r="W425" s="231"/>
      <c r="X425" s="232" t="s">
        <v>322</v>
      </c>
      <c r="Y425" s="232" t="s">
        <v>323</v>
      </c>
      <c r="Z425" s="232" t="s">
        <v>323</v>
      </c>
      <c r="AA425" s="232" t="s">
        <v>324</v>
      </c>
      <c r="AB425" s="236">
        <v>4.2000000000000003E-2</v>
      </c>
      <c r="AC425" s="235">
        <v>44286</v>
      </c>
      <c r="AD425" s="234"/>
      <c r="AE425" s="234"/>
      <c r="AF425" s="232" t="s">
        <v>56</v>
      </c>
      <c r="AG425" s="232" t="s">
        <v>345</v>
      </c>
      <c r="AH425" s="234" t="s">
        <v>832</v>
      </c>
      <c r="AI425" s="250"/>
      <c r="AJ425" s="234">
        <v>0</v>
      </c>
      <c r="AK425" s="224"/>
      <c r="AL425" s="234">
        <v>0</v>
      </c>
      <c r="AM425" s="224"/>
      <c r="AN425" s="234">
        <v>0</v>
      </c>
      <c r="AO425" s="234">
        <v>0</v>
      </c>
      <c r="AP425" s="234">
        <v>0</v>
      </c>
      <c r="AQ425" s="234">
        <v>4</v>
      </c>
      <c r="AR425" s="234">
        <v>0</v>
      </c>
      <c r="AS425" s="234">
        <v>0</v>
      </c>
      <c r="AT425" s="234">
        <v>0</v>
      </c>
      <c r="AU425" s="234">
        <v>0</v>
      </c>
      <c r="AV425" s="234">
        <v>0</v>
      </c>
      <c r="AW425" s="234">
        <v>0</v>
      </c>
      <c r="AX425" s="234">
        <v>4</v>
      </c>
      <c r="AY425" s="234">
        <v>0</v>
      </c>
      <c r="AZ425" s="234">
        <v>0</v>
      </c>
      <c r="BA425" s="234">
        <v>0</v>
      </c>
      <c r="BB425" s="234">
        <v>0</v>
      </c>
      <c r="BC425" s="234">
        <v>0</v>
      </c>
      <c r="BD425" s="234">
        <v>0</v>
      </c>
      <c r="BE425" s="234">
        <v>0</v>
      </c>
      <c r="BF425" s="234">
        <v>0</v>
      </c>
      <c r="BG425" s="234">
        <v>0</v>
      </c>
      <c r="BH425" s="234">
        <v>0</v>
      </c>
      <c r="BI425" s="234">
        <v>0</v>
      </c>
      <c r="BJ425" s="234">
        <v>0</v>
      </c>
      <c r="BK425" s="234">
        <v>0</v>
      </c>
      <c r="BL425" s="234">
        <v>0</v>
      </c>
      <c r="BM425" s="234">
        <v>0</v>
      </c>
      <c r="BN425" s="234">
        <v>0</v>
      </c>
      <c r="BO425" s="234">
        <v>0</v>
      </c>
      <c r="BP425" s="234"/>
      <c r="BQ425" s="234"/>
      <c r="BR425" s="237" t="s">
        <v>334</v>
      </c>
      <c r="BS425" s="238">
        <v>5</v>
      </c>
      <c r="BU425" s="239">
        <f t="shared" ref="BU425:BU446" si="35">M425</f>
        <v>4</v>
      </c>
      <c r="CN425" s="238">
        <f t="shared" si="31"/>
        <v>4</v>
      </c>
      <c r="CO425" s="238">
        <f t="shared" si="32"/>
        <v>4</v>
      </c>
    </row>
    <row r="426" spans="1:93" ht="13.95" customHeight="1" x14ac:dyDescent="0.2">
      <c r="A426" s="231">
        <v>2502</v>
      </c>
      <c r="B426" s="232" t="s">
        <v>848</v>
      </c>
      <c r="C426" s="232" t="s">
        <v>828</v>
      </c>
      <c r="D426" s="232" t="s">
        <v>829</v>
      </c>
      <c r="E426" s="232" t="s">
        <v>1415</v>
      </c>
      <c r="F426" s="231">
        <v>527221</v>
      </c>
      <c r="G426" s="231">
        <v>172443</v>
      </c>
      <c r="H426" s="232" t="s">
        <v>180</v>
      </c>
      <c r="I426" s="233">
        <v>44286</v>
      </c>
      <c r="J426" s="231"/>
      <c r="K426" s="231">
        <v>0</v>
      </c>
      <c r="L426" s="231">
        <v>4</v>
      </c>
      <c r="M426" s="231">
        <v>4</v>
      </c>
      <c r="N426" s="231">
        <v>227</v>
      </c>
      <c r="O426" s="231">
        <v>227</v>
      </c>
      <c r="P426" s="234" t="s">
        <v>318</v>
      </c>
      <c r="Q426" s="232" t="s">
        <v>831</v>
      </c>
      <c r="R426" s="234" t="s">
        <v>517</v>
      </c>
      <c r="S426" s="235">
        <v>43971</v>
      </c>
      <c r="T426" s="235">
        <v>44127</v>
      </c>
      <c r="U426" s="234"/>
      <c r="V426" s="232" t="s">
        <v>321</v>
      </c>
      <c r="W426" s="231"/>
      <c r="X426" s="232" t="s">
        <v>322</v>
      </c>
      <c r="Y426" s="232" t="s">
        <v>323</v>
      </c>
      <c r="Z426" s="232" t="s">
        <v>323</v>
      </c>
      <c r="AA426" s="232" t="s">
        <v>324</v>
      </c>
      <c r="AB426" s="236">
        <v>3.9E-2</v>
      </c>
      <c r="AC426" s="235">
        <v>44286</v>
      </c>
      <c r="AD426" s="234"/>
      <c r="AE426" s="234"/>
      <c r="AF426" s="232" t="s">
        <v>57</v>
      </c>
      <c r="AG426" s="232" t="s">
        <v>470</v>
      </c>
      <c r="AH426" s="234" t="s">
        <v>832</v>
      </c>
      <c r="AI426" s="250"/>
      <c r="AJ426" s="234">
        <v>0</v>
      </c>
      <c r="AK426" s="224"/>
      <c r="AL426" s="234">
        <v>0</v>
      </c>
      <c r="AM426" s="224"/>
      <c r="AN426" s="234">
        <v>0</v>
      </c>
      <c r="AO426" s="234">
        <v>0</v>
      </c>
      <c r="AP426" s="234">
        <v>0</v>
      </c>
      <c r="AQ426" s="234">
        <v>4</v>
      </c>
      <c r="AR426" s="234">
        <v>0</v>
      </c>
      <c r="AS426" s="234">
        <v>0</v>
      </c>
      <c r="AT426" s="234">
        <v>0</v>
      </c>
      <c r="AU426" s="234">
        <v>0</v>
      </c>
      <c r="AV426" s="234">
        <v>0</v>
      </c>
      <c r="AW426" s="234">
        <v>0</v>
      </c>
      <c r="AX426" s="234">
        <v>4</v>
      </c>
      <c r="AY426" s="234">
        <v>0</v>
      </c>
      <c r="AZ426" s="234">
        <v>0</v>
      </c>
      <c r="BA426" s="234">
        <v>0</v>
      </c>
      <c r="BB426" s="234">
        <v>0</v>
      </c>
      <c r="BC426" s="234">
        <v>0</v>
      </c>
      <c r="BD426" s="234">
        <v>0</v>
      </c>
      <c r="BE426" s="234">
        <v>0</v>
      </c>
      <c r="BF426" s="234">
        <v>0</v>
      </c>
      <c r="BG426" s="234">
        <v>0</v>
      </c>
      <c r="BH426" s="234">
        <v>0</v>
      </c>
      <c r="BI426" s="234">
        <v>0</v>
      </c>
      <c r="BJ426" s="234">
        <v>0</v>
      </c>
      <c r="BK426" s="234">
        <v>0</v>
      </c>
      <c r="BL426" s="234">
        <v>0</v>
      </c>
      <c r="BM426" s="234">
        <v>0</v>
      </c>
      <c r="BN426" s="234">
        <v>0</v>
      </c>
      <c r="BO426" s="234">
        <v>0</v>
      </c>
      <c r="BP426" s="234"/>
      <c r="BQ426" s="234"/>
      <c r="BR426" s="237" t="s">
        <v>334</v>
      </c>
      <c r="BS426" s="238">
        <v>5</v>
      </c>
      <c r="BU426" s="239">
        <f t="shared" si="35"/>
        <v>4</v>
      </c>
      <c r="CN426" s="238">
        <f t="shared" si="31"/>
        <v>4</v>
      </c>
      <c r="CO426" s="238">
        <f t="shared" si="32"/>
        <v>4</v>
      </c>
    </row>
    <row r="427" spans="1:93" ht="13.95" customHeight="1" x14ac:dyDescent="0.2">
      <c r="A427" s="231">
        <v>2502</v>
      </c>
      <c r="B427" s="232" t="s">
        <v>848</v>
      </c>
      <c r="C427" s="232" t="s">
        <v>828</v>
      </c>
      <c r="D427" s="232" t="s">
        <v>829</v>
      </c>
      <c r="E427" s="232" t="s">
        <v>1416</v>
      </c>
      <c r="F427" s="231">
        <v>527221</v>
      </c>
      <c r="G427" s="231">
        <v>172443</v>
      </c>
      <c r="H427" s="232" t="s">
        <v>180</v>
      </c>
      <c r="I427" s="233">
        <v>44286</v>
      </c>
      <c r="J427" s="231"/>
      <c r="K427" s="231">
        <v>0</v>
      </c>
      <c r="L427" s="231">
        <v>1</v>
      </c>
      <c r="M427" s="231">
        <v>1</v>
      </c>
      <c r="N427" s="231">
        <v>227</v>
      </c>
      <c r="O427" s="231">
        <v>227</v>
      </c>
      <c r="P427" s="234" t="s">
        <v>318</v>
      </c>
      <c r="Q427" s="232" t="s">
        <v>831</v>
      </c>
      <c r="R427" s="234" t="s">
        <v>517</v>
      </c>
      <c r="S427" s="235">
        <v>43971</v>
      </c>
      <c r="T427" s="235">
        <v>44127</v>
      </c>
      <c r="U427" s="234"/>
      <c r="V427" s="232" t="s">
        <v>321</v>
      </c>
      <c r="W427" s="231"/>
      <c r="X427" s="232" t="s">
        <v>322</v>
      </c>
      <c r="Y427" s="232" t="s">
        <v>323</v>
      </c>
      <c r="Z427" s="232" t="s">
        <v>323</v>
      </c>
      <c r="AA427" s="232" t="s">
        <v>324</v>
      </c>
      <c r="AB427" s="236">
        <v>0.01</v>
      </c>
      <c r="AC427" s="235">
        <v>44286</v>
      </c>
      <c r="AD427" s="234"/>
      <c r="AE427" s="234"/>
      <c r="AF427" s="232" t="s">
        <v>57</v>
      </c>
      <c r="AG427" s="232" t="s">
        <v>470</v>
      </c>
      <c r="AH427" s="234" t="s">
        <v>832</v>
      </c>
      <c r="AI427" s="250"/>
      <c r="AJ427" s="234">
        <v>0</v>
      </c>
      <c r="AK427" s="224"/>
      <c r="AL427" s="234">
        <v>1</v>
      </c>
      <c r="AM427" s="224"/>
      <c r="AN427" s="234">
        <v>0</v>
      </c>
      <c r="AO427" s="234">
        <v>0</v>
      </c>
      <c r="AP427" s="234">
        <v>0</v>
      </c>
      <c r="AQ427" s="234">
        <v>1</v>
      </c>
      <c r="AR427" s="234">
        <v>0</v>
      </c>
      <c r="AS427" s="234">
        <v>0</v>
      </c>
      <c r="AT427" s="234">
        <v>0</v>
      </c>
      <c r="AU427" s="234">
        <v>0</v>
      </c>
      <c r="AV427" s="234">
        <v>0</v>
      </c>
      <c r="AW427" s="234">
        <v>0</v>
      </c>
      <c r="AX427" s="234">
        <v>0</v>
      </c>
      <c r="AY427" s="234">
        <v>0</v>
      </c>
      <c r="AZ427" s="234">
        <v>0</v>
      </c>
      <c r="BA427" s="234">
        <v>0</v>
      </c>
      <c r="BB427" s="234">
        <v>0</v>
      </c>
      <c r="BC427" s="234">
        <v>0</v>
      </c>
      <c r="BD427" s="234">
        <v>0</v>
      </c>
      <c r="BE427" s="234">
        <v>1</v>
      </c>
      <c r="BF427" s="234">
        <v>0</v>
      </c>
      <c r="BG427" s="234">
        <v>0</v>
      </c>
      <c r="BH427" s="234">
        <v>0</v>
      </c>
      <c r="BI427" s="234">
        <v>0</v>
      </c>
      <c r="BJ427" s="234">
        <v>0</v>
      </c>
      <c r="BK427" s="234">
        <v>0</v>
      </c>
      <c r="BL427" s="234">
        <v>0</v>
      </c>
      <c r="BM427" s="234">
        <v>0</v>
      </c>
      <c r="BN427" s="234">
        <v>0</v>
      </c>
      <c r="BO427" s="234">
        <v>0</v>
      </c>
      <c r="BP427" s="234"/>
      <c r="BQ427" s="234"/>
      <c r="BR427" s="237" t="s">
        <v>334</v>
      </c>
      <c r="BS427" s="238">
        <v>5</v>
      </c>
      <c r="BU427" s="239">
        <f t="shared" si="35"/>
        <v>1</v>
      </c>
      <c r="CN427" s="238">
        <f t="shared" si="31"/>
        <v>1</v>
      </c>
      <c r="CO427" s="238">
        <f t="shared" si="32"/>
        <v>1</v>
      </c>
    </row>
    <row r="428" spans="1:93" ht="13.95" customHeight="1" x14ac:dyDescent="0.2">
      <c r="A428" s="231">
        <v>2502</v>
      </c>
      <c r="B428" s="232" t="s">
        <v>848</v>
      </c>
      <c r="C428" s="232" t="s">
        <v>828</v>
      </c>
      <c r="D428" s="232" t="s">
        <v>829</v>
      </c>
      <c r="E428" s="232" t="s">
        <v>1417</v>
      </c>
      <c r="F428" s="231">
        <v>527221</v>
      </c>
      <c r="G428" s="231">
        <v>172443</v>
      </c>
      <c r="H428" s="232" t="s">
        <v>180</v>
      </c>
      <c r="I428" s="233">
        <v>44286</v>
      </c>
      <c r="J428" s="231"/>
      <c r="K428" s="231">
        <v>0</v>
      </c>
      <c r="L428" s="231">
        <v>1</v>
      </c>
      <c r="M428" s="231">
        <v>1</v>
      </c>
      <c r="N428" s="231">
        <v>227</v>
      </c>
      <c r="O428" s="231">
        <v>227</v>
      </c>
      <c r="P428" s="234" t="s">
        <v>318</v>
      </c>
      <c r="Q428" s="232" t="s">
        <v>831</v>
      </c>
      <c r="R428" s="234" t="s">
        <v>517</v>
      </c>
      <c r="S428" s="235">
        <v>43971</v>
      </c>
      <c r="T428" s="235">
        <v>44127</v>
      </c>
      <c r="U428" s="234"/>
      <c r="V428" s="232" t="s">
        <v>321</v>
      </c>
      <c r="W428" s="231"/>
      <c r="X428" s="232" t="s">
        <v>322</v>
      </c>
      <c r="Y428" s="232" t="s">
        <v>323</v>
      </c>
      <c r="Z428" s="232" t="s">
        <v>323</v>
      </c>
      <c r="AA428" s="232" t="s">
        <v>324</v>
      </c>
      <c r="AB428" s="236">
        <v>0.01</v>
      </c>
      <c r="AC428" s="235">
        <v>44286</v>
      </c>
      <c r="AD428" s="234"/>
      <c r="AE428" s="234"/>
      <c r="AF428" s="232" t="s">
        <v>57</v>
      </c>
      <c r="AG428" s="232" t="s">
        <v>470</v>
      </c>
      <c r="AH428" s="234" t="s">
        <v>832</v>
      </c>
      <c r="AI428" s="250"/>
      <c r="AJ428" s="234">
        <v>0</v>
      </c>
      <c r="AK428" s="224"/>
      <c r="AL428" s="234">
        <v>1</v>
      </c>
      <c r="AM428" s="224"/>
      <c r="AN428" s="234">
        <v>0</v>
      </c>
      <c r="AO428" s="234">
        <v>0</v>
      </c>
      <c r="AP428" s="234">
        <v>0</v>
      </c>
      <c r="AQ428" s="234">
        <v>1</v>
      </c>
      <c r="AR428" s="234">
        <v>0</v>
      </c>
      <c r="AS428" s="234">
        <v>0</v>
      </c>
      <c r="AT428" s="234">
        <v>0</v>
      </c>
      <c r="AU428" s="234">
        <v>0</v>
      </c>
      <c r="AV428" s="234">
        <v>0</v>
      </c>
      <c r="AW428" s="234">
        <v>0</v>
      </c>
      <c r="AX428" s="234">
        <v>0</v>
      </c>
      <c r="AY428" s="234">
        <v>0</v>
      </c>
      <c r="AZ428" s="234">
        <v>0</v>
      </c>
      <c r="BA428" s="234">
        <v>0</v>
      </c>
      <c r="BB428" s="234">
        <v>0</v>
      </c>
      <c r="BC428" s="234">
        <v>0</v>
      </c>
      <c r="BD428" s="234">
        <v>0</v>
      </c>
      <c r="BE428" s="234">
        <v>1</v>
      </c>
      <c r="BF428" s="234">
        <v>0</v>
      </c>
      <c r="BG428" s="234">
        <v>0</v>
      </c>
      <c r="BH428" s="234">
        <v>0</v>
      </c>
      <c r="BI428" s="234">
        <v>0</v>
      </c>
      <c r="BJ428" s="234">
        <v>0</v>
      </c>
      <c r="BK428" s="234">
        <v>0</v>
      </c>
      <c r="BL428" s="234">
        <v>0</v>
      </c>
      <c r="BM428" s="234">
        <v>0</v>
      </c>
      <c r="BN428" s="234">
        <v>0</v>
      </c>
      <c r="BO428" s="234">
        <v>0</v>
      </c>
      <c r="BP428" s="234"/>
      <c r="BQ428" s="234"/>
      <c r="BR428" s="237" t="s">
        <v>334</v>
      </c>
      <c r="BS428" s="238">
        <v>5</v>
      </c>
      <c r="BU428" s="239">
        <f t="shared" si="35"/>
        <v>1</v>
      </c>
      <c r="CN428" s="238">
        <f t="shared" si="31"/>
        <v>1</v>
      </c>
      <c r="CO428" s="238">
        <f t="shared" si="32"/>
        <v>1</v>
      </c>
    </row>
    <row r="429" spans="1:93" ht="13.95" customHeight="1" x14ac:dyDescent="0.2">
      <c r="A429" s="231">
        <v>2502</v>
      </c>
      <c r="B429" s="232" t="s">
        <v>848</v>
      </c>
      <c r="C429" s="232" t="s">
        <v>828</v>
      </c>
      <c r="D429" s="232" t="s">
        <v>829</v>
      </c>
      <c r="E429" s="232" t="s">
        <v>1418</v>
      </c>
      <c r="F429" s="231">
        <v>527221</v>
      </c>
      <c r="G429" s="231">
        <v>172443</v>
      </c>
      <c r="H429" s="232" t="s">
        <v>180</v>
      </c>
      <c r="I429" s="233">
        <v>44286</v>
      </c>
      <c r="J429" s="231"/>
      <c r="K429" s="231">
        <v>0</v>
      </c>
      <c r="L429" s="231">
        <v>8</v>
      </c>
      <c r="M429" s="231">
        <v>8</v>
      </c>
      <c r="N429" s="231">
        <v>227</v>
      </c>
      <c r="O429" s="231">
        <v>227</v>
      </c>
      <c r="P429" s="234" t="s">
        <v>318</v>
      </c>
      <c r="Q429" s="232" t="s">
        <v>831</v>
      </c>
      <c r="R429" s="234" t="s">
        <v>517</v>
      </c>
      <c r="S429" s="235">
        <v>43971</v>
      </c>
      <c r="T429" s="235">
        <v>44127</v>
      </c>
      <c r="U429" s="234"/>
      <c r="V429" s="232" t="s">
        <v>321</v>
      </c>
      <c r="W429" s="231"/>
      <c r="X429" s="232" t="s">
        <v>322</v>
      </c>
      <c r="Y429" s="232" t="s">
        <v>323</v>
      </c>
      <c r="Z429" s="232" t="s">
        <v>323</v>
      </c>
      <c r="AA429" s="232" t="s">
        <v>324</v>
      </c>
      <c r="AB429" s="236">
        <v>7.6999999999999999E-2</v>
      </c>
      <c r="AC429" s="235">
        <v>44286</v>
      </c>
      <c r="AD429" s="234"/>
      <c r="AE429" s="234"/>
      <c r="AF429" s="232" t="s">
        <v>57</v>
      </c>
      <c r="AG429" s="232" t="s">
        <v>470</v>
      </c>
      <c r="AH429" s="234" t="s">
        <v>832</v>
      </c>
      <c r="AI429" s="250"/>
      <c r="AJ429" s="234">
        <v>0</v>
      </c>
      <c r="AK429" s="224"/>
      <c r="AL429" s="234">
        <v>0</v>
      </c>
      <c r="AM429" s="224"/>
      <c r="AN429" s="234">
        <v>0</v>
      </c>
      <c r="AO429" s="234">
        <v>0</v>
      </c>
      <c r="AP429" s="234">
        <v>8</v>
      </c>
      <c r="AQ429" s="234">
        <v>0</v>
      </c>
      <c r="AR429" s="234">
        <v>0</v>
      </c>
      <c r="AS429" s="234">
        <v>0</v>
      </c>
      <c r="AT429" s="234">
        <v>0</v>
      </c>
      <c r="AU429" s="234">
        <v>0</v>
      </c>
      <c r="AV429" s="234">
        <v>0</v>
      </c>
      <c r="AW429" s="234">
        <v>8</v>
      </c>
      <c r="AX429" s="234">
        <v>0</v>
      </c>
      <c r="AY429" s="234">
        <v>0</v>
      </c>
      <c r="AZ429" s="234">
        <v>0</v>
      </c>
      <c r="BA429" s="234">
        <v>0</v>
      </c>
      <c r="BB429" s="234">
        <v>0</v>
      </c>
      <c r="BC429" s="234">
        <v>0</v>
      </c>
      <c r="BD429" s="234">
        <v>0</v>
      </c>
      <c r="BE429" s="234">
        <v>0</v>
      </c>
      <c r="BF429" s="234">
        <v>0</v>
      </c>
      <c r="BG429" s="234">
        <v>0</v>
      </c>
      <c r="BH429" s="234">
        <v>0</v>
      </c>
      <c r="BI429" s="234">
        <v>0</v>
      </c>
      <c r="BJ429" s="234">
        <v>0</v>
      </c>
      <c r="BK429" s="234">
        <v>0</v>
      </c>
      <c r="BL429" s="234">
        <v>0</v>
      </c>
      <c r="BM429" s="234">
        <v>0</v>
      </c>
      <c r="BN429" s="234">
        <v>0</v>
      </c>
      <c r="BO429" s="234">
        <v>0</v>
      </c>
      <c r="BP429" s="234"/>
      <c r="BQ429" s="234"/>
      <c r="BR429" s="237" t="s">
        <v>334</v>
      </c>
      <c r="BS429" s="238">
        <v>5</v>
      </c>
      <c r="BU429" s="239">
        <f t="shared" si="35"/>
        <v>8</v>
      </c>
      <c r="CN429" s="238">
        <f t="shared" si="31"/>
        <v>8</v>
      </c>
      <c r="CO429" s="238">
        <f t="shared" si="32"/>
        <v>8</v>
      </c>
    </row>
    <row r="430" spans="1:93" ht="13.95" customHeight="1" x14ac:dyDescent="0.2">
      <c r="A430" s="231">
        <v>2502</v>
      </c>
      <c r="B430" s="232" t="s">
        <v>848</v>
      </c>
      <c r="C430" s="232" t="s">
        <v>828</v>
      </c>
      <c r="D430" s="232" t="s">
        <v>829</v>
      </c>
      <c r="E430" s="232" t="s">
        <v>1418</v>
      </c>
      <c r="F430" s="231">
        <v>527221</v>
      </c>
      <c r="G430" s="231">
        <v>172443</v>
      </c>
      <c r="H430" s="232" t="s">
        <v>180</v>
      </c>
      <c r="I430" s="233">
        <v>44286</v>
      </c>
      <c r="J430" s="231"/>
      <c r="K430" s="231">
        <v>0</v>
      </c>
      <c r="L430" s="231">
        <v>8</v>
      </c>
      <c r="M430" s="231">
        <v>8</v>
      </c>
      <c r="N430" s="231">
        <v>227</v>
      </c>
      <c r="O430" s="231">
        <v>227</v>
      </c>
      <c r="P430" s="234" t="s">
        <v>318</v>
      </c>
      <c r="Q430" s="232" t="s">
        <v>831</v>
      </c>
      <c r="R430" s="234" t="s">
        <v>517</v>
      </c>
      <c r="S430" s="235">
        <v>43971</v>
      </c>
      <c r="T430" s="235">
        <v>44127</v>
      </c>
      <c r="U430" s="234"/>
      <c r="V430" s="232" t="s">
        <v>321</v>
      </c>
      <c r="W430" s="231"/>
      <c r="X430" s="232" t="s">
        <v>322</v>
      </c>
      <c r="Y430" s="232" t="s">
        <v>323</v>
      </c>
      <c r="Z430" s="232" t="s">
        <v>323</v>
      </c>
      <c r="AA430" s="232" t="s">
        <v>324</v>
      </c>
      <c r="AB430" s="236">
        <v>7.6999999999999999E-2</v>
      </c>
      <c r="AC430" s="235">
        <v>44286</v>
      </c>
      <c r="AD430" s="234"/>
      <c r="AE430" s="234"/>
      <c r="AF430" s="232" t="s">
        <v>56</v>
      </c>
      <c r="AG430" s="232" t="s">
        <v>345</v>
      </c>
      <c r="AH430" s="234" t="s">
        <v>832</v>
      </c>
      <c r="AI430" s="250"/>
      <c r="AJ430" s="234">
        <v>0</v>
      </c>
      <c r="AK430" s="224"/>
      <c r="AL430" s="234">
        <v>8</v>
      </c>
      <c r="AM430" s="224"/>
      <c r="AN430" s="234">
        <v>0</v>
      </c>
      <c r="AO430" s="234">
        <v>4</v>
      </c>
      <c r="AP430" s="234">
        <v>4</v>
      </c>
      <c r="AQ430" s="234">
        <v>0</v>
      </c>
      <c r="AR430" s="234">
        <v>0</v>
      </c>
      <c r="AS430" s="234">
        <v>0</v>
      </c>
      <c r="AT430" s="234">
        <v>0</v>
      </c>
      <c r="AU430" s="234">
        <v>0</v>
      </c>
      <c r="AV430" s="234">
        <v>4</v>
      </c>
      <c r="AW430" s="234">
        <v>4</v>
      </c>
      <c r="AX430" s="234">
        <v>0</v>
      </c>
      <c r="AY430" s="234">
        <v>0</v>
      </c>
      <c r="AZ430" s="234">
        <v>0</v>
      </c>
      <c r="BA430" s="234">
        <v>0</v>
      </c>
      <c r="BB430" s="234">
        <v>0</v>
      </c>
      <c r="BC430" s="234">
        <v>0</v>
      </c>
      <c r="BD430" s="234">
        <v>0</v>
      </c>
      <c r="BE430" s="234">
        <v>0</v>
      </c>
      <c r="BF430" s="234">
        <v>0</v>
      </c>
      <c r="BG430" s="234">
        <v>0</v>
      </c>
      <c r="BH430" s="234">
        <v>0</v>
      </c>
      <c r="BI430" s="234">
        <v>0</v>
      </c>
      <c r="BJ430" s="234">
        <v>0</v>
      </c>
      <c r="BK430" s="234">
        <v>0</v>
      </c>
      <c r="BL430" s="234">
        <v>0</v>
      </c>
      <c r="BM430" s="234">
        <v>0</v>
      </c>
      <c r="BN430" s="234">
        <v>0</v>
      </c>
      <c r="BO430" s="234">
        <v>0</v>
      </c>
      <c r="BP430" s="234"/>
      <c r="BQ430" s="234"/>
      <c r="BR430" s="237" t="s">
        <v>334</v>
      </c>
      <c r="BS430" s="238">
        <v>5</v>
      </c>
      <c r="BU430" s="239">
        <f t="shared" si="35"/>
        <v>8</v>
      </c>
      <c r="CN430" s="238">
        <f t="shared" si="31"/>
        <v>8</v>
      </c>
      <c r="CO430" s="238">
        <f t="shared" si="32"/>
        <v>8</v>
      </c>
    </row>
    <row r="431" spans="1:93" ht="13.95" customHeight="1" x14ac:dyDescent="0.2">
      <c r="A431" s="231">
        <v>2502</v>
      </c>
      <c r="B431" s="232" t="s">
        <v>848</v>
      </c>
      <c r="C431" s="232" t="s">
        <v>828</v>
      </c>
      <c r="D431" s="232" t="s">
        <v>829</v>
      </c>
      <c r="E431" s="232" t="s">
        <v>1419</v>
      </c>
      <c r="F431" s="231">
        <v>527221</v>
      </c>
      <c r="G431" s="231">
        <v>172443</v>
      </c>
      <c r="H431" s="232" t="s">
        <v>180</v>
      </c>
      <c r="I431" s="233">
        <v>44286</v>
      </c>
      <c r="J431" s="231"/>
      <c r="K431" s="231">
        <v>0</v>
      </c>
      <c r="L431" s="231">
        <v>2</v>
      </c>
      <c r="M431" s="231">
        <v>2</v>
      </c>
      <c r="N431" s="231">
        <v>227</v>
      </c>
      <c r="O431" s="231">
        <v>227</v>
      </c>
      <c r="P431" s="234" t="s">
        <v>318</v>
      </c>
      <c r="Q431" s="232" t="s">
        <v>831</v>
      </c>
      <c r="R431" s="234" t="s">
        <v>517</v>
      </c>
      <c r="S431" s="235">
        <v>43971</v>
      </c>
      <c r="T431" s="235">
        <v>44127</v>
      </c>
      <c r="U431" s="234"/>
      <c r="V431" s="232" t="s">
        <v>321</v>
      </c>
      <c r="W431" s="231"/>
      <c r="X431" s="232" t="s">
        <v>322</v>
      </c>
      <c r="Y431" s="232" t="s">
        <v>323</v>
      </c>
      <c r="Z431" s="232" t="s">
        <v>323</v>
      </c>
      <c r="AA431" s="232" t="s">
        <v>324</v>
      </c>
      <c r="AB431" s="236">
        <v>1.9E-2</v>
      </c>
      <c r="AC431" s="235">
        <v>44286</v>
      </c>
      <c r="AD431" s="234"/>
      <c r="AE431" s="234"/>
      <c r="AF431" s="232" t="s">
        <v>57</v>
      </c>
      <c r="AG431" s="232" t="s">
        <v>470</v>
      </c>
      <c r="AH431" s="234" t="s">
        <v>832</v>
      </c>
      <c r="AI431" s="250"/>
      <c r="AJ431" s="234">
        <v>0</v>
      </c>
      <c r="AK431" s="224"/>
      <c r="AL431" s="234">
        <v>1</v>
      </c>
      <c r="AM431" s="224"/>
      <c r="AN431" s="234">
        <v>0</v>
      </c>
      <c r="AO431" s="234">
        <v>0</v>
      </c>
      <c r="AP431" s="234">
        <v>0</v>
      </c>
      <c r="AQ431" s="234">
        <v>2</v>
      </c>
      <c r="AR431" s="234">
        <v>0</v>
      </c>
      <c r="AS431" s="234">
        <v>0</v>
      </c>
      <c r="AT431" s="234">
        <v>0</v>
      </c>
      <c r="AU431" s="234">
        <v>0</v>
      </c>
      <c r="AV431" s="234">
        <v>0</v>
      </c>
      <c r="AW431" s="234">
        <v>0</v>
      </c>
      <c r="AX431" s="234">
        <v>0</v>
      </c>
      <c r="AY431" s="234">
        <v>0</v>
      </c>
      <c r="AZ431" s="234">
        <v>0</v>
      </c>
      <c r="BA431" s="234">
        <v>0</v>
      </c>
      <c r="BB431" s="234">
        <v>0</v>
      </c>
      <c r="BC431" s="234">
        <v>0</v>
      </c>
      <c r="BD431" s="234">
        <v>0</v>
      </c>
      <c r="BE431" s="234">
        <v>2</v>
      </c>
      <c r="BF431" s="234">
        <v>0</v>
      </c>
      <c r="BG431" s="234">
        <v>0</v>
      </c>
      <c r="BH431" s="234">
        <v>0</v>
      </c>
      <c r="BI431" s="234">
        <v>0</v>
      </c>
      <c r="BJ431" s="234">
        <v>0</v>
      </c>
      <c r="BK431" s="234">
        <v>0</v>
      </c>
      <c r="BL431" s="234">
        <v>0</v>
      </c>
      <c r="BM431" s="234">
        <v>0</v>
      </c>
      <c r="BN431" s="234">
        <v>0</v>
      </c>
      <c r="BO431" s="234">
        <v>0</v>
      </c>
      <c r="BP431" s="234"/>
      <c r="BQ431" s="234"/>
      <c r="BR431" s="237" t="s">
        <v>334</v>
      </c>
      <c r="BS431" s="238">
        <v>5</v>
      </c>
      <c r="BU431" s="239">
        <f t="shared" si="35"/>
        <v>2</v>
      </c>
      <c r="CN431" s="238">
        <f t="shared" si="31"/>
        <v>2</v>
      </c>
      <c r="CO431" s="238">
        <f t="shared" si="32"/>
        <v>2</v>
      </c>
    </row>
    <row r="432" spans="1:93" ht="13.95" customHeight="1" x14ac:dyDescent="0.2">
      <c r="A432" s="231">
        <v>2502</v>
      </c>
      <c r="B432" s="232" t="s">
        <v>848</v>
      </c>
      <c r="C432" s="232" t="s">
        <v>828</v>
      </c>
      <c r="D432" s="232" t="s">
        <v>829</v>
      </c>
      <c r="E432" s="232" t="s">
        <v>1420</v>
      </c>
      <c r="F432" s="231">
        <v>527221</v>
      </c>
      <c r="G432" s="231">
        <v>172443</v>
      </c>
      <c r="H432" s="232" t="s">
        <v>180</v>
      </c>
      <c r="I432" s="233">
        <v>44286</v>
      </c>
      <c r="J432" s="231"/>
      <c r="K432" s="231">
        <v>0</v>
      </c>
      <c r="L432" s="231">
        <v>2</v>
      </c>
      <c r="M432" s="231">
        <v>2</v>
      </c>
      <c r="N432" s="231">
        <v>227</v>
      </c>
      <c r="O432" s="231">
        <v>227</v>
      </c>
      <c r="P432" s="234" t="s">
        <v>318</v>
      </c>
      <c r="Q432" s="232" t="s">
        <v>831</v>
      </c>
      <c r="R432" s="234" t="s">
        <v>517</v>
      </c>
      <c r="S432" s="235">
        <v>43971</v>
      </c>
      <c r="T432" s="235">
        <v>44127</v>
      </c>
      <c r="U432" s="234"/>
      <c r="V432" s="232" t="s">
        <v>321</v>
      </c>
      <c r="W432" s="231"/>
      <c r="X432" s="232" t="s">
        <v>322</v>
      </c>
      <c r="Y432" s="232" t="s">
        <v>323</v>
      </c>
      <c r="Z432" s="232" t="s">
        <v>323</v>
      </c>
      <c r="AA432" s="232" t="s">
        <v>324</v>
      </c>
      <c r="AB432" s="236">
        <v>1.9E-2</v>
      </c>
      <c r="AC432" s="235">
        <v>44286</v>
      </c>
      <c r="AD432" s="234"/>
      <c r="AE432" s="234"/>
      <c r="AF432" s="232" t="s">
        <v>57</v>
      </c>
      <c r="AG432" s="232" t="s">
        <v>470</v>
      </c>
      <c r="AH432" s="234" t="s">
        <v>832</v>
      </c>
      <c r="AI432" s="250"/>
      <c r="AJ432" s="234">
        <v>0</v>
      </c>
      <c r="AK432" s="224"/>
      <c r="AL432" s="234">
        <v>0</v>
      </c>
      <c r="AM432" s="224"/>
      <c r="AN432" s="234">
        <v>0</v>
      </c>
      <c r="AO432" s="234">
        <v>0</v>
      </c>
      <c r="AP432" s="234">
        <v>0</v>
      </c>
      <c r="AQ432" s="234">
        <v>2</v>
      </c>
      <c r="AR432" s="234">
        <v>0</v>
      </c>
      <c r="AS432" s="234">
        <v>0</v>
      </c>
      <c r="AT432" s="234">
        <v>0</v>
      </c>
      <c r="AU432" s="234">
        <v>0</v>
      </c>
      <c r="AV432" s="234">
        <v>0</v>
      </c>
      <c r="AW432" s="234">
        <v>0</v>
      </c>
      <c r="AX432" s="234">
        <v>0</v>
      </c>
      <c r="AY432" s="234">
        <v>0</v>
      </c>
      <c r="AZ432" s="234">
        <v>0</v>
      </c>
      <c r="BA432" s="234">
        <v>0</v>
      </c>
      <c r="BB432" s="234">
        <v>0</v>
      </c>
      <c r="BC432" s="234">
        <v>0</v>
      </c>
      <c r="BD432" s="234">
        <v>0</v>
      </c>
      <c r="BE432" s="234">
        <v>2</v>
      </c>
      <c r="BF432" s="234">
        <v>0</v>
      </c>
      <c r="BG432" s="234">
        <v>0</v>
      </c>
      <c r="BH432" s="234">
        <v>0</v>
      </c>
      <c r="BI432" s="234">
        <v>0</v>
      </c>
      <c r="BJ432" s="234">
        <v>0</v>
      </c>
      <c r="BK432" s="234">
        <v>0</v>
      </c>
      <c r="BL432" s="234">
        <v>0</v>
      </c>
      <c r="BM432" s="234">
        <v>0</v>
      </c>
      <c r="BN432" s="234">
        <v>0</v>
      </c>
      <c r="BO432" s="234">
        <v>0</v>
      </c>
      <c r="BP432" s="234"/>
      <c r="BQ432" s="234"/>
      <c r="BR432" s="237" t="s">
        <v>334</v>
      </c>
      <c r="BS432" s="238">
        <v>5</v>
      </c>
      <c r="BU432" s="239">
        <f t="shared" si="35"/>
        <v>2</v>
      </c>
      <c r="CN432" s="238">
        <f t="shared" si="31"/>
        <v>2</v>
      </c>
      <c r="CO432" s="238">
        <f t="shared" si="32"/>
        <v>2</v>
      </c>
    </row>
    <row r="433" spans="1:93" ht="13.95" customHeight="1" x14ac:dyDescent="0.2">
      <c r="A433" s="231">
        <v>2502</v>
      </c>
      <c r="B433" s="232" t="s">
        <v>848</v>
      </c>
      <c r="C433" s="232" t="s">
        <v>828</v>
      </c>
      <c r="D433" s="232" t="s">
        <v>829</v>
      </c>
      <c r="E433" s="232" t="s">
        <v>1421</v>
      </c>
      <c r="F433" s="231">
        <v>527221</v>
      </c>
      <c r="G433" s="231">
        <v>172443</v>
      </c>
      <c r="H433" s="232" t="s">
        <v>180</v>
      </c>
      <c r="I433" s="233">
        <v>44286</v>
      </c>
      <c r="J433" s="231"/>
      <c r="K433" s="231">
        <v>0</v>
      </c>
      <c r="L433" s="231">
        <v>1</v>
      </c>
      <c r="M433" s="231">
        <v>1</v>
      </c>
      <c r="N433" s="231">
        <v>227</v>
      </c>
      <c r="O433" s="231">
        <v>227</v>
      </c>
      <c r="P433" s="234" t="s">
        <v>318</v>
      </c>
      <c r="Q433" s="232" t="s">
        <v>831</v>
      </c>
      <c r="R433" s="234" t="s">
        <v>517</v>
      </c>
      <c r="S433" s="235">
        <v>43971</v>
      </c>
      <c r="T433" s="235">
        <v>44127</v>
      </c>
      <c r="U433" s="234"/>
      <c r="V433" s="232" t="s">
        <v>321</v>
      </c>
      <c r="W433" s="231"/>
      <c r="X433" s="232" t="s">
        <v>322</v>
      </c>
      <c r="Y433" s="232" t="s">
        <v>323</v>
      </c>
      <c r="Z433" s="232" t="s">
        <v>323</v>
      </c>
      <c r="AA433" s="232" t="s">
        <v>324</v>
      </c>
      <c r="AB433" s="236">
        <v>0.01</v>
      </c>
      <c r="AC433" s="235">
        <v>44286</v>
      </c>
      <c r="AD433" s="234"/>
      <c r="AE433" s="234"/>
      <c r="AF433" s="232" t="s">
        <v>56</v>
      </c>
      <c r="AG433" s="232" t="s">
        <v>345</v>
      </c>
      <c r="AH433" s="234" t="s">
        <v>832</v>
      </c>
      <c r="AI433" s="250"/>
      <c r="AJ433" s="234">
        <v>0</v>
      </c>
      <c r="AK433" s="224"/>
      <c r="AL433" s="234">
        <v>0</v>
      </c>
      <c r="AM433" s="224"/>
      <c r="AN433" s="234">
        <v>0</v>
      </c>
      <c r="AO433" s="234">
        <v>0</v>
      </c>
      <c r="AP433" s="234">
        <v>1</v>
      </c>
      <c r="AQ433" s="234">
        <v>0</v>
      </c>
      <c r="AR433" s="234">
        <v>0</v>
      </c>
      <c r="AS433" s="234">
        <v>0</v>
      </c>
      <c r="AT433" s="234">
        <v>0</v>
      </c>
      <c r="AU433" s="234">
        <v>0</v>
      </c>
      <c r="AV433" s="234">
        <v>0</v>
      </c>
      <c r="AW433" s="234">
        <v>0</v>
      </c>
      <c r="AX433" s="234">
        <v>0</v>
      </c>
      <c r="AY433" s="234">
        <v>0</v>
      </c>
      <c r="AZ433" s="234">
        <v>0</v>
      </c>
      <c r="BA433" s="234">
        <v>0</v>
      </c>
      <c r="BB433" s="234">
        <v>0</v>
      </c>
      <c r="BC433" s="234">
        <v>0</v>
      </c>
      <c r="BD433" s="234">
        <v>1</v>
      </c>
      <c r="BE433" s="234">
        <v>0</v>
      </c>
      <c r="BF433" s="234">
        <v>0</v>
      </c>
      <c r="BG433" s="234">
        <v>0</v>
      </c>
      <c r="BH433" s="234">
        <v>0</v>
      </c>
      <c r="BI433" s="234">
        <v>0</v>
      </c>
      <c r="BJ433" s="234">
        <v>0</v>
      </c>
      <c r="BK433" s="234">
        <v>0</v>
      </c>
      <c r="BL433" s="234">
        <v>0</v>
      </c>
      <c r="BM433" s="234">
        <v>0</v>
      </c>
      <c r="BN433" s="234">
        <v>0</v>
      </c>
      <c r="BO433" s="234">
        <v>0</v>
      </c>
      <c r="BP433" s="234"/>
      <c r="BQ433" s="234"/>
      <c r="BR433" s="237" t="s">
        <v>334</v>
      </c>
      <c r="BS433" s="238">
        <v>5</v>
      </c>
      <c r="BU433" s="239">
        <f t="shared" si="35"/>
        <v>1</v>
      </c>
      <c r="CN433" s="238">
        <f t="shared" si="31"/>
        <v>1</v>
      </c>
      <c r="CO433" s="238">
        <f t="shared" si="32"/>
        <v>1</v>
      </c>
    </row>
    <row r="434" spans="1:93" ht="13.95" customHeight="1" x14ac:dyDescent="0.2">
      <c r="A434" s="231">
        <v>2502</v>
      </c>
      <c r="B434" s="232" t="s">
        <v>848</v>
      </c>
      <c r="C434" s="232" t="s">
        <v>828</v>
      </c>
      <c r="D434" s="232" t="s">
        <v>829</v>
      </c>
      <c r="E434" s="232" t="s">
        <v>1422</v>
      </c>
      <c r="F434" s="231">
        <v>527221</v>
      </c>
      <c r="G434" s="231">
        <v>172443</v>
      </c>
      <c r="H434" s="232" t="s">
        <v>180</v>
      </c>
      <c r="I434" s="233">
        <v>44286</v>
      </c>
      <c r="J434" s="231"/>
      <c r="K434" s="231">
        <v>0</v>
      </c>
      <c r="L434" s="231">
        <v>5</v>
      </c>
      <c r="M434" s="231">
        <v>5</v>
      </c>
      <c r="N434" s="231">
        <v>227</v>
      </c>
      <c r="O434" s="231">
        <v>227</v>
      </c>
      <c r="P434" s="234" t="s">
        <v>318</v>
      </c>
      <c r="Q434" s="232" t="s">
        <v>831</v>
      </c>
      <c r="R434" s="234" t="s">
        <v>517</v>
      </c>
      <c r="S434" s="235">
        <v>43971</v>
      </c>
      <c r="T434" s="235">
        <v>44127</v>
      </c>
      <c r="U434" s="234"/>
      <c r="V434" s="232" t="s">
        <v>321</v>
      </c>
      <c r="W434" s="231"/>
      <c r="X434" s="232" t="s">
        <v>322</v>
      </c>
      <c r="Y434" s="232" t="s">
        <v>323</v>
      </c>
      <c r="Z434" s="232" t="s">
        <v>323</v>
      </c>
      <c r="AA434" s="232" t="s">
        <v>324</v>
      </c>
      <c r="AB434" s="236">
        <v>4.8000000000000001E-2</v>
      </c>
      <c r="AC434" s="235">
        <v>44286</v>
      </c>
      <c r="AD434" s="234"/>
      <c r="AE434" s="234"/>
      <c r="AF434" s="232" t="s">
        <v>56</v>
      </c>
      <c r="AG434" s="232" t="s">
        <v>345</v>
      </c>
      <c r="AH434" s="234" t="s">
        <v>832</v>
      </c>
      <c r="AI434" s="250"/>
      <c r="AJ434" s="234">
        <v>0</v>
      </c>
      <c r="AK434" s="224"/>
      <c r="AL434" s="234">
        <v>0</v>
      </c>
      <c r="AM434" s="224"/>
      <c r="AN434" s="234">
        <v>0</v>
      </c>
      <c r="AO434" s="234">
        <v>0</v>
      </c>
      <c r="AP434" s="234">
        <v>5</v>
      </c>
      <c r="AQ434" s="234">
        <v>0</v>
      </c>
      <c r="AR434" s="234">
        <v>0</v>
      </c>
      <c r="AS434" s="234">
        <v>0</v>
      </c>
      <c r="AT434" s="234">
        <v>0</v>
      </c>
      <c r="AU434" s="234">
        <v>0</v>
      </c>
      <c r="AV434" s="234">
        <v>0</v>
      </c>
      <c r="AW434" s="234">
        <v>0</v>
      </c>
      <c r="AX434" s="234">
        <v>0</v>
      </c>
      <c r="AY434" s="234">
        <v>0</v>
      </c>
      <c r="AZ434" s="234">
        <v>0</v>
      </c>
      <c r="BA434" s="234">
        <v>0</v>
      </c>
      <c r="BB434" s="234">
        <v>0</v>
      </c>
      <c r="BC434" s="234">
        <v>0</v>
      </c>
      <c r="BD434" s="234">
        <v>5</v>
      </c>
      <c r="BE434" s="234">
        <v>0</v>
      </c>
      <c r="BF434" s="234">
        <v>0</v>
      </c>
      <c r="BG434" s="234">
        <v>0</v>
      </c>
      <c r="BH434" s="234">
        <v>0</v>
      </c>
      <c r="BI434" s="234">
        <v>0</v>
      </c>
      <c r="BJ434" s="234">
        <v>0</v>
      </c>
      <c r="BK434" s="234">
        <v>0</v>
      </c>
      <c r="BL434" s="234">
        <v>0</v>
      </c>
      <c r="BM434" s="234">
        <v>0</v>
      </c>
      <c r="BN434" s="234">
        <v>0</v>
      </c>
      <c r="BO434" s="234">
        <v>0</v>
      </c>
      <c r="BP434" s="234"/>
      <c r="BQ434" s="234"/>
      <c r="BR434" s="237" t="s">
        <v>334</v>
      </c>
      <c r="BS434" s="238">
        <v>5</v>
      </c>
      <c r="BU434" s="239">
        <f t="shared" si="35"/>
        <v>5</v>
      </c>
      <c r="CN434" s="238">
        <f t="shared" si="31"/>
        <v>5</v>
      </c>
      <c r="CO434" s="238">
        <f t="shared" si="32"/>
        <v>5</v>
      </c>
    </row>
    <row r="435" spans="1:93" ht="13.95" customHeight="1" x14ac:dyDescent="0.2">
      <c r="A435" s="231">
        <v>2502</v>
      </c>
      <c r="B435" s="232" t="s">
        <v>848</v>
      </c>
      <c r="C435" s="232" t="s">
        <v>828</v>
      </c>
      <c r="D435" s="232" t="s">
        <v>829</v>
      </c>
      <c r="E435" s="232" t="s">
        <v>1423</v>
      </c>
      <c r="F435" s="231">
        <v>527221</v>
      </c>
      <c r="G435" s="231">
        <v>172443</v>
      </c>
      <c r="H435" s="232" t="s">
        <v>180</v>
      </c>
      <c r="I435" s="233">
        <v>44286</v>
      </c>
      <c r="J435" s="231"/>
      <c r="K435" s="231">
        <v>0</v>
      </c>
      <c r="L435" s="231">
        <v>15</v>
      </c>
      <c r="M435" s="231">
        <v>15</v>
      </c>
      <c r="N435" s="231">
        <v>227</v>
      </c>
      <c r="O435" s="231">
        <v>227</v>
      </c>
      <c r="P435" s="234" t="s">
        <v>318</v>
      </c>
      <c r="Q435" s="232" t="s">
        <v>831</v>
      </c>
      <c r="R435" s="234" t="s">
        <v>517</v>
      </c>
      <c r="S435" s="235">
        <v>43971</v>
      </c>
      <c r="T435" s="235">
        <v>44127</v>
      </c>
      <c r="U435" s="234"/>
      <c r="V435" s="232" t="s">
        <v>321</v>
      </c>
      <c r="W435" s="231"/>
      <c r="X435" s="232" t="s">
        <v>322</v>
      </c>
      <c r="Y435" s="232" t="s">
        <v>323</v>
      </c>
      <c r="Z435" s="232" t="s">
        <v>323</v>
      </c>
      <c r="AA435" s="232" t="s">
        <v>324</v>
      </c>
      <c r="AB435" s="236">
        <v>0.14499999999999999</v>
      </c>
      <c r="AC435" s="235">
        <v>44286</v>
      </c>
      <c r="AD435" s="234"/>
      <c r="AE435" s="234"/>
      <c r="AF435" s="232" t="s">
        <v>77</v>
      </c>
      <c r="AG435" s="232" t="s">
        <v>350</v>
      </c>
      <c r="AH435" s="234" t="s">
        <v>832</v>
      </c>
      <c r="AI435" s="250"/>
      <c r="AJ435" s="234">
        <v>0</v>
      </c>
      <c r="AK435" s="224"/>
      <c r="AL435" s="234">
        <v>0</v>
      </c>
      <c r="AM435" s="224"/>
      <c r="AN435" s="234">
        <v>0</v>
      </c>
      <c r="AO435" s="234">
        <v>6</v>
      </c>
      <c r="AP435" s="234">
        <v>9</v>
      </c>
      <c r="AQ435" s="234">
        <v>0</v>
      </c>
      <c r="AR435" s="234">
        <v>0</v>
      </c>
      <c r="AS435" s="234">
        <v>0</v>
      </c>
      <c r="AT435" s="234">
        <v>0</v>
      </c>
      <c r="AU435" s="234">
        <v>0</v>
      </c>
      <c r="AV435" s="234">
        <v>6</v>
      </c>
      <c r="AW435" s="234">
        <v>9</v>
      </c>
      <c r="AX435" s="234">
        <v>0</v>
      </c>
      <c r="AY435" s="234">
        <v>0</v>
      </c>
      <c r="AZ435" s="234">
        <v>0</v>
      </c>
      <c r="BA435" s="234">
        <v>0</v>
      </c>
      <c r="BB435" s="234">
        <v>0</v>
      </c>
      <c r="BC435" s="234">
        <v>0</v>
      </c>
      <c r="BD435" s="234">
        <v>0</v>
      </c>
      <c r="BE435" s="234">
        <v>0</v>
      </c>
      <c r="BF435" s="234">
        <v>0</v>
      </c>
      <c r="BG435" s="234">
        <v>0</v>
      </c>
      <c r="BH435" s="234">
        <v>0</v>
      </c>
      <c r="BI435" s="234">
        <v>0</v>
      </c>
      <c r="BJ435" s="234">
        <v>0</v>
      </c>
      <c r="BK435" s="234">
        <v>0</v>
      </c>
      <c r="BL435" s="234">
        <v>0</v>
      </c>
      <c r="BM435" s="234">
        <v>0</v>
      </c>
      <c r="BN435" s="234">
        <v>0</v>
      </c>
      <c r="BO435" s="234">
        <v>0</v>
      </c>
      <c r="BP435" s="234"/>
      <c r="BQ435" s="234"/>
      <c r="BR435" s="237" t="s">
        <v>334</v>
      </c>
      <c r="BS435" s="238">
        <v>5</v>
      </c>
      <c r="BU435" s="239">
        <f t="shared" si="35"/>
        <v>15</v>
      </c>
      <c r="CN435" s="238">
        <f t="shared" si="31"/>
        <v>15</v>
      </c>
      <c r="CO435" s="238">
        <f t="shared" si="32"/>
        <v>15</v>
      </c>
    </row>
    <row r="436" spans="1:93" ht="13.95" customHeight="1" x14ac:dyDescent="0.2">
      <c r="A436" s="231">
        <v>2502</v>
      </c>
      <c r="B436" s="232" t="s">
        <v>848</v>
      </c>
      <c r="C436" s="232" t="s">
        <v>828</v>
      </c>
      <c r="D436" s="232" t="s">
        <v>829</v>
      </c>
      <c r="E436" s="232" t="s">
        <v>1424</v>
      </c>
      <c r="F436" s="231">
        <v>527221</v>
      </c>
      <c r="G436" s="231">
        <v>172443</v>
      </c>
      <c r="H436" s="232" t="s">
        <v>180</v>
      </c>
      <c r="I436" s="233">
        <v>44286</v>
      </c>
      <c r="J436" s="231"/>
      <c r="K436" s="231">
        <v>0</v>
      </c>
      <c r="L436" s="231">
        <v>9</v>
      </c>
      <c r="M436" s="231">
        <v>9</v>
      </c>
      <c r="N436" s="231">
        <v>227</v>
      </c>
      <c r="O436" s="231">
        <v>227</v>
      </c>
      <c r="P436" s="234" t="s">
        <v>318</v>
      </c>
      <c r="Q436" s="232" t="s">
        <v>831</v>
      </c>
      <c r="R436" s="234" t="s">
        <v>517</v>
      </c>
      <c r="S436" s="235">
        <v>43971</v>
      </c>
      <c r="T436" s="235">
        <v>44127</v>
      </c>
      <c r="U436" s="234"/>
      <c r="V436" s="232" t="s">
        <v>321</v>
      </c>
      <c r="W436" s="231"/>
      <c r="X436" s="232" t="s">
        <v>322</v>
      </c>
      <c r="Y436" s="232" t="s">
        <v>323</v>
      </c>
      <c r="Z436" s="232" t="s">
        <v>323</v>
      </c>
      <c r="AA436" s="232" t="s">
        <v>324</v>
      </c>
      <c r="AB436" s="236">
        <v>8.6999999999999994E-2</v>
      </c>
      <c r="AC436" s="235">
        <v>44286</v>
      </c>
      <c r="AD436" s="234"/>
      <c r="AE436" s="234"/>
      <c r="AF436" s="232" t="s">
        <v>77</v>
      </c>
      <c r="AG436" s="232" t="s">
        <v>350</v>
      </c>
      <c r="AH436" s="234" t="s">
        <v>832</v>
      </c>
      <c r="AI436" s="250"/>
      <c r="AJ436" s="234">
        <v>0</v>
      </c>
      <c r="AK436" s="224"/>
      <c r="AL436" s="234">
        <v>0</v>
      </c>
      <c r="AM436" s="224"/>
      <c r="AN436" s="234">
        <v>0</v>
      </c>
      <c r="AO436" s="234">
        <v>0</v>
      </c>
      <c r="AP436" s="234">
        <v>7</v>
      </c>
      <c r="AQ436" s="234">
        <v>2</v>
      </c>
      <c r="AR436" s="234">
        <v>0</v>
      </c>
      <c r="AS436" s="234">
        <v>0</v>
      </c>
      <c r="AT436" s="234">
        <v>0</v>
      </c>
      <c r="AU436" s="234">
        <v>0</v>
      </c>
      <c r="AV436" s="234">
        <v>0</v>
      </c>
      <c r="AW436" s="234">
        <v>0</v>
      </c>
      <c r="AX436" s="234">
        <v>0</v>
      </c>
      <c r="AY436" s="234">
        <v>0</v>
      </c>
      <c r="AZ436" s="234">
        <v>0</v>
      </c>
      <c r="BA436" s="234">
        <v>0</v>
      </c>
      <c r="BB436" s="234">
        <v>0</v>
      </c>
      <c r="BC436" s="234">
        <v>0</v>
      </c>
      <c r="BD436" s="234">
        <v>7</v>
      </c>
      <c r="BE436" s="234">
        <v>2</v>
      </c>
      <c r="BF436" s="234">
        <v>0</v>
      </c>
      <c r="BG436" s="234">
        <v>0</v>
      </c>
      <c r="BH436" s="234">
        <v>0</v>
      </c>
      <c r="BI436" s="234">
        <v>0</v>
      </c>
      <c r="BJ436" s="234">
        <v>0</v>
      </c>
      <c r="BK436" s="234">
        <v>0</v>
      </c>
      <c r="BL436" s="234">
        <v>0</v>
      </c>
      <c r="BM436" s="234">
        <v>0</v>
      </c>
      <c r="BN436" s="234">
        <v>0</v>
      </c>
      <c r="BO436" s="234">
        <v>0</v>
      </c>
      <c r="BP436" s="234"/>
      <c r="BQ436" s="234"/>
      <c r="BR436" s="237" t="s">
        <v>334</v>
      </c>
      <c r="BS436" s="238">
        <v>5</v>
      </c>
      <c r="BU436" s="239">
        <f t="shared" si="35"/>
        <v>9</v>
      </c>
      <c r="CN436" s="238">
        <f t="shared" si="31"/>
        <v>9</v>
      </c>
      <c r="CO436" s="238">
        <f t="shared" si="32"/>
        <v>9</v>
      </c>
    </row>
    <row r="437" spans="1:93" ht="13.95" customHeight="1" x14ac:dyDescent="0.2">
      <c r="A437" s="231">
        <v>2502</v>
      </c>
      <c r="B437" s="232" t="s">
        <v>848</v>
      </c>
      <c r="C437" s="232" t="s">
        <v>828</v>
      </c>
      <c r="D437" s="232" t="s">
        <v>829</v>
      </c>
      <c r="E437" s="232" t="s">
        <v>1425</v>
      </c>
      <c r="F437" s="231">
        <v>527221</v>
      </c>
      <c r="G437" s="231">
        <v>172443</v>
      </c>
      <c r="H437" s="232" t="s">
        <v>180</v>
      </c>
      <c r="I437" s="233">
        <v>44286</v>
      </c>
      <c r="J437" s="231"/>
      <c r="K437" s="231">
        <v>0</v>
      </c>
      <c r="L437" s="231">
        <v>20</v>
      </c>
      <c r="M437" s="231">
        <v>20</v>
      </c>
      <c r="N437" s="231">
        <v>227</v>
      </c>
      <c r="O437" s="231">
        <v>227</v>
      </c>
      <c r="P437" s="234" t="s">
        <v>318</v>
      </c>
      <c r="Q437" s="232" t="s">
        <v>831</v>
      </c>
      <c r="R437" s="234" t="s">
        <v>517</v>
      </c>
      <c r="S437" s="235">
        <v>43971</v>
      </c>
      <c r="T437" s="235">
        <v>44127</v>
      </c>
      <c r="U437" s="234"/>
      <c r="V437" s="232" t="s">
        <v>321</v>
      </c>
      <c r="W437" s="231"/>
      <c r="X437" s="232" t="s">
        <v>322</v>
      </c>
      <c r="Y437" s="232" t="s">
        <v>323</v>
      </c>
      <c r="Z437" s="232" t="s">
        <v>323</v>
      </c>
      <c r="AA437" s="232" t="s">
        <v>324</v>
      </c>
      <c r="AB437" s="236">
        <v>0.193</v>
      </c>
      <c r="AC437" s="235">
        <v>44286</v>
      </c>
      <c r="AD437" s="234"/>
      <c r="AE437" s="234"/>
      <c r="AF437" s="232" t="s">
        <v>77</v>
      </c>
      <c r="AG437" s="232" t="s">
        <v>350</v>
      </c>
      <c r="AH437" s="234" t="s">
        <v>832</v>
      </c>
      <c r="AI437" s="250"/>
      <c r="AJ437" s="234">
        <v>0</v>
      </c>
      <c r="AK437" s="224"/>
      <c r="AL437" s="234">
        <v>0</v>
      </c>
      <c r="AM437" s="224"/>
      <c r="AN437" s="234">
        <v>0</v>
      </c>
      <c r="AO437" s="234">
        <v>9</v>
      </c>
      <c r="AP437" s="234">
        <v>11</v>
      </c>
      <c r="AQ437" s="234">
        <v>0</v>
      </c>
      <c r="AR437" s="234">
        <v>0</v>
      </c>
      <c r="AS437" s="234">
        <v>0</v>
      </c>
      <c r="AT437" s="234">
        <v>0</v>
      </c>
      <c r="AU437" s="234">
        <v>0</v>
      </c>
      <c r="AV437" s="234">
        <v>9</v>
      </c>
      <c r="AW437" s="234">
        <v>11</v>
      </c>
      <c r="AX437" s="234">
        <v>0</v>
      </c>
      <c r="AY437" s="234">
        <v>0</v>
      </c>
      <c r="AZ437" s="234">
        <v>0</v>
      </c>
      <c r="BA437" s="234">
        <v>0</v>
      </c>
      <c r="BB437" s="234">
        <v>0</v>
      </c>
      <c r="BC437" s="234">
        <v>0</v>
      </c>
      <c r="BD437" s="234">
        <v>0</v>
      </c>
      <c r="BE437" s="234">
        <v>0</v>
      </c>
      <c r="BF437" s="234">
        <v>0</v>
      </c>
      <c r="BG437" s="234">
        <v>0</v>
      </c>
      <c r="BH437" s="234">
        <v>0</v>
      </c>
      <c r="BI437" s="234">
        <v>0</v>
      </c>
      <c r="BJ437" s="234">
        <v>0</v>
      </c>
      <c r="BK437" s="234">
        <v>0</v>
      </c>
      <c r="BL437" s="234">
        <v>0</v>
      </c>
      <c r="BM437" s="234">
        <v>0</v>
      </c>
      <c r="BN437" s="234">
        <v>0</v>
      </c>
      <c r="BO437" s="234">
        <v>0</v>
      </c>
      <c r="BP437" s="234"/>
      <c r="BQ437" s="234"/>
      <c r="BR437" s="237" t="s">
        <v>334</v>
      </c>
      <c r="BS437" s="238">
        <v>5</v>
      </c>
      <c r="BU437" s="239">
        <f t="shared" si="35"/>
        <v>20</v>
      </c>
      <c r="CN437" s="238">
        <f t="shared" ref="CN437:CN500" si="36">SUM(BU437:BY437)</f>
        <v>20</v>
      </c>
      <c r="CO437" s="238">
        <f t="shared" ref="CO437:CO500" si="37">SUM(BU437:CD437)</f>
        <v>20</v>
      </c>
    </row>
    <row r="438" spans="1:93" ht="13.95" customHeight="1" x14ac:dyDescent="0.2">
      <c r="A438" s="231">
        <v>2502</v>
      </c>
      <c r="B438" s="232" t="s">
        <v>848</v>
      </c>
      <c r="C438" s="232" t="s">
        <v>828</v>
      </c>
      <c r="D438" s="232" t="s">
        <v>829</v>
      </c>
      <c r="E438" s="232" t="s">
        <v>1426</v>
      </c>
      <c r="F438" s="231">
        <v>527221</v>
      </c>
      <c r="G438" s="231">
        <v>172443</v>
      </c>
      <c r="H438" s="232" t="s">
        <v>180</v>
      </c>
      <c r="I438" s="233">
        <v>44286</v>
      </c>
      <c r="J438" s="231"/>
      <c r="K438" s="231">
        <v>0</v>
      </c>
      <c r="L438" s="231">
        <v>5</v>
      </c>
      <c r="M438" s="231">
        <v>5</v>
      </c>
      <c r="N438" s="231">
        <v>227</v>
      </c>
      <c r="O438" s="231">
        <v>227</v>
      </c>
      <c r="P438" s="234" t="s">
        <v>318</v>
      </c>
      <c r="Q438" s="232" t="s">
        <v>831</v>
      </c>
      <c r="R438" s="234" t="s">
        <v>517</v>
      </c>
      <c r="S438" s="235">
        <v>43971</v>
      </c>
      <c r="T438" s="235">
        <v>44127</v>
      </c>
      <c r="U438" s="234"/>
      <c r="V438" s="232" t="s">
        <v>321</v>
      </c>
      <c r="W438" s="231"/>
      <c r="X438" s="232" t="s">
        <v>322</v>
      </c>
      <c r="Y438" s="232" t="s">
        <v>323</v>
      </c>
      <c r="Z438" s="232" t="s">
        <v>323</v>
      </c>
      <c r="AA438" s="232" t="s">
        <v>324</v>
      </c>
      <c r="AB438" s="236">
        <v>4.8000000000000001E-2</v>
      </c>
      <c r="AC438" s="235">
        <v>44286</v>
      </c>
      <c r="AD438" s="234"/>
      <c r="AE438" s="234"/>
      <c r="AF438" s="232" t="s">
        <v>77</v>
      </c>
      <c r="AG438" s="232" t="s">
        <v>350</v>
      </c>
      <c r="AH438" s="234" t="s">
        <v>832</v>
      </c>
      <c r="AI438" s="250"/>
      <c r="AJ438" s="234">
        <v>0</v>
      </c>
      <c r="AK438" s="224"/>
      <c r="AL438" s="234">
        <v>0</v>
      </c>
      <c r="AM438" s="224"/>
      <c r="AN438" s="234">
        <v>0</v>
      </c>
      <c r="AO438" s="234">
        <v>0</v>
      </c>
      <c r="AP438" s="234">
        <v>0</v>
      </c>
      <c r="AQ438" s="234">
        <v>5</v>
      </c>
      <c r="AR438" s="234">
        <v>0</v>
      </c>
      <c r="AS438" s="234">
        <v>0</v>
      </c>
      <c r="AT438" s="234">
        <v>0</v>
      </c>
      <c r="AU438" s="234">
        <v>0</v>
      </c>
      <c r="AV438" s="234">
        <v>0</v>
      </c>
      <c r="AW438" s="234">
        <v>0</v>
      </c>
      <c r="AX438" s="234">
        <v>5</v>
      </c>
      <c r="AY438" s="234">
        <v>0</v>
      </c>
      <c r="AZ438" s="234">
        <v>0</v>
      </c>
      <c r="BA438" s="234">
        <v>0</v>
      </c>
      <c r="BB438" s="234">
        <v>0</v>
      </c>
      <c r="BC438" s="234">
        <v>0</v>
      </c>
      <c r="BD438" s="234">
        <v>0</v>
      </c>
      <c r="BE438" s="234">
        <v>0</v>
      </c>
      <c r="BF438" s="234">
        <v>0</v>
      </c>
      <c r="BG438" s="234">
        <v>0</v>
      </c>
      <c r="BH438" s="234">
        <v>0</v>
      </c>
      <c r="BI438" s="234">
        <v>0</v>
      </c>
      <c r="BJ438" s="234">
        <v>0</v>
      </c>
      <c r="BK438" s="234">
        <v>0</v>
      </c>
      <c r="BL438" s="234">
        <v>0</v>
      </c>
      <c r="BM438" s="234">
        <v>0</v>
      </c>
      <c r="BN438" s="234">
        <v>0</v>
      </c>
      <c r="BO438" s="234">
        <v>0</v>
      </c>
      <c r="BP438" s="234"/>
      <c r="BQ438" s="234"/>
      <c r="BR438" s="237" t="s">
        <v>334</v>
      </c>
      <c r="BS438" s="238">
        <v>5</v>
      </c>
      <c r="BU438" s="239">
        <f t="shared" si="35"/>
        <v>5</v>
      </c>
      <c r="CN438" s="238">
        <f t="shared" si="36"/>
        <v>5</v>
      </c>
      <c r="CO438" s="238">
        <f t="shared" si="37"/>
        <v>5</v>
      </c>
    </row>
    <row r="439" spans="1:93" ht="13.95" customHeight="1" x14ac:dyDescent="0.2">
      <c r="A439" s="231">
        <v>2502</v>
      </c>
      <c r="B439" s="232" t="s">
        <v>848</v>
      </c>
      <c r="C439" s="232" t="s">
        <v>828</v>
      </c>
      <c r="D439" s="232" t="s">
        <v>829</v>
      </c>
      <c r="E439" s="232" t="s">
        <v>1427</v>
      </c>
      <c r="F439" s="231">
        <v>527221</v>
      </c>
      <c r="G439" s="231">
        <v>172443</v>
      </c>
      <c r="H439" s="232" t="s">
        <v>180</v>
      </c>
      <c r="I439" s="233">
        <v>44286</v>
      </c>
      <c r="J439" s="231"/>
      <c r="K439" s="231">
        <v>0</v>
      </c>
      <c r="L439" s="231">
        <v>8</v>
      </c>
      <c r="M439" s="231">
        <v>8</v>
      </c>
      <c r="N439" s="231">
        <v>227</v>
      </c>
      <c r="O439" s="231">
        <v>227</v>
      </c>
      <c r="P439" s="234" t="s">
        <v>318</v>
      </c>
      <c r="Q439" s="232" t="s">
        <v>831</v>
      </c>
      <c r="R439" s="234" t="s">
        <v>517</v>
      </c>
      <c r="S439" s="235">
        <v>43971</v>
      </c>
      <c r="T439" s="235">
        <v>44127</v>
      </c>
      <c r="U439" s="234"/>
      <c r="V439" s="232" t="s">
        <v>321</v>
      </c>
      <c r="W439" s="231"/>
      <c r="X439" s="232" t="s">
        <v>322</v>
      </c>
      <c r="Y439" s="232" t="s">
        <v>323</v>
      </c>
      <c r="Z439" s="232" t="s">
        <v>323</v>
      </c>
      <c r="AA439" s="232" t="s">
        <v>324</v>
      </c>
      <c r="AB439" s="236">
        <v>7.6999999999999999E-2</v>
      </c>
      <c r="AC439" s="235">
        <v>44286</v>
      </c>
      <c r="AD439" s="234"/>
      <c r="AE439" s="234"/>
      <c r="AF439" s="232" t="s">
        <v>77</v>
      </c>
      <c r="AG439" s="232" t="s">
        <v>350</v>
      </c>
      <c r="AH439" s="234" t="s">
        <v>832</v>
      </c>
      <c r="AI439" s="250"/>
      <c r="AJ439" s="234">
        <v>0</v>
      </c>
      <c r="AK439" s="224"/>
      <c r="AL439" s="234">
        <v>0</v>
      </c>
      <c r="AM439" s="224"/>
      <c r="AN439" s="234">
        <v>0</v>
      </c>
      <c r="AO439" s="234">
        <v>0</v>
      </c>
      <c r="AP439" s="234">
        <v>4</v>
      </c>
      <c r="AQ439" s="234">
        <v>4</v>
      </c>
      <c r="AR439" s="234">
        <v>0</v>
      </c>
      <c r="AS439" s="234">
        <v>0</v>
      </c>
      <c r="AT439" s="234">
        <v>0</v>
      </c>
      <c r="AU439" s="234">
        <v>0</v>
      </c>
      <c r="AV439" s="234">
        <v>0</v>
      </c>
      <c r="AW439" s="234">
        <v>0</v>
      </c>
      <c r="AX439" s="234">
        <v>0</v>
      </c>
      <c r="AY439" s="234">
        <v>0</v>
      </c>
      <c r="AZ439" s="234">
        <v>0</v>
      </c>
      <c r="BA439" s="234">
        <v>0</v>
      </c>
      <c r="BB439" s="234">
        <v>0</v>
      </c>
      <c r="BC439" s="234">
        <v>0</v>
      </c>
      <c r="BD439" s="234">
        <v>4</v>
      </c>
      <c r="BE439" s="234">
        <v>4</v>
      </c>
      <c r="BF439" s="234">
        <v>0</v>
      </c>
      <c r="BG439" s="234">
        <v>0</v>
      </c>
      <c r="BH439" s="234">
        <v>0</v>
      </c>
      <c r="BI439" s="234">
        <v>0</v>
      </c>
      <c r="BJ439" s="234">
        <v>0</v>
      </c>
      <c r="BK439" s="234">
        <v>0</v>
      </c>
      <c r="BL439" s="234">
        <v>0</v>
      </c>
      <c r="BM439" s="234">
        <v>0</v>
      </c>
      <c r="BN439" s="234">
        <v>0</v>
      </c>
      <c r="BO439" s="234">
        <v>0</v>
      </c>
      <c r="BP439" s="234"/>
      <c r="BQ439" s="234"/>
      <c r="BR439" s="237" t="s">
        <v>334</v>
      </c>
      <c r="BS439" s="238">
        <v>5</v>
      </c>
      <c r="BU439" s="239">
        <f t="shared" si="35"/>
        <v>8</v>
      </c>
      <c r="CN439" s="238">
        <f t="shared" si="36"/>
        <v>8</v>
      </c>
      <c r="CO439" s="238">
        <f t="shared" si="37"/>
        <v>8</v>
      </c>
    </row>
    <row r="440" spans="1:93" ht="13.95" customHeight="1" x14ac:dyDescent="0.2">
      <c r="A440" s="231">
        <v>2502</v>
      </c>
      <c r="B440" s="232" t="s">
        <v>848</v>
      </c>
      <c r="C440" s="232" t="s">
        <v>828</v>
      </c>
      <c r="D440" s="232" t="s">
        <v>829</v>
      </c>
      <c r="E440" s="232" t="s">
        <v>1428</v>
      </c>
      <c r="F440" s="231">
        <v>527221</v>
      </c>
      <c r="G440" s="231">
        <v>172443</v>
      </c>
      <c r="H440" s="232" t="s">
        <v>180</v>
      </c>
      <c r="I440" s="233">
        <v>44286</v>
      </c>
      <c r="J440" s="231"/>
      <c r="K440" s="231">
        <v>0</v>
      </c>
      <c r="L440" s="231">
        <v>20</v>
      </c>
      <c r="M440" s="231">
        <v>20</v>
      </c>
      <c r="N440" s="231">
        <v>227</v>
      </c>
      <c r="O440" s="231">
        <v>227</v>
      </c>
      <c r="P440" s="234" t="s">
        <v>318</v>
      </c>
      <c r="Q440" s="232" t="s">
        <v>831</v>
      </c>
      <c r="R440" s="234" t="s">
        <v>517</v>
      </c>
      <c r="S440" s="235">
        <v>43971</v>
      </c>
      <c r="T440" s="235">
        <v>44127</v>
      </c>
      <c r="U440" s="234"/>
      <c r="V440" s="232" t="s">
        <v>321</v>
      </c>
      <c r="W440" s="231"/>
      <c r="X440" s="232" t="s">
        <v>322</v>
      </c>
      <c r="Y440" s="232" t="s">
        <v>323</v>
      </c>
      <c r="Z440" s="232" t="s">
        <v>323</v>
      </c>
      <c r="AA440" s="232" t="s">
        <v>324</v>
      </c>
      <c r="AB440" s="236">
        <v>0.193</v>
      </c>
      <c r="AC440" s="235">
        <v>44286</v>
      </c>
      <c r="AD440" s="234"/>
      <c r="AE440" s="234"/>
      <c r="AF440" s="232" t="s">
        <v>77</v>
      </c>
      <c r="AG440" s="232" t="s">
        <v>350</v>
      </c>
      <c r="AH440" s="234" t="s">
        <v>832</v>
      </c>
      <c r="AI440" s="250"/>
      <c r="AJ440" s="234">
        <v>0</v>
      </c>
      <c r="AK440" s="224"/>
      <c r="AL440" s="234">
        <v>0</v>
      </c>
      <c r="AM440" s="224"/>
      <c r="AN440" s="234">
        <v>0</v>
      </c>
      <c r="AO440" s="234">
        <v>9</v>
      </c>
      <c r="AP440" s="234">
        <v>11</v>
      </c>
      <c r="AQ440" s="234">
        <v>0</v>
      </c>
      <c r="AR440" s="234">
        <v>0</v>
      </c>
      <c r="AS440" s="234">
        <v>0</v>
      </c>
      <c r="AT440" s="234">
        <v>0</v>
      </c>
      <c r="AU440" s="234">
        <v>0</v>
      </c>
      <c r="AV440" s="234">
        <v>9</v>
      </c>
      <c r="AW440" s="234">
        <v>11</v>
      </c>
      <c r="AX440" s="234">
        <v>0</v>
      </c>
      <c r="AY440" s="234">
        <v>0</v>
      </c>
      <c r="AZ440" s="234">
        <v>0</v>
      </c>
      <c r="BA440" s="234">
        <v>0</v>
      </c>
      <c r="BB440" s="234">
        <v>0</v>
      </c>
      <c r="BC440" s="234">
        <v>0</v>
      </c>
      <c r="BD440" s="234">
        <v>0</v>
      </c>
      <c r="BE440" s="234">
        <v>0</v>
      </c>
      <c r="BF440" s="234">
        <v>0</v>
      </c>
      <c r="BG440" s="234">
        <v>0</v>
      </c>
      <c r="BH440" s="234">
        <v>0</v>
      </c>
      <c r="BI440" s="234">
        <v>0</v>
      </c>
      <c r="BJ440" s="234">
        <v>0</v>
      </c>
      <c r="BK440" s="234">
        <v>0</v>
      </c>
      <c r="BL440" s="234">
        <v>0</v>
      </c>
      <c r="BM440" s="234">
        <v>0</v>
      </c>
      <c r="BN440" s="234">
        <v>0</v>
      </c>
      <c r="BO440" s="234">
        <v>0</v>
      </c>
      <c r="BP440" s="234"/>
      <c r="BQ440" s="234"/>
      <c r="BR440" s="237" t="s">
        <v>334</v>
      </c>
      <c r="BS440" s="238">
        <v>5</v>
      </c>
      <c r="BU440" s="239">
        <f t="shared" si="35"/>
        <v>20</v>
      </c>
      <c r="CN440" s="238">
        <f t="shared" si="36"/>
        <v>20</v>
      </c>
      <c r="CO440" s="238">
        <f t="shared" si="37"/>
        <v>20</v>
      </c>
    </row>
    <row r="441" spans="1:93" ht="13.95" customHeight="1" x14ac:dyDescent="0.2">
      <c r="A441" s="231">
        <v>2502</v>
      </c>
      <c r="B441" s="232" t="s">
        <v>848</v>
      </c>
      <c r="C441" s="232" t="s">
        <v>828</v>
      </c>
      <c r="D441" s="232" t="s">
        <v>829</v>
      </c>
      <c r="E441" s="232" t="s">
        <v>1429</v>
      </c>
      <c r="F441" s="231">
        <v>527221</v>
      </c>
      <c r="G441" s="231">
        <v>172443</v>
      </c>
      <c r="H441" s="232" t="s">
        <v>180</v>
      </c>
      <c r="I441" s="233">
        <v>44286</v>
      </c>
      <c r="J441" s="231"/>
      <c r="K441" s="231">
        <v>0</v>
      </c>
      <c r="L441" s="231">
        <v>7</v>
      </c>
      <c r="M441" s="231">
        <v>7</v>
      </c>
      <c r="N441" s="231">
        <v>227</v>
      </c>
      <c r="O441" s="231">
        <v>227</v>
      </c>
      <c r="P441" s="234" t="s">
        <v>318</v>
      </c>
      <c r="Q441" s="232" t="s">
        <v>831</v>
      </c>
      <c r="R441" s="234" t="s">
        <v>517</v>
      </c>
      <c r="S441" s="235">
        <v>43971</v>
      </c>
      <c r="T441" s="235">
        <v>44127</v>
      </c>
      <c r="U441" s="234"/>
      <c r="V441" s="232" t="s">
        <v>321</v>
      </c>
      <c r="W441" s="231"/>
      <c r="X441" s="232" t="s">
        <v>322</v>
      </c>
      <c r="Y441" s="232" t="s">
        <v>323</v>
      </c>
      <c r="Z441" s="232" t="s">
        <v>323</v>
      </c>
      <c r="AA441" s="232" t="s">
        <v>324</v>
      </c>
      <c r="AB441" s="236">
        <v>6.8000000000000005E-2</v>
      </c>
      <c r="AC441" s="235">
        <v>44286</v>
      </c>
      <c r="AD441" s="234"/>
      <c r="AE441" s="234"/>
      <c r="AF441" s="232" t="s">
        <v>77</v>
      </c>
      <c r="AG441" s="232" t="s">
        <v>350</v>
      </c>
      <c r="AH441" s="234" t="s">
        <v>832</v>
      </c>
      <c r="AI441" s="250"/>
      <c r="AJ441" s="234">
        <v>0</v>
      </c>
      <c r="AK441" s="224"/>
      <c r="AL441" s="234">
        <v>0</v>
      </c>
      <c r="AM441" s="224"/>
      <c r="AN441" s="234">
        <v>0</v>
      </c>
      <c r="AO441" s="234">
        <v>0</v>
      </c>
      <c r="AP441" s="234">
        <v>3</v>
      </c>
      <c r="AQ441" s="234">
        <v>4</v>
      </c>
      <c r="AR441" s="234">
        <v>0</v>
      </c>
      <c r="AS441" s="234">
        <v>0</v>
      </c>
      <c r="AT441" s="234">
        <v>0</v>
      </c>
      <c r="AU441" s="234">
        <v>0</v>
      </c>
      <c r="AV441" s="234">
        <v>0</v>
      </c>
      <c r="AW441" s="234">
        <v>0</v>
      </c>
      <c r="AX441" s="234">
        <v>0</v>
      </c>
      <c r="AY441" s="234">
        <v>0</v>
      </c>
      <c r="AZ441" s="234">
        <v>0</v>
      </c>
      <c r="BA441" s="234">
        <v>0</v>
      </c>
      <c r="BB441" s="234">
        <v>0</v>
      </c>
      <c r="BC441" s="234">
        <v>0</v>
      </c>
      <c r="BD441" s="234">
        <v>3</v>
      </c>
      <c r="BE441" s="234">
        <v>4</v>
      </c>
      <c r="BF441" s="234">
        <v>0</v>
      </c>
      <c r="BG441" s="234">
        <v>0</v>
      </c>
      <c r="BH441" s="234">
        <v>0</v>
      </c>
      <c r="BI441" s="234">
        <v>0</v>
      </c>
      <c r="BJ441" s="234">
        <v>0</v>
      </c>
      <c r="BK441" s="234">
        <v>0</v>
      </c>
      <c r="BL441" s="234">
        <v>0</v>
      </c>
      <c r="BM441" s="234">
        <v>0</v>
      </c>
      <c r="BN441" s="234">
        <v>0</v>
      </c>
      <c r="BO441" s="234">
        <v>0</v>
      </c>
      <c r="BP441" s="234"/>
      <c r="BQ441" s="234"/>
      <c r="BR441" s="237" t="s">
        <v>334</v>
      </c>
      <c r="BS441" s="238">
        <v>5</v>
      </c>
      <c r="BU441" s="239">
        <f t="shared" si="35"/>
        <v>7</v>
      </c>
      <c r="CN441" s="238">
        <f t="shared" si="36"/>
        <v>7</v>
      </c>
      <c r="CO441" s="238">
        <f t="shared" si="37"/>
        <v>7</v>
      </c>
    </row>
    <row r="442" spans="1:93" ht="13.95" customHeight="1" x14ac:dyDescent="0.2">
      <c r="A442" s="231">
        <v>2502</v>
      </c>
      <c r="B442" s="232" t="s">
        <v>848</v>
      </c>
      <c r="C442" s="232" t="s">
        <v>828</v>
      </c>
      <c r="D442" s="232" t="s">
        <v>829</v>
      </c>
      <c r="E442" s="232" t="s">
        <v>1430</v>
      </c>
      <c r="F442" s="231">
        <v>527221</v>
      </c>
      <c r="G442" s="231">
        <v>172443</v>
      </c>
      <c r="H442" s="232" t="s">
        <v>180</v>
      </c>
      <c r="I442" s="233">
        <v>44286</v>
      </c>
      <c r="J442" s="231"/>
      <c r="K442" s="231">
        <v>0</v>
      </c>
      <c r="L442" s="231">
        <v>15</v>
      </c>
      <c r="M442" s="231">
        <v>15</v>
      </c>
      <c r="N442" s="231">
        <v>227</v>
      </c>
      <c r="O442" s="231">
        <v>227</v>
      </c>
      <c r="P442" s="234" t="s">
        <v>318</v>
      </c>
      <c r="Q442" s="232" t="s">
        <v>831</v>
      </c>
      <c r="R442" s="234" t="s">
        <v>517</v>
      </c>
      <c r="S442" s="235">
        <v>43971</v>
      </c>
      <c r="T442" s="235">
        <v>44127</v>
      </c>
      <c r="U442" s="234"/>
      <c r="V442" s="232" t="s">
        <v>321</v>
      </c>
      <c r="W442" s="231"/>
      <c r="X442" s="232" t="s">
        <v>322</v>
      </c>
      <c r="Y442" s="232" t="s">
        <v>323</v>
      </c>
      <c r="Z442" s="232" t="s">
        <v>323</v>
      </c>
      <c r="AA442" s="232" t="s">
        <v>324</v>
      </c>
      <c r="AB442" s="236">
        <v>0.14499999999999999</v>
      </c>
      <c r="AC442" s="235">
        <v>44286</v>
      </c>
      <c r="AD442" s="234"/>
      <c r="AE442" s="234"/>
      <c r="AF442" s="232" t="s">
        <v>77</v>
      </c>
      <c r="AG442" s="232" t="s">
        <v>350</v>
      </c>
      <c r="AH442" s="234" t="s">
        <v>832</v>
      </c>
      <c r="AI442" s="250"/>
      <c r="AJ442" s="234">
        <v>0</v>
      </c>
      <c r="AK442" s="224"/>
      <c r="AL442" s="234">
        <v>0</v>
      </c>
      <c r="AM442" s="224"/>
      <c r="AN442" s="234">
        <v>0</v>
      </c>
      <c r="AO442" s="234">
        <v>12</v>
      </c>
      <c r="AP442" s="234">
        <v>2</v>
      </c>
      <c r="AQ442" s="234">
        <v>1</v>
      </c>
      <c r="AR442" s="234">
        <v>0</v>
      </c>
      <c r="AS442" s="234">
        <v>0</v>
      </c>
      <c r="AT442" s="234">
        <v>0</v>
      </c>
      <c r="AU442" s="234">
        <v>0</v>
      </c>
      <c r="AV442" s="234">
        <v>12</v>
      </c>
      <c r="AW442" s="234">
        <v>2</v>
      </c>
      <c r="AX442" s="234">
        <v>1</v>
      </c>
      <c r="AY442" s="234">
        <v>0</v>
      </c>
      <c r="AZ442" s="234">
        <v>0</v>
      </c>
      <c r="BA442" s="234">
        <v>0</v>
      </c>
      <c r="BB442" s="234">
        <v>0</v>
      </c>
      <c r="BC442" s="234">
        <v>0</v>
      </c>
      <c r="BD442" s="234">
        <v>0</v>
      </c>
      <c r="BE442" s="234">
        <v>0</v>
      </c>
      <c r="BF442" s="234">
        <v>0</v>
      </c>
      <c r="BG442" s="234">
        <v>0</v>
      </c>
      <c r="BH442" s="234">
        <v>0</v>
      </c>
      <c r="BI442" s="234">
        <v>0</v>
      </c>
      <c r="BJ442" s="234">
        <v>0</v>
      </c>
      <c r="BK442" s="234">
        <v>0</v>
      </c>
      <c r="BL442" s="234">
        <v>0</v>
      </c>
      <c r="BM442" s="234">
        <v>0</v>
      </c>
      <c r="BN442" s="234">
        <v>0</v>
      </c>
      <c r="BO442" s="234">
        <v>0</v>
      </c>
      <c r="BP442" s="234"/>
      <c r="BQ442" s="234"/>
      <c r="BR442" s="237" t="s">
        <v>334</v>
      </c>
      <c r="BS442" s="238">
        <v>5</v>
      </c>
      <c r="BU442" s="239">
        <f t="shared" si="35"/>
        <v>15</v>
      </c>
      <c r="CN442" s="238">
        <f t="shared" si="36"/>
        <v>15</v>
      </c>
      <c r="CO442" s="238">
        <f t="shared" si="37"/>
        <v>15</v>
      </c>
    </row>
    <row r="443" spans="1:93" ht="13.95" customHeight="1" x14ac:dyDescent="0.2">
      <c r="A443" s="231">
        <v>2502</v>
      </c>
      <c r="B443" s="232" t="s">
        <v>848</v>
      </c>
      <c r="C443" s="232" t="s">
        <v>828</v>
      </c>
      <c r="D443" s="232" t="s">
        <v>829</v>
      </c>
      <c r="E443" s="232" t="s">
        <v>1431</v>
      </c>
      <c r="F443" s="231">
        <v>527221</v>
      </c>
      <c r="G443" s="231">
        <v>172443</v>
      </c>
      <c r="H443" s="232" t="s">
        <v>180</v>
      </c>
      <c r="I443" s="233">
        <v>44286</v>
      </c>
      <c r="J443" s="231"/>
      <c r="K443" s="231">
        <v>0</v>
      </c>
      <c r="L443" s="231">
        <v>20</v>
      </c>
      <c r="M443" s="231">
        <v>20</v>
      </c>
      <c r="N443" s="231">
        <v>227</v>
      </c>
      <c r="O443" s="231">
        <v>227</v>
      </c>
      <c r="P443" s="234" t="s">
        <v>318</v>
      </c>
      <c r="Q443" s="232" t="s">
        <v>831</v>
      </c>
      <c r="R443" s="234" t="s">
        <v>517</v>
      </c>
      <c r="S443" s="235">
        <v>43971</v>
      </c>
      <c r="T443" s="235">
        <v>44127</v>
      </c>
      <c r="U443" s="234"/>
      <c r="V443" s="232" t="s">
        <v>321</v>
      </c>
      <c r="W443" s="231"/>
      <c r="X443" s="232" t="s">
        <v>322</v>
      </c>
      <c r="Y443" s="232" t="s">
        <v>323</v>
      </c>
      <c r="Z443" s="232" t="s">
        <v>323</v>
      </c>
      <c r="AA443" s="232" t="s">
        <v>324</v>
      </c>
      <c r="AB443" s="236">
        <v>0.193</v>
      </c>
      <c r="AC443" s="235">
        <v>44286</v>
      </c>
      <c r="AD443" s="234"/>
      <c r="AE443" s="234"/>
      <c r="AF443" s="232" t="s">
        <v>77</v>
      </c>
      <c r="AG443" s="232" t="s">
        <v>350</v>
      </c>
      <c r="AH443" s="234" t="s">
        <v>832</v>
      </c>
      <c r="AI443" s="250"/>
      <c r="AJ443" s="234">
        <v>0</v>
      </c>
      <c r="AK443" s="224"/>
      <c r="AL443" s="234">
        <v>0</v>
      </c>
      <c r="AM443" s="224"/>
      <c r="AN443" s="234">
        <v>0</v>
      </c>
      <c r="AO443" s="234">
        <v>9</v>
      </c>
      <c r="AP443" s="234">
        <v>11</v>
      </c>
      <c r="AQ443" s="234">
        <v>0</v>
      </c>
      <c r="AR443" s="234">
        <v>0</v>
      </c>
      <c r="AS443" s="234">
        <v>0</v>
      </c>
      <c r="AT443" s="234">
        <v>0</v>
      </c>
      <c r="AU443" s="234">
        <v>0</v>
      </c>
      <c r="AV443" s="234">
        <v>9</v>
      </c>
      <c r="AW443" s="234">
        <v>11</v>
      </c>
      <c r="AX443" s="234">
        <v>0</v>
      </c>
      <c r="AY443" s="234">
        <v>0</v>
      </c>
      <c r="AZ443" s="234">
        <v>0</v>
      </c>
      <c r="BA443" s="234">
        <v>0</v>
      </c>
      <c r="BB443" s="234">
        <v>0</v>
      </c>
      <c r="BC443" s="234">
        <v>0</v>
      </c>
      <c r="BD443" s="234">
        <v>0</v>
      </c>
      <c r="BE443" s="234">
        <v>0</v>
      </c>
      <c r="BF443" s="234">
        <v>0</v>
      </c>
      <c r="BG443" s="234">
        <v>0</v>
      </c>
      <c r="BH443" s="234">
        <v>0</v>
      </c>
      <c r="BI443" s="234">
        <v>0</v>
      </c>
      <c r="BJ443" s="234">
        <v>0</v>
      </c>
      <c r="BK443" s="234">
        <v>0</v>
      </c>
      <c r="BL443" s="234">
        <v>0</v>
      </c>
      <c r="BM443" s="234">
        <v>0</v>
      </c>
      <c r="BN443" s="234">
        <v>0</v>
      </c>
      <c r="BO443" s="234">
        <v>0</v>
      </c>
      <c r="BP443" s="234"/>
      <c r="BQ443" s="234"/>
      <c r="BR443" s="237" t="s">
        <v>334</v>
      </c>
      <c r="BS443" s="238">
        <v>5</v>
      </c>
      <c r="BU443" s="239">
        <f t="shared" si="35"/>
        <v>20</v>
      </c>
      <c r="CN443" s="238">
        <f t="shared" si="36"/>
        <v>20</v>
      </c>
      <c r="CO443" s="238">
        <f t="shared" si="37"/>
        <v>20</v>
      </c>
    </row>
    <row r="444" spans="1:93" ht="13.95" customHeight="1" x14ac:dyDescent="0.2">
      <c r="A444" s="231">
        <v>2502</v>
      </c>
      <c r="B444" s="232" t="s">
        <v>848</v>
      </c>
      <c r="C444" s="232" t="s">
        <v>828</v>
      </c>
      <c r="D444" s="232" t="s">
        <v>829</v>
      </c>
      <c r="E444" s="232" t="s">
        <v>1432</v>
      </c>
      <c r="F444" s="231">
        <v>527221</v>
      </c>
      <c r="G444" s="231">
        <v>172443</v>
      </c>
      <c r="H444" s="232" t="s">
        <v>180</v>
      </c>
      <c r="I444" s="233">
        <v>44286</v>
      </c>
      <c r="J444" s="231"/>
      <c r="K444" s="231">
        <v>0</v>
      </c>
      <c r="L444" s="231">
        <v>15</v>
      </c>
      <c r="M444" s="231">
        <v>15</v>
      </c>
      <c r="N444" s="231">
        <v>227</v>
      </c>
      <c r="O444" s="231">
        <v>227</v>
      </c>
      <c r="P444" s="234" t="s">
        <v>318</v>
      </c>
      <c r="Q444" s="232" t="s">
        <v>831</v>
      </c>
      <c r="R444" s="234" t="s">
        <v>517</v>
      </c>
      <c r="S444" s="235">
        <v>43971</v>
      </c>
      <c r="T444" s="235">
        <v>44127</v>
      </c>
      <c r="U444" s="234"/>
      <c r="V444" s="232" t="s">
        <v>321</v>
      </c>
      <c r="W444" s="231"/>
      <c r="X444" s="232" t="s">
        <v>322</v>
      </c>
      <c r="Y444" s="232" t="s">
        <v>323</v>
      </c>
      <c r="Z444" s="232" t="s">
        <v>323</v>
      </c>
      <c r="AA444" s="232" t="s">
        <v>324</v>
      </c>
      <c r="AB444" s="236">
        <v>0.14499999999999999</v>
      </c>
      <c r="AC444" s="235">
        <v>44286</v>
      </c>
      <c r="AD444" s="234"/>
      <c r="AE444" s="234"/>
      <c r="AF444" s="232" t="s">
        <v>77</v>
      </c>
      <c r="AG444" s="232" t="s">
        <v>350</v>
      </c>
      <c r="AH444" s="234" t="s">
        <v>832</v>
      </c>
      <c r="AI444" s="250"/>
      <c r="AJ444" s="234">
        <v>0</v>
      </c>
      <c r="AK444" s="224"/>
      <c r="AL444" s="234">
        <v>0</v>
      </c>
      <c r="AM444" s="224"/>
      <c r="AN444" s="234">
        <v>0</v>
      </c>
      <c r="AO444" s="234">
        <v>6</v>
      </c>
      <c r="AP444" s="234">
        <v>8</v>
      </c>
      <c r="AQ444" s="234">
        <v>1</v>
      </c>
      <c r="AR444" s="234">
        <v>0</v>
      </c>
      <c r="AS444" s="234">
        <v>0</v>
      </c>
      <c r="AT444" s="234">
        <v>0</v>
      </c>
      <c r="AU444" s="234">
        <v>0</v>
      </c>
      <c r="AV444" s="234">
        <v>6</v>
      </c>
      <c r="AW444" s="234">
        <v>8</v>
      </c>
      <c r="AX444" s="234">
        <v>1</v>
      </c>
      <c r="AY444" s="234">
        <v>0</v>
      </c>
      <c r="AZ444" s="234">
        <v>0</v>
      </c>
      <c r="BA444" s="234">
        <v>0</v>
      </c>
      <c r="BB444" s="234">
        <v>0</v>
      </c>
      <c r="BC444" s="234">
        <v>0</v>
      </c>
      <c r="BD444" s="234">
        <v>0</v>
      </c>
      <c r="BE444" s="234">
        <v>0</v>
      </c>
      <c r="BF444" s="234">
        <v>0</v>
      </c>
      <c r="BG444" s="234">
        <v>0</v>
      </c>
      <c r="BH444" s="234">
        <v>0</v>
      </c>
      <c r="BI444" s="234">
        <v>0</v>
      </c>
      <c r="BJ444" s="234">
        <v>0</v>
      </c>
      <c r="BK444" s="234">
        <v>0</v>
      </c>
      <c r="BL444" s="234">
        <v>0</v>
      </c>
      <c r="BM444" s="234">
        <v>0</v>
      </c>
      <c r="BN444" s="234">
        <v>0</v>
      </c>
      <c r="BO444" s="234">
        <v>0</v>
      </c>
      <c r="BP444" s="234"/>
      <c r="BQ444" s="234"/>
      <c r="BR444" s="237" t="s">
        <v>334</v>
      </c>
      <c r="BS444" s="238">
        <v>5</v>
      </c>
      <c r="BU444" s="239">
        <f t="shared" si="35"/>
        <v>15</v>
      </c>
      <c r="CN444" s="238">
        <f t="shared" si="36"/>
        <v>15</v>
      </c>
      <c r="CO444" s="238">
        <f t="shared" si="37"/>
        <v>15</v>
      </c>
    </row>
    <row r="445" spans="1:93" ht="13.95" customHeight="1" x14ac:dyDescent="0.2">
      <c r="A445" s="231">
        <v>2502</v>
      </c>
      <c r="B445" s="232" t="s">
        <v>848</v>
      </c>
      <c r="C445" s="232" t="s">
        <v>828</v>
      </c>
      <c r="D445" s="232" t="s">
        <v>829</v>
      </c>
      <c r="E445" s="232" t="s">
        <v>1433</v>
      </c>
      <c r="F445" s="231">
        <v>527221</v>
      </c>
      <c r="G445" s="231">
        <v>172443</v>
      </c>
      <c r="H445" s="232" t="s">
        <v>180</v>
      </c>
      <c r="I445" s="233">
        <v>44286</v>
      </c>
      <c r="J445" s="231"/>
      <c r="K445" s="231">
        <v>0</v>
      </c>
      <c r="L445" s="231">
        <v>15</v>
      </c>
      <c r="M445" s="231">
        <v>15</v>
      </c>
      <c r="N445" s="231">
        <v>227</v>
      </c>
      <c r="O445" s="231">
        <v>227</v>
      </c>
      <c r="P445" s="234" t="s">
        <v>318</v>
      </c>
      <c r="Q445" s="232" t="s">
        <v>831</v>
      </c>
      <c r="R445" s="234" t="s">
        <v>517</v>
      </c>
      <c r="S445" s="235">
        <v>43971</v>
      </c>
      <c r="T445" s="235">
        <v>44127</v>
      </c>
      <c r="U445" s="234"/>
      <c r="V445" s="232" t="s">
        <v>321</v>
      </c>
      <c r="W445" s="231"/>
      <c r="X445" s="232" t="s">
        <v>322</v>
      </c>
      <c r="Y445" s="232" t="s">
        <v>323</v>
      </c>
      <c r="Z445" s="232" t="s">
        <v>323</v>
      </c>
      <c r="AA445" s="232" t="s">
        <v>324</v>
      </c>
      <c r="AB445" s="236">
        <v>0.14499999999999999</v>
      </c>
      <c r="AC445" s="235">
        <v>44286</v>
      </c>
      <c r="AD445" s="234"/>
      <c r="AE445" s="234"/>
      <c r="AF445" s="232" t="s">
        <v>77</v>
      </c>
      <c r="AG445" s="232" t="s">
        <v>350</v>
      </c>
      <c r="AH445" s="234" t="s">
        <v>832</v>
      </c>
      <c r="AI445" s="250"/>
      <c r="AJ445" s="234">
        <v>0</v>
      </c>
      <c r="AK445" s="224"/>
      <c r="AL445" s="234">
        <v>0</v>
      </c>
      <c r="AM445" s="224"/>
      <c r="AN445" s="234">
        <v>0</v>
      </c>
      <c r="AO445" s="234">
        <v>12</v>
      </c>
      <c r="AP445" s="234">
        <v>3</v>
      </c>
      <c r="AQ445" s="234">
        <v>0</v>
      </c>
      <c r="AR445" s="234">
        <v>0</v>
      </c>
      <c r="AS445" s="234">
        <v>0</v>
      </c>
      <c r="AT445" s="234">
        <v>0</v>
      </c>
      <c r="AU445" s="234">
        <v>0</v>
      </c>
      <c r="AV445" s="234">
        <v>12</v>
      </c>
      <c r="AW445" s="234">
        <v>3</v>
      </c>
      <c r="AX445" s="234">
        <v>0</v>
      </c>
      <c r="AY445" s="234">
        <v>0</v>
      </c>
      <c r="AZ445" s="234">
        <v>0</v>
      </c>
      <c r="BA445" s="234">
        <v>0</v>
      </c>
      <c r="BB445" s="234">
        <v>0</v>
      </c>
      <c r="BC445" s="234">
        <v>0</v>
      </c>
      <c r="BD445" s="234">
        <v>0</v>
      </c>
      <c r="BE445" s="234">
        <v>0</v>
      </c>
      <c r="BF445" s="234">
        <v>0</v>
      </c>
      <c r="BG445" s="234">
        <v>0</v>
      </c>
      <c r="BH445" s="234">
        <v>0</v>
      </c>
      <c r="BI445" s="234">
        <v>0</v>
      </c>
      <c r="BJ445" s="234">
        <v>0</v>
      </c>
      <c r="BK445" s="234">
        <v>0</v>
      </c>
      <c r="BL445" s="234">
        <v>0</v>
      </c>
      <c r="BM445" s="234">
        <v>0</v>
      </c>
      <c r="BN445" s="234">
        <v>0</v>
      </c>
      <c r="BO445" s="234">
        <v>0</v>
      </c>
      <c r="BP445" s="234"/>
      <c r="BQ445" s="234"/>
      <c r="BR445" s="237" t="s">
        <v>334</v>
      </c>
      <c r="BS445" s="238">
        <v>5</v>
      </c>
      <c r="BU445" s="239">
        <f t="shared" si="35"/>
        <v>15</v>
      </c>
      <c r="CN445" s="238">
        <f t="shared" si="36"/>
        <v>15</v>
      </c>
      <c r="CO445" s="238">
        <f t="shared" si="37"/>
        <v>15</v>
      </c>
    </row>
    <row r="446" spans="1:93" ht="13.95" customHeight="1" x14ac:dyDescent="0.2">
      <c r="A446" s="231">
        <v>2502</v>
      </c>
      <c r="B446" s="232" t="s">
        <v>848</v>
      </c>
      <c r="C446" s="232" t="s">
        <v>840</v>
      </c>
      <c r="D446" s="232" t="s">
        <v>829</v>
      </c>
      <c r="E446" s="232" t="s">
        <v>1434</v>
      </c>
      <c r="F446" s="231">
        <v>527221</v>
      </c>
      <c r="G446" s="231">
        <v>172443</v>
      </c>
      <c r="H446" s="232" t="s">
        <v>180</v>
      </c>
      <c r="I446" s="233">
        <v>44286</v>
      </c>
      <c r="J446" s="231"/>
      <c r="K446" s="231">
        <v>0</v>
      </c>
      <c r="L446" s="231">
        <v>29</v>
      </c>
      <c r="M446" s="231">
        <v>29</v>
      </c>
      <c r="N446" s="231">
        <v>72</v>
      </c>
      <c r="O446" s="231">
        <v>72</v>
      </c>
      <c r="P446" s="234" t="s">
        <v>318</v>
      </c>
      <c r="Q446" s="232" t="s">
        <v>842</v>
      </c>
      <c r="R446" s="234" t="s">
        <v>517</v>
      </c>
      <c r="S446" s="235">
        <v>43948</v>
      </c>
      <c r="T446" s="235">
        <v>44039</v>
      </c>
      <c r="U446" s="234"/>
      <c r="V446" s="232" t="s">
        <v>321</v>
      </c>
      <c r="W446" s="231"/>
      <c r="X446" s="232" t="s">
        <v>322</v>
      </c>
      <c r="Y446" s="232" t="s">
        <v>378</v>
      </c>
      <c r="Z446" s="232" t="s">
        <v>843</v>
      </c>
      <c r="AA446" s="232" t="s">
        <v>324</v>
      </c>
      <c r="AB446" s="236">
        <v>0.878</v>
      </c>
      <c r="AC446" s="235">
        <v>44286</v>
      </c>
      <c r="AD446" s="234"/>
      <c r="AE446" s="234"/>
      <c r="AF446" s="232" t="s">
        <v>77</v>
      </c>
      <c r="AG446" s="232" t="s">
        <v>350</v>
      </c>
      <c r="AH446" s="234" t="s">
        <v>832</v>
      </c>
      <c r="AI446" s="250"/>
      <c r="AJ446" s="234">
        <v>0</v>
      </c>
      <c r="AK446" s="224"/>
      <c r="AL446" s="234">
        <v>6</v>
      </c>
      <c r="AM446" s="224"/>
      <c r="AN446" s="234">
        <v>0</v>
      </c>
      <c r="AO446" s="234">
        <v>29</v>
      </c>
      <c r="AP446" s="234">
        <v>0</v>
      </c>
      <c r="AQ446" s="234">
        <v>0</v>
      </c>
      <c r="AR446" s="234">
        <v>0</v>
      </c>
      <c r="AS446" s="234">
        <v>0</v>
      </c>
      <c r="AT446" s="234">
        <v>0</v>
      </c>
      <c r="AU446" s="234">
        <v>0</v>
      </c>
      <c r="AV446" s="234">
        <v>29</v>
      </c>
      <c r="AW446" s="234">
        <v>0</v>
      </c>
      <c r="AX446" s="234">
        <v>0</v>
      </c>
      <c r="AY446" s="234">
        <v>0</v>
      </c>
      <c r="AZ446" s="234">
        <v>0</v>
      </c>
      <c r="BA446" s="234">
        <v>0</v>
      </c>
      <c r="BB446" s="234">
        <v>0</v>
      </c>
      <c r="BC446" s="234">
        <v>0</v>
      </c>
      <c r="BD446" s="234">
        <v>0</v>
      </c>
      <c r="BE446" s="234">
        <v>0</v>
      </c>
      <c r="BF446" s="234">
        <v>0</v>
      </c>
      <c r="BG446" s="234">
        <v>0</v>
      </c>
      <c r="BH446" s="234">
        <v>0</v>
      </c>
      <c r="BI446" s="234">
        <v>0</v>
      </c>
      <c r="BJ446" s="234">
        <v>0</v>
      </c>
      <c r="BK446" s="234">
        <v>0</v>
      </c>
      <c r="BL446" s="234">
        <v>0</v>
      </c>
      <c r="BM446" s="234">
        <v>0</v>
      </c>
      <c r="BN446" s="234">
        <v>0</v>
      </c>
      <c r="BO446" s="234">
        <v>0</v>
      </c>
      <c r="BP446" s="234"/>
      <c r="BQ446" s="234"/>
      <c r="BR446" s="237" t="s">
        <v>334</v>
      </c>
      <c r="BS446" s="238">
        <v>5</v>
      </c>
      <c r="BU446" s="239">
        <f t="shared" si="35"/>
        <v>29</v>
      </c>
      <c r="CN446" s="238">
        <f t="shared" si="36"/>
        <v>29</v>
      </c>
      <c r="CO446" s="238">
        <f t="shared" si="37"/>
        <v>29</v>
      </c>
    </row>
    <row r="447" spans="1:93" ht="13.95" customHeight="1" x14ac:dyDescent="0.2">
      <c r="A447" s="231">
        <v>2502</v>
      </c>
      <c r="B447" s="232" t="s">
        <v>848</v>
      </c>
      <c r="C447" s="232" t="s">
        <v>1435</v>
      </c>
      <c r="D447" s="232" t="s">
        <v>829</v>
      </c>
      <c r="E447" s="232" t="s">
        <v>1436</v>
      </c>
      <c r="F447" s="231">
        <v>527221</v>
      </c>
      <c r="G447" s="231">
        <v>172443</v>
      </c>
      <c r="H447" s="232" t="s">
        <v>180</v>
      </c>
      <c r="I447" s="233">
        <v>44652</v>
      </c>
      <c r="J447" s="231"/>
      <c r="K447" s="231">
        <v>0</v>
      </c>
      <c r="L447" s="231">
        <v>4</v>
      </c>
      <c r="M447" s="231">
        <v>4</v>
      </c>
      <c r="N447" s="231">
        <v>109</v>
      </c>
      <c r="O447" s="231">
        <v>109</v>
      </c>
      <c r="P447" s="234" t="s">
        <v>318</v>
      </c>
      <c r="Q447" s="232" t="s">
        <v>1437</v>
      </c>
      <c r="R447" s="234" t="s">
        <v>517</v>
      </c>
      <c r="S447" s="235">
        <v>44228</v>
      </c>
      <c r="T447" s="235">
        <v>44341</v>
      </c>
      <c r="U447" s="234"/>
      <c r="V447" s="232" t="s">
        <v>321</v>
      </c>
      <c r="W447" s="231"/>
      <c r="X447" s="232" t="s">
        <v>322</v>
      </c>
      <c r="Y447" s="232" t="s">
        <v>365</v>
      </c>
      <c r="Z447" s="232" t="s">
        <v>843</v>
      </c>
      <c r="AA447" s="232" t="s">
        <v>324</v>
      </c>
      <c r="AB447" s="236">
        <v>3.696E-2</v>
      </c>
      <c r="AC447" s="235">
        <v>44652</v>
      </c>
      <c r="AD447" s="234" t="s">
        <v>318</v>
      </c>
      <c r="AE447" s="234"/>
      <c r="AF447" s="232" t="s">
        <v>77</v>
      </c>
      <c r="AG447" s="232" t="s">
        <v>350</v>
      </c>
      <c r="AH447" s="234" t="s">
        <v>832</v>
      </c>
      <c r="AI447" s="250"/>
      <c r="AJ447" s="234">
        <v>0</v>
      </c>
      <c r="AK447" s="224"/>
      <c r="AL447" s="234">
        <v>0</v>
      </c>
      <c r="AM447" s="224"/>
      <c r="AN447" s="234">
        <v>0</v>
      </c>
      <c r="AO447" s="234">
        <v>0</v>
      </c>
      <c r="AP447" s="234">
        <v>4</v>
      </c>
      <c r="AQ447" s="234">
        <v>0</v>
      </c>
      <c r="AR447" s="234">
        <v>0</v>
      </c>
      <c r="AS447" s="234">
        <v>0</v>
      </c>
      <c r="AT447" s="234">
        <v>0</v>
      </c>
      <c r="AU447" s="234">
        <v>0</v>
      </c>
      <c r="AV447" s="234">
        <v>0</v>
      </c>
      <c r="AW447" s="234">
        <v>4</v>
      </c>
      <c r="AX447" s="234">
        <v>0</v>
      </c>
      <c r="AY447" s="234">
        <v>0</v>
      </c>
      <c r="AZ447" s="234">
        <v>0</v>
      </c>
      <c r="BA447" s="234">
        <v>0</v>
      </c>
      <c r="BB447" s="234">
        <v>0</v>
      </c>
      <c r="BC447" s="234">
        <v>0</v>
      </c>
      <c r="BD447" s="234">
        <v>0</v>
      </c>
      <c r="BE447" s="234">
        <v>0</v>
      </c>
      <c r="BF447" s="234">
        <v>0</v>
      </c>
      <c r="BG447" s="234">
        <v>0</v>
      </c>
      <c r="BH447" s="234">
        <v>0</v>
      </c>
      <c r="BI447" s="234">
        <v>0</v>
      </c>
      <c r="BJ447" s="234">
        <v>0</v>
      </c>
      <c r="BK447" s="234">
        <v>0</v>
      </c>
      <c r="BL447" s="234">
        <v>0</v>
      </c>
      <c r="BM447" s="234">
        <v>0</v>
      </c>
      <c r="BN447" s="234">
        <v>0</v>
      </c>
      <c r="BO447" s="234">
        <v>0</v>
      </c>
      <c r="BP447" s="234"/>
      <c r="BQ447" s="234"/>
      <c r="BR447" s="237" t="s">
        <v>334</v>
      </c>
      <c r="BS447" s="238">
        <v>5</v>
      </c>
      <c r="BV447" s="239">
        <f t="shared" ref="BV447:BV460" si="38">M447</f>
        <v>4</v>
      </c>
      <c r="CN447" s="238">
        <f t="shared" si="36"/>
        <v>4</v>
      </c>
      <c r="CO447" s="238">
        <f t="shared" si="37"/>
        <v>4</v>
      </c>
    </row>
    <row r="448" spans="1:93" ht="13.95" customHeight="1" x14ac:dyDescent="0.2">
      <c r="A448" s="231">
        <v>2502</v>
      </c>
      <c r="B448" s="232" t="s">
        <v>848</v>
      </c>
      <c r="C448" s="232" t="s">
        <v>1435</v>
      </c>
      <c r="D448" s="232" t="s">
        <v>829</v>
      </c>
      <c r="E448" s="232" t="s">
        <v>1438</v>
      </c>
      <c r="F448" s="231">
        <v>527221</v>
      </c>
      <c r="G448" s="231">
        <v>172443</v>
      </c>
      <c r="H448" s="232" t="s">
        <v>180</v>
      </c>
      <c r="I448" s="233">
        <v>44652</v>
      </c>
      <c r="J448" s="231"/>
      <c r="K448" s="231">
        <v>0</v>
      </c>
      <c r="L448" s="231">
        <v>11</v>
      </c>
      <c r="M448" s="231">
        <v>11</v>
      </c>
      <c r="N448" s="231">
        <v>109</v>
      </c>
      <c r="O448" s="231">
        <v>109</v>
      </c>
      <c r="P448" s="234" t="s">
        <v>318</v>
      </c>
      <c r="Q448" s="232" t="s">
        <v>1437</v>
      </c>
      <c r="R448" s="234" t="s">
        <v>517</v>
      </c>
      <c r="S448" s="235">
        <v>44228</v>
      </c>
      <c r="T448" s="235">
        <v>44341</v>
      </c>
      <c r="U448" s="234"/>
      <c r="V448" s="232" t="s">
        <v>321</v>
      </c>
      <c r="W448" s="231"/>
      <c r="X448" s="232" t="s">
        <v>322</v>
      </c>
      <c r="Y448" s="232" t="s">
        <v>365</v>
      </c>
      <c r="Z448" s="232" t="s">
        <v>843</v>
      </c>
      <c r="AA448" s="232" t="s">
        <v>324</v>
      </c>
      <c r="AB448" s="236">
        <v>0.10163999999999999</v>
      </c>
      <c r="AC448" s="235">
        <v>44652</v>
      </c>
      <c r="AD448" s="234" t="s">
        <v>318</v>
      </c>
      <c r="AE448" s="234"/>
      <c r="AF448" s="232" t="s">
        <v>77</v>
      </c>
      <c r="AG448" s="232" t="s">
        <v>350</v>
      </c>
      <c r="AH448" s="234" t="s">
        <v>832</v>
      </c>
      <c r="AI448" s="250"/>
      <c r="AJ448" s="234">
        <v>0</v>
      </c>
      <c r="AK448" s="224"/>
      <c r="AL448" s="234">
        <v>0</v>
      </c>
      <c r="AM448" s="224"/>
      <c r="AN448" s="234">
        <v>1</v>
      </c>
      <c r="AO448" s="234">
        <v>1</v>
      </c>
      <c r="AP448" s="234">
        <v>6</v>
      </c>
      <c r="AQ448" s="234">
        <v>3</v>
      </c>
      <c r="AR448" s="234">
        <v>0</v>
      </c>
      <c r="AS448" s="234">
        <v>0</v>
      </c>
      <c r="AT448" s="234">
        <v>0</v>
      </c>
      <c r="AU448" s="234">
        <v>1</v>
      </c>
      <c r="AV448" s="234">
        <v>1</v>
      </c>
      <c r="AW448" s="234">
        <v>6</v>
      </c>
      <c r="AX448" s="234">
        <v>3</v>
      </c>
      <c r="AY448" s="234">
        <v>0</v>
      </c>
      <c r="AZ448" s="234">
        <v>0</v>
      </c>
      <c r="BA448" s="234">
        <v>0</v>
      </c>
      <c r="BB448" s="234">
        <v>0</v>
      </c>
      <c r="BC448" s="234">
        <v>0</v>
      </c>
      <c r="BD448" s="234">
        <v>0</v>
      </c>
      <c r="BE448" s="234">
        <v>0</v>
      </c>
      <c r="BF448" s="234">
        <v>0</v>
      </c>
      <c r="BG448" s="234">
        <v>0</v>
      </c>
      <c r="BH448" s="234">
        <v>0</v>
      </c>
      <c r="BI448" s="234">
        <v>0</v>
      </c>
      <c r="BJ448" s="234">
        <v>0</v>
      </c>
      <c r="BK448" s="234">
        <v>0</v>
      </c>
      <c r="BL448" s="234">
        <v>0</v>
      </c>
      <c r="BM448" s="234">
        <v>0</v>
      </c>
      <c r="BN448" s="234">
        <v>0</v>
      </c>
      <c r="BO448" s="234">
        <v>0</v>
      </c>
      <c r="BP448" s="234"/>
      <c r="BQ448" s="234"/>
      <c r="BR448" s="237" t="s">
        <v>334</v>
      </c>
      <c r="BS448" s="238">
        <v>5</v>
      </c>
      <c r="BV448" s="239">
        <f t="shared" si="38"/>
        <v>11</v>
      </c>
      <c r="CN448" s="238">
        <f t="shared" si="36"/>
        <v>11</v>
      </c>
      <c r="CO448" s="238">
        <f t="shared" si="37"/>
        <v>11</v>
      </c>
    </row>
    <row r="449" spans="1:93" ht="13.95" customHeight="1" x14ac:dyDescent="0.2">
      <c r="A449" s="231">
        <v>2502</v>
      </c>
      <c r="B449" s="232" t="s">
        <v>848</v>
      </c>
      <c r="C449" s="232" t="s">
        <v>1435</v>
      </c>
      <c r="D449" s="232" t="s">
        <v>829</v>
      </c>
      <c r="E449" s="232" t="s">
        <v>1439</v>
      </c>
      <c r="F449" s="231">
        <v>527221</v>
      </c>
      <c r="G449" s="231">
        <v>172443</v>
      </c>
      <c r="H449" s="232" t="s">
        <v>180</v>
      </c>
      <c r="I449" s="233">
        <v>44652</v>
      </c>
      <c r="J449" s="231"/>
      <c r="K449" s="231">
        <v>0</v>
      </c>
      <c r="L449" s="231">
        <v>11</v>
      </c>
      <c r="M449" s="231">
        <v>11</v>
      </c>
      <c r="N449" s="231">
        <v>109</v>
      </c>
      <c r="O449" s="231">
        <v>109</v>
      </c>
      <c r="P449" s="234" t="s">
        <v>318</v>
      </c>
      <c r="Q449" s="232" t="s">
        <v>1437</v>
      </c>
      <c r="R449" s="234" t="s">
        <v>517</v>
      </c>
      <c r="S449" s="235">
        <v>44228</v>
      </c>
      <c r="T449" s="235">
        <v>44341</v>
      </c>
      <c r="U449" s="234"/>
      <c r="V449" s="232" t="s">
        <v>321</v>
      </c>
      <c r="W449" s="231"/>
      <c r="X449" s="232" t="s">
        <v>322</v>
      </c>
      <c r="Y449" s="232" t="s">
        <v>365</v>
      </c>
      <c r="Z449" s="232" t="s">
        <v>843</v>
      </c>
      <c r="AA449" s="232" t="s">
        <v>324</v>
      </c>
      <c r="AB449" s="236">
        <v>0.10163999999999999</v>
      </c>
      <c r="AC449" s="235">
        <v>44652</v>
      </c>
      <c r="AD449" s="234" t="s">
        <v>318</v>
      </c>
      <c r="AE449" s="234"/>
      <c r="AF449" s="232" t="s">
        <v>77</v>
      </c>
      <c r="AG449" s="232" t="s">
        <v>350</v>
      </c>
      <c r="AH449" s="234" t="s">
        <v>832</v>
      </c>
      <c r="AI449" s="250"/>
      <c r="AJ449" s="234">
        <v>0</v>
      </c>
      <c r="AK449" s="224"/>
      <c r="AL449" s="234">
        <v>0</v>
      </c>
      <c r="AM449" s="224"/>
      <c r="AN449" s="234">
        <v>0</v>
      </c>
      <c r="AO449" s="234">
        <v>8</v>
      </c>
      <c r="AP449" s="234">
        <v>3</v>
      </c>
      <c r="AQ449" s="234">
        <v>0</v>
      </c>
      <c r="AR449" s="234">
        <v>0</v>
      </c>
      <c r="AS449" s="234">
        <v>0</v>
      </c>
      <c r="AT449" s="234">
        <v>0</v>
      </c>
      <c r="AU449" s="234">
        <v>0</v>
      </c>
      <c r="AV449" s="234">
        <v>8</v>
      </c>
      <c r="AW449" s="234">
        <v>3</v>
      </c>
      <c r="AX449" s="234">
        <v>0</v>
      </c>
      <c r="AY449" s="234">
        <v>0</v>
      </c>
      <c r="AZ449" s="234">
        <v>0</v>
      </c>
      <c r="BA449" s="234">
        <v>0</v>
      </c>
      <c r="BB449" s="234">
        <v>0</v>
      </c>
      <c r="BC449" s="234">
        <v>0</v>
      </c>
      <c r="BD449" s="234">
        <v>0</v>
      </c>
      <c r="BE449" s="234">
        <v>0</v>
      </c>
      <c r="BF449" s="234">
        <v>0</v>
      </c>
      <c r="BG449" s="234">
        <v>0</v>
      </c>
      <c r="BH449" s="234">
        <v>0</v>
      </c>
      <c r="BI449" s="234">
        <v>0</v>
      </c>
      <c r="BJ449" s="234">
        <v>0</v>
      </c>
      <c r="BK449" s="234">
        <v>0</v>
      </c>
      <c r="BL449" s="234">
        <v>0</v>
      </c>
      <c r="BM449" s="234">
        <v>0</v>
      </c>
      <c r="BN449" s="234">
        <v>0</v>
      </c>
      <c r="BO449" s="234">
        <v>0</v>
      </c>
      <c r="BP449" s="234"/>
      <c r="BQ449" s="234"/>
      <c r="BR449" s="237" t="s">
        <v>334</v>
      </c>
      <c r="BS449" s="238">
        <v>5</v>
      </c>
      <c r="BV449" s="239">
        <f t="shared" si="38"/>
        <v>11</v>
      </c>
      <c r="CN449" s="238">
        <f t="shared" si="36"/>
        <v>11</v>
      </c>
      <c r="CO449" s="238">
        <f t="shared" si="37"/>
        <v>11</v>
      </c>
    </row>
    <row r="450" spans="1:93" ht="13.95" customHeight="1" x14ac:dyDescent="0.2">
      <c r="A450" s="231">
        <v>2502</v>
      </c>
      <c r="B450" s="232" t="s">
        <v>848</v>
      </c>
      <c r="C450" s="232" t="s">
        <v>1435</v>
      </c>
      <c r="D450" s="232" t="s">
        <v>829</v>
      </c>
      <c r="E450" s="232" t="s">
        <v>1440</v>
      </c>
      <c r="F450" s="231">
        <v>527221</v>
      </c>
      <c r="G450" s="231">
        <v>172443</v>
      </c>
      <c r="H450" s="232" t="s">
        <v>180</v>
      </c>
      <c r="I450" s="233">
        <v>44652</v>
      </c>
      <c r="J450" s="231"/>
      <c r="K450" s="231">
        <v>0</v>
      </c>
      <c r="L450" s="231">
        <v>20</v>
      </c>
      <c r="M450" s="231">
        <v>20</v>
      </c>
      <c r="N450" s="231">
        <v>109</v>
      </c>
      <c r="O450" s="231">
        <v>109</v>
      </c>
      <c r="P450" s="234" t="s">
        <v>318</v>
      </c>
      <c r="Q450" s="232" t="s">
        <v>1437</v>
      </c>
      <c r="R450" s="234" t="s">
        <v>517</v>
      </c>
      <c r="S450" s="235">
        <v>44228</v>
      </c>
      <c r="T450" s="235">
        <v>44341</v>
      </c>
      <c r="U450" s="234"/>
      <c r="V450" s="232" t="s">
        <v>321</v>
      </c>
      <c r="W450" s="231"/>
      <c r="X450" s="232" t="s">
        <v>322</v>
      </c>
      <c r="Y450" s="232" t="s">
        <v>365</v>
      </c>
      <c r="Z450" s="232" t="s">
        <v>843</v>
      </c>
      <c r="AA450" s="232" t="s">
        <v>324</v>
      </c>
      <c r="AB450" s="236">
        <v>0.18479999999999999</v>
      </c>
      <c r="AC450" s="235">
        <v>44652</v>
      </c>
      <c r="AD450" s="234" t="s">
        <v>318</v>
      </c>
      <c r="AE450" s="234"/>
      <c r="AF450" s="232" t="s">
        <v>77</v>
      </c>
      <c r="AG450" s="232" t="s">
        <v>350</v>
      </c>
      <c r="AH450" s="234" t="s">
        <v>832</v>
      </c>
      <c r="AI450" s="250"/>
      <c r="AJ450" s="234">
        <v>0</v>
      </c>
      <c r="AK450" s="224"/>
      <c r="AL450" s="234">
        <v>0</v>
      </c>
      <c r="AM450" s="224"/>
      <c r="AN450" s="234">
        <v>0</v>
      </c>
      <c r="AO450" s="234">
        <v>10</v>
      </c>
      <c r="AP450" s="234">
        <v>10</v>
      </c>
      <c r="AQ450" s="234">
        <v>0</v>
      </c>
      <c r="AR450" s="234">
        <v>0</v>
      </c>
      <c r="AS450" s="234">
        <v>0</v>
      </c>
      <c r="AT450" s="234">
        <v>0</v>
      </c>
      <c r="AU450" s="234">
        <v>0</v>
      </c>
      <c r="AV450" s="234">
        <v>10</v>
      </c>
      <c r="AW450" s="234">
        <v>10</v>
      </c>
      <c r="AX450" s="234">
        <v>0</v>
      </c>
      <c r="AY450" s="234">
        <v>0</v>
      </c>
      <c r="AZ450" s="234">
        <v>0</v>
      </c>
      <c r="BA450" s="234">
        <v>0</v>
      </c>
      <c r="BB450" s="234">
        <v>0</v>
      </c>
      <c r="BC450" s="234">
        <v>0</v>
      </c>
      <c r="BD450" s="234">
        <v>0</v>
      </c>
      <c r="BE450" s="234">
        <v>0</v>
      </c>
      <c r="BF450" s="234">
        <v>0</v>
      </c>
      <c r="BG450" s="234">
        <v>0</v>
      </c>
      <c r="BH450" s="234">
        <v>0</v>
      </c>
      <c r="BI450" s="234">
        <v>0</v>
      </c>
      <c r="BJ450" s="234">
        <v>0</v>
      </c>
      <c r="BK450" s="234">
        <v>0</v>
      </c>
      <c r="BL450" s="234">
        <v>0</v>
      </c>
      <c r="BM450" s="234">
        <v>0</v>
      </c>
      <c r="BN450" s="234">
        <v>0</v>
      </c>
      <c r="BO450" s="234">
        <v>0</v>
      </c>
      <c r="BP450" s="234"/>
      <c r="BQ450" s="234"/>
      <c r="BR450" s="237" t="s">
        <v>334</v>
      </c>
      <c r="BS450" s="238">
        <v>5</v>
      </c>
      <c r="BV450" s="239">
        <f t="shared" si="38"/>
        <v>20</v>
      </c>
      <c r="CN450" s="238">
        <f t="shared" si="36"/>
        <v>20</v>
      </c>
      <c r="CO450" s="238">
        <f t="shared" si="37"/>
        <v>20</v>
      </c>
    </row>
    <row r="451" spans="1:93" ht="13.95" customHeight="1" x14ac:dyDescent="0.2">
      <c r="A451" s="231">
        <v>2502</v>
      </c>
      <c r="B451" s="232" t="s">
        <v>848</v>
      </c>
      <c r="C451" s="232" t="s">
        <v>1435</v>
      </c>
      <c r="D451" s="232" t="s">
        <v>829</v>
      </c>
      <c r="E451" s="232" t="s">
        <v>1441</v>
      </c>
      <c r="F451" s="231">
        <v>527221</v>
      </c>
      <c r="G451" s="231">
        <v>172443</v>
      </c>
      <c r="H451" s="232" t="s">
        <v>180</v>
      </c>
      <c r="I451" s="233">
        <v>44652</v>
      </c>
      <c r="J451" s="231"/>
      <c r="K451" s="231">
        <v>0</v>
      </c>
      <c r="L451" s="231">
        <v>2</v>
      </c>
      <c r="M451" s="231">
        <v>2</v>
      </c>
      <c r="N451" s="231">
        <v>109</v>
      </c>
      <c r="O451" s="231">
        <v>109</v>
      </c>
      <c r="P451" s="234" t="s">
        <v>318</v>
      </c>
      <c r="Q451" s="232" t="s">
        <v>1437</v>
      </c>
      <c r="R451" s="234" t="s">
        <v>517</v>
      </c>
      <c r="S451" s="235">
        <v>44228</v>
      </c>
      <c r="T451" s="235">
        <v>44341</v>
      </c>
      <c r="U451" s="234"/>
      <c r="V451" s="232" t="s">
        <v>321</v>
      </c>
      <c r="W451" s="231"/>
      <c r="X451" s="232" t="s">
        <v>322</v>
      </c>
      <c r="Y451" s="232" t="s">
        <v>365</v>
      </c>
      <c r="Z451" s="232" t="s">
        <v>843</v>
      </c>
      <c r="AA451" s="232" t="s">
        <v>324</v>
      </c>
      <c r="AB451" s="236">
        <v>1.848E-2</v>
      </c>
      <c r="AC451" s="235">
        <v>44652</v>
      </c>
      <c r="AD451" s="234" t="s">
        <v>318</v>
      </c>
      <c r="AE451" s="234"/>
      <c r="AF451" s="232" t="s">
        <v>77</v>
      </c>
      <c r="AG451" s="232" t="s">
        <v>350</v>
      </c>
      <c r="AH451" s="234" t="s">
        <v>832</v>
      </c>
      <c r="AI451" s="250"/>
      <c r="AJ451" s="234">
        <v>0</v>
      </c>
      <c r="AK451" s="224"/>
      <c r="AL451" s="234">
        <v>0</v>
      </c>
      <c r="AM451" s="224"/>
      <c r="AN451" s="234">
        <v>0</v>
      </c>
      <c r="AO451" s="234">
        <v>1</v>
      </c>
      <c r="AP451" s="234">
        <v>0</v>
      </c>
      <c r="AQ451" s="234">
        <v>1</v>
      </c>
      <c r="AR451" s="234">
        <v>0</v>
      </c>
      <c r="AS451" s="234">
        <v>0</v>
      </c>
      <c r="AT451" s="234">
        <v>0</v>
      </c>
      <c r="AU451" s="234">
        <v>0</v>
      </c>
      <c r="AV451" s="234">
        <v>1</v>
      </c>
      <c r="AW451" s="234">
        <v>0</v>
      </c>
      <c r="AX451" s="234">
        <v>1</v>
      </c>
      <c r="AY451" s="234">
        <v>0</v>
      </c>
      <c r="AZ451" s="234">
        <v>0</v>
      </c>
      <c r="BA451" s="234">
        <v>0</v>
      </c>
      <c r="BB451" s="234">
        <v>0</v>
      </c>
      <c r="BC451" s="234">
        <v>0</v>
      </c>
      <c r="BD451" s="234">
        <v>0</v>
      </c>
      <c r="BE451" s="234">
        <v>0</v>
      </c>
      <c r="BF451" s="234">
        <v>0</v>
      </c>
      <c r="BG451" s="234">
        <v>0</v>
      </c>
      <c r="BH451" s="234">
        <v>0</v>
      </c>
      <c r="BI451" s="234">
        <v>0</v>
      </c>
      <c r="BJ451" s="234">
        <v>0</v>
      </c>
      <c r="BK451" s="234">
        <v>0</v>
      </c>
      <c r="BL451" s="234">
        <v>0</v>
      </c>
      <c r="BM451" s="234">
        <v>0</v>
      </c>
      <c r="BN451" s="234">
        <v>0</v>
      </c>
      <c r="BO451" s="234">
        <v>0</v>
      </c>
      <c r="BP451" s="234"/>
      <c r="BQ451" s="234"/>
      <c r="BR451" s="237" t="s">
        <v>334</v>
      </c>
      <c r="BS451" s="238">
        <v>5</v>
      </c>
      <c r="BV451" s="239">
        <f t="shared" si="38"/>
        <v>2</v>
      </c>
      <c r="CN451" s="238">
        <f t="shared" si="36"/>
        <v>2</v>
      </c>
      <c r="CO451" s="238">
        <f t="shared" si="37"/>
        <v>2</v>
      </c>
    </row>
    <row r="452" spans="1:93" ht="13.95" customHeight="1" x14ac:dyDescent="0.2">
      <c r="A452" s="231">
        <v>2502</v>
      </c>
      <c r="B452" s="232" t="s">
        <v>848</v>
      </c>
      <c r="C452" s="232" t="s">
        <v>1435</v>
      </c>
      <c r="D452" s="232" t="s">
        <v>829</v>
      </c>
      <c r="E452" s="232" t="s">
        <v>1442</v>
      </c>
      <c r="F452" s="231">
        <v>527221</v>
      </c>
      <c r="G452" s="231">
        <v>172443</v>
      </c>
      <c r="H452" s="232" t="s">
        <v>180</v>
      </c>
      <c r="I452" s="233">
        <v>44652</v>
      </c>
      <c r="J452" s="231"/>
      <c r="K452" s="231">
        <v>0</v>
      </c>
      <c r="L452" s="231">
        <v>1</v>
      </c>
      <c r="M452" s="231">
        <v>1</v>
      </c>
      <c r="N452" s="231">
        <v>109</v>
      </c>
      <c r="O452" s="231">
        <v>109</v>
      </c>
      <c r="P452" s="234" t="s">
        <v>318</v>
      </c>
      <c r="Q452" s="232" t="s">
        <v>1437</v>
      </c>
      <c r="R452" s="234" t="s">
        <v>517</v>
      </c>
      <c r="S452" s="235">
        <v>44228</v>
      </c>
      <c r="T452" s="235">
        <v>44341</v>
      </c>
      <c r="U452" s="234"/>
      <c r="V452" s="232" t="s">
        <v>321</v>
      </c>
      <c r="W452" s="231"/>
      <c r="X452" s="232" t="s">
        <v>322</v>
      </c>
      <c r="Y452" s="232" t="s">
        <v>365</v>
      </c>
      <c r="Z452" s="232" t="s">
        <v>843</v>
      </c>
      <c r="AA452" s="232" t="s">
        <v>324</v>
      </c>
      <c r="AB452" s="236">
        <v>9.2399999999999999E-3</v>
      </c>
      <c r="AC452" s="235">
        <v>44652</v>
      </c>
      <c r="AD452" s="234" t="s">
        <v>318</v>
      </c>
      <c r="AE452" s="234"/>
      <c r="AF452" s="232" t="s">
        <v>77</v>
      </c>
      <c r="AG452" s="232" t="s">
        <v>350</v>
      </c>
      <c r="AH452" s="234" t="s">
        <v>832</v>
      </c>
      <c r="AI452" s="250"/>
      <c r="AJ452" s="234">
        <v>0</v>
      </c>
      <c r="AK452" s="224"/>
      <c r="AL452" s="234">
        <v>0</v>
      </c>
      <c r="AM452" s="224"/>
      <c r="AN452" s="234">
        <v>0</v>
      </c>
      <c r="AO452" s="234">
        <v>0</v>
      </c>
      <c r="AP452" s="234">
        <v>1</v>
      </c>
      <c r="AQ452" s="234">
        <v>0</v>
      </c>
      <c r="AR452" s="234">
        <v>0</v>
      </c>
      <c r="AS452" s="234">
        <v>0</v>
      </c>
      <c r="AT452" s="234">
        <v>0</v>
      </c>
      <c r="AU452" s="234">
        <v>0</v>
      </c>
      <c r="AV452" s="234">
        <v>0</v>
      </c>
      <c r="AW452" s="234">
        <v>1</v>
      </c>
      <c r="AX452" s="234">
        <v>0</v>
      </c>
      <c r="AY452" s="234">
        <v>0</v>
      </c>
      <c r="AZ452" s="234">
        <v>0</v>
      </c>
      <c r="BA452" s="234">
        <v>0</v>
      </c>
      <c r="BB452" s="234">
        <v>0</v>
      </c>
      <c r="BC452" s="234">
        <v>0</v>
      </c>
      <c r="BD452" s="234">
        <v>0</v>
      </c>
      <c r="BE452" s="234">
        <v>0</v>
      </c>
      <c r="BF452" s="234">
        <v>0</v>
      </c>
      <c r="BG452" s="234">
        <v>0</v>
      </c>
      <c r="BH452" s="234">
        <v>0</v>
      </c>
      <c r="BI452" s="234">
        <v>0</v>
      </c>
      <c r="BJ452" s="234">
        <v>0</v>
      </c>
      <c r="BK452" s="234">
        <v>0</v>
      </c>
      <c r="BL452" s="234">
        <v>0</v>
      </c>
      <c r="BM452" s="234">
        <v>0</v>
      </c>
      <c r="BN452" s="234">
        <v>0</v>
      </c>
      <c r="BO452" s="234">
        <v>0</v>
      </c>
      <c r="BP452" s="234"/>
      <c r="BQ452" s="234"/>
      <c r="BR452" s="237" t="s">
        <v>334</v>
      </c>
      <c r="BS452" s="238">
        <v>5</v>
      </c>
      <c r="BV452" s="239">
        <f t="shared" si="38"/>
        <v>1</v>
      </c>
      <c r="CN452" s="238">
        <f t="shared" si="36"/>
        <v>1</v>
      </c>
      <c r="CO452" s="238">
        <f t="shared" si="37"/>
        <v>1</v>
      </c>
    </row>
    <row r="453" spans="1:93" ht="13.95" customHeight="1" x14ac:dyDescent="0.2">
      <c r="A453" s="231">
        <v>2502</v>
      </c>
      <c r="B453" s="232" t="s">
        <v>848</v>
      </c>
      <c r="C453" s="232" t="s">
        <v>1435</v>
      </c>
      <c r="D453" s="232" t="s">
        <v>829</v>
      </c>
      <c r="E453" s="232" t="s">
        <v>1443</v>
      </c>
      <c r="F453" s="231">
        <v>527221</v>
      </c>
      <c r="G453" s="231">
        <v>172443</v>
      </c>
      <c r="H453" s="232" t="s">
        <v>180</v>
      </c>
      <c r="I453" s="233">
        <v>44652</v>
      </c>
      <c r="J453" s="231"/>
      <c r="K453" s="231">
        <v>0</v>
      </c>
      <c r="L453" s="231">
        <v>60</v>
      </c>
      <c r="M453" s="231">
        <v>60</v>
      </c>
      <c r="N453" s="231">
        <v>109</v>
      </c>
      <c r="O453" s="231">
        <v>109</v>
      </c>
      <c r="P453" s="234" t="s">
        <v>318</v>
      </c>
      <c r="Q453" s="232" t="s">
        <v>1437</v>
      </c>
      <c r="R453" s="234" t="s">
        <v>517</v>
      </c>
      <c r="S453" s="235">
        <v>44228</v>
      </c>
      <c r="T453" s="235">
        <v>44341</v>
      </c>
      <c r="U453" s="234"/>
      <c r="V453" s="232" t="s">
        <v>321</v>
      </c>
      <c r="W453" s="231"/>
      <c r="X453" s="232" t="s">
        <v>322</v>
      </c>
      <c r="Y453" s="232" t="s">
        <v>365</v>
      </c>
      <c r="Z453" s="232" t="s">
        <v>843</v>
      </c>
      <c r="AA453" s="232" t="s">
        <v>324</v>
      </c>
      <c r="AB453" s="236">
        <v>0.5544</v>
      </c>
      <c r="AC453" s="235">
        <v>44652</v>
      </c>
      <c r="AD453" s="234" t="s">
        <v>318</v>
      </c>
      <c r="AE453" s="234"/>
      <c r="AF453" s="232" t="s">
        <v>77</v>
      </c>
      <c r="AG453" s="232" t="s">
        <v>350</v>
      </c>
      <c r="AH453" s="234" t="s">
        <v>832</v>
      </c>
      <c r="AI453" s="250"/>
      <c r="AJ453" s="234">
        <v>0</v>
      </c>
      <c r="AK453" s="224"/>
      <c r="AL453" s="234">
        <v>0</v>
      </c>
      <c r="AM453" s="224"/>
      <c r="AN453" s="234">
        <v>0</v>
      </c>
      <c r="AO453" s="234">
        <v>29</v>
      </c>
      <c r="AP453" s="234">
        <v>27</v>
      </c>
      <c r="AQ453" s="234">
        <v>4</v>
      </c>
      <c r="AR453" s="234">
        <v>0</v>
      </c>
      <c r="AS453" s="234">
        <v>0</v>
      </c>
      <c r="AT453" s="234">
        <v>0</v>
      </c>
      <c r="AU453" s="234">
        <v>0</v>
      </c>
      <c r="AV453" s="234">
        <v>29</v>
      </c>
      <c r="AW453" s="234">
        <v>27</v>
      </c>
      <c r="AX453" s="234">
        <v>4</v>
      </c>
      <c r="AY453" s="234">
        <v>0</v>
      </c>
      <c r="AZ453" s="234">
        <v>0</v>
      </c>
      <c r="BA453" s="234">
        <v>0</v>
      </c>
      <c r="BB453" s="234">
        <v>0</v>
      </c>
      <c r="BC453" s="234">
        <v>0</v>
      </c>
      <c r="BD453" s="234">
        <v>0</v>
      </c>
      <c r="BE453" s="234">
        <v>0</v>
      </c>
      <c r="BF453" s="234">
        <v>0</v>
      </c>
      <c r="BG453" s="234">
        <v>0</v>
      </c>
      <c r="BH453" s="234">
        <v>0</v>
      </c>
      <c r="BI453" s="234">
        <v>0</v>
      </c>
      <c r="BJ453" s="234">
        <v>0</v>
      </c>
      <c r="BK453" s="234">
        <v>0</v>
      </c>
      <c r="BL453" s="234">
        <v>0</v>
      </c>
      <c r="BM453" s="234">
        <v>0</v>
      </c>
      <c r="BN453" s="234">
        <v>0</v>
      </c>
      <c r="BO453" s="234">
        <v>0</v>
      </c>
      <c r="BP453" s="234"/>
      <c r="BQ453" s="234"/>
      <c r="BR453" s="237" t="s">
        <v>334</v>
      </c>
      <c r="BS453" s="238">
        <v>5</v>
      </c>
      <c r="BV453" s="239">
        <f t="shared" si="38"/>
        <v>60</v>
      </c>
      <c r="CN453" s="238">
        <f t="shared" si="36"/>
        <v>60</v>
      </c>
      <c r="CO453" s="238">
        <f t="shared" si="37"/>
        <v>60</v>
      </c>
    </row>
    <row r="454" spans="1:93" ht="13.95" customHeight="1" x14ac:dyDescent="0.2">
      <c r="A454" s="231">
        <v>3943</v>
      </c>
      <c r="B454" s="232" t="s">
        <v>848</v>
      </c>
      <c r="C454" s="232" t="s">
        <v>1444</v>
      </c>
      <c r="D454" s="232" t="s">
        <v>466</v>
      </c>
      <c r="E454" s="232" t="s">
        <v>1445</v>
      </c>
      <c r="F454" s="231">
        <v>529575</v>
      </c>
      <c r="G454" s="231">
        <v>177401</v>
      </c>
      <c r="H454" s="232" t="s">
        <v>168</v>
      </c>
      <c r="I454" s="233">
        <v>44838</v>
      </c>
      <c r="J454" s="231"/>
      <c r="K454" s="231">
        <v>0</v>
      </c>
      <c r="L454" s="231">
        <v>90</v>
      </c>
      <c r="M454" s="231">
        <v>90</v>
      </c>
      <c r="N454" s="231">
        <v>297</v>
      </c>
      <c r="O454" s="231">
        <v>297</v>
      </c>
      <c r="P454" s="234" t="s">
        <v>318</v>
      </c>
      <c r="Q454" s="232" t="s">
        <v>1446</v>
      </c>
      <c r="R454" s="234" t="s">
        <v>517</v>
      </c>
      <c r="S454" s="235">
        <v>43613</v>
      </c>
      <c r="T454" s="235">
        <v>44375</v>
      </c>
      <c r="U454" s="234"/>
      <c r="V454" s="232" t="s">
        <v>321</v>
      </c>
      <c r="W454" s="231"/>
      <c r="X454" s="232" t="s">
        <v>322</v>
      </c>
      <c r="Y454" s="232" t="s">
        <v>323</v>
      </c>
      <c r="Z454" s="232" t="s">
        <v>323</v>
      </c>
      <c r="AA454" s="232" t="s">
        <v>324</v>
      </c>
      <c r="AB454" s="236">
        <v>0.9777576</v>
      </c>
      <c r="AC454" s="235">
        <v>44838</v>
      </c>
      <c r="AD454" s="234" t="s">
        <v>318</v>
      </c>
      <c r="AE454" s="234"/>
      <c r="AF454" s="232" t="s">
        <v>77</v>
      </c>
      <c r="AG454" s="232" t="s">
        <v>350</v>
      </c>
      <c r="AH454" s="234" t="s">
        <v>471</v>
      </c>
      <c r="AI454" s="250"/>
      <c r="AJ454" s="234">
        <v>0</v>
      </c>
      <c r="AK454" s="234">
        <v>81</v>
      </c>
      <c r="AL454" s="234">
        <v>0</v>
      </c>
      <c r="AM454" s="234">
        <v>9</v>
      </c>
      <c r="AN454" s="234">
        <v>8</v>
      </c>
      <c r="AO454" s="234">
        <v>30</v>
      </c>
      <c r="AP454" s="234">
        <v>33</v>
      </c>
      <c r="AQ454" s="234">
        <v>19</v>
      </c>
      <c r="AR454" s="234">
        <v>0</v>
      </c>
      <c r="AS454" s="234">
        <v>0</v>
      </c>
      <c r="AT454" s="234">
        <v>0</v>
      </c>
      <c r="AU454" s="234">
        <v>8</v>
      </c>
      <c r="AV454" s="234">
        <v>30</v>
      </c>
      <c r="AW454" s="234">
        <v>33</v>
      </c>
      <c r="AX454" s="234">
        <v>19</v>
      </c>
      <c r="AY454" s="234">
        <v>0</v>
      </c>
      <c r="AZ454" s="234">
        <v>0</v>
      </c>
      <c r="BA454" s="234">
        <v>0</v>
      </c>
      <c r="BB454" s="234">
        <v>0</v>
      </c>
      <c r="BC454" s="234">
        <v>0</v>
      </c>
      <c r="BD454" s="234">
        <v>0</v>
      </c>
      <c r="BE454" s="234">
        <v>0</v>
      </c>
      <c r="BF454" s="234">
        <v>0</v>
      </c>
      <c r="BG454" s="234">
        <v>0</v>
      </c>
      <c r="BH454" s="234">
        <v>0</v>
      </c>
      <c r="BI454" s="234">
        <v>0</v>
      </c>
      <c r="BJ454" s="234">
        <v>0</v>
      </c>
      <c r="BK454" s="234">
        <v>0</v>
      </c>
      <c r="BL454" s="234">
        <v>0</v>
      </c>
      <c r="BM454" s="234">
        <v>0</v>
      </c>
      <c r="BN454" s="234">
        <v>0</v>
      </c>
      <c r="BO454" s="234">
        <v>0</v>
      </c>
      <c r="BP454" s="234"/>
      <c r="BQ454" s="234" t="s">
        <v>318</v>
      </c>
      <c r="BR454" s="237" t="s">
        <v>151</v>
      </c>
      <c r="BS454" s="238">
        <v>5</v>
      </c>
      <c r="BV454" s="239">
        <f t="shared" si="38"/>
        <v>90</v>
      </c>
      <c r="CN454" s="238">
        <f t="shared" si="36"/>
        <v>90</v>
      </c>
      <c r="CO454" s="238">
        <f t="shared" si="37"/>
        <v>90</v>
      </c>
    </row>
    <row r="455" spans="1:93" ht="13.95" customHeight="1" x14ac:dyDescent="0.2">
      <c r="A455" s="231">
        <v>3943</v>
      </c>
      <c r="B455" s="232" t="s">
        <v>848</v>
      </c>
      <c r="C455" s="232" t="s">
        <v>1444</v>
      </c>
      <c r="D455" s="232" t="s">
        <v>466</v>
      </c>
      <c r="E455" s="232" t="s">
        <v>1447</v>
      </c>
      <c r="F455" s="231">
        <v>529575</v>
      </c>
      <c r="G455" s="231">
        <v>177401</v>
      </c>
      <c r="H455" s="232" t="s">
        <v>168</v>
      </c>
      <c r="I455" s="233">
        <v>44838</v>
      </c>
      <c r="J455" s="231"/>
      <c r="K455" s="231">
        <v>0</v>
      </c>
      <c r="L455" s="231">
        <v>73</v>
      </c>
      <c r="M455" s="231">
        <v>73</v>
      </c>
      <c r="N455" s="231">
        <v>297</v>
      </c>
      <c r="O455" s="231">
        <v>297</v>
      </c>
      <c r="P455" s="234" t="s">
        <v>318</v>
      </c>
      <c r="Q455" s="232" t="s">
        <v>1446</v>
      </c>
      <c r="R455" s="234" t="s">
        <v>517</v>
      </c>
      <c r="S455" s="235">
        <v>43613</v>
      </c>
      <c r="T455" s="235">
        <v>44375</v>
      </c>
      <c r="U455" s="234"/>
      <c r="V455" s="232" t="s">
        <v>321</v>
      </c>
      <c r="W455" s="231"/>
      <c r="X455" s="232" t="s">
        <v>322</v>
      </c>
      <c r="Y455" s="232" t="s">
        <v>323</v>
      </c>
      <c r="Z455" s="232" t="s">
        <v>323</v>
      </c>
      <c r="AA455" s="232" t="s">
        <v>324</v>
      </c>
      <c r="AB455" s="236">
        <v>0.79307000000000005</v>
      </c>
      <c r="AC455" s="235">
        <v>44838</v>
      </c>
      <c r="AD455" s="234" t="s">
        <v>318</v>
      </c>
      <c r="AE455" s="234"/>
      <c r="AF455" s="232" t="s">
        <v>77</v>
      </c>
      <c r="AG455" s="232" t="s">
        <v>350</v>
      </c>
      <c r="AH455" s="234" t="s">
        <v>471</v>
      </c>
      <c r="AI455" s="250"/>
      <c r="AJ455" s="234">
        <v>0</v>
      </c>
      <c r="AK455" s="234">
        <v>66</v>
      </c>
      <c r="AL455" s="234">
        <v>0</v>
      </c>
      <c r="AM455" s="234">
        <v>7</v>
      </c>
      <c r="AN455" s="234">
        <v>3</v>
      </c>
      <c r="AO455" s="234">
        <v>17</v>
      </c>
      <c r="AP455" s="234">
        <v>44</v>
      </c>
      <c r="AQ455" s="234">
        <v>9</v>
      </c>
      <c r="AR455" s="234">
        <v>0</v>
      </c>
      <c r="AS455" s="234">
        <v>0</v>
      </c>
      <c r="AT455" s="234">
        <v>0</v>
      </c>
      <c r="AU455" s="234">
        <v>3</v>
      </c>
      <c r="AV455" s="234">
        <v>17</v>
      </c>
      <c r="AW455" s="234">
        <v>44</v>
      </c>
      <c r="AX455" s="234">
        <v>9</v>
      </c>
      <c r="AY455" s="234">
        <v>0</v>
      </c>
      <c r="AZ455" s="234">
        <v>0</v>
      </c>
      <c r="BA455" s="234">
        <v>0</v>
      </c>
      <c r="BB455" s="234">
        <v>0</v>
      </c>
      <c r="BC455" s="234">
        <v>0</v>
      </c>
      <c r="BD455" s="234">
        <v>0</v>
      </c>
      <c r="BE455" s="234">
        <v>0</v>
      </c>
      <c r="BF455" s="234">
        <v>0</v>
      </c>
      <c r="BG455" s="234">
        <v>0</v>
      </c>
      <c r="BH455" s="234">
        <v>0</v>
      </c>
      <c r="BI455" s="234">
        <v>0</v>
      </c>
      <c r="BJ455" s="234">
        <v>0</v>
      </c>
      <c r="BK455" s="234">
        <v>0</v>
      </c>
      <c r="BL455" s="234">
        <v>0</v>
      </c>
      <c r="BM455" s="234">
        <v>0</v>
      </c>
      <c r="BN455" s="234">
        <v>0</v>
      </c>
      <c r="BO455" s="234">
        <v>0</v>
      </c>
      <c r="BP455" s="234"/>
      <c r="BQ455" s="234" t="s">
        <v>318</v>
      </c>
      <c r="BR455" s="237" t="s">
        <v>151</v>
      </c>
      <c r="BS455" s="238">
        <v>5</v>
      </c>
      <c r="BV455" s="239">
        <f t="shared" si="38"/>
        <v>73</v>
      </c>
      <c r="CN455" s="238">
        <f t="shared" si="36"/>
        <v>73</v>
      </c>
      <c r="CO455" s="238">
        <f t="shared" si="37"/>
        <v>73</v>
      </c>
    </row>
    <row r="456" spans="1:93" ht="13.95" customHeight="1" x14ac:dyDescent="0.2">
      <c r="A456" s="231">
        <v>3943</v>
      </c>
      <c r="B456" s="232" t="s">
        <v>848</v>
      </c>
      <c r="C456" s="232" t="s">
        <v>1444</v>
      </c>
      <c r="D456" s="232" t="s">
        <v>466</v>
      </c>
      <c r="E456" s="232" t="s">
        <v>1448</v>
      </c>
      <c r="F456" s="231">
        <v>529575</v>
      </c>
      <c r="G456" s="231">
        <v>177401</v>
      </c>
      <c r="H456" s="232" t="s">
        <v>168</v>
      </c>
      <c r="I456" s="233">
        <v>44838</v>
      </c>
      <c r="J456" s="231"/>
      <c r="K456" s="231">
        <v>0</v>
      </c>
      <c r="L456" s="231">
        <v>77</v>
      </c>
      <c r="M456" s="231">
        <v>77</v>
      </c>
      <c r="N456" s="231">
        <v>297</v>
      </c>
      <c r="O456" s="231">
        <v>297</v>
      </c>
      <c r="P456" s="234" t="s">
        <v>318</v>
      </c>
      <c r="Q456" s="232" t="s">
        <v>1446</v>
      </c>
      <c r="R456" s="234" t="s">
        <v>517</v>
      </c>
      <c r="S456" s="235">
        <v>43613</v>
      </c>
      <c r="T456" s="235">
        <v>44375</v>
      </c>
      <c r="U456" s="234"/>
      <c r="V456" s="232" t="s">
        <v>321</v>
      </c>
      <c r="W456" s="231"/>
      <c r="X456" s="232" t="s">
        <v>322</v>
      </c>
      <c r="Y456" s="232" t="s">
        <v>323</v>
      </c>
      <c r="Z456" s="232" t="s">
        <v>323</v>
      </c>
      <c r="AA456" s="232" t="s">
        <v>324</v>
      </c>
      <c r="AB456" s="236">
        <v>0.83652590000000004</v>
      </c>
      <c r="AC456" s="235">
        <v>44838</v>
      </c>
      <c r="AD456" s="234" t="s">
        <v>318</v>
      </c>
      <c r="AE456" s="234"/>
      <c r="AF456" s="232" t="s">
        <v>77</v>
      </c>
      <c r="AG456" s="232" t="s">
        <v>350</v>
      </c>
      <c r="AH456" s="234" t="s">
        <v>471</v>
      </c>
      <c r="AI456" s="250"/>
      <c r="AJ456" s="234">
        <v>0</v>
      </c>
      <c r="AK456" s="234">
        <v>69</v>
      </c>
      <c r="AL456" s="234">
        <v>0</v>
      </c>
      <c r="AM456" s="234">
        <v>8</v>
      </c>
      <c r="AN456" s="234">
        <v>1</v>
      </c>
      <c r="AO456" s="234">
        <v>32</v>
      </c>
      <c r="AP456" s="234">
        <v>39</v>
      </c>
      <c r="AQ456" s="234">
        <v>5</v>
      </c>
      <c r="AR456" s="234">
        <v>0</v>
      </c>
      <c r="AS456" s="234">
        <v>0</v>
      </c>
      <c r="AT456" s="234">
        <v>0</v>
      </c>
      <c r="AU456" s="234">
        <v>1</v>
      </c>
      <c r="AV456" s="234">
        <v>32</v>
      </c>
      <c r="AW456" s="234">
        <v>39</v>
      </c>
      <c r="AX456" s="234">
        <v>5</v>
      </c>
      <c r="AY456" s="234">
        <v>0</v>
      </c>
      <c r="AZ456" s="234">
        <v>0</v>
      </c>
      <c r="BA456" s="234">
        <v>0</v>
      </c>
      <c r="BB456" s="234">
        <v>0</v>
      </c>
      <c r="BC456" s="234">
        <v>0</v>
      </c>
      <c r="BD456" s="234">
        <v>0</v>
      </c>
      <c r="BE456" s="234">
        <v>0</v>
      </c>
      <c r="BF456" s="234">
        <v>0</v>
      </c>
      <c r="BG456" s="234">
        <v>0</v>
      </c>
      <c r="BH456" s="234">
        <v>0</v>
      </c>
      <c r="BI456" s="234">
        <v>0</v>
      </c>
      <c r="BJ456" s="234">
        <v>0</v>
      </c>
      <c r="BK456" s="234">
        <v>0</v>
      </c>
      <c r="BL456" s="234">
        <v>0</v>
      </c>
      <c r="BM456" s="234">
        <v>0</v>
      </c>
      <c r="BN456" s="234">
        <v>0</v>
      </c>
      <c r="BO456" s="234">
        <v>0</v>
      </c>
      <c r="BP456" s="234"/>
      <c r="BQ456" s="234" t="s">
        <v>318</v>
      </c>
      <c r="BR456" s="237" t="s">
        <v>151</v>
      </c>
      <c r="BS456" s="238">
        <v>5</v>
      </c>
      <c r="BV456" s="239">
        <f t="shared" si="38"/>
        <v>77</v>
      </c>
      <c r="CN456" s="238">
        <f t="shared" si="36"/>
        <v>77</v>
      </c>
      <c r="CO456" s="238">
        <f t="shared" si="37"/>
        <v>77</v>
      </c>
    </row>
    <row r="457" spans="1:93" ht="13.95" customHeight="1" x14ac:dyDescent="0.2">
      <c r="A457" s="231">
        <v>3943</v>
      </c>
      <c r="B457" s="232" t="s">
        <v>848</v>
      </c>
      <c r="C457" s="232" t="s">
        <v>1444</v>
      </c>
      <c r="D457" s="232" t="s">
        <v>466</v>
      </c>
      <c r="E457" s="232" t="s">
        <v>1449</v>
      </c>
      <c r="F457" s="231">
        <v>529575</v>
      </c>
      <c r="G457" s="231">
        <v>177401</v>
      </c>
      <c r="H457" s="232" t="s">
        <v>168</v>
      </c>
      <c r="I457" s="233">
        <v>44838</v>
      </c>
      <c r="J457" s="231"/>
      <c r="K457" s="231">
        <v>0</v>
      </c>
      <c r="L457" s="231">
        <v>57</v>
      </c>
      <c r="M457" s="231">
        <v>57</v>
      </c>
      <c r="N457" s="231">
        <v>297</v>
      </c>
      <c r="O457" s="231">
        <v>297</v>
      </c>
      <c r="P457" s="234" t="s">
        <v>318</v>
      </c>
      <c r="Q457" s="232" t="s">
        <v>1446</v>
      </c>
      <c r="R457" s="234" t="s">
        <v>517</v>
      </c>
      <c r="S457" s="235">
        <v>43613</v>
      </c>
      <c r="T457" s="235">
        <v>44375</v>
      </c>
      <c r="U457" s="234"/>
      <c r="V457" s="232" t="s">
        <v>321</v>
      </c>
      <c r="W457" s="231"/>
      <c r="X457" s="232" t="s">
        <v>322</v>
      </c>
      <c r="Y457" s="232" t="s">
        <v>323</v>
      </c>
      <c r="Z457" s="232" t="s">
        <v>323</v>
      </c>
      <c r="AA457" s="232" t="s">
        <v>324</v>
      </c>
      <c r="AB457" s="236">
        <v>0.61924650000000003</v>
      </c>
      <c r="AC457" s="235">
        <v>44838</v>
      </c>
      <c r="AD457" s="234" t="s">
        <v>318</v>
      </c>
      <c r="AE457" s="234"/>
      <c r="AF457" s="232" t="s">
        <v>57</v>
      </c>
      <c r="AG457" s="232" t="s">
        <v>470</v>
      </c>
      <c r="AH457" s="234" t="s">
        <v>471</v>
      </c>
      <c r="AI457" s="250"/>
      <c r="AJ457" s="234">
        <v>0</v>
      </c>
      <c r="AK457" s="234">
        <v>51</v>
      </c>
      <c r="AL457" s="234">
        <v>0</v>
      </c>
      <c r="AM457" s="234">
        <v>6</v>
      </c>
      <c r="AN457" s="234">
        <v>0</v>
      </c>
      <c r="AO457" s="234">
        <v>8</v>
      </c>
      <c r="AP457" s="234">
        <v>31</v>
      </c>
      <c r="AQ457" s="234">
        <v>15</v>
      </c>
      <c r="AR457" s="234">
        <v>3</v>
      </c>
      <c r="AS457" s="234">
        <v>0</v>
      </c>
      <c r="AT457" s="234">
        <v>0</v>
      </c>
      <c r="AU457" s="234">
        <v>0</v>
      </c>
      <c r="AV457" s="234">
        <v>8</v>
      </c>
      <c r="AW457" s="234">
        <v>31</v>
      </c>
      <c r="AX457" s="234">
        <v>15</v>
      </c>
      <c r="AY457" s="234">
        <v>3</v>
      </c>
      <c r="AZ457" s="234">
        <v>0</v>
      </c>
      <c r="BA457" s="234">
        <v>0</v>
      </c>
      <c r="BB457" s="234">
        <v>0</v>
      </c>
      <c r="BC457" s="234">
        <v>0</v>
      </c>
      <c r="BD457" s="234">
        <v>0</v>
      </c>
      <c r="BE457" s="234">
        <v>0</v>
      </c>
      <c r="BF457" s="234">
        <v>0</v>
      </c>
      <c r="BG457" s="234">
        <v>0</v>
      </c>
      <c r="BH457" s="234">
        <v>0</v>
      </c>
      <c r="BI457" s="234">
        <v>0</v>
      </c>
      <c r="BJ457" s="234">
        <v>0</v>
      </c>
      <c r="BK457" s="234">
        <v>0</v>
      </c>
      <c r="BL457" s="234">
        <v>0</v>
      </c>
      <c r="BM457" s="234">
        <v>0</v>
      </c>
      <c r="BN457" s="234">
        <v>0</v>
      </c>
      <c r="BO457" s="234">
        <v>0</v>
      </c>
      <c r="BP457" s="234"/>
      <c r="BQ457" s="234" t="s">
        <v>318</v>
      </c>
      <c r="BR457" s="237" t="s">
        <v>151</v>
      </c>
      <c r="BS457" s="238">
        <v>5</v>
      </c>
      <c r="BV457" s="239">
        <f t="shared" si="38"/>
        <v>57</v>
      </c>
      <c r="CN457" s="238">
        <f t="shared" si="36"/>
        <v>57</v>
      </c>
      <c r="CO457" s="238">
        <f t="shared" si="37"/>
        <v>57</v>
      </c>
    </row>
    <row r="458" spans="1:93" ht="13.95" customHeight="1" x14ac:dyDescent="0.2">
      <c r="A458" s="231">
        <v>3943</v>
      </c>
      <c r="B458" s="232" t="s">
        <v>848</v>
      </c>
      <c r="C458" s="232" t="s">
        <v>1450</v>
      </c>
      <c r="D458" s="232" t="s">
        <v>466</v>
      </c>
      <c r="E458" s="232" t="s">
        <v>1451</v>
      </c>
      <c r="F458" s="231">
        <v>529575</v>
      </c>
      <c r="G458" s="231">
        <v>177401</v>
      </c>
      <c r="H458" s="232" t="s">
        <v>168</v>
      </c>
      <c r="I458" s="233">
        <v>44838</v>
      </c>
      <c r="J458" s="231"/>
      <c r="K458" s="231">
        <v>0</v>
      </c>
      <c r="L458" s="231">
        <v>197</v>
      </c>
      <c r="M458" s="231">
        <v>197</v>
      </c>
      <c r="N458" s="231">
        <v>383</v>
      </c>
      <c r="O458" s="231">
        <v>383</v>
      </c>
      <c r="P458" s="234" t="s">
        <v>318</v>
      </c>
      <c r="Q458" s="232" t="s">
        <v>1452</v>
      </c>
      <c r="R458" s="234" t="s">
        <v>517</v>
      </c>
      <c r="S458" s="235">
        <v>44365</v>
      </c>
      <c r="T458" s="235">
        <v>44410</v>
      </c>
      <c r="U458" s="234"/>
      <c r="V458" s="232" t="s">
        <v>321</v>
      </c>
      <c r="W458" s="231"/>
      <c r="X458" s="232" t="s">
        <v>322</v>
      </c>
      <c r="Y458" s="232" t="s">
        <v>338</v>
      </c>
      <c r="Z458" s="232" t="s">
        <v>323</v>
      </c>
      <c r="AA458" s="232" t="s">
        <v>324</v>
      </c>
      <c r="AB458" s="236">
        <v>2.57</v>
      </c>
      <c r="AC458" s="235">
        <v>44838</v>
      </c>
      <c r="AD458" s="234" t="s">
        <v>318</v>
      </c>
      <c r="AE458" s="234"/>
      <c r="AF458" s="232" t="s">
        <v>77</v>
      </c>
      <c r="AG458" s="232" t="s">
        <v>350</v>
      </c>
      <c r="AH458" s="234" t="s">
        <v>471</v>
      </c>
      <c r="AI458" s="250"/>
      <c r="AJ458" s="234">
        <v>0</v>
      </c>
      <c r="AK458" s="234">
        <v>177</v>
      </c>
      <c r="AL458" s="234">
        <v>0</v>
      </c>
      <c r="AM458" s="234">
        <v>20</v>
      </c>
      <c r="AN458" s="234">
        <v>9</v>
      </c>
      <c r="AO458" s="234">
        <v>43</v>
      </c>
      <c r="AP458" s="234">
        <v>110</v>
      </c>
      <c r="AQ458" s="234">
        <v>35</v>
      </c>
      <c r="AR458" s="234">
        <v>0</v>
      </c>
      <c r="AS458" s="234">
        <v>0</v>
      </c>
      <c r="AT458" s="234">
        <v>0</v>
      </c>
      <c r="AU458" s="234">
        <v>9</v>
      </c>
      <c r="AV458" s="234">
        <v>43</v>
      </c>
      <c r="AW458" s="234">
        <v>110</v>
      </c>
      <c r="AX458" s="234">
        <v>35</v>
      </c>
      <c r="AY458" s="234">
        <v>0</v>
      </c>
      <c r="AZ458" s="234">
        <v>0</v>
      </c>
      <c r="BA458" s="234">
        <v>0</v>
      </c>
      <c r="BB458" s="234">
        <v>0</v>
      </c>
      <c r="BC458" s="234">
        <v>0</v>
      </c>
      <c r="BD458" s="234">
        <v>0</v>
      </c>
      <c r="BE458" s="234">
        <v>0</v>
      </c>
      <c r="BF458" s="234">
        <v>0</v>
      </c>
      <c r="BG458" s="234">
        <v>0</v>
      </c>
      <c r="BH458" s="234">
        <v>0</v>
      </c>
      <c r="BI458" s="234">
        <v>0</v>
      </c>
      <c r="BJ458" s="234">
        <v>0</v>
      </c>
      <c r="BK458" s="234">
        <v>0</v>
      </c>
      <c r="BL458" s="234">
        <v>0</v>
      </c>
      <c r="BM458" s="234">
        <v>0</v>
      </c>
      <c r="BN458" s="234">
        <v>0</v>
      </c>
      <c r="BO458" s="234">
        <v>0</v>
      </c>
      <c r="BP458" s="234"/>
      <c r="BQ458" s="234" t="s">
        <v>318</v>
      </c>
      <c r="BR458" s="237" t="s">
        <v>151</v>
      </c>
      <c r="BS458" s="238">
        <v>5</v>
      </c>
      <c r="BV458" s="239">
        <f t="shared" si="38"/>
        <v>197</v>
      </c>
      <c r="CN458" s="238">
        <f t="shared" si="36"/>
        <v>197</v>
      </c>
      <c r="CO458" s="238">
        <f t="shared" si="37"/>
        <v>197</v>
      </c>
    </row>
    <row r="459" spans="1:93" ht="13.95" customHeight="1" x14ac:dyDescent="0.2">
      <c r="A459" s="231">
        <v>3943</v>
      </c>
      <c r="B459" s="232" t="s">
        <v>848</v>
      </c>
      <c r="C459" s="232" t="s">
        <v>1453</v>
      </c>
      <c r="D459" s="232" t="s">
        <v>466</v>
      </c>
      <c r="E459" s="232" t="s">
        <v>1451</v>
      </c>
      <c r="F459" s="231">
        <v>529575</v>
      </c>
      <c r="G459" s="231">
        <v>177401</v>
      </c>
      <c r="H459" s="232" t="s">
        <v>168</v>
      </c>
      <c r="I459" s="233">
        <v>44838</v>
      </c>
      <c r="J459" s="231"/>
      <c r="K459" s="231">
        <v>0</v>
      </c>
      <c r="L459" s="231">
        <v>46</v>
      </c>
      <c r="M459" s="231">
        <v>46</v>
      </c>
      <c r="N459" s="231">
        <v>459</v>
      </c>
      <c r="O459" s="231">
        <v>459</v>
      </c>
      <c r="P459" s="234" t="s">
        <v>318</v>
      </c>
      <c r="Q459" s="232" t="s">
        <v>1454</v>
      </c>
      <c r="R459" s="234" t="s">
        <v>517</v>
      </c>
      <c r="S459" s="235">
        <v>43613</v>
      </c>
      <c r="T459" s="235">
        <v>44338</v>
      </c>
      <c r="U459" s="234"/>
      <c r="V459" s="232" t="s">
        <v>321</v>
      </c>
      <c r="W459" s="231"/>
      <c r="X459" s="232" t="s">
        <v>322</v>
      </c>
      <c r="Y459" s="232" t="s">
        <v>323</v>
      </c>
      <c r="Z459" s="232" t="s">
        <v>323</v>
      </c>
      <c r="AA459" s="232" t="s">
        <v>324</v>
      </c>
      <c r="AB459" s="236">
        <v>0.6</v>
      </c>
      <c r="AC459" s="235">
        <v>44838</v>
      </c>
      <c r="AD459" s="234" t="s">
        <v>318</v>
      </c>
      <c r="AE459" s="234"/>
      <c r="AF459" s="232" t="s">
        <v>57</v>
      </c>
      <c r="AG459" s="232" t="s">
        <v>470</v>
      </c>
      <c r="AH459" s="234" t="s">
        <v>471</v>
      </c>
      <c r="AI459" s="250"/>
      <c r="AJ459" s="234">
        <v>0</v>
      </c>
      <c r="AK459" s="234">
        <v>41</v>
      </c>
      <c r="AL459" s="234">
        <v>0</v>
      </c>
      <c r="AM459" s="234">
        <v>5</v>
      </c>
      <c r="AN459" s="234">
        <v>0</v>
      </c>
      <c r="AO459" s="234">
        <v>12</v>
      </c>
      <c r="AP459" s="234">
        <v>18</v>
      </c>
      <c r="AQ459" s="234">
        <v>14</v>
      </c>
      <c r="AR459" s="234">
        <v>2</v>
      </c>
      <c r="AS459" s="234">
        <v>0</v>
      </c>
      <c r="AT459" s="234">
        <v>0</v>
      </c>
      <c r="AU459" s="234">
        <v>0</v>
      </c>
      <c r="AV459" s="234">
        <v>12</v>
      </c>
      <c r="AW459" s="234">
        <v>18</v>
      </c>
      <c r="AX459" s="234">
        <v>14</v>
      </c>
      <c r="AY459" s="234">
        <v>2</v>
      </c>
      <c r="AZ459" s="234">
        <v>0</v>
      </c>
      <c r="BA459" s="234">
        <v>0</v>
      </c>
      <c r="BB459" s="234">
        <v>0</v>
      </c>
      <c r="BC459" s="234">
        <v>0</v>
      </c>
      <c r="BD459" s="234">
        <v>0</v>
      </c>
      <c r="BE459" s="234">
        <v>0</v>
      </c>
      <c r="BF459" s="234">
        <v>0</v>
      </c>
      <c r="BG459" s="234">
        <v>0</v>
      </c>
      <c r="BH459" s="234">
        <v>0</v>
      </c>
      <c r="BI459" s="234">
        <v>0</v>
      </c>
      <c r="BJ459" s="234">
        <v>0</v>
      </c>
      <c r="BK459" s="234">
        <v>0</v>
      </c>
      <c r="BL459" s="234">
        <v>0</v>
      </c>
      <c r="BM459" s="234">
        <v>0</v>
      </c>
      <c r="BN459" s="234">
        <v>0</v>
      </c>
      <c r="BO459" s="234">
        <v>0</v>
      </c>
      <c r="BP459" s="234"/>
      <c r="BQ459" s="234" t="s">
        <v>318</v>
      </c>
      <c r="BR459" s="237" t="s">
        <v>151</v>
      </c>
      <c r="BS459" s="238">
        <v>5</v>
      </c>
      <c r="BV459" s="239">
        <f t="shared" si="38"/>
        <v>46</v>
      </c>
      <c r="CN459" s="238">
        <f t="shared" si="36"/>
        <v>46</v>
      </c>
      <c r="CO459" s="238">
        <f t="shared" si="37"/>
        <v>46</v>
      </c>
    </row>
    <row r="460" spans="1:93" ht="13.95" customHeight="1" x14ac:dyDescent="0.2">
      <c r="A460" s="231">
        <v>3943</v>
      </c>
      <c r="B460" s="232" t="s">
        <v>848</v>
      </c>
      <c r="C460" s="232" t="s">
        <v>1453</v>
      </c>
      <c r="D460" s="232" t="s">
        <v>466</v>
      </c>
      <c r="E460" s="232" t="s">
        <v>1451</v>
      </c>
      <c r="F460" s="231">
        <v>529575</v>
      </c>
      <c r="G460" s="231">
        <v>177401</v>
      </c>
      <c r="H460" s="232" t="s">
        <v>168</v>
      </c>
      <c r="I460" s="233">
        <v>44838</v>
      </c>
      <c r="J460" s="231"/>
      <c r="K460" s="231">
        <v>0</v>
      </c>
      <c r="L460" s="231">
        <v>30</v>
      </c>
      <c r="M460" s="231">
        <v>30</v>
      </c>
      <c r="N460" s="231">
        <v>459</v>
      </c>
      <c r="O460" s="231">
        <v>459</v>
      </c>
      <c r="P460" s="234" t="s">
        <v>318</v>
      </c>
      <c r="Q460" s="232" t="s">
        <v>1454</v>
      </c>
      <c r="R460" s="234" t="s">
        <v>517</v>
      </c>
      <c r="S460" s="235">
        <v>43613</v>
      </c>
      <c r="T460" s="235">
        <v>44338</v>
      </c>
      <c r="U460" s="234"/>
      <c r="V460" s="232" t="s">
        <v>321</v>
      </c>
      <c r="W460" s="231"/>
      <c r="X460" s="232" t="s">
        <v>322</v>
      </c>
      <c r="Y460" s="232" t="s">
        <v>323</v>
      </c>
      <c r="Z460" s="232" t="s">
        <v>323</v>
      </c>
      <c r="AA460" s="232" t="s">
        <v>324</v>
      </c>
      <c r="AB460" s="236">
        <v>0.39129999999999998</v>
      </c>
      <c r="AC460" s="235">
        <v>44838</v>
      </c>
      <c r="AD460" s="234" t="s">
        <v>318</v>
      </c>
      <c r="AE460" s="234"/>
      <c r="AF460" s="232" t="s">
        <v>56</v>
      </c>
      <c r="AG460" s="232" t="s">
        <v>1355</v>
      </c>
      <c r="AH460" s="234" t="s">
        <v>471</v>
      </c>
      <c r="AI460" s="250"/>
      <c r="AJ460" s="234">
        <v>0</v>
      </c>
      <c r="AK460" s="234">
        <v>27</v>
      </c>
      <c r="AL460" s="234">
        <v>0</v>
      </c>
      <c r="AM460" s="234">
        <v>3</v>
      </c>
      <c r="AN460" s="234">
        <v>0</v>
      </c>
      <c r="AO460" s="234">
        <v>13</v>
      </c>
      <c r="AP460" s="234">
        <v>17</v>
      </c>
      <c r="AQ460" s="234">
        <v>0</v>
      </c>
      <c r="AR460" s="234">
        <v>0</v>
      </c>
      <c r="AS460" s="234">
        <v>0</v>
      </c>
      <c r="AT460" s="234">
        <v>0</v>
      </c>
      <c r="AU460" s="234">
        <v>0</v>
      </c>
      <c r="AV460" s="234">
        <v>13</v>
      </c>
      <c r="AW460" s="234">
        <v>17</v>
      </c>
      <c r="AX460" s="234">
        <v>0</v>
      </c>
      <c r="AY460" s="234">
        <v>0</v>
      </c>
      <c r="AZ460" s="234">
        <v>0</v>
      </c>
      <c r="BA460" s="234">
        <v>0</v>
      </c>
      <c r="BB460" s="234">
        <v>0</v>
      </c>
      <c r="BC460" s="234">
        <v>0</v>
      </c>
      <c r="BD460" s="234">
        <v>0</v>
      </c>
      <c r="BE460" s="234">
        <v>0</v>
      </c>
      <c r="BF460" s="234">
        <v>0</v>
      </c>
      <c r="BG460" s="234">
        <v>0</v>
      </c>
      <c r="BH460" s="234">
        <v>0</v>
      </c>
      <c r="BI460" s="234">
        <v>0</v>
      </c>
      <c r="BJ460" s="234">
        <v>0</v>
      </c>
      <c r="BK460" s="234">
        <v>0</v>
      </c>
      <c r="BL460" s="234">
        <v>0</v>
      </c>
      <c r="BM460" s="234">
        <v>0</v>
      </c>
      <c r="BN460" s="234">
        <v>0</v>
      </c>
      <c r="BO460" s="234">
        <v>0</v>
      </c>
      <c r="BP460" s="234"/>
      <c r="BQ460" s="234" t="s">
        <v>318</v>
      </c>
      <c r="BR460" s="237" t="s">
        <v>151</v>
      </c>
      <c r="BS460" s="238">
        <v>5</v>
      </c>
      <c r="BV460" s="239">
        <f t="shared" si="38"/>
        <v>30</v>
      </c>
      <c r="CN460" s="238">
        <f t="shared" si="36"/>
        <v>30</v>
      </c>
      <c r="CO460" s="238">
        <f t="shared" si="37"/>
        <v>30</v>
      </c>
    </row>
    <row r="461" spans="1:93" ht="13.95" customHeight="1" x14ac:dyDescent="0.2">
      <c r="A461" s="231">
        <v>3943</v>
      </c>
      <c r="B461" s="232" t="s">
        <v>848</v>
      </c>
      <c r="C461" s="232" t="s">
        <v>1455</v>
      </c>
      <c r="D461" s="232" t="s">
        <v>466</v>
      </c>
      <c r="E461" s="232" t="s">
        <v>1456</v>
      </c>
      <c r="F461" s="231">
        <v>529575</v>
      </c>
      <c r="G461" s="231">
        <v>177401</v>
      </c>
      <c r="H461" s="232" t="s">
        <v>168</v>
      </c>
      <c r="I461" s="233">
        <v>44838</v>
      </c>
      <c r="J461" s="231"/>
      <c r="K461" s="231">
        <v>0</v>
      </c>
      <c r="L461" s="231">
        <v>186</v>
      </c>
      <c r="M461" s="231">
        <v>186</v>
      </c>
      <c r="N461" s="231">
        <v>186</v>
      </c>
      <c r="O461" s="231">
        <v>186</v>
      </c>
      <c r="P461" s="234" t="s">
        <v>318</v>
      </c>
      <c r="Q461" s="232" t="s">
        <v>1457</v>
      </c>
      <c r="R461" s="234" t="s">
        <v>469</v>
      </c>
      <c r="S461" s="235">
        <v>44880</v>
      </c>
      <c r="T461" s="235">
        <v>44986</v>
      </c>
      <c r="U461" s="234" t="s">
        <v>318</v>
      </c>
      <c r="V461" s="232" t="s">
        <v>321</v>
      </c>
      <c r="W461" s="231"/>
      <c r="X461" s="232" t="s">
        <v>322</v>
      </c>
      <c r="Y461" s="232" t="s">
        <v>323</v>
      </c>
      <c r="Z461" s="232" t="s">
        <v>323</v>
      </c>
      <c r="AA461" s="232" t="s">
        <v>324</v>
      </c>
      <c r="AB461" s="236">
        <v>1.9470000000000001</v>
      </c>
      <c r="AC461" s="235">
        <v>44838</v>
      </c>
      <c r="AD461" s="234" t="s">
        <v>318</v>
      </c>
      <c r="AE461" s="234"/>
      <c r="AF461" s="232" t="s">
        <v>77</v>
      </c>
      <c r="AG461" s="232" t="s">
        <v>350</v>
      </c>
      <c r="AH461" s="234" t="s">
        <v>471</v>
      </c>
      <c r="AI461" s="250"/>
      <c r="AJ461" s="234">
        <v>0</v>
      </c>
      <c r="AK461" s="234">
        <v>167</v>
      </c>
      <c r="AL461" s="234">
        <v>0</v>
      </c>
      <c r="AM461" s="234">
        <v>19</v>
      </c>
      <c r="AN461" s="234">
        <v>12</v>
      </c>
      <c r="AO461" s="234">
        <v>49</v>
      </c>
      <c r="AP461" s="234">
        <v>94</v>
      </c>
      <c r="AQ461" s="234">
        <v>31</v>
      </c>
      <c r="AR461" s="234">
        <v>0</v>
      </c>
      <c r="AS461" s="234">
        <v>0</v>
      </c>
      <c r="AT461" s="234">
        <v>0</v>
      </c>
      <c r="AU461" s="234">
        <v>12</v>
      </c>
      <c r="AV461" s="234">
        <v>49</v>
      </c>
      <c r="AW461" s="234">
        <v>94</v>
      </c>
      <c r="AX461" s="234">
        <v>31</v>
      </c>
      <c r="AY461" s="234">
        <v>0</v>
      </c>
      <c r="AZ461" s="234">
        <v>0</v>
      </c>
      <c r="BA461" s="234">
        <v>0</v>
      </c>
      <c r="BB461" s="234">
        <v>0</v>
      </c>
      <c r="BC461" s="234">
        <v>0</v>
      </c>
      <c r="BD461" s="234">
        <v>0</v>
      </c>
      <c r="BE461" s="234">
        <v>0</v>
      </c>
      <c r="BF461" s="234">
        <v>0</v>
      </c>
      <c r="BG461" s="234">
        <v>0</v>
      </c>
      <c r="BH461" s="234">
        <v>0</v>
      </c>
      <c r="BI461" s="234">
        <v>0</v>
      </c>
      <c r="BJ461" s="234">
        <v>0</v>
      </c>
      <c r="BK461" s="234">
        <v>0</v>
      </c>
      <c r="BL461" s="234">
        <v>0</v>
      </c>
      <c r="BM461" s="234">
        <v>0</v>
      </c>
      <c r="BN461" s="234">
        <v>0</v>
      </c>
      <c r="BO461" s="234">
        <v>0</v>
      </c>
      <c r="BP461" s="234"/>
      <c r="BQ461" s="234" t="s">
        <v>318</v>
      </c>
      <c r="BR461" s="237" t="s">
        <v>151</v>
      </c>
      <c r="BS461" s="238">
        <v>5</v>
      </c>
      <c r="BW461" s="239">
        <f>M461</f>
        <v>186</v>
      </c>
      <c r="CN461" s="238">
        <f t="shared" si="36"/>
        <v>186</v>
      </c>
      <c r="CO461" s="238">
        <f t="shared" si="37"/>
        <v>186</v>
      </c>
    </row>
    <row r="462" spans="1:93" ht="13.95" customHeight="1" x14ac:dyDescent="0.2">
      <c r="A462" s="231">
        <v>3943</v>
      </c>
      <c r="B462" s="232" t="s">
        <v>848</v>
      </c>
      <c r="C462" s="232" t="s">
        <v>514</v>
      </c>
      <c r="D462" s="232" t="s">
        <v>466</v>
      </c>
      <c r="E462" s="232" t="s">
        <v>1458</v>
      </c>
      <c r="F462" s="231">
        <v>529575</v>
      </c>
      <c r="G462" s="231">
        <v>177401</v>
      </c>
      <c r="H462" s="232" t="s">
        <v>168</v>
      </c>
      <c r="I462" s="233">
        <v>43711</v>
      </c>
      <c r="J462" s="231"/>
      <c r="K462" s="231">
        <v>0</v>
      </c>
      <c r="L462" s="231">
        <v>622</v>
      </c>
      <c r="M462" s="231">
        <v>622</v>
      </c>
      <c r="N462" s="231">
        <v>894</v>
      </c>
      <c r="O462" s="231">
        <v>894</v>
      </c>
      <c r="P462" s="234" t="s">
        <v>318</v>
      </c>
      <c r="Q462" s="232" t="s">
        <v>516</v>
      </c>
      <c r="R462" s="234" t="s">
        <v>517</v>
      </c>
      <c r="S462" s="235">
        <v>43081</v>
      </c>
      <c r="T462" s="235">
        <v>43553</v>
      </c>
      <c r="U462" s="234"/>
      <c r="V462" s="232" t="s">
        <v>321</v>
      </c>
      <c r="W462" s="231"/>
      <c r="X462" s="232" t="s">
        <v>322</v>
      </c>
      <c r="Y462" s="232" t="s">
        <v>323</v>
      </c>
      <c r="Z462" s="232" t="s">
        <v>1459</v>
      </c>
      <c r="AA462" s="232" t="s">
        <v>324</v>
      </c>
      <c r="AB462" s="236">
        <v>0.60799999999999998</v>
      </c>
      <c r="AC462" s="235">
        <v>43711</v>
      </c>
      <c r="AD462" s="234"/>
      <c r="AE462" s="234"/>
      <c r="AF462" s="232" t="s">
        <v>77</v>
      </c>
      <c r="AG462" s="232" t="s">
        <v>340</v>
      </c>
      <c r="AH462" s="234" t="s">
        <v>471</v>
      </c>
      <c r="AI462" s="250"/>
      <c r="AJ462" s="234">
        <v>0</v>
      </c>
      <c r="AK462" s="234">
        <v>560</v>
      </c>
      <c r="AL462" s="234">
        <v>0</v>
      </c>
      <c r="AM462" s="234">
        <v>62</v>
      </c>
      <c r="AN462" s="234">
        <v>160</v>
      </c>
      <c r="AO462" s="234">
        <v>133</v>
      </c>
      <c r="AP462" s="234">
        <v>264</v>
      </c>
      <c r="AQ462" s="234">
        <v>65</v>
      </c>
      <c r="AR462" s="234">
        <v>0</v>
      </c>
      <c r="AS462" s="234">
        <v>0</v>
      </c>
      <c r="AT462" s="234">
        <v>0</v>
      </c>
      <c r="AU462" s="234">
        <v>160</v>
      </c>
      <c r="AV462" s="234">
        <v>133</v>
      </c>
      <c r="AW462" s="234">
        <v>264</v>
      </c>
      <c r="AX462" s="234">
        <v>65</v>
      </c>
      <c r="AY462" s="234">
        <v>0</v>
      </c>
      <c r="AZ462" s="234">
        <v>0</v>
      </c>
      <c r="BA462" s="234">
        <v>0</v>
      </c>
      <c r="BB462" s="234">
        <v>0</v>
      </c>
      <c r="BC462" s="234">
        <v>0</v>
      </c>
      <c r="BD462" s="234">
        <v>0</v>
      </c>
      <c r="BE462" s="234">
        <v>0</v>
      </c>
      <c r="BF462" s="234">
        <v>0</v>
      </c>
      <c r="BG462" s="234">
        <v>0</v>
      </c>
      <c r="BH462" s="234">
        <v>0</v>
      </c>
      <c r="BI462" s="234">
        <v>0</v>
      </c>
      <c r="BJ462" s="234">
        <v>0</v>
      </c>
      <c r="BK462" s="234">
        <v>0</v>
      </c>
      <c r="BL462" s="234">
        <v>0</v>
      </c>
      <c r="BM462" s="234">
        <v>0</v>
      </c>
      <c r="BN462" s="234">
        <v>0</v>
      </c>
      <c r="BO462" s="234">
        <v>0</v>
      </c>
      <c r="BP462" s="234"/>
      <c r="BQ462" s="234" t="s">
        <v>318</v>
      </c>
      <c r="BR462" s="237" t="s">
        <v>151</v>
      </c>
      <c r="BS462" s="238">
        <v>5</v>
      </c>
      <c r="BU462" s="239">
        <f>M462</f>
        <v>622</v>
      </c>
      <c r="CN462" s="238">
        <f t="shared" si="36"/>
        <v>622</v>
      </c>
      <c r="CO462" s="238">
        <f t="shared" si="37"/>
        <v>622</v>
      </c>
    </row>
    <row r="463" spans="1:93" ht="13.95" customHeight="1" x14ac:dyDescent="0.2">
      <c r="A463" s="231">
        <v>3943</v>
      </c>
      <c r="B463" s="232" t="s">
        <v>848</v>
      </c>
      <c r="C463" s="232" t="s">
        <v>514</v>
      </c>
      <c r="D463" s="232" t="s">
        <v>466</v>
      </c>
      <c r="E463" s="232" t="s">
        <v>1458</v>
      </c>
      <c r="F463" s="231">
        <v>529575</v>
      </c>
      <c r="G463" s="231">
        <v>177401</v>
      </c>
      <c r="H463" s="232" t="s">
        <v>168</v>
      </c>
      <c r="I463" s="233">
        <v>43711</v>
      </c>
      <c r="J463" s="231"/>
      <c r="K463" s="231">
        <v>0</v>
      </c>
      <c r="L463" s="231">
        <v>131</v>
      </c>
      <c r="M463" s="231">
        <v>131</v>
      </c>
      <c r="N463" s="231">
        <v>894</v>
      </c>
      <c r="O463" s="231">
        <v>894</v>
      </c>
      <c r="P463" s="234" t="s">
        <v>318</v>
      </c>
      <c r="Q463" s="232" t="s">
        <v>516</v>
      </c>
      <c r="R463" s="234" t="s">
        <v>517</v>
      </c>
      <c r="S463" s="235">
        <v>43081</v>
      </c>
      <c r="T463" s="235">
        <v>43553</v>
      </c>
      <c r="U463" s="234"/>
      <c r="V463" s="232" t="s">
        <v>321</v>
      </c>
      <c r="W463" s="231"/>
      <c r="X463" s="232" t="s">
        <v>322</v>
      </c>
      <c r="Y463" s="232" t="s">
        <v>323</v>
      </c>
      <c r="Z463" s="232" t="s">
        <v>323</v>
      </c>
      <c r="AA463" s="232" t="s">
        <v>324</v>
      </c>
      <c r="AB463" s="236">
        <v>0.128</v>
      </c>
      <c r="AC463" s="235">
        <v>43711</v>
      </c>
      <c r="AD463" s="234"/>
      <c r="AE463" s="234"/>
      <c r="AF463" s="232" t="s">
        <v>56</v>
      </c>
      <c r="AG463" s="232" t="s">
        <v>518</v>
      </c>
      <c r="AH463" s="234" t="s">
        <v>471</v>
      </c>
      <c r="AI463" s="250"/>
      <c r="AJ463" s="234">
        <v>0</v>
      </c>
      <c r="AK463" s="234">
        <v>118</v>
      </c>
      <c r="AL463" s="234">
        <v>0</v>
      </c>
      <c r="AM463" s="234">
        <v>13</v>
      </c>
      <c r="AN463" s="234">
        <v>0</v>
      </c>
      <c r="AO463" s="234">
        <v>36</v>
      </c>
      <c r="AP463" s="234">
        <v>89</v>
      </c>
      <c r="AQ463" s="234">
        <v>6</v>
      </c>
      <c r="AR463" s="234">
        <v>0</v>
      </c>
      <c r="AS463" s="234">
        <v>0</v>
      </c>
      <c r="AT463" s="234">
        <v>0</v>
      </c>
      <c r="AU463" s="234">
        <v>0</v>
      </c>
      <c r="AV463" s="234">
        <v>36</v>
      </c>
      <c r="AW463" s="234">
        <v>89</v>
      </c>
      <c r="AX463" s="234">
        <v>6</v>
      </c>
      <c r="AY463" s="234">
        <v>0</v>
      </c>
      <c r="AZ463" s="234">
        <v>0</v>
      </c>
      <c r="BA463" s="234">
        <v>0</v>
      </c>
      <c r="BB463" s="234">
        <v>0</v>
      </c>
      <c r="BC463" s="234">
        <v>0</v>
      </c>
      <c r="BD463" s="234">
        <v>0</v>
      </c>
      <c r="BE463" s="234">
        <v>0</v>
      </c>
      <c r="BF463" s="234">
        <v>0</v>
      </c>
      <c r="BG463" s="234">
        <v>0</v>
      </c>
      <c r="BH463" s="234">
        <v>0</v>
      </c>
      <c r="BI463" s="234">
        <v>0</v>
      </c>
      <c r="BJ463" s="234">
        <v>0</v>
      </c>
      <c r="BK463" s="234">
        <v>0</v>
      </c>
      <c r="BL463" s="234">
        <v>0</v>
      </c>
      <c r="BM463" s="234">
        <v>0</v>
      </c>
      <c r="BN463" s="234">
        <v>0</v>
      </c>
      <c r="BO463" s="234">
        <v>0</v>
      </c>
      <c r="BP463" s="234"/>
      <c r="BQ463" s="234" t="s">
        <v>318</v>
      </c>
      <c r="BR463" s="237" t="s">
        <v>151</v>
      </c>
      <c r="BS463" s="238">
        <v>5</v>
      </c>
      <c r="BU463" s="239">
        <f>M463</f>
        <v>131</v>
      </c>
      <c r="CN463" s="238">
        <f t="shared" si="36"/>
        <v>131</v>
      </c>
      <c r="CO463" s="238">
        <f t="shared" si="37"/>
        <v>131</v>
      </c>
    </row>
    <row r="464" spans="1:93" ht="13.95" customHeight="1" x14ac:dyDescent="0.2">
      <c r="A464" s="231">
        <v>7347</v>
      </c>
      <c r="B464" s="232" t="s">
        <v>848</v>
      </c>
      <c r="C464" s="232" t="s">
        <v>1290</v>
      </c>
      <c r="D464" s="232" t="s">
        <v>1291</v>
      </c>
      <c r="E464" s="232" t="s">
        <v>1460</v>
      </c>
      <c r="F464" s="231">
        <v>529142</v>
      </c>
      <c r="G464" s="231">
        <v>170477</v>
      </c>
      <c r="H464" s="232" t="s">
        <v>166</v>
      </c>
      <c r="I464" s="233">
        <v>44651</v>
      </c>
      <c r="J464" s="231"/>
      <c r="K464" s="231">
        <v>0</v>
      </c>
      <c r="L464" s="231">
        <v>23</v>
      </c>
      <c r="M464" s="231">
        <v>23</v>
      </c>
      <c r="N464" s="231">
        <v>29</v>
      </c>
      <c r="O464" s="231">
        <v>29</v>
      </c>
      <c r="P464" s="234" t="s">
        <v>318</v>
      </c>
      <c r="Q464" s="232" t="s">
        <v>1293</v>
      </c>
      <c r="R464" s="234" t="s">
        <v>469</v>
      </c>
      <c r="S464" s="235">
        <v>44476</v>
      </c>
      <c r="T464" s="235">
        <v>44509</v>
      </c>
      <c r="U464" s="234"/>
      <c r="V464" s="232" t="s">
        <v>321</v>
      </c>
      <c r="W464" s="231"/>
      <c r="X464" s="232" t="s">
        <v>322</v>
      </c>
      <c r="Y464" s="232" t="s">
        <v>323</v>
      </c>
      <c r="Z464" s="232" t="s">
        <v>323</v>
      </c>
      <c r="AA464" s="232" t="s">
        <v>324</v>
      </c>
      <c r="AB464" s="236">
        <v>0.169326</v>
      </c>
      <c r="AC464" s="235">
        <v>44652</v>
      </c>
      <c r="AD464" s="234" t="s">
        <v>318</v>
      </c>
      <c r="AE464" s="234"/>
      <c r="AF464" s="232" t="s">
        <v>77</v>
      </c>
      <c r="AG464" s="232" t="s">
        <v>350</v>
      </c>
      <c r="AH464" s="234" t="s">
        <v>317</v>
      </c>
      <c r="AI464" s="250"/>
      <c r="AJ464" s="234">
        <v>0</v>
      </c>
      <c r="AK464" s="224"/>
      <c r="AL464" s="234">
        <v>0</v>
      </c>
      <c r="AM464" s="224"/>
      <c r="AN464" s="234">
        <v>0</v>
      </c>
      <c r="AO464" s="234">
        <v>5</v>
      </c>
      <c r="AP464" s="234">
        <v>17</v>
      </c>
      <c r="AQ464" s="234">
        <v>1</v>
      </c>
      <c r="AR464" s="234">
        <v>0</v>
      </c>
      <c r="AS464" s="234">
        <v>0</v>
      </c>
      <c r="AT464" s="234">
        <v>0</v>
      </c>
      <c r="AU464" s="234">
        <v>0</v>
      </c>
      <c r="AV464" s="234">
        <v>5</v>
      </c>
      <c r="AW464" s="234">
        <v>17</v>
      </c>
      <c r="AX464" s="234">
        <v>1</v>
      </c>
      <c r="AY464" s="234">
        <v>0</v>
      </c>
      <c r="AZ464" s="234">
        <v>0</v>
      </c>
      <c r="BA464" s="234">
        <v>0</v>
      </c>
      <c r="BB464" s="234">
        <v>0</v>
      </c>
      <c r="BC464" s="234">
        <v>0</v>
      </c>
      <c r="BD464" s="234">
        <v>0</v>
      </c>
      <c r="BE464" s="234">
        <v>0</v>
      </c>
      <c r="BF464" s="234">
        <v>0</v>
      </c>
      <c r="BG464" s="234">
        <v>0</v>
      </c>
      <c r="BH464" s="234">
        <v>0</v>
      </c>
      <c r="BI464" s="234">
        <v>0</v>
      </c>
      <c r="BJ464" s="234">
        <v>0</v>
      </c>
      <c r="BK464" s="234">
        <v>0</v>
      </c>
      <c r="BL464" s="234">
        <v>0</v>
      </c>
      <c r="BM464" s="234">
        <v>0</v>
      </c>
      <c r="BN464" s="234">
        <v>0</v>
      </c>
      <c r="BO464" s="234">
        <v>0</v>
      </c>
      <c r="BP464" s="234"/>
      <c r="BQ464" s="234"/>
      <c r="BR464" s="237" t="s">
        <v>334</v>
      </c>
      <c r="BS464" s="238">
        <v>6</v>
      </c>
      <c r="BV464" s="239">
        <f>M464/4</f>
        <v>5.75</v>
      </c>
      <c r="BW464" s="239">
        <f>M464/4</f>
        <v>5.75</v>
      </c>
      <c r="BX464" s="239">
        <f>M464/4</f>
        <v>5.75</v>
      </c>
      <c r="BY464" s="239">
        <f>M464/4</f>
        <v>5.75</v>
      </c>
      <c r="CN464" s="238">
        <f t="shared" si="36"/>
        <v>23</v>
      </c>
      <c r="CO464" s="238">
        <f t="shared" si="37"/>
        <v>23</v>
      </c>
    </row>
    <row r="465" spans="1:93" ht="13.95" customHeight="1" x14ac:dyDescent="0.2">
      <c r="A465" s="231">
        <v>7194</v>
      </c>
      <c r="B465" s="232" t="s">
        <v>848</v>
      </c>
      <c r="C465" s="232" t="s">
        <v>1372</v>
      </c>
      <c r="D465" s="232" t="s">
        <v>1373</v>
      </c>
      <c r="E465" s="232" t="s">
        <v>1461</v>
      </c>
      <c r="F465" s="231">
        <v>524291</v>
      </c>
      <c r="G465" s="231">
        <v>174776</v>
      </c>
      <c r="H465" s="232" t="s">
        <v>164</v>
      </c>
      <c r="I465" s="233">
        <v>44487</v>
      </c>
      <c r="J465" s="231"/>
      <c r="K465" s="231">
        <v>0</v>
      </c>
      <c r="L465" s="231">
        <v>8</v>
      </c>
      <c r="M465" s="231">
        <v>8</v>
      </c>
      <c r="N465" s="231">
        <v>8</v>
      </c>
      <c r="O465" s="231">
        <v>-7</v>
      </c>
      <c r="P465" s="234"/>
      <c r="Q465" s="232" t="s">
        <v>1375</v>
      </c>
      <c r="R465" s="234" t="s">
        <v>332</v>
      </c>
      <c r="S465" s="235">
        <v>43635</v>
      </c>
      <c r="T465" s="235">
        <v>43696</v>
      </c>
      <c r="U465" s="234"/>
      <c r="V465" s="232" t="s">
        <v>321</v>
      </c>
      <c r="W465" s="231"/>
      <c r="X465" s="232" t="s">
        <v>322</v>
      </c>
      <c r="Y465" s="232" t="s">
        <v>378</v>
      </c>
      <c r="Z465" s="232" t="s">
        <v>324</v>
      </c>
      <c r="AA465" s="232" t="s">
        <v>553</v>
      </c>
      <c r="AB465" s="236">
        <v>0.107</v>
      </c>
      <c r="AC465" s="235">
        <v>44487</v>
      </c>
      <c r="AD465" s="234"/>
      <c r="AE465" s="234"/>
      <c r="AF465" s="232" t="s">
        <v>57</v>
      </c>
      <c r="AG465" s="232" t="s">
        <v>1376</v>
      </c>
      <c r="AH465" s="234" t="s">
        <v>317</v>
      </c>
      <c r="AI465" s="250"/>
      <c r="AJ465" s="234">
        <v>0</v>
      </c>
      <c r="AK465" s="224"/>
      <c r="AL465" s="234">
        <v>0</v>
      </c>
      <c r="AM465" s="224"/>
      <c r="AN465" s="234">
        <v>0</v>
      </c>
      <c r="AO465" s="234">
        <v>1</v>
      </c>
      <c r="AP465" s="234">
        <v>6</v>
      </c>
      <c r="AQ465" s="234">
        <v>1</v>
      </c>
      <c r="AR465" s="234">
        <v>0</v>
      </c>
      <c r="AS465" s="234">
        <v>0</v>
      </c>
      <c r="AT465" s="234">
        <v>0</v>
      </c>
      <c r="AU465" s="234">
        <v>0</v>
      </c>
      <c r="AV465" s="234">
        <v>1</v>
      </c>
      <c r="AW465" s="234">
        <v>6</v>
      </c>
      <c r="AX465" s="234">
        <v>1</v>
      </c>
      <c r="AY465" s="234">
        <v>0</v>
      </c>
      <c r="AZ465" s="234">
        <v>0</v>
      </c>
      <c r="BA465" s="234">
        <v>0</v>
      </c>
      <c r="BB465" s="234">
        <v>0</v>
      </c>
      <c r="BC465" s="234">
        <v>0</v>
      </c>
      <c r="BD465" s="234">
        <v>0</v>
      </c>
      <c r="BE465" s="234">
        <v>0</v>
      </c>
      <c r="BF465" s="234">
        <v>0</v>
      </c>
      <c r="BG465" s="234">
        <v>0</v>
      </c>
      <c r="BH465" s="234">
        <v>0</v>
      </c>
      <c r="BI465" s="234">
        <v>0</v>
      </c>
      <c r="BJ465" s="234">
        <v>0</v>
      </c>
      <c r="BK465" s="234">
        <v>0</v>
      </c>
      <c r="BL465" s="234">
        <v>0</v>
      </c>
      <c r="BM465" s="234">
        <v>0</v>
      </c>
      <c r="BN465" s="234">
        <v>0</v>
      </c>
      <c r="BO465" s="234">
        <v>0</v>
      </c>
      <c r="BP465" s="234"/>
      <c r="BQ465" s="234"/>
      <c r="BR465" s="237" t="s">
        <v>334</v>
      </c>
      <c r="BS465" s="238">
        <v>13</v>
      </c>
      <c r="BU465" s="239">
        <f t="shared" ref="BU465:BU471" si="39">M465</f>
        <v>8</v>
      </c>
      <c r="CN465" s="238">
        <f t="shared" si="36"/>
        <v>8</v>
      </c>
      <c r="CO465" s="238">
        <f t="shared" si="37"/>
        <v>8</v>
      </c>
    </row>
    <row r="466" spans="1:93" ht="13.95" customHeight="1" x14ac:dyDescent="0.2">
      <c r="A466" s="231">
        <v>7296</v>
      </c>
      <c r="B466" s="232" t="s">
        <v>848</v>
      </c>
      <c r="C466" s="232" t="s">
        <v>1382</v>
      </c>
      <c r="D466" s="232" t="s">
        <v>1383</v>
      </c>
      <c r="E466" s="232" t="s">
        <v>1462</v>
      </c>
      <c r="F466" s="231">
        <v>522049</v>
      </c>
      <c r="G466" s="231">
        <v>173511</v>
      </c>
      <c r="H466" s="232" t="s">
        <v>170</v>
      </c>
      <c r="I466" s="233">
        <v>44652</v>
      </c>
      <c r="J466" s="231"/>
      <c r="K466" s="231">
        <v>0</v>
      </c>
      <c r="L466" s="231">
        <v>7</v>
      </c>
      <c r="M466" s="231">
        <v>7</v>
      </c>
      <c r="N466" s="231">
        <v>14</v>
      </c>
      <c r="O466" s="231">
        <v>14</v>
      </c>
      <c r="P466" s="234" t="s">
        <v>318</v>
      </c>
      <c r="Q466" s="232" t="s">
        <v>1385</v>
      </c>
      <c r="R466" s="234" t="s">
        <v>320</v>
      </c>
      <c r="S466" s="235">
        <v>43780</v>
      </c>
      <c r="T466" s="235">
        <v>44505</v>
      </c>
      <c r="U466" s="234"/>
      <c r="V466" s="232" t="s">
        <v>321</v>
      </c>
      <c r="W466" s="231"/>
      <c r="X466" s="232" t="s">
        <v>322</v>
      </c>
      <c r="Y466" s="232" t="s">
        <v>323</v>
      </c>
      <c r="Z466" s="232" t="s">
        <v>323</v>
      </c>
      <c r="AA466" s="232" t="s">
        <v>324</v>
      </c>
      <c r="AB466" s="236">
        <v>4.1000000000000002E-2</v>
      </c>
      <c r="AC466" s="235">
        <v>44819</v>
      </c>
      <c r="AD466" s="234" t="s">
        <v>318</v>
      </c>
      <c r="AE466" s="234"/>
      <c r="AF466" s="232" t="s">
        <v>56</v>
      </c>
      <c r="AG466" s="232" t="s">
        <v>1298</v>
      </c>
      <c r="AH466" s="234" t="s">
        <v>317</v>
      </c>
      <c r="AI466" s="250"/>
      <c r="AJ466" s="234">
        <v>0</v>
      </c>
      <c r="AK466" s="234">
        <v>7</v>
      </c>
      <c r="AL466" s="234">
        <v>0</v>
      </c>
      <c r="AM466" s="234">
        <v>0</v>
      </c>
      <c r="AN466" s="234">
        <v>0</v>
      </c>
      <c r="AO466" s="234">
        <v>0</v>
      </c>
      <c r="AP466" s="234">
        <v>0</v>
      </c>
      <c r="AQ466" s="234">
        <v>7</v>
      </c>
      <c r="AR466" s="234">
        <v>0</v>
      </c>
      <c r="AS466" s="234">
        <v>0</v>
      </c>
      <c r="AT466" s="234">
        <v>0</v>
      </c>
      <c r="AU466" s="234">
        <v>0</v>
      </c>
      <c r="AV466" s="234">
        <v>0</v>
      </c>
      <c r="AW466" s="234">
        <v>0</v>
      </c>
      <c r="AX466" s="234">
        <v>7</v>
      </c>
      <c r="AY466" s="234">
        <v>0</v>
      </c>
      <c r="AZ466" s="234">
        <v>0</v>
      </c>
      <c r="BA466" s="234">
        <v>0</v>
      </c>
      <c r="BB466" s="234">
        <v>0</v>
      </c>
      <c r="BC466" s="234">
        <v>0</v>
      </c>
      <c r="BD466" s="234">
        <v>0</v>
      </c>
      <c r="BE466" s="234">
        <v>0</v>
      </c>
      <c r="BF466" s="234">
        <v>0</v>
      </c>
      <c r="BG466" s="234">
        <v>0</v>
      </c>
      <c r="BH466" s="234">
        <v>0</v>
      </c>
      <c r="BI466" s="234">
        <v>0</v>
      </c>
      <c r="BJ466" s="234">
        <v>0</v>
      </c>
      <c r="BK466" s="234">
        <v>0</v>
      </c>
      <c r="BL466" s="234">
        <v>0</v>
      </c>
      <c r="BM466" s="234">
        <v>0</v>
      </c>
      <c r="BN466" s="234">
        <v>0</v>
      </c>
      <c r="BO466" s="234">
        <v>0</v>
      </c>
      <c r="BP466" s="234"/>
      <c r="BQ466" s="234"/>
      <c r="BR466" s="237" t="s">
        <v>334</v>
      </c>
      <c r="BS466" s="238">
        <v>2</v>
      </c>
      <c r="BU466" s="239">
        <f t="shared" si="39"/>
        <v>7</v>
      </c>
      <c r="CN466" s="238">
        <f t="shared" si="36"/>
        <v>7</v>
      </c>
      <c r="CO466" s="238">
        <f t="shared" si="37"/>
        <v>7</v>
      </c>
    </row>
    <row r="467" spans="1:93" ht="13.95" customHeight="1" x14ac:dyDescent="0.2">
      <c r="A467" s="231">
        <v>967</v>
      </c>
      <c r="B467" s="232" t="s">
        <v>848</v>
      </c>
      <c r="C467" s="232" t="s">
        <v>1378</v>
      </c>
      <c r="D467" s="232" t="s">
        <v>1379</v>
      </c>
      <c r="E467" s="232" t="s">
        <v>1463</v>
      </c>
      <c r="F467" s="231">
        <v>525095</v>
      </c>
      <c r="G467" s="231">
        <v>174084</v>
      </c>
      <c r="H467" s="232" t="s">
        <v>164</v>
      </c>
      <c r="I467" s="233">
        <v>44468</v>
      </c>
      <c r="J467" s="231"/>
      <c r="K467" s="231">
        <v>0</v>
      </c>
      <c r="L467" s="231">
        <v>2</v>
      </c>
      <c r="M467" s="231">
        <v>2</v>
      </c>
      <c r="N467" s="231">
        <v>8</v>
      </c>
      <c r="O467" s="231">
        <v>4</v>
      </c>
      <c r="P467" s="234"/>
      <c r="Q467" s="232" t="s">
        <v>1381</v>
      </c>
      <c r="R467" s="234" t="s">
        <v>332</v>
      </c>
      <c r="S467" s="235">
        <v>43291</v>
      </c>
      <c r="T467" s="235">
        <v>43426</v>
      </c>
      <c r="U467" s="234"/>
      <c r="V467" s="232" t="s">
        <v>321</v>
      </c>
      <c r="W467" s="231"/>
      <c r="X467" s="232" t="s">
        <v>322</v>
      </c>
      <c r="Y467" s="232" t="s">
        <v>365</v>
      </c>
      <c r="Z467" s="232" t="s">
        <v>324</v>
      </c>
      <c r="AA467" s="232" t="s">
        <v>411</v>
      </c>
      <c r="AB467" s="236">
        <v>1.2999999999999999E-2</v>
      </c>
      <c r="AC467" s="235">
        <v>44468</v>
      </c>
      <c r="AD467" s="234"/>
      <c r="AE467" s="234"/>
      <c r="AF467" s="232" t="s">
        <v>77</v>
      </c>
      <c r="AG467" s="232" t="s">
        <v>350</v>
      </c>
      <c r="AH467" s="234" t="s">
        <v>317</v>
      </c>
      <c r="AI467" s="250"/>
      <c r="AJ467" s="234">
        <v>0</v>
      </c>
      <c r="AK467" s="224"/>
      <c r="AL467" s="234">
        <v>0</v>
      </c>
      <c r="AM467" s="224"/>
      <c r="AN467" s="234">
        <v>0</v>
      </c>
      <c r="AO467" s="234">
        <v>1</v>
      </c>
      <c r="AP467" s="234">
        <v>1</v>
      </c>
      <c r="AQ467" s="234">
        <v>0</v>
      </c>
      <c r="AR467" s="234">
        <v>0</v>
      </c>
      <c r="AS467" s="234">
        <v>0</v>
      </c>
      <c r="AT467" s="234">
        <v>0</v>
      </c>
      <c r="AU467" s="234">
        <v>0</v>
      </c>
      <c r="AV467" s="234">
        <v>1</v>
      </c>
      <c r="AW467" s="234">
        <v>1</v>
      </c>
      <c r="AX467" s="234">
        <v>0</v>
      </c>
      <c r="AY467" s="234">
        <v>0</v>
      </c>
      <c r="AZ467" s="234">
        <v>0</v>
      </c>
      <c r="BA467" s="234">
        <v>0</v>
      </c>
      <c r="BB467" s="234">
        <v>0</v>
      </c>
      <c r="BC467" s="234">
        <v>0</v>
      </c>
      <c r="BD467" s="234">
        <v>0</v>
      </c>
      <c r="BE467" s="234">
        <v>0</v>
      </c>
      <c r="BF467" s="234">
        <v>0</v>
      </c>
      <c r="BG467" s="234">
        <v>0</v>
      </c>
      <c r="BH467" s="234">
        <v>0</v>
      </c>
      <c r="BI467" s="234">
        <v>0</v>
      </c>
      <c r="BJ467" s="234">
        <v>0</v>
      </c>
      <c r="BK467" s="234">
        <v>0</v>
      </c>
      <c r="BL467" s="234">
        <v>0</v>
      </c>
      <c r="BM467" s="234">
        <v>0</v>
      </c>
      <c r="BN467" s="234">
        <v>0</v>
      </c>
      <c r="BO467" s="234">
        <v>0</v>
      </c>
      <c r="BP467" s="234"/>
      <c r="BQ467" s="234"/>
      <c r="BR467" s="237" t="s">
        <v>334</v>
      </c>
      <c r="BS467" s="238">
        <v>13</v>
      </c>
      <c r="BU467" s="239">
        <f t="shared" si="39"/>
        <v>2</v>
      </c>
      <c r="CN467" s="238">
        <f t="shared" si="36"/>
        <v>2</v>
      </c>
      <c r="CO467" s="238">
        <f t="shared" si="37"/>
        <v>2</v>
      </c>
    </row>
    <row r="468" spans="1:93" ht="13.95" customHeight="1" x14ac:dyDescent="0.2">
      <c r="A468" s="231">
        <v>967</v>
      </c>
      <c r="B468" s="232" t="s">
        <v>848</v>
      </c>
      <c r="C468" s="232" t="s">
        <v>1378</v>
      </c>
      <c r="D468" s="232" t="s">
        <v>1379</v>
      </c>
      <c r="E468" s="232" t="s">
        <v>1464</v>
      </c>
      <c r="F468" s="231">
        <v>525095</v>
      </c>
      <c r="G468" s="231">
        <v>174084</v>
      </c>
      <c r="H468" s="232" t="s">
        <v>164</v>
      </c>
      <c r="I468" s="233">
        <v>44468</v>
      </c>
      <c r="J468" s="231"/>
      <c r="K468" s="231">
        <v>0</v>
      </c>
      <c r="L468" s="231">
        <v>2</v>
      </c>
      <c r="M468" s="231">
        <v>2</v>
      </c>
      <c r="N468" s="231">
        <v>8</v>
      </c>
      <c r="O468" s="231">
        <v>4</v>
      </c>
      <c r="P468" s="234"/>
      <c r="Q468" s="232" t="s">
        <v>1381</v>
      </c>
      <c r="R468" s="234" t="s">
        <v>332</v>
      </c>
      <c r="S468" s="235">
        <v>43291</v>
      </c>
      <c r="T468" s="235">
        <v>43426</v>
      </c>
      <c r="U468" s="234"/>
      <c r="V468" s="232" t="s">
        <v>321</v>
      </c>
      <c r="W468" s="231"/>
      <c r="X468" s="232" t="s">
        <v>322</v>
      </c>
      <c r="Y468" s="232" t="s">
        <v>365</v>
      </c>
      <c r="Z468" s="232" t="s">
        <v>324</v>
      </c>
      <c r="AA468" s="232" t="s">
        <v>411</v>
      </c>
      <c r="AB468" s="236">
        <v>1.2999999999999999E-2</v>
      </c>
      <c r="AC468" s="235">
        <v>44468</v>
      </c>
      <c r="AD468" s="234"/>
      <c r="AE468" s="234"/>
      <c r="AF468" s="232" t="s">
        <v>77</v>
      </c>
      <c r="AG468" s="232" t="s">
        <v>350</v>
      </c>
      <c r="AH468" s="234" t="s">
        <v>317</v>
      </c>
      <c r="AI468" s="250"/>
      <c r="AJ468" s="234">
        <v>0</v>
      </c>
      <c r="AK468" s="224"/>
      <c r="AL468" s="234">
        <v>0</v>
      </c>
      <c r="AM468" s="224"/>
      <c r="AN468" s="234">
        <v>0</v>
      </c>
      <c r="AO468" s="234">
        <v>1</v>
      </c>
      <c r="AP468" s="234">
        <v>1</v>
      </c>
      <c r="AQ468" s="234">
        <v>0</v>
      </c>
      <c r="AR468" s="234">
        <v>0</v>
      </c>
      <c r="AS468" s="234">
        <v>0</v>
      </c>
      <c r="AT468" s="234">
        <v>0</v>
      </c>
      <c r="AU468" s="234">
        <v>0</v>
      </c>
      <c r="AV468" s="234">
        <v>1</v>
      </c>
      <c r="AW468" s="234">
        <v>1</v>
      </c>
      <c r="AX468" s="234">
        <v>0</v>
      </c>
      <c r="AY468" s="234">
        <v>0</v>
      </c>
      <c r="AZ468" s="234">
        <v>0</v>
      </c>
      <c r="BA468" s="234">
        <v>0</v>
      </c>
      <c r="BB468" s="234">
        <v>0</v>
      </c>
      <c r="BC468" s="234">
        <v>0</v>
      </c>
      <c r="BD468" s="234">
        <v>0</v>
      </c>
      <c r="BE468" s="234">
        <v>0</v>
      </c>
      <c r="BF468" s="234">
        <v>0</v>
      </c>
      <c r="BG468" s="234">
        <v>0</v>
      </c>
      <c r="BH468" s="234">
        <v>0</v>
      </c>
      <c r="BI468" s="234">
        <v>0</v>
      </c>
      <c r="BJ468" s="234">
        <v>0</v>
      </c>
      <c r="BK468" s="234">
        <v>0</v>
      </c>
      <c r="BL468" s="234">
        <v>0</v>
      </c>
      <c r="BM468" s="234">
        <v>0</v>
      </c>
      <c r="BN468" s="234">
        <v>0</v>
      </c>
      <c r="BO468" s="234">
        <v>0</v>
      </c>
      <c r="BP468" s="234"/>
      <c r="BQ468" s="234"/>
      <c r="BR468" s="237" t="s">
        <v>334</v>
      </c>
      <c r="BS468" s="238">
        <v>13</v>
      </c>
      <c r="BU468" s="239">
        <f t="shared" si="39"/>
        <v>2</v>
      </c>
      <c r="CN468" s="238">
        <f t="shared" si="36"/>
        <v>2</v>
      </c>
      <c r="CO468" s="238">
        <f t="shared" si="37"/>
        <v>2</v>
      </c>
    </row>
    <row r="469" spans="1:93" ht="13.95" customHeight="1" x14ac:dyDescent="0.2">
      <c r="A469" s="231">
        <v>7338</v>
      </c>
      <c r="B469" s="232" t="s">
        <v>848</v>
      </c>
      <c r="C469" s="232" t="s">
        <v>1465</v>
      </c>
      <c r="D469" s="232" t="s">
        <v>1082</v>
      </c>
      <c r="E469" s="232" t="s">
        <v>317</v>
      </c>
      <c r="F469" s="231">
        <v>527505</v>
      </c>
      <c r="G469" s="231">
        <v>174973</v>
      </c>
      <c r="H469" s="232" t="s">
        <v>167</v>
      </c>
      <c r="I469" s="233">
        <v>44431</v>
      </c>
      <c r="J469" s="231"/>
      <c r="K469" s="231">
        <v>0</v>
      </c>
      <c r="L469" s="231">
        <v>1</v>
      </c>
      <c r="M469" s="231">
        <v>1</v>
      </c>
      <c r="N469" s="231">
        <v>1</v>
      </c>
      <c r="O469" s="231">
        <v>1</v>
      </c>
      <c r="P469" s="234"/>
      <c r="Q469" s="232" t="s">
        <v>1466</v>
      </c>
      <c r="R469" s="234" t="s">
        <v>864</v>
      </c>
      <c r="S469" s="235">
        <v>43872</v>
      </c>
      <c r="T469" s="235">
        <v>43917</v>
      </c>
      <c r="U469" s="234"/>
      <c r="V469" s="232" t="s">
        <v>865</v>
      </c>
      <c r="W469" s="233">
        <v>44113</v>
      </c>
      <c r="X469" s="232" t="s">
        <v>322</v>
      </c>
      <c r="Y469" s="232" t="s">
        <v>339</v>
      </c>
      <c r="Z469" s="232" t="s">
        <v>324</v>
      </c>
      <c r="AA469" s="232" t="s">
        <v>354</v>
      </c>
      <c r="AB469" s="236">
        <v>5.0000000000000001E-3</v>
      </c>
      <c r="AC469" s="235">
        <v>44431</v>
      </c>
      <c r="AD469" s="234"/>
      <c r="AE469" s="234"/>
      <c r="AF469" s="232" t="s">
        <v>77</v>
      </c>
      <c r="AG469" s="232" t="s">
        <v>350</v>
      </c>
      <c r="AH469" s="234" t="s">
        <v>317</v>
      </c>
      <c r="AI469" s="250"/>
      <c r="AJ469" s="234">
        <v>0</v>
      </c>
      <c r="AK469" s="224"/>
      <c r="AL469" s="234">
        <v>0</v>
      </c>
      <c r="AM469" s="224"/>
      <c r="AN469" s="234">
        <v>0</v>
      </c>
      <c r="AO469" s="234">
        <v>0</v>
      </c>
      <c r="AP469" s="234">
        <v>1</v>
      </c>
      <c r="AQ469" s="234">
        <v>0</v>
      </c>
      <c r="AR469" s="234">
        <v>0</v>
      </c>
      <c r="AS469" s="234">
        <v>0</v>
      </c>
      <c r="AT469" s="234">
        <v>0</v>
      </c>
      <c r="AU469" s="234">
        <v>0</v>
      </c>
      <c r="AV469" s="234">
        <v>0</v>
      </c>
      <c r="AW469" s="234">
        <v>1</v>
      </c>
      <c r="AX469" s="234">
        <v>0</v>
      </c>
      <c r="AY469" s="234">
        <v>0</v>
      </c>
      <c r="AZ469" s="234">
        <v>0</v>
      </c>
      <c r="BA469" s="234">
        <v>0</v>
      </c>
      <c r="BB469" s="234">
        <v>0</v>
      </c>
      <c r="BC469" s="234">
        <v>0</v>
      </c>
      <c r="BD469" s="234">
        <v>0</v>
      </c>
      <c r="BE469" s="234">
        <v>0</v>
      </c>
      <c r="BF469" s="234">
        <v>0</v>
      </c>
      <c r="BG469" s="234">
        <v>0</v>
      </c>
      <c r="BH469" s="234">
        <v>0</v>
      </c>
      <c r="BI469" s="234">
        <v>0</v>
      </c>
      <c r="BJ469" s="234">
        <v>0</v>
      </c>
      <c r="BK469" s="234">
        <v>0</v>
      </c>
      <c r="BL469" s="234">
        <v>0</v>
      </c>
      <c r="BM469" s="234">
        <v>0</v>
      </c>
      <c r="BN469" s="234">
        <v>0</v>
      </c>
      <c r="BO469" s="234">
        <v>0</v>
      </c>
      <c r="BP469" s="234" t="s">
        <v>142</v>
      </c>
      <c r="BQ469" s="234"/>
      <c r="BR469" s="237" t="s">
        <v>150</v>
      </c>
      <c r="BS469" s="238">
        <v>13</v>
      </c>
      <c r="BU469" s="239">
        <f t="shared" si="39"/>
        <v>1</v>
      </c>
      <c r="CN469" s="238">
        <f t="shared" si="36"/>
        <v>1</v>
      </c>
      <c r="CO469" s="238">
        <f t="shared" si="37"/>
        <v>1</v>
      </c>
    </row>
    <row r="470" spans="1:93" ht="13.95" customHeight="1" x14ac:dyDescent="0.2">
      <c r="A470" s="231">
        <v>6302</v>
      </c>
      <c r="B470" s="232" t="s">
        <v>848</v>
      </c>
      <c r="C470" s="232" t="s">
        <v>860</v>
      </c>
      <c r="D470" s="232" t="s">
        <v>861</v>
      </c>
      <c r="E470" s="232" t="s">
        <v>1467</v>
      </c>
      <c r="F470" s="231">
        <v>525938</v>
      </c>
      <c r="G470" s="231">
        <v>173047</v>
      </c>
      <c r="H470" s="232" t="s">
        <v>179</v>
      </c>
      <c r="I470" s="233">
        <v>44389</v>
      </c>
      <c r="J470" s="231"/>
      <c r="K470" s="231">
        <v>0</v>
      </c>
      <c r="L470" s="231">
        <v>4</v>
      </c>
      <c r="M470" s="231">
        <v>4</v>
      </c>
      <c r="N470" s="231">
        <v>17</v>
      </c>
      <c r="O470" s="231">
        <v>17</v>
      </c>
      <c r="P470" s="234" t="s">
        <v>318</v>
      </c>
      <c r="Q470" s="232" t="s">
        <v>863</v>
      </c>
      <c r="R470" s="234" t="s">
        <v>864</v>
      </c>
      <c r="S470" s="235">
        <v>43553</v>
      </c>
      <c r="T470" s="235">
        <v>43672</v>
      </c>
      <c r="U470" s="234"/>
      <c r="V470" s="232" t="s">
        <v>865</v>
      </c>
      <c r="W470" s="233">
        <v>44134</v>
      </c>
      <c r="X470" s="232" t="s">
        <v>322</v>
      </c>
      <c r="Y470" s="232" t="s">
        <v>323</v>
      </c>
      <c r="Z470" s="232" t="s">
        <v>323</v>
      </c>
      <c r="AA470" s="232" t="s">
        <v>324</v>
      </c>
      <c r="AB470" s="236">
        <v>1.2999999999999999E-2</v>
      </c>
      <c r="AC470" s="235">
        <v>44389</v>
      </c>
      <c r="AD470" s="234"/>
      <c r="AE470" s="235"/>
      <c r="AF470" s="232" t="s">
        <v>56</v>
      </c>
      <c r="AG470" s="232" t="s">
        <v>345</v>
      </c>
      <c r="AH470" s="234" t="s">
        <v>317</v>
      </c>
      <c r="AI470" s="250"/>
      <c r="AJ470" s="234">
        <v>0</v>
      </c>
      <c r="AK470" s="234">
        <v>1</v>
      </c>
      <c r="AL470" s="224"/>
      <c r="AM470" s="224"/>
      <c r="AN470" s="234">
        <v>0</v>
      </c>
      <c r="AO470" s="234">
        <v>1</v>
      </c>
      <c r="AP470" s="234">
        <v>1</v>
      </c>
      <c r="AQ470" s="234">
        <v>2</v>
      </c>
      <c r="AR470" s="234">
        <v>0</v>
      </c>
      <c r="AS470" s="234">
        <v>0</v>
      </c>
      <c r="AT470" s="234">
        <v>0</v>
      </c>
      <c r="AU470" s="234">
        <v>0</v>
      </c>
      <c r="AV470" s="234">
        <v>1</v>
      </c>
      <c r="AW470" s="234">
        <v>1</v>
      </c>
      <c r="AX470" s="234">
        <v>2</v>
      </c>
      <c r="AY470" s="234">
        <v>0</v>
      </c>
      <c r="AZ470" s="234">
        <v>0</v>
      </c>
      <c r="BA470" s="234">
        <v>0</v>
      </c>
      <c r="BB470" s="234">
        <v>0</v>
      </c>
      <c r="BC470" s="234">
        <v>0</v>
      </c>
      <c r="BD470" s="234">
        <v>0</v>
      </c>
      <c r="BE470" s="234">
        <v>0</v>
      </c>
      <c r="BF470" s="234">
        <v>0</v>
      </c>
      <c r="BG470" s="234">
        <v>0</v>
      </c>
      <c r="BH470" s="234">
        <v>0</v>
      </c>
      <c r="BI470" s="234">
        <v>0</v>
      </c>
      <c r="BJ470" s="234">
        <v>0</v>
      </c>
      <c r="BK470" s="234">
        <v>0</v>
      </c>
      <c r="BL470" s="234">
        <v>0</v>
      </c>
      <c r="BM470" s="234">
        <v>0</v>
      </c>
      <c r="BN470" s="234">
        <v>0</v>
      </c>
      <c r="BO470" s="234">
        <v>0</v>
      </c>
      <c r="BP470" s="234"/>
      <c r="BQ470" s="234"/>
      <c r="BR470" s="237" t="s">
        <v>154</v>
      </c>
      <c r="BS470" s="238">
        <v>3</v>
      </c>
      <c r="BU470" s="239">
        <f t="shared" si="39"/>
        <v>4</v>
      </c>
      <c r="CN470" s="238">
        <f t="shared" si="36"/>
        <v>4</v>
      </c>
      <c r="CO470" s="238">
        <f t="shared" si="37"/>
        <v>4</v>
      </c>
    </row>
    <row r="471" spans="1:93" ht="13.95" customHeight="1" x14ac:dyDescent="0.2">
      <c r="A471" s="231">
        <v>6302</v>
      </c>
      <c r="B471" s="232" t="s">
        <v>848</v>
      </c>
      <c r="C471" s="232" t="s">
        <v>860</v>
      </c>
      <c r="D471" s="232" t="s">
        <v>861</v>
      </c>
      <c r="E471" s="232" t="s">
        <v>862</v>
      </c>
      <c r="F471" s="231">
        <v>525938</v>
      </c>
      <c r="G471" s="231">
        <v>173047</v>
      </c>
      <c r="H471" s="232" t="s">
        <v>179</v>
      </c>
      <c r="I471" s="233">
        <v>44389</v>
      </c>
      <c r="J471" s="231"/>
      <c r="K471" s="231">
        <v>0</v>
      </c>
      <c r="L471" s="231">
        <v>4</v>
      </c>
      <c r="M471" s="231">
        <v>4</v>
      </c>
      <c r="N471" s="231">
        <v>17</v>
      </c>
      <c r="O471" s="231">
        <v>17</v>
      </c>
      <c r="P471" s="234" t="s">
        <v>318</v>
      </c>
      <c r="Q471" s="232" t="s">
        <v>863</v>
      </c>
      <c r="R471" s="234" t="s">
        <v>864</v>
      </c>
      <c r="S471" s="235">
        <v>43553</v>
      </c>
      <c r="T471" s="235">
        <v>43672</v>
      </c>
      <c r="U471" s="234"/>
      <c r="V471" s="232" t="s">
        <v>865</v>
      </c>
      <c r="W471" s="233">
        <v>44134</v>
      </c>
      <c r="X471" s="232" t="s">
        <v>322</v>
      </c>
      <c r="Y471" s="232" t="s">
        <v>323</v>
      </c>
      <c r="Z471" s="232" t="s">
        <v>323</v>
      </c>
      <c r="AA471" s="232" t="s">
        <v>324</v>
      </c>
      <c r="AB471" s="236">
        <v>1.2999999999999999E-2</v>
      </c>
      <c r="AC471" s="235">
        <v>44389</v>
      </c>
      <c r="AD471" s="234"/>
      <c r="AE471" s="235"/>
      <c r="AF471" s="232" t="s">
        <v>56</v>
      </c>
      <c r="AG471" s="232" t="s">
        <v>345</v>
      </c>
      <c r="AH471" s="234" t="s">
        <v>317</v>
      </c>
      <c r="AI471" s="250"/>
      <c r="AJ471" s="234">
        <v>0</v>
      </c>
      <c r="AK471" s="234">
        <v>1</v>
      </c>
      <c r="AL471" s="224"/>
      <c r="AM471" s="224"/>
      <c r="AN471" s="234">
        <v>0</v>
      </c>
      <c r="AO471" s="234">
        <v>3</v>
      </c>
      <c r="AP471" s="234">
        <v>1</v>
      </c>
      <c r="AQ471" s="234">
        <v>0</v>
      </c>
      <c r="AR471" s="234">
        <v>0</v>
      </c>
      <c r="AS471" s="234">
        <v>0</v>
      </c>
      <c r="AT471" s="234">
        <v>0</v>
      </c>
      <c r="AU471" s="234">
        <v>0</v>
      </c>
      <c r="AV471" s="234">
        <v>3</v>
      </c>
      <c r="AW471" s="234">
        <v>1</v>
      </c>
      <c r="AX471" s="234">
        <v>0</v>
      </c>
      <c r="AY471" s="234">
        <v>0</v>
      </c>
      <c r="AZ471" s="234">
        <v>0</v>
      </c>
      <c r="BA471" s="234">
        <v>0</v>
      </c>
      <c r="BB471" s="234">
        <v>0</v>
      </c>
      <c r="BC471" s="234">
        <v>0</v>
      </c>
      <c r="BD471" s="234">
        <v>0</v>
      </c>
      <c r="BE471" s="234">
        <v>0</v>
      </c>
      <c r="BF471" s="234">
        <v>0</v>
      </c>
      <c r="BG471" s="234">
        <v>0</v>
      </c>
      <c r="BH471" s="234">
        <v>0</v>
      </c>
      <c r="BI471" s="234">
        <v>0</v>
      </c>
      <c r="BJ471" s="234">
        <v>0</v>
      </c>
      <c r="BK471" s="234">
        <v>0</v>
      </c>
      <c r="BL471" s="234">
        <v>0</v>
      </c>
      <c r="BM471" s="234">
        <v>0</v>
      </c>
      <c r="BN471" s="234">
        <v>0</v>
      </c>
      <c r="BO471" s="234">
        <v>0</v>
      </c>
      <c r="BP471" s="234"/>
      <c r="BQ471" s="234"/>
      <c r="BR471" s="237" t="s">
        <v>154</v>
      </c>
      <c r="BS471" s="238">
        <v>3</v>
      </c>
      <c r="BU471" s="239">
        <f t="shared" si="39"/>
        <v>4</v>
      </c>
      <c r="CN471" s="238">
        <f t="shared" si="36"/>
        <v>4</v>
      </c>
      <c r="CO471" s="238">
        <f t="shared" si="37"/>
        <v>4</v>
      </c>
    </row>
    <row r="472" spans="1:93" ht="13.95" customHeight="1" x14ac:dyDescent="0.2">
      <c r="A472" s="231">
        <v>6472</v>
      </c>
      <c r="B472" s="232" t="s">
        <v>848</v>
      </c>
      <c r="C472" s="232" t="s">
        <v>1468</v>
      </c>
      <c r="D472" s="232" t="s">
        <v>1469</v>
      </c>
      <c r="E472" s="232" t="s">
        <v>317</v>
      </c>
      <c r="F472" s="231">
        <v>527866</v>
      </c>
      <c r="G472" s="231">
        <v>171090</v>
      </c>
      <c r="H472" s="232" t="s">
        <v>166</v>
      </c>
      <c r="I472" s="233">
        <v>44986</v>
      </c>
      <c r="J472" s="231"/>
      <c r="K472" s="231">
        <v>0</v>
      </c>
      <c r="L472" s="231">
        <v>3</v>
      </c>
      <c r="M472" s="231">
        <v>3</v>
      </c>
      <c r="N472" s="231">
        <v>3</v>
      </c>
      <c r="O472" s="231">
        <v>3</v>
      </c>
      <c r="P472" s="234"/>
      <c r="Q472" s="232" t="s">
        <v>1470</v>
      </c>
      <c r="R472" s="234" t="s">
        <v>864</v>
      </c>
      <c r="S472" s="235">
        <v>44082</v>
      </c>
      <c r="T472" s="235">
        <v>44138</v>
      </c>
      <c r="U472" s="234"/>
      <c r="V472" s="232" t="s">
        <v>865</v>
      </c>
      <c r="W472" s="233">
        <v>44284</v>
      </c>
      <c r="X472" s="232" t="s">
        <v>322</v>
      </c>
      <c r="Y472" s="232" t="s">
        <v>323</v>
      </c>
      <c r="Z472" s="232" t="s">
        <v>324</v>
      </c>
      <c r="AA472" s="232" t="s">
        <v>349</v>
      </c>
      <c r="AB472" s="236">
        <v>1.2E-2</v>
      </c>
      <c r="AC472" s="235">
        <v>44986</v>
      </c>
      <c r="AD472" s="234" t="s">
        <v>318</v>
      </c>
      <c r="AE472" s="234"/>
      <c r="AF472" s="232" t="s">
        <v>77</v>
      </c>
      <c r="AG472" s="232" t="s">
        <v>350</v>
      </c>
      <c r="AH472" s="234" t="s">
        <v>317</v>
      </c>
      <c r="AI472" s="250"/>
      <c r="AJ472" s="234">
        <v>0</v>
      </c>
      <c r="AK472" s="224"/>
      <c r="AL472" s="234">
        <v>0</v>
      </c>
      <c r="AM472" s="224"/>
      <c r="AN472" s="234">
        <v>0</v>
      </c>
      <c r="AO472" s="234">
        <v>3</v>
      </c>
      <c r="AP472" s="234">
        <v>0</v>
      </c>
      <c r="AQ472" s="234">
        <v>0</v>
      </c>
      <c r="AR472" s="234">
        <v>0</v>
      </c>
      <c r="AS472" s="234">
        <v>0</v>
      </c>
      <c r="AT472" s="234">
        <v>0</v>
      </c>
      <c r="AU472" s="234">
        <v>0</v>
      </c>
      <c r="AV472" s="234">
        <v>3</v>
      </c>
      <c r="AW472" s="234">
        <v>0</v>
      </c>
      <c r="AX472" s="234">
        <v>0</v>
      </c>
      <c r="AY472" s="234">
        <v>0</v>
      </c>
      <c r="AZ472" s="234">
        <v>0</v>
      </c>
      <c r="BA472" s="234">
        <v>0</v>
      </c>
      <c r="BB472" s="234">
        <v>0</v>
      </c>
      <c r="BC472" s="234">
        <v>0</v>
      </c>
      <c r="BD472" s="234">
        <v>0</v>
      </c>
      <c r="BE472" s="234">
        <v>0</v>
      </c>
      <c r="BF472" s="234">
        <v>0</v>
      </c>
      <c r="BG472" s="234">
        <v>0</v>
      </c>
      <c r="BH472" s="234">
        <v>0</v>
      </c>
      <c r="BI472" s="234">
        <v>0</v>
      </c>
      <c r="BJ472" s="234">
        <v>0</v>
      </c>
      <c r="BK472" s="234">
        <v>0</v>
      </c>
      <c r="BL472" s="234">
        <v>0</v>
      </c>
      <c r="BM472" s="234">
        <v>0</v>
      </c>
      <c r="BN472" s="234">
        <v>0</v>
      </c>
      <c r="BO472" s="234">
        <v>0</v>
      </c>
      <c r="BP472" s="234" t="s">
        <v>144</v>
      </c>
      <c r="BQ472" s="234"/>
      <c r="BR472" s="237" t="s">
        <v>144</v>
      </c>
      <c r="BS472" s="238">
        <v>4</v>
      </c>
      <c r="BU472" s="239">
        <f>M472/2</f>
        <v>1.5</v>
      </c>
      <c r="BV472" s="239">
        <f>M472/2</f>
        <v>1.5</v>
      </c>
      <c r="CN472" s="238">
        <f t="shared" si="36"/>
        <v>3</v>
      </c>
      <c r="CO472" s="238">
        <f t="shared" si="37"/>
        <v>3</v>
      </c>
    </row>
    <row r="473" spans="1:93" ht="13.95" customHeight="1" x14ac:dyDescent="0.2">
      <c r="A473" s="231">
        <v>4964</v>
      </c>
      <c r="B473" s="232" t="s">
        <v>848</v>
      </c>
      <c r="C473" s="232" t="s">
        <v>1471</v>
      </c>
      <c r="D473" s="232" t="s">
        <v>1472</v>
      </c>
      <c r="E473" s="232" t="s">
        <v>317</v>
      </c>
      <c r="F473" s="231">
        <v>528166</v>
      </c>
      <c r="G473" s="231">
        <v>174896</v>
      </c>
      <c r="H473" s="232" t="s">
        <v>169</v>
      </c>
      <c r="I473" s="233">
        <v>45016</v>
      </c>
      <c r="J473" s="231"/>
      <c r="K473" s="231">
        <v>0</v>
      </c>
      <c r="L473" s="231">
        <v>1</v>
      </c>
      <c r="M473" s="231">
        <v>1</v>
      </c>
      <c r="N473" s="231">
        <v>1</v>
      </c>
      <c r="O473" s="231">
        <v>1</v>
      </c>
      <c r="P473" s="234"/>
      <c r="Q473" s="232" t="s">
        <v>1473</v>
      </c>
      <c r="R473" s="234" t="s">
        <v>864</v>
      </c>
      <c r="S473" s="235">
        <v>43969</v>
      </c>
      <c r="T473" s="235">
        <v>44005</v>
      </c>
      <c r="U473" s="234"/>
      <c r="V473" s="232" t="s">
        <v>865</v>
      </c>
      <c r="W473" s="233">
        <v>44463</v>
      </c>
      <c r="X473" s="232" t="s">
        <v>322</v>
      </c>
      <c r="Y473" s="232" t="s">
        <v>339</v>
      </c>
      <c r="Z473" s="232" t="s">
        <v>324</v>
      </c>
      <c r="AA473" s="232" t="s">
        <v>411</v>
      </c>
      <c r="AB473" s="236">
        <v>8.0000000000000002E-3</v>
      </c>
      <c r="AC473" s="235">
        <v>45016</v>
      </c>
      <c r="AD473" s="234" t="s">
        <v>318</v>
      </c>
      <c r="AE473" s="234"/>
      <c r="AF473" s="232" t="s">
        <v>77</v>
      </c>
      <c r="AG473" s="232" t="s">
        <v>350</v>
      </c>
      <c r="AH473" s="234" t="s">
        <v>317</v>
      </c>
      <c r="AI473" s="250"/>
      <c r="AJ473" s="234">
        <v>0</v>
      </c>
      <c r="AK473" s="224"/>
      <c r="AL473" s="234">
        <v>0</v>
      </c>
      <c r="AM473" s="224"/>
      <c r="AN473" s="234">
        <v>0</v>
      </c>
      <c r="AO473" s="234">
        <v>1</v>
      </c>
      <c r="AP473" s="234">
        <v>0</v>
      </c>
      <c r="AQ473" s="234">
        <v>0</v>
      </c>
      <c r="AR473" s="234">
        <v>0</v>
      </c>
      <c r="AS473" s="234">
        <v>0</v>
      </c>
      <c r="AT473" s="234">
        <v>0</v>
      </c>
      <c r="AU473" s="234">
        <v>0</v>
      </c>
      <c r="AV473" s="234">
        <v>1</v>
      </c>
      <c r="AW473" s="234">
        <v>0</v>
      </c>
      <c r="AX473" s="234">
        <v>0</v>
      </c>
      <c r="AY473" s="234">
        <v>0</v>
      </c>
      <c r="AZ473" s="234">
        <v>0</v>
      </c>
      <c r="BA473" s="234">
        <v>0</v>
      </c>
      <c r="BB473" s="234">
        <v>0</v>
      </c>
      <c r="BC473" s="234">
        <v>0</v>
      </c>
      <c r="BD473" s="234">
        <v>0</v>
      </c>
      <c r="BE473" s="234">
        <v>0</v>
      </c>
      <c r="BF473" s="234">
        <v>0</v>
      </c>
      <c r="BG473" s="234">
        <v>0</v>
      </c>
      <c r="BH473" s="234">
        <v>0</v>
      </c>
      <c r="BI473" s="234">
        <v>0</v>
      </c>
      <c r="BJ473" s="234">
        <v>0</v>
      </c>
      <c r="BK473" s="234">
        <v>0</v>
      </c>
      <c r="BL473" s="234">
        <v>0</v>
      </c>
      <c r="BM473" s="234">
        <v>0</v>
      </c>
      <c r="BN473" s="234">
        <v>0</v>
      </c>
      <c r="BO473" s="234">
        <v>0</v>
      </c>
      <c r="BP473" s="234"/>
      <c r="BQ473" s="234"/>
      <c r="BR473" s="237" t="s">
        <v>334</v>
      </c>
      <c r="BS473" s="238">
        <v>14</v>
      </c>
      <c r="BU473" s="239">
        <f>M473/2</f>
        <v>0.5</v>
      </c>
      <c r="BV473" s="239">
        <f>M473/2</f>
        <v>0.5</v>
      </c>
      <c r="CN473" s="238">
        <f t="shared" si="36"/>
        <v>1</v>
      </c>
      <c r="CO473" s="238">
        <f t="shared" si="37"/>
        <v>1</v>
      </c>
    </row>
    <row r="474" spans="1:93" ht="13.95" customHeight="1" x14ac:dyDescent="0.2">
      <c r="A474" s="255">
        <v>2502</v>
      </c>
      <c r="B474" s="257" t="s">
        <v>822</v>
      </c>
      <c r="C474" s="257" t="s">
        <v>1474</v>
      </c>
      <c r="D474" s="257" t="s">
        <v>829</v>
      </c>
      <c r="E474" s="257" t="s">
        <v>317</v>
      </c>
      <c r="F474" s="255">
        <v>527221</v>
      </c>
      <c r="G474" s="255">
        <v>172443</v>
      </c>
      <c r="H474" s="257" t="s">
        <v>180</v>
      </c>
      <c r="I474" s="259">
        <v>42244</v>
      </c>
      <c r="J474" s="255"/>
      <c r="K474" s="255">
        <v>0</v>
      </c>
      <c r="L474" s="255">
        <v>145</v>
      </c>
      <c r="M474" s="255">
        <v>145</v>
      </c>
      <c r="N474" s="255">
        <v>839</v>
      </c>
      <c r="O474" s="255">
        <v>839</v>
      </c>
      <c r="P474" s="261" t="s">
        <v>318</v>
      </c>
      <c r="Q474" s="257" t="s">
        <v>1475</v>
      </c>
      <c r="R474" s="261" t="s">
        <v>864</v>
      </c>
      <c r="S474" s="263">
        <v>40431</v>
      </c>
      <c r="T474" s="263">
        <v>40587</v>
      </c>
      <c r="U474" s="261"/>
      <c r="V474" s="257" t="s">
        <v>865</v>
      </c>
      <c r="W474" s="259">
        <v>41082</v>
      </c>
      <c r="X474" s="257" t="s">
        <v>322</v>
      </c>
      <c r="Y474" s="257" t="s">
        <v>338</v>
      </c>
      <c r="Z474" s="257" t="s">
        <v>323</v>
      </c>
      <c r="AA474" s="257" t="s">
        <v>324</v>
      </c>
      <c r="AB474" s="265">
        <v>5.7229999999999999</v>
      </c>
      <c r="AC474" s="263"/>
      <c r="AD474" s="261"/>
      <c r="AE474" s="261"/>
      <c r="AF474" s="257" t="s">
        <v>77</v>
      </c>
      <c r="AG474" s="257" t="s">
        <v>350</v>
      </c>
      <c r="AH474" s="261" t="s">
        <v>832</v>
      </c>
      <c r="AJ474" s="261">
        <v>409</v>
      </c>
      <c r="AK474" s="224"/>
      <c r="AL474" s="261">
        <v>40</v>
      </c>
      <c r="AM474" s="224"/>
      <c r="AN474" s="261">
        <v>0</v>
      </c>
      <c r="AO474" s="261">
        <v>0</v>
      </c>
      <c r="AP474" s="261">
        <v>0</v>
      </c>
      <c r="AQ474" s="261">
        <v>0</v>
      </c>
      <c r="AR474" s="261">
        <v>0</v>
      </c>
      <c r="AS474" s="261">
        <v>0</v>
      </c>
      <c r="AT474" s="261">
        <v>145</v>
      </c>
      <c r="AU474" s="261">
        <v>0</v>
      </c>
      <c r="AV474" s="261">
        <v>0</v>
      </c>
      <c r="AW474" s="261">
        <v>0</v>
      </c>
      <c r="AX474" s="261">
        <v>0</v>
      </c>
      <c r="AY474" s="261">
        <v>0</v>
      </c>
      <c r="AZ474" s="261">
        <v>0</v>
      </c>
      <c r="BA474" s="261">
        <v>0</v>
      </c>
      <c r="BB474" s="261">
        <v>0</v>
      </c>
      <c r="BC474" s="261">
        <v>0</v>
      </c>
      <c r="BD474" s="261">
        <v>0</v>
      </c>
      <c r="BE474" s="261">
        <v>0</v>
      </c>
      <c r="BF474" s="261">
        <v>0</v>
      </c>
      <c r="BG474" s="261">
        <v>0</v>
      </c>
      <c r="BH474" s="261">
        <v>145</v>
      </c>
      <c r="BI474" s="261">
        <v>0</v>
      </c>
      <c r="BJ474" s="261">
        <v>0</v>
      </c>
      <c r="BK474" s="261">
        <v>0</v>
      </c>
      <c r="BL474" s="261">
        <v>0</v>
      </c>
      <c r="BM474" s="261">
        <v>0</v>
      </c>
      <c r="BN474" s="261">
        <v>0</v>
      </c>
      <c r="BO474" s="261">
        <v>0</v>
      </c>
      <c r="BP474" s="261"/>
      <c r="BQ474" s="261"/>
      <c r="BR474" s="237" t="s">
        <v>334</v>
      </c>
      <c r="BS474" s="238">
        <v>17</v>
      </c>
      <c r="BZ474" s="239">
        <f t="shared" ref="BZ474:BZ479" si="40">M474/4</f>
        <v>36.25</v>
      </c>
      <c r="CA474" s="239">
        <f t="shared" ref="CA474:CA479" si="41">M474/4</f>
        <v>36.25</v>
      </c>
      <c r="CB474" s="239">
        <f t="shared" ref="CB474:CB479" si="42">M474/4</f>
        <v>36.25</v>
      </c>
      <c r="CC474" s="239">
        <f t="shared" ref="CC474:CC479" si="43">M474/4</f>
        <v>36.25</v>
      </c>
      <c r="CN474" s="238">
        <f t="shared" si="36"/>
        <v>0</v>
      </c>
      <c r="CO474" s="238">
        <f t="shared" si="37"/>
        <v>145</v>
      </c>
    </row>
    <row r="475" spans="1:93" ht="13.95" customHeight="1" x14ac:dyDescent="0.2">
      <c r="A475" s="231">
        <v>2502</v>
      </c>
      <c r="B475" s="232" t="s">
        <v>822</v>
      </c>
      <c r="C475" s="232" t="s">
        <v>1474</v>
      </c>
      <c r="D475" s="232" t="s">
        <v>829</v>
      </c>
      <c r="E475" s="232" t="s">
        <v>317</v>
      </c>
      <c r="F475" s="231">
        <v>527221</v>
      </c>
      <c r="G475" s="231">
        <v>172443</v>
      </c>
      <c r="H475" s="232" t="s">
        <v>180</v>
      </c>
      <c r="I475" s="233">
        <v>42244</v>
      </c>
      <c r="J475" s="231"/>
      <c r="K475" s="231">
        <v>0</v>
      </c>
      <c r="L475" s="231">
        <v>110</v>
      </c>
      <c r="M475" s="231">
        <v>110</v>
      </c>
      <c r="N475" s="231">
        <v>839</v>
      </c>
      <c r="O475" s="231">
        <v>839</v>
      </c>
      <c r="P475" s="234" t="s">
        <v>318</v>
      </c>
      <c r="Q475" s="232" t="s">
        <v>1475</v>
      </c>
      <c r="R475" s="234" t="s">
        <v>864</v>
      </c>
      <c r="S475" s="235">
        <v>40431</v>
      </c>
      <c r="T475" s="235">
        <v>40587</v>
      </c>
      <c r="U475" s="234"/>
      <c r="V475" s="232" t="s">
        <v>865</v>
      </c>
      <c r="W475" s="233">
        <v>41082</v>
      </c>
      <c r="X475" s="232" t="s">
        <v>322</v>
      </c>
      <c r="Y475" s="232" t="s">
        <v>338</v>
      </c>
      <c r="Z475" s="232" t="s">
        <v>843</v>
      </c>
      <c r="AA475" s="232" t="s">
        <v>324</v>
      </c>
      <c r="AB475" s="236">
        <v>3.6659999999999999</v>
      </c>
      <c r="AC475" s="235"/>
      <c r="AD475" s="234"/>
      <c r="AE475" s="234"/>
      <c r="AF475" s="232" t="s">
        <v>77</v>
      </c>
      <c r="AG475" s="232" t="s">
        <v>350</v>
      </c>
      <c r="AH475" s="234" t="s">
        <v>832</v>
      </c>
      <c r="AJ475" s="234">
        <v>262</v>
      </c>
      <c r="AK475" s="224"/>
      <c r="AL475" s="234">
        <v>26</v>
      </c>
      <c r="AM475" s="224"/>
      <c r="AN475" s="234">
        <v>0</v>
      </c>
      <c r="AO475" s="234">
        <v>0</v>
      </c>
      <c r="AP475" s="234">
        <v>0</v>
      </c>
      <c r="AQ475" s="234">
        <v>0</v>
      </c>
      <c r="AR475" s="234">
        <v>0</v>
      </c>
      <c r="AS475" s="234">
        <v>0</v>
      </c>
      <c r="AT475" s="234">
        <v>110</v>
      </c>
      <c r="AU475" s="234">
        <v>0</v>
      </c>
      <c r="AV475" s="234">
        <v>0</v>
      </c>
      <c r="AW475" s="234">
        <v>0</v>
      </c>
      <c r="AX475" s="234">
        <v>0</v>
      </c>
      <c r="AY475" s="234">
        <v>0</v>
      </c>
      <c r="AZ475" s="234">
        <v>0</v>
      </c>
      <c r="BA475" s="234">
        <v>109</v>
      </c>
      <c r="BB475" s="234">
        <v>0</v>
      </c>
      <c r="BC475" s="234">
        <v>0</v>
      </c>
      <c r="BD475" s="234">
        <v>0</v>
      </c>
      <c r="BE475" s="234">
        <v>0</v>
      </c>
      <c r="BF475" s="234">
        <v>0</v>
      </c>
      <c r="BG475" s="234">
        <v>0</v>
      </c>
      <c r="BH475" s="234">
        <v>1</v>
      </c>
      <c r="BI475" s="234">
        <v>0</v>
      </c>
      <c r="BJ475" s="234">
        <v>0</v>
      </c>
      <c r="BK475" s="234">
        <v>0</v>
      </c>
      <c r="BL475" s="234">
        <v>0</v>
      </c>
      <c r="BM475" s="234">
        <v>0</v>
      </c>
      <c r="BN475" s="234">
        <v>0</v>
      </c>
      <c r="BO475" s="234">
        <v>0</v>
      </c>
      <c r="BP475" s="234"/>
      <c r="BQ475" s="234"/>
      <c r="BR475" s="237" t="s">
        <v>334</v>
      </c>
      <c r="BS475" s="238">
        <v>17</v>
      </c>
      <c r="BZ475" s="239">
        <f t="shared" si="40"/>
        <v>27.5</v>
      </c>
      <c r="CA475" s="239">
        <f t="shared" si="41"/>
        <v>27.5</v>
      </c>
      <c r="CB475" s="239">
        <f t="shared" si="42"/>
        <v>27.5</v>
      </c>
      <c r="CC475" s="239">
        <f t="shared" si="43"/>
        <v>27.5</v>
      </c>
      <c r="CN475" s="238">
        <f t="shared" si="36"/>
        <v>0</v>
      </c>
      <c r="CO475" s="238">
        <f t="shared" si="37"/>
        <v>110</v>
      </c>
    </row>
    <row r="476" spans="1:93" ht="13.95" customHeight="1" x14ac:dyDescent="0.2">
      <c r="A476" s="231">
        <v>2502</v>
      </c>
      <c r="B476" s="232" t="s">
        <v>822</v>
      </c>
      <c r="C476" s="232" t="s">
        <v>1474</v>
      </c>
      <c r="D476" s="232" t="s">
        <v>829</v>
      </c>
      <c r="E476" s="232" t="s">
        <v>317</v>
      </c>
      <c r="F476" s="231">
        <v>527221</v>
      </c>
      <c r="G476" s="231">
        <v>172443</v>
      </c>
      <c r="H476" s="232" t="s">
        <v>180</v>
      </c>
      <c r="I476" s="233">
        <v>42244</v>
      </c>
      <c r="J476" s="231"/>
      <c r="K476" s="231">
        <v>0</v>
      </c>
      <c r="L476" s="231">
        <v>37</v>
      </c>
      <c r="M476" s="231">
        <v>37</v>
      </c>
      <c r="N476" s="231">
        <v>839</v>
      </c>
      <c r="O476" s="231">
        <v>839</v>
      </c>
      <c r="P476" s="234" t="s">
        <v>318</v>
      </c>
      <c r="Q476" s="232" t="s">
        <v>1475</v>
      </c>
      <c r="R476" s="234" t="s">
        <v>864</v>
      </c>
      <c r="S476" s="235">
        <v>40431</v>
      </c>
      <c r="T476" s="235">
        <v>40587</v>
      </c>
      <c r="U476" s="234"/>
      <c r="V476" s="232" t="s">
        <v>865</v>
      </c>
      <c r="W476" s="233">
        <v>41082</v>
      </c>
      <c r="X476" s="232" t="s">
        <v>322</v>
      </c>
      <c r="Y476" s="232" t="s">
        <v>338</v>
      </c>
      <c r="Z476" s="232" t="s">
        <v>323</v>
      </c>
      <c r="AA476" s="232" t="s">
        <v>324</v>
      </c>
      <c r="AB476" s="236">
        <v>0.96599999999999997</v>
      </c>
      <c r="AC476" s="235"/>
      <c r="AD476" s="234"/>
      <c r="AE476" s="234"/>
      <c r="AF476" s="232" t="s">
        <v>57</v>
      </c>
      <c r="AG476" s="232" t="s">
        <v>470</v>
      </c>
      <c r="AH476" s="234" t="s">
        <v>832</v>
      </c>
      <c r="AJ476" s="234">
        <v>69</v>
      </c>
      <c r="AK476" s="224"/>
      <c r="AL476" s="234">
        <v>6</v>
      </c>
      <c r="AM476" s="224"/>
      <c r="AN476" s="234">
        <v>0</v>
      </c>
      <c r="AO476" s="234">
        <v>0</v>
      </c>
      <c r="AP476" s="234">
        <v>0</v>
      </c>
      <c r="AQ476" s="234">
        <v>0</v>
      </c>
      <c r="AR476" s="234">
        <v>0</v>
      </c>
      <c r="AS476" s="234">
        <v>0</v>
      </c>
      <c r="AT476" s="234">
        <v>37</v>
      </c>
      <c r="AU476" s="234">
        <v>0</v>
      </c>
      <c r="AV476" s="234">
        <v>0</v>
      </c>
      <c r="AW476" s="234">
        <v>0</v>
      </c>
      <c r="AX476" s="234">
        <v>0</v>
      </c>
      <c r="AY476" s="234">
        <v>0</v>
      </c>
      <c r="AZ476" s="234">
        <v>0</v>
      </c>
      <c r="BA476" s="234">
        <v>0</v>
      </c>
      <c r="BB476" s="234">
        <v>0</v>
      </c>
      <c r="BC476" s="234">
        <v>0</v>
      </c>
      <c r="BD476" s="234">
        <v>0</v>
      </c>
      <c r="BE476" s="234">
        <v>0</v>
      </c>
      <c r="BF476" s="234">
        <v>0</v>
      </c>
      <c r="BG476" s="234">
        <v>0</v>
      </c>
      <c r="BH476" s="234">
        <v>37</v>
      </c>
      <c r="BI476" s="234">
        <v>0</v>
      </c>
      <c r="BJ476" s="234">
        <v>0</v>
      </c>
      <c r="BK476" s="234">
        <v>0</v>
      </c>
      <c r="BL476" s="234">
        <v>0</v>
      </c>
      <c r="BM476" s="234">
        <v>0</v>
      </c>
      <c r="BN476" s="234">
        <v>0</v>
      </c>
      <c r="BO476" s="234">
        <v>0</v>
      </c>
      <c r="BP476" s="234"/>
      <c r="BQ476" s="234"/>
      <c r="BR476" s="237" t="s">
        <v>334</v>
      </c>
      <c r="BS476" s="238">
        <v>17</v>
      </c>
      <c r="BZ476" s="239">
        <f t="shared" si="40"/>
        <v>9.25</v>
      </c>
      <c r="CA476" s="239">
        <f t="shared" si="41"/>
        <v>9.25</v>
      </c>
      <c r="CB476" s="239">
        <f t="shared" si="42"/>
        <v>9.25</v>
      </c>
      <c r="CC476" s="239">
        <f t="shared" si="43"/>
        <v>9.25</v>
      </c>
      <c r="CN476" s="238">
        <f t="shared" si="36"/>
        <v>0</v>
      </c>
      <c r="CO476" s="238">
        <f t="shared" si="37"/>
        <v>37</v>
      </c>
    </row>
    <row r="477" spans="1:93" ht="13.95" customHeight="1" x14ac:dyDescent="0.2">
      <c r="A477" s="231">
        <v>2502</v>
      </c>
      <c r="B477" s="232" t="s">
        <v>822</v>
      </c>
      <c r="C477" s="232" t="s">
        <v>1474</v>
      </c>
      <c r="D477" s="232" t="s">
        <v>829</v>
      </c>
      <c r="E477" s="232" t="s">
        <v>317</v>
      </c>
      <c r="F477" s="231">
        <v>527221</v>
      </c>
      <c r="G477" s="231">
        <v>172443</v>
      </c>
      <c r="H477" s="232" t="s">
        <v>180</v>
      </c>
      <c r="I477" s="233">
        <v>42244</v>
      </c>
      <c r="J477" s="231"/>
      <c r="K477" s="231">
        <v>0</v>
      </c>
      <c r="L477" s="231">
        <v>15</v>
      </c>
      <c r="M477" s="231">
        <v>15</v>
      </c>
      <c r="N477" s="231">
        <v>839</v>
      </c>
      <c r="O477" s="231">
        <v>839</v>
      </c>
      <c r="P477" s="234" t="s">
        <v>318</v>
      </c>
      <c r="Q477" s="232" t="s">
        <v>1475</v>
      </c>
      <c r="R477" s="234" t="s">
        <v>864</v>
      </c>
      <c r="S477" s="235">
        <v>40431</v>
      </c>
      <c r="T477" s="235">
        <v>40587</v>
      </c>
      <c r="U477" s="234"/>
      <c r="V477" s="232" t="s">
        <v>865</v>
      </c>
      <c r="W477" s="233">
        <v>41082</v>
      </c>
      <c r="X477" s="232" t="s">
        <v>322</v>
      </c>
      <c r="Y477" s="232" t="s">
        <v>338</v>
      </c>
      <c r="Z477" s="232" t="s">
        <v>323</v>
      </c>
      <c r="AA477" s="232" t="s">
        <v>324</v>
      </c>
      <c r="AB477" s="236">
        <v>0.60199999999999998</v>
      </c>
      <c r="AC477" s="235"/>
      <c r="AD477" s="234"/>
      <c r="AE477" s="234"/>
      <c r="AF477" s="232" t="s">
        <v>56</v>
      </c>
      <c r="AG477" s="232" t="s">
        <v>345</v>
      </c>
      <c r="AH477" s="234" t="s">
        <v>832</v>
      </c>
      <c r="AJ477" s="234">
        <v>43</v>
      </c>
      <c r="AK477" s="224"/>
      <c r="AL477" s="234">
        <v>4</v>
      </c>
      <c r="AM477" s="224"/>
      <c r="AN477" s="234">
        <v>0</v>
      </c>
      <c r="AO477" s="234">
        <v>0</v>
      </c>
      <c r="AP477" s="234">
        <v>0</v>
      </c>
      <c r="AQ477" s="234">
        <v>0</v>
      </c>
      <c r="AR477" s="234">
        <v>0</v>
      </c>
      <c r="AS477" s="234">
        <v>0</v>
      </c>
      <c r="AT477" s="234">
        <v>15</v>
      </c>
      <c r="AU477" s="234">
        <v>0</v>
      </c>
      <c r="AV477" s="234">
        <v>0</v>
      </c>
      <c r="AW477" s="234">
        <v>0</v>
      </c>
      <c r="AX477" s="234">
        <v>0</v>
      </c>
      <c r="AY477" s="234">
        <v>0</v>
      </c>
      <c r="AZ477" s="234">
        <v>0</v>
      </c>
      <c r="BA477" s="234">
        <v>14</v>
      </c>
      <c r="BB477" s="234">
        <v>0</v>
      </c>
      <c r="BC477" s="234">
        <v>0</v>
      </c>
      <c r="BD477" s="234">
        <v>0</v>
      </c>
      <c r="BE477" s="234">
        <v>0</v>
      </c>
      <c r="BF477" s="234">
        <v>0</v>
      </c>
      <c r="BG477" s="234">
        <v>0</v>
      </c>
      <c r="BH477" s="234">
        <v>1</v>
      </c>
      <c r="BI477" s="234">
        <v>0</v>
      </c>
      <c r="BJ477" s="234">
        <v>0</v>
      </c>
      <c r="BK477" s="234">
        <v>0</v>
      </c>
      <c r="BL477" s="234">
        <v>0</v>
      </c>
      <c r="BM477" s="234">
        <v>0</v>
      </c>
      <c r="BN477" s="234">
        <v>0</v>
      </c>
      <c r="BO477" s="234">
        <v>0</v>
      </c>
      <c r="BP477" s="234"/>
      <c r="BQ477" s="234"/>
      <c r="BR477" s="237" t="s">
        <v>334</v>
      </c>
      <c r="BS477" s="238">
        <v>17</v>
      </c>
      <c r="BZ477" s="239">
        <f t="shared" si="40"/>
        <v>3.75</v>
      </c>
      <c r="CA477" s="239">
        <f t="shared" si="41"/>
        <v>3.75</v>
      </c>
      <c r="CB477" s="239">
        <f t="shared" si="42"/>
        <v>3.75</v>
      </c>
      <c r="CC477" s="239">
        <f t="shared" si="43"/>
        <v>3.75</v>
      </c>
      <c r="CN477" s="238">
        <f t="shared" si="36"/>
        <v>0</v>
      </c>
      <c r="CO477" s="238">
        <f t="shared" si="37"/>
        <v>15</v>
      </c>
    </row>
    <row r="478" spans="1:93" ht="13.95" customHeight="1" x14ac:dyDescent="0.2">
      <c r="A478" s="231">
        <v>2502</v>
      </c>
      <c r="B478" s="232" t="s">
        <v>822</v>
      </c>
      <c r="C478" s="232" t="s">
        <v>1474</v>
      </c>
      <c r="D478" s="232" t="s">
        <v>829</v>
      </c>
      <c r="E478" s="232" t="s">
        <v>1476</v>
      </c>
      <c r="F478" s="231">
        <v>527221</v>
      </c>
      <c r="G478" s="231">
        <v>172443</v>
      </c>
      <c r="H478" s="232" t="s">
        <v>180</v>
      </c>
      <c r="I478" s="233">
        <v>42244</v>
      </c>
      <c r="J478" s="231"/>
      <c r="K478" s="231">
        <v>0</v>
      </c>
      <c r="L478" s="231">
        <v>46</v>
      </c>
      <c r="M478" s="231">
        <v>46</v>
      </c>
      <c r="N478" s="231">
        <v>839</v>
      </c>
      <c r="O478" s="231">
        <v>839</v>
      </c>
      <c r="P478" s="234" t="s">
        <v>318</v>
      </c>
      <c r="Q478" s="232" t="s">
        <v>1475</v>
      </c>
      <c r="R478" s="234" t="s">
        <v>864</v>
      </c>
      <c r="S478" s="235">
        <v>40431</v>
      </c>
      <c r="T478" s="235">
        <v>40587</v>
      </c>
      <c r="U478" s="234"/>
      <c r="V478" s="232" t="s">
        <v>865</v>
      </c>
      <c r="W478" s="233">
        <v>41082</v>
      </c>
      <c r="X478" s="232" t="s">
        <v>322</v>
      </c>
      <c r="Y478" s="232" t="s">
        <v>338</v>
      </c>
      <c r="Z478" s="232" t="s">
        <v>323</v>
      </c>
      <c r="AA478" s="232" t="s">
        <v>324</v>
      </c>
      <c r="AB478" s="236">
        <v>0.64400000000000002</v>
      </c>
      <c r="AC478" s="235"/>
      <c r="AD478" s="234"/>
      <c r="AE478" s="234"/>
      <c r="AF478" s="232" t="s">
        <v>57</v>
      </c>
      <c r="AG478" s="232" t="s">
        <v>333</v>
      </c>
      <c r="AH478" s="234" t="s">
        <v>832</v>
      </c>
      <c r="AJ478" s="234">
        <v>46</v>
      </c>
      <c r="AK478" s="224"/>
      <c r="AL478" s="234">
        <v>4</v>
      </c>
      <c r="AM478" s="224"/>
      <c r="AN478" s="234">
        <v>0</v>
      </c>
      <c r="AO478" s="234">
        <v>40</v>
      </c>
      <c r="AP478" s="234">
        <v>6</v>
      </c>
      <c r="AQ478" s="234">
        <v>0</v>
      </c>
      <c r="AR478" s="234">
        <v>0</v>
      </c>
      <c r="AS478" s="234">
        <v>0</v>
      </c>
      <c r="AT478" s="234">
        <v>0</v>
      </c>
      <c r="AU478" s="234">
        <v>0</v>
      </c>
      <c r="AV478" s="234">
        <v>40</v>
      </c>
      <c r="AW478" s="234">
        <v>6</v>
      </c>
      <c r="AX478" s="234">
        <v>0</v>
      </c>
      <c r="AY478" s="234">
        <v>0</v>
      </c>
      <c r="AZ478" s="234">
        <v>0</v>
      </c>
      <c r="BA478" s="234">
        <v>0</v>
      </c>
      <c r="BB478" s="234">
        <v>0</v>
      </c>
      <c r="BC478" s="234">
        <v>0</v>
      </c>
      <c r="BD478" s="234">
        <v>0</v>
      </c>
      <c r="BE478" s="234">
        <v>0</v>
      </c>
      <c r="BF478" s="234">
        <v>0</v>
      </c>
      <c r="BG478" s="234">
        <v>0</v>
      </c>
      <c r="BH478" s="234">
        <v>0</v>
      </c>
      <c r="BI478" s="234">
        <v>0</v>
      </c>
      <c r="BJ478" s="234">
        <v>0</v>
      </c>
      <c r="BK478" s="234">
        <v>0</v>
      </c>
      <c r="BL478" s="234">
        <v>0</v>
      </c>
      <c r="BM478" s="234">
        <v>0</v>
      </c>
      <c r="BN478" s="234">
        <v>0</v>
      </c>
      <c r="BO478" s="234">
        <v>0</v>
      </c>
      <c r="BP478" s="234"/>
      <c r="BQ478" s="234"/>
      <c r="BR478" s="237" t="s">
        <v>334</v>
      </c>
      <c r="BS478" s="238">
        <v>17</v>
      </c>
      <c r="BZ478" s="239">
        <f t="shared" si="40"/>
        <v>11.5</v>
      </c>
      <c r="CA478" s="239">
        <f t="shared" si="41"/>
        <v>11.5</v>
      </c>
      <c r="CB478" s="239">
        <f t="shared" si="42"/>
        <v>11.5</v>
      </c>
      <c r="CC478" s="239">
        <f t="shared" si="43"/>
        <v>11.5</v>
      </c>
      <c r="CN478" s="238">
        <f t="shared" si="36"/>
        <v>0</v>
      </c>
      <c r="CO478" s="238">
        <f t="shared" si="37"/>
        <v>46</v>
      </c>
    </row>
    <row r="479" spans="1:93" ht="13.95" customHeight="1" x14ac:dyDescent="0.2">
      <c r="A479" s="231">
        <v>2502</v>
      </c>
      <c r="B479" s="232" t="s">
        <v>822</v>
      </c>
      <c r="C479" s="232" t="s">
        <v>1474</v>
      </c>
      <c r="D479" s="232" t="s">
        <v>829</v>
      </c>
      <c r="E479" s="232" t="s">
        <v>1477</v>
      </c>
      <c r="F479" s="231">
        <v>527221</v>
      </c>
      <c r="G479" s="231">
        <v>172443</v>
      </c>
      <c r="H479" s="232" t="s">
        <v>180</v>
      </c>
      <c r="I479" s="233">
        <v>42244</v>
      </c>
      <c r="J479" s="231"/>
      <c r="K479" s="231">
        <v>0</v>
      </c>
      <c r="L479" s="231">
        <v>10</v>
      </c>
      <c r="M479" s="231">
        <v>10</v>
      </c>
      <c r="N479" s="231">
        <v>839</v>
      </c>
      <c r="O479" s="231">
        <v>839</v>
      </c>
      <c r="P479" s="234" t="s">
        <v>318</v>
      </c>
      <c r="Q479" s="232" t="s">
        <v>1475</v>
      </c>
      <c r="R479" s="234" t="s">
        <v>864</v>
      </c>
      <c r="S479" s="235">
        <v>40431</v>
      </c>
      <c r="T479" s="235">
        <v>40587</v>
      </c>
      <c r="U479" s="234"/>
      <c r="V479" s="232" t="s">
        <v>865</v>
      </c>
      <c r="W479" s="233">
        <v>41082</v>
      </c>
      <c r="X479" s="232" t="s">
        <v>322</v>
      </c>
      <c r="Y479" s="232" t="s">
        <v>338</v>
      </c>
      <c r="Z479" s="232" t="s">
        <v>323</v>
      </c>
      <c r="AA479" s="232" t="s">
        <v>324</v>
      </c>
      <c r="AB479" s="236">
        <v>1.4E-2</v>
      </c>
      <c r="AC479" s="235"/>
      <c r="AD479" s="234"/>
      <c r="AE479" s="234"/>
      <c r="AF479" s="232" t="s">
        <v>57</v>
      </c>
      <c r="AG479" s="232" t="s">
        <v>470</v>
      </c>
      <c r="AH479" s="234" t="s">
        <v>832</v>
      </c>
      <c r="AJ479" s="234">
        <v>10</v>
      </c>
      <c r="AK479" s="224"/>
      <c r="AL479" s="234">
        <v>1</v>
      </c>
      <c r="AM479" s="224"/>
      <c r="AN479" s="234">
        <v>0</v>
      </c>
      <c r="AO479" s="234">
        <v>10</v>
      </c>
      <c r="AP479" s="234">
        <v>0</v>
      </c>
      <c r="AQ479" s="234">
        <v>0</v>
      </c>
      <c r="AR479" s="234">
        <v>0</v>
      </c>
      <c r="AS479" s="234">
        <v>0</v>
      </c>
      <c r="AT479" s="234">
        <v>0</v>
      </c>
      <c r="AU479" s="234">
        <v>0</v>
      </c>
      <c r="AV479" s="234">
        <v>10</v>
      </c>
      <c r="AW479" s="234">
        <v>0</v>
      </c>
      <c r="AX479" s="234">
        <v>0</v>
      </c>
      <c r="AY479" s="234">
        <v>0</v>
      </c>
      <c r="AZ479" s="234">
        <v>0</v>
      </c>
      <c r="BA479" s="234">
        <v>0</v>
      </c>
      <c r="BB479" s="234">
        <v>0</v>
      </c>
      <c r="BC479" s="234">
        <v>0</v>
      </c>
      <c r="BD479" s="234">
        <v>0</v>
      </c>
      <c r="BE479" s="234">
        <v>0</v>
      </c>
      <c r="BF479" s="234">
        <v>0</v>
      </c>
      <c r="BG479" s="234">
        <v>0</v>
      </c>
      <c r="BH479" s="234">
        <v>0</v>
      </c>
      <c r="BI479" s="234">
        <v>0</v>
      </c>
      <c r="BJ479" s="234">
        <v>0</v>
      </c>
      <c r="BK479" s="234">
        <v>0</v>
      </c>
      <c r="BL479" s="234">
        <v>0</v>
      </c>
      <c r="BM479" s="234">
        <v>0</v>
      </c>
      <c r="BN479" s="234">
        <v>0</v>
      </c>
      <c r="BO479" s="234">
        <v>0</v>
      </c>
      <c r="BP479" s="234"/>
      <c r="BQ479" s="234"/>
      <c r="BR479" s="237" t="s">
        <v>334</v>
      </c>
      <c r="BS479" s="238">
        <v>17</v>
      </c>
      <c r="BZ479" s="239">
        <f t="shared" si="40"/>
        <v>2.5</v>
      </c>
      <c r="CA479" s="239">
        <f t="shared" si="41"/>
        <v>2.5</v>
      </c>
      <c r="CB479" s="239">
        <f t="shared" si="42"/>
        <v>2.5</v>
      </c>
      <c r="CC479" s="239">
        <f t="shared" si="43"/>
        <v>2.5</v>
      </c>
      <c r="CN479" s="238">
        <f t="shared" si="36"/>
        <v>0</v>
      </c>
      <c r="CO479" s="238">
        <f t="shared" si="37"/>
        <v>10</v>
      </c>
    </row>
    <row r="480" spans="1:93" ht="13.95" customHeight="1" x14ac:dyDescent="0.2">
      <c r="A480" s="254">
        <v>6419</v>
      </c>
      <c r="B480" s="256" t="s">
        <v>822</v>
      </c>
      <c r="C480" s="256" t="s">
        <v>1478</v>
      </c>
      <c r="D480" s="256" t="s">
        <v>1479</v>
      </c>
      <c r="E480" s="256" t="s">
        <v>317</v>
      </c>
      <c r="F480" s="254">
        <v>527130</v>
      </c>
      <c r="G480" s="254">
        <v>176085</v>
      </c>
      <c r="H480" s="256" t="s">
        <v>165</v>
      </c>
      <c r="I480" s="258">
        <v>43977</v>
      </c>
      <c r="J480" s="254" t="s">
        <v>317</v>
      </c>
      <c r="K480" s="254">
        <v>0</v>
      </c>
      <c r="L480" s="254">
        <v>25</v>
      </c>
      <c r="M480" s="254">
        <v>25</v>
      </c>
      <c r="N480" s="254">
        <v>25</v>
      </c>
      <c r="O480" s="254">
        <v>25</v>
      </c>
      <c r="P480" s="260" t="s">
        <v>318</v>
      </c>
      <c r="Q480" s="215" t="s">
        <v>1480</v>
      </c>
      <c r="R480" s="260" t="s">
        <v>320</v>
      </c>
      <c r="S480" s="262">
        <v>42472</v>
      </c>
      <c r="T480" s="262">
        <v>42790</v>
      </c>
      <c r="U480" s="256"/>
      <c r="V480" s="256" t="s">
        <v>321</v>
      </c>
      <c r="W480" s="254" t="s">
        <v>317</v>
      </c>
      <c r="X480" s="256" t="s">
        <v>322</v>
      </c>
      <c r="Y480" s="256" t="s">
        <v>323</v>
      </c>
      <c r="Z480" s="256" t="s">
        <v>323</v>
      </c>
      <c r="AA480" s="256" t="s">
        <v>324</v>
      </c>
      <c r="AB480" s="264">
        <v>7.0999999999999994E-2</v>
      </c>
      <c r="AC480" s="260" t="s">
        <v>317</v>
      </c>
      <c r="AD480" s="260"/>
      <c r="AE480" s="260" t="s">
        <v>317</v>
      </c>
      <c r="AF480" s="256" t="s">
        <v>77</v>
      </c>
      <c r="AG480" s="256" t="s">
        <v>350</v>
      </c>
      <c r="AH480" s="260" t="s">
        <v>317</v>
      </c>
      <c r="AI480" s="219"/>
      <c r="AJ480" s="260">
        <v>3</v>
      </c>
      <c r="AK480" s="219"/>
      <c r="AL480" s="260">
        <v>25</v>
      </c>
      <c r="AM480" s="219"/>
      <c r="AN480" s="260">
        <v>0</v>
      </c>
      <c r="AO480" s="260">
        <v>8</v>
      </c>
      <c r="AP480" s="260">
        <v>13</v>
      </c>
      <c r="AQ480" s="260">
        <v>4</v>
      </c>
      <c r="AR480" s="260">
        <v>0</v>
      </c>
      <c r="AS480" s="260">
        <v>0</v>
      </c>
      <c r="AT480" s="260">
        <v>0</v>
      </c>
      <c r="AU480" s="260">
        <v>0</v>
      </c>
      <c r="AV480" s="260">
        <v>8</v>
      </c>
      <c r="AW480" s="260">
        <v>13</v>
      </c>
      <c r="AX480" s="260">
        <v>4</v>
      </c>
      <c r="AY480" s="260">
        <v>0</v>
      </c>
      <c r="AZ480" s="260">
        <v>0</v>
      </c>
      <c r="BA480" s="260">
        <v>0</v>
      </c>
      <c r="BB480" s="260">
        <v>0</v>
      </c>
      <c r="BC480" s="260">
        <v>0</v>
      </c>
      <c r="BD480" s="260">
        <v>0</v>
      </c>
      <c r="BE480" s="260">
        <v>0</v>
      </c>
      <c r="BF480" s="260">
        <v>0</v>
      </c>
      <c r="BG480" s="260">
        <v>0</v>
      </c>
      <c r="BH480" s="260">
        <v>0</v>
      </c>
      <c r="BI480" s="260">
        <v>0</v>
      </c>
      <c r="BJ480" s="260">
        <v>0</v>
      </c>
      <c r="BK480" s="260">
        <v>0</v>
      </c>
      <c r="BL480" s="260">
        <v>0</v>
      </c>
      <c r="BM480" s="260">
        <v>0</v>
      </c>
      <c r="BN480" s="260">
        <v>0</v>
      </c>
      <c r="BO480" s="260">
        <v>0</v>
      </c>
      <c r="BP480" s="260"/>
      <c r="BQ480" s="260"/>
      <c r="BR480" s="237" t="s">
        <v>334</v>
      </c>
      <c r="BS480" s="238">
        <v>3</v>
      </c>
      <c r="BU480" s="239">
        <f>M480</f>
        <v>25</v>
      </c>
      <c r="CN480" s="238">
        <f t="shared" si="36"/>
        <v>25</v>
      </c>
      <c r="CO480" s="238">
        <f t="shared" si="37"/>
        <v>25</v>
      </c>
    </row>
    <row r="481" spans="1:93" ht="13.95" customHeight="1" x14ac:dyDescent="0.2">
      <c r="A481" s="231">
        <v>6280</v>
      </c>
      <c r="B481" s="232" t="s">
        <v>822</v>
      </c>
      <c r="C481" s="232" t="s">
        <v>1481</v>
      </c>
      <c r="D481" s="232" t="s">
        <v>1482</v>
      </c>
      <c r="E481" s="232" t="s">
        <v>317</v>
      </c>
      <c r="F481" s="231">
        <v>523210</v>
      </c>
      <c r="G481" s="231">
        <v>175380</v>
      </c>
      <c r="H481" s="232" t="s">
        <v>183</v>
      </c>
      <c r="I481" s="233"/>
      <c r="J481" s="231"/>
      <c r="K481" s="231">
        <v>0</v>
      </c>
      <c r="L481" s="231">
        <v>9</v>
      </c>
      <c r="M481" s="231">
        <v>9</v>
      </c>
      <c r="N481" s="231">
        <v>9</v>
      </c>
      <c r="O481" s="231">
        <v>9</v>
      </c>
      <c r="P481" s="234"/>
      <c r="Q481" s="232" t="s">
        <v>1483</v>
      </c>
      <c r="R481" s="234" t="s">
        <v>332</v>
      </c>
      <c r="S481" s="235">
        <v>43815</v>
      </c>
      <c r="T481" s="235">
        <v>44000</v>
      </c>
      <c r="U481" s="234"/>
      <c r="V481" s="232" t="s">
        <v>321</v>
      </c>
      <c r="W481" s="231"/>
      <c r="X481" s="232" t="s">
        <v>322</v>
      </c>
      <c r="Y481" s="232" t="s">
        <v>339</v>
      </c>
      <c r="Z481" s="232" t="s">
        <v>324</v>
      </c>
      <c r="AA481" s="232" t="s">
        <v>354</v>
      </c>
      <c r="AB481" s="236">
        <v>3.9E-2</v>
      </c>
      <c r="AC481" s="235"/>
      <c r="AD481" s="234"/>
      <c r="AE481" s="234"/>
      <c r="AF481" s="232" t="s">
        <v>77</v>
      </c>
      <c r="AG481" s="232" t="s">
        <v>350</v>
      </c>
      <c r="AH481" s="234" t="s">
        <v>317</v>
      </c>
      <c r="AJ481" s="234">
        <v>0</v>
      </c>
      <c r="AK481" s="224"/>
      <c r="AL481" s="234">
        <v>0</v>
      </c>
      <c r="AM481" s="224"/>
      <c r="AN481" s="234">
        <v>0</v>
      </c>
      <c r="AO481" s="234">
        <v>2</v>
      </c>
      <c r="AP481" s="234">
        <v>6</v>
      </c>
      <c r="AQ481" s="234">
        <v>1</v>
      </c>
      <c r="AR481" s="234">
        <v>0</v>
      </c>
      <c r="AS481" s="234">
        <v>0</v>
      </c>
      <c r="AT481" s="234">
        <v>0</v>
      </c>
      <c r="AU481" s="234">
        <v>0</v>
      </c>
      <c r="AV481" s="234">
        <v>2</v>
      </c>
      <c r="AW481" s="234">
        <v>6</v>
      </c>
      <c r="AX481" s="234">
        <v>1</v>
      </c>
      <c r="AY481" s="234">
        <v>0</v>
      </c>
      <c r="AZ481" s="234">
        <v>0</v>
      </c>
      <c r="BA481" s="234">
        <v>0</v>
      </c>
      <c r="BB481" s="234">
        <v>0</v>
      </c>
      <c r="BC481" s="234">
        <v>0</v>
      </c>
      <c r="BD481" s="234">
        <v>0</v>
      </c>
      <c r="BE481" s="234">
        <v>0</v>
      </c>
      <c r="BF481" s="234">
        <v>0</v>
      </c>
      <c r="BG481" s="234">
        <v>0</v>
      </c>
      <c r="BH481" s="234">
        <v>0</v>
      </c>
      <c r="BI481" s="234">
        <v>0</v>
      </c>
      <c r="BJ481" s="234">
        <v>0</v>
      </c>
      <c r="BK481" s="234">
        <v>0</v>
      </c>
      <c r="BL481" s="234">
        <v>0</v>
      </c>
      <c r="BM481" s="234">
        <v>0</v>
      </c>
      <c r="BN481" s="234">
        <v>0</v>
      </c>
      <c r="BO481" s="234">
        <v>0</v>
      </c>
      <c r="BP481" s="234"/>
      <c r="BQ481" s="234"/>
      <c r="BR481" s="237" t="s">
        <v>334</v>
      </c>
      <c r="BS481" s="238">
        <v>18</v>
      </c>
      <c r="BU481" s="239">
        <f t="shared" ref="BU481:BU501" si="44">M481/4</f>
        <v>2.25</v>
      </c>
      <c r="BV481" s="239">
        <f t="shared" ref="BV481:BV501" si="45">M481/4</f>
        <v>2.25</v>
      </c>
      <c r="BW481" s="239">
        <f t="shared" ref="BW481:BW501" si="46">M481/4</f>
        <v>2.25</v>
      </c>
      <c r="BX481" s="239">
        <f t="shared" ref="BX481:BX501" si="47">M481/4</f>
        <v>2.25</v>
      </c>
      <c r="CN481" s="238">
        <f t="shared" si="36"/>
        <v>9</v>
      </c>
      <c r="CO481" s="238">
        <f t="shared" si="37"/>
        <v>9</v>
      </c>
    </row>
    <row r="482" spans="1:93" ht="13.95" customHeight="1" x14ac:dyDescent="0.2">
      <c r="A482" s="231">
        <v>7190</v>
      </c>
      <c r="B482" s="232" t="s">
        <v>822</v>
      </c>
      <c r="C482" s="232" t="s">
        <v>1484</v>
      </c>
      <c r="D482" s="232" t="s">
        <v>1485</v>
      </c>
      <c r="E482" s="232" t="s">
        <v>317</v>
      </c>
      <c r="F482" s="231">
        <v>523349</v>
      </c>
      <c r="G482" s="231">
        <v>173599</v>
      </c>
      <c r="H482" s="232" t="s">
        <v>183</v>
      </c>
      <c r="I482" s="233"/>
      <c r="J482" s="231"/>
      <c r="K482" s="231">
        <v>0</v>
      </c>
      <c r="L482" s="231">
        <v>9</v>
      </c>
      <c r="M482" s="231">
        <v>9</v>
      </c>
      <c r="N482" s="231">
        <v>9</v>
      </c>
      <c r="O482" s="231">
        <v>9</v>
      </c>
      <c r="P482" s="234"/>
      <c r="Q482" s="232" t="s">
        <v>1486</v>
      </c>
      <c r="R482" s="234" t="s">
        <v>332</v>
      </c>
      <c r="S482" s="235">
        <v>43643</v>
      </c>
      <c r="T482" s="235">
        <v>43726</v>
      </c>
      <c r="U482" s="234"/>
      <c r="V482" s="232" t="s">
        <v>321</v>
      </c>
      <c r="W482" s="231"/>
      <c r="X482" s="232" t="s">
        <v>322</v>
      </c>
      <c r="Y482" s="232" t="s">
        <v>339</v>
      </c>
      <c r="Z482" s="232" t="s">
        <v>324</v>
      </c>
      <c r="AA482" s="232" t="s">
        <v>354</v>
      </c>
      <c r="AB482" s="236">
        <v>3.5999999999999997E-2</v>
      </c>
      <c r="AC482" s="235"/>
      <c r="AD482" s="234"/>
      <c r="AE482" s="234"/>
      <c r="AF482" s="232" t="s">
        <v>77</v>
      </c>
      <c r="AG482" s="232" t="s">
        <v>350</v>
      </c>
      <c r="AH482" s="234" t="s">
        <v>317</v>
      </c>
      <c r="AJ482" s="234">
        <v>0</v>
      </c>
      <c r="AK482" s="224"/>
      <c r="AL482" s="234">
        <v>0</v>
      </c>
      <c r="AM482" s="224"/>
      <c r="AN482" s="234">
        <v>0</v>
      </c>
      <c r="AO482" s="234">
        <v>0</v>
      </c>
      <c r="AP482" s="234">
        <v>6</v>
      </c>
      <c r="AQ482" s="234">
        <v>3</v>
      </c>
      <c r="AR482" s="234">
        <v>0</v>
      </c>
      <c r="AS482" s="234">
        <v>0</v>
      </c>
      <c r="AT482" s="234">
        <v>0</v>
      </c>
      <c r="AU482" s="234">
        <v>0</v>
      </c>
      <c r="AV482" s="234">
        <v>0</v>
      </c>
      <c r="AW482" s="234">
        <v>6</v>
      </c>
      <c r="AX482" s="234">
        <v>3</v>
      </c>
      <c r="AY482" s="234">
        <v>0</v>
      </c>
      <c r="AZ482" s="234">
        <v>0</v>
      </c>
      <c r="BA482" s="234">
        <v>0</v>
      </c>
      <c r="BB482" s="234">
        <v>0</v>
      </c>
      <c r="BC482" s="234">
        <v>0</v>
      </c>
      <c r="BD482" s="234">
        <v>0</v>
      </c>
      <c r="BE482" s="234">
        <v>0</v>
      </c>
      <c r="BF482" s="234">
        <v>0</v>
      </c>
      <c r="BG482" s="234">
        <v>0</v>
      </c>
      <c r="BH482" s="234">
        <v>0</v>
      </c>
      <c r="BI482" s="234">
        <v>0</v>
      </c>
      <c r="BJ482" s="234">
        <v>0</v>
      </c>
      <c r="BK482" s="234">
        <v>0</v>
      </c>
      <c r="BL482" s="234">
        <v>0</v>
      </c>
      <c r="BM482" s="234">
        <v>0</v>
      </c>
      <c r="BN482" s="234">
        <v>0</v>
      </c>
      <c r="BO482" s="234">
        <v>0</v>
      </c>
      <c r="BP482" s="234"/>
      <c r="BQ482" s="234"/>
      <c r="BR482" s="237" t="s">
        <v>334</v>
      </c>
      <c r="BS482" s="238">
        <v>18</v>
      </c>
      <c r="BU482" s="239">
        <f t="shared" si="44"/>
        <v>2.25</v>
      </c>
      <c r="BV482" s="239">
        <f t="shared" si="45"/>
        <v>2.25</v>
      </c>
      <c r="BW482" s="239">
        <f t="shared" si="46"/>
        <v>2.25</v>
      </c>
      <c r="BX482" s="239">
        <f t="shared" si="47"/>
        <v>2.25</v>
      </c>
      <c r="CN482" s="238">
        <f t="shared" si="36"/>
        <v>9</v>
      </c>
      <c r="CO482" s="238">
        <f t="shared" si="37"/>
        <v>9</v>
      </c>
    </row>
    <row r="483" spans="1:93" ht="13.95" customHeight="1" x14ac:dyDescent="0.2">
      <c r="A483" s="231">
        <v>7610</v>
      </c>
      <c r="B483" s="232" t="s">
        <v>822</v>
      </c>
      <c r="C483" s="232" t="s">
        <v>1487</v>
      </c>
      <c r="D483" s="232" t="s">
        <v>1488</v>
      </c>
      <c r="E483" s="232" t="s">
        <v>317</v>
      </c>
      <c r="F483" s="231">
        <v>524107</v>
      </c>
      <c r="G483" s="231">
        <v>175023</v>
      </c>
      <c r="H483" s="232" t="s">
        <v>164</v>
      </c>
      <c r="I483" s="233"/>
      <c r="J483" s="231"/>
      <c r="K483" s="231">
        <v>0</v>
      </c>
      <c r="L483" s="231">
        <v>8</v>
      </c>
      <c r="M483" s="231">
        <v>8</v>
      </c>
      <c r="N483" s="231">
        <v>8</v>
      </c>
      <c r="O483" s="231">
        <v>8</v>
      </c>
      <c r="P483" s="234"/>
      <c r="Q483" s="232" t="s">
        <v>1489</v>
      </c>
      <c r="R483" s="234" t="s">
        <v>332</v>
      </c>
      <c r="S483" s="235">
        <v>44305</v>
      </c>
      <c r="T483" s="235">
        <v>44586</v>
      </c>
      <c r="U483" s="234"/>
      <c r="V483" s="232" t="s">
        <v>321</v>
      </c>
      <c r="W483" s="231"/>
      <c r="X483" s="232" t="s">
        <v>322</v>
      </c>
      <c r="Y483" s="232" t="s">
        <v>339</v>
      </c>
      <c r="Z483" s="232" t="s">
        <v>324</v>
      </c>
      <c r="AA483" s="232" t="s">
        <v>354</v>
      </c>
      <c r="AB483" s="236">
        <v>8.9999999999999993E-3</v>
      </c>
      <c r="AC483" s="235"/>
      <c r="AD483" s="234"/>
      <c r="AE483" s="234"/>
      <c r="AF483" s="232" t="s">
        <v>77</v>
      </c>
      <c r="AG483" s="232" t="s">
        <v>350</v>
      </c>
      <c r="AH483" s="234" t="s">
        <v>317</v>
      </c>
      <c r="AJ483" s="234">
        <v>0</v>
      </c>
      <c r="AK483" s="224"/>
      <c r="AL483" s="234">
        <v>0</v>
      </c>
      <c r="AM483" s="224"/>
      <c r="AN483" s="234">
        <v>0</v>
      </c>
      <c r="AO483" s="234">
        <v>1</v>
      </c>
      <c r="AP483" s="234">
        <v>7</v>
      </c>
      <c r="AQ483" s="234">
        <v>0</v>
      </c>
      <c r="AR483" s="234">
        <v>0</v>
      </c>
      <c r="AS483" s="234">
        <v>0</v>
      </c>
      <c r="AT483" s="234">
        <v>0</v>
      </c>
      <c r="AU483" s="234">
        <v>0</v>
      </c>
      <c r="AV483" s="234">
        <v>1</v>
      </c>
      <c r="AW483" s="234">
        <v>7</v>
      </c>
      <c r="AX483" s="234">
        <v>0</v>
      </c>
      <c r="AY483" s="234">
        <v>0</v>
      </c>
      <c r="AZ483" s="234">
        <v>0</v>
      </c>
      <c r="BA483" s="234">
        <v>0</v>
      </c>
      <c r="BB483" s="234">
        <v>0</v>
      </c>
      <c r="BC483" s="234">
        <v>0</v>
      </c>
      <c r="BD483" s="234">
        <v>0</v>
      </c>
      <c r="BE483" s="234">
        <v>0</v>
      </c>
      <c r="BF483" s="234">
        <v>0</v>
      </c>
      <c r="BG483" s="234">
        <v>0</v>
      </c>
      <c r="BH483" s="234">
        <v>0</v>
      </c>
      <c r="BI483" s="234">
        <v>0</v>
      </c>
      <c r="BJ483" s="234">
        <v>0</v>
      </c>
      <c r="BK483" s="234">
        <v>0</v>
      </c>
      <c r="BL483" s="234">
        <v>0</v>
      </c>
      <c r="BM483" s="234">
        <v>0</v>
      </c>
      <c r="BN483" s="234">
        <v>0</v>
      </c>
      <c r="BO483" s="234">
        <v>0</v>
      </c>
      <c r="BP483" s="234" t="s">
        <v>143</v>
      </c>
      <c r="BQ483" s="234"/>
      <c r="BR483" s="237" t="s">
        <v>152</v>
      </c>
      <c r="BS483" s="238">
        <v>18</v>
      </c>
      <c r="BU483" s="239">
        <f t="shared" si="44"/>
        <v>2</v>
      </c>
      <c r="BV483" s="239">
        <f t="shared" si="45"/>
        <v>2</v>
      </c>
      <c r="BW483" s="239">
        <f t="shared" si="46"/>
        <v>2</v>
      </c>
      <c r="BX483" s="239">
        <f t="shared" si="47"/>
        <v>2</v>
      </c>
      <c r="CN483" s="238">
        <f t="shared" si="36"/>
        <v>8</v>
      </c>
      <c r="CO483" s="238">
        <f t="shared" si="37"/>
        <v>8</v>
      </c>
    </row>
    <row r="484" spans="1:93" ht="13.95" customHeight="1" x14ac:dyDescent="0.2">
      <c r="A484" s="231">
        <v>6707</v>
      </c>
      <c r="B484" s="232" t="s">
        <v>822</v>
      </c>
      <c r="C484" s="232" t="s">
        <v>1490</v>
      </c>
      <c r="D484" s="232" t="s">
        <v>1491</v>
      </c>
      <c r="E484" s="232" t="s">
        <v>317</v>
      </c>
      <c r="F484" s="231">
        <v>528529</v>
      </c>
      <c r="G484" s="231">
        <v>173387</v>
      </c>
      <c r="H484" s="232" t="s">
        <v>141</v>
      </c>
      <c r="I484" s="233"/>
      <c r="J484" s="231"/>
      <c r="K484" s="231">
        <v>0</v>
      </c>
      <c r="L484" s="231">
        <v>7</v>
      </c>
      <c r="M484" s="231">
        <v>7</v>
      </c>
      <c r="N484" s="231">
        <v>7</v>
      </c>
      <c r="O484" s="231">
        <v>7</v>
      </c>
      <c r="P484" s="234"/>
      <c r="Q484" s="232" t="s">
        <v>1492</v>
      </c>
      <c r="R484" s="234" t="s">
        <v>332</v>
      </c>
      <c r="S484" s="235">
        <v>44873</v>
      </c>
      <c r="T484" s="235">
        <v>44988</v>
      </c>
      <c r="U484" s="234" t="s">
        <v>318</v>
      </c>
      <c r="V484" s="232" t="s">
        <v>321</v>
      </c>
      <c r="W484" s="231"/>
      <c r="X484" s="232" t="s">
        <v>322</v>
      </c>
      <c r="Y484" s="232" t="s">
        <v>339</v>
      </c>
      <c r="Z484" s="232" t="s">
        <v>324</v>
      </c>
      <c r="AA484" s="232" t="s">
        <v>354</v>
      </c>
      <c r="AB484" s="236">
        <v>2.2349999999999998E-2</v>
      </c>
      <c r="AC484" s="235"/>
      <c r="AD484" s="234"/>
      <c r="AE484" s="234"/>
      <c r="AF484" s="232" t="s">
        <v>77</v>
      </c>
      <c r="AG484" s="232" t="s">
        <v>350</v>
      </c>
      <c r="AH484" s="234" t="s">
        <v>317</v>
      </c>
      <c r="AJ484" s="234">
        <v>0</v>
      </c>
      <c r="AK484" s="224"/>
      <c r="AL484" s="234">
        <v>0</v>
      </c>
      <c r="AM484" s="224"/>
      <c r="AN484" s="234">
        <v>0</v>
      </c>
      <c r="AO484" s="234">
        <v>3</v>
      </c>
      <c r="AP484" s="234">
        <v>4</v>
      </c>
      <c r="AQ484" s="234">
        <v>0</v>
      </c>
      <c r="AR484" s="234">
        <v>0</v>
      </c>
      <c r="AS484" s="234">
        <v>0</v>
      </c>
      <c r="AT484" s="234">
        <v>0</v>
      </c>
      <c r="AU484" s="234">
        <v>0</v>
      </c>
      <c r="AV484" s="234">
        <v>3</v>
      </c>
      <c r="AW484" s="234">
        <v>4</v>
      </c>
      <c r="AX484" s="234">
        <v>0</v>
      </c>
      <c r="AY484" s="234">
        <v>0</v>
      </c>
      <c r="AZ484" s="234">
        <v>0</v>
      </c>
      <c r="BA484" s="234">
        <v>0</v>
      </c>
      <c r="BB484" s="234">
        <v>0</v>
      </c>
      <c r="BC484" s="234">
        <v>0</v>
      </c>
      <c r="BD484" s="234">
        <v>0</v>
      </c>
      <c r="BE484" s="234">
        <v>0</v>
      </c>
      <c r="BF484" s="234">
        <v>0</v>
      </c>
      <c r="BG484" s="234">
        <v>0</v>
      </c>
      <c r="BH484" s="234">
        <v>0</v>
      </c>
      <c r="BI484" s="234">
        <v>0</v>
      </c>
      <c r="BJ484" s="234">
        <v>0</v>
      </c>
      <c r="BK484" s="234">
        <v>0</v>
      </c>
      <c r="BL484" s="234">
        <v>0</v>
      </c>
      <c r="BM484" s="234">
        <v>0</v>
      </c>
      <c r="BN484" s="234">
        <v>0</v>
      </c>
      <c r="BO484" s="234">
        <v>0</v>
      </c>
      <c r="BP484" s="234" t="s">
        <v>141</v>
      </c>
      <c r="BQ484" s="234"/>
      <c r="BR484" s="237" t="s">
        <v>141</v>
      </c>
      <c r="BS484" s="238">
        <v>18</v>
      </c>
      <c r="BU484" s="239">
        <f t="shared" si="44"/>
        <v>1.75</v>
      </c>
      <c r="BV484" s="239">
        <f t="shared" si="45"/>
        <v>1.75</v>
      </c>
      <c r="BW484" s="239">
        <f t="shared" si="46"/>
        <v>1.75</v>
      </c>
      <c r="BX484" s="239">
        <f t="shared" si="47"/>
        <v>1.75</v>
      </c>
      <c r="CN484" s="238">
        <f t="shared" si="36"/>
        <v>7</v>
      </c>
      <c r="CO484" s="238">
        <f t="shared" si="37"/>
        <v>7</v>
      </c>
    </row>
    <row r="485" spans="1:93" ht="13.95" customHeight="1" x14ac:dyDescent="0.2">
      <c r="A485" s="231">
        <v>7441</v>
      </c>
      <c r="B485" s="232" t="s">
        <v>822</v>
      </c>
      <c r="C485" s="232" t="s">
        <v>1493</v>
      </c>
      <c r="D485" s="232" t="s">
        <v>1494</v>
      </c>
      <c r="E485" s="232" t="s">
        <v>317</v>
      </c>
      <c r="F485" s="231">
        <v>527417</v>
      </c>
      <c r="G485" s="231">
        <v>175225</v>
      </c>
      <c r="H485" s="232" t="s">
        <v>167</v>
      </c>
      <c r="I485" s="233"/>
      <c r="J485" s="231"/>
      <c r="K485" s="231">
        <v>0</v>
      </c>
      <c r="L485" s="231">
        <v>7</v>
      </c>
      <c r="M485" s="231">
        <v>7</v>
      </c>
      <c r="N485" s="231">
        <v>7</v>
      </c>
      <c r="O485" s="231">
        <v>7</v>
      </c>
      <c r="P485" s="234"/>
      <c r="Q485" s="232" t="s">
        <v>1495</v>
      </c>
      <c r="R485" s="234" t="s">
        <v>332</v>
      </c>
      <c r="S485" s="235">
        <v>44022</v>
      </c>
      <c r="T485" s="235">
        <v>44137</v>
      </c>
      <c r="U485" s="234"/>
      <c r="V485" s="232" t="s">
        <v>321</v>
      </c>
      <c r="W485" s="231"/>
      <c r="X485" s="232" t="s">
        <v>322</v>
      </c>
      <c r="Y485" s="232" t="s">
        <v>378</v>
      </c>
      <c r="Z485" s="232" t="s">
        <v>324</v>
      </c>
      <c r="AA485" s="232" t="s">
        <v>25</v>
      </c>
      <c r="AB485" s="236">
        <v>1.4E-2</v>
      </c>
      <c r="AC485" s="235"/>
      <c r="AD485" s="234"/>
      <c r="AE485" s="234"/>
      <c r="AF485" s="232" t="s">
        <v>77</v>
      </c>
      <c r="AG485" s="232" t="s">
        <v>350</v>
      </c>
      <c r="AH485" s="234" t="s">
        <v>317</v>
      </c>
      <c r="AJ485" s="234">
        <v>0</v>
      </c>
      <c r="AK485" s="224"/>
      <c r="AL485" s="234">
        <v>0</v>
      </c>
      <c r="AM485" s="224"/>
      <c r="AN485" s="234">
        <v>0</v>
      </c>
      <c r="AO485" s="234">
        <v>6</v>
      </c>
      <c r="AP485" s="234">
        <v>1</v>
      </c>
      <c r="AQ485" s="234">
        <v>0</v>
      </c>
      <c r="AR485" s="234">
        <v>0</v>
      </c>
      <c r="AS485" s="234">
        <v>0</v>
      </c>
      <c r="AT485" s="234">
        <v>0</v>
      </c>
      <c r="AU485" s="234">
        <v>0</v>
      </c>
      <c r="AV485" s="234">
        <v>6</v>
      </c>
      <c r="AW485" s="234">
        <v>1</v>
      </c>
      <c r="AX485" s="234">
        <v>0</v>
      </c>
      <c r="AY485" s="234">
        <v>0</v>
      </c>
      <c r="AZ485" s="234">
        <v>0</v>
      </c>
      <c r="BA485" s="234">
        <v>0</v>
      </c>
      <c r="BB485" s="234">
        <v>0</v>
      </c>
      <c r="BC485" s="234">
        <v>0</v>
      </c>
      <c r="BD485" s="234">
        <v>0</v>
      </c>
      <c r="BE485" s="234">
        <v>0</v>
      </c>
      <c r="BF485" s="234">
        <v>0</v>
      </c>
      <c r="BG485" s="234">
        <v>0</v>
      </c>
      <c r="BH485" s="234">
        <v>0</v>
      </c>
      <c r="BI485" s="234">
        <v>0</v>
      </c>
      <c r="BJ485" s="234">
        <v>0</v>
      </c>
      <c r="BK485" s="234">
        <v>0</v>
      </c>
      <c r="BL485" s="234">
        <v>0</v>
      </c>
      <c r="BM485" s="234">
        <v>0</v>
      </c>
      <c r="BN485" s="234">
        <v>0</v>
      </c>
      <c r="BO485" s="234">
        <v>0</v>
      </c>
      <c r="BP485" s="234" t="s">
        <v>142</v>
      </c>
      <c r="BQ485" s="234"/>
      <c r="BR485" s="237" t="s">
        <v>150</v>
      </c>
      <c r="BS485" s="238">
        <v>18</v>
      </c>
      <c r="BU485" s="239">
        <f t="shared" si="44"/>
        <v>1.75</v>
      </c>
      <c r="BV485" s="239">
        <f t="shared" si="45"/>
        <v>1.75</v>
      </c>
      <c r="BW485" s="239">
        <f t="shared" si="46"/>
        <v>1.75</v>
      </c>
      <c r="BX485" s="239">
        <f t="shared" si="47"/>
        <v>1.75</v>
      </c>
      <c r="CN485" s="238">
        <f t="shared" si="36"/>
        <v>7</v>
      </c>
      <c r="CO485" s="238">
        <f t="shared" si="37"/>
        <v>7</v>
      </c>
    </row>
    <row r="486" spans="1:93" ht="13.95" customHeight="1" x14ac:dyDescent="0.2">
      <c r="A486" s="231">
        <v>6221</v>
      </c>
      <c r="B486" s="232" t="s">
        <v>822</v>
      </c>
      <c r="C486" s="232" t="s">
        <v>1496</v>
      </c>
      <c r="D486" s="232" t="s">
        <v>1497</v>
      </c>
      <c r="E486" s="232" t="s">
        <v>317</v>
      </c>
      <c r="F486" s="231">
        <v>526099</v>
      </c>
      <c r="G486" s="231">
        <v>173957</v>
      </c>
      <c r="H486" s="232" t="s">
        <v>179</v>
      </c>
      <c r="I486" s="233"/>
      <c r="J486" s="231"/>
      <c r="K486" s="231">
        <v>0</v>
      </c>
      <c r="L486" s="231">
        <v>7</v>
      </c>
      <c r="M486" s="231">
        <v>7</v>
      </c>
      <c r="N486" s="231">
        <v>7</v>
      </c>
      <c r="O486" s="231">
        <v>7</v>
      </c>
      <c r="P486" s="234"/>
      <c r="Q486" s="232" t="s">
        <v>1498</v>
      </c>
      <c r="R486" s="234" t="s">
        <v>332</v>
      </c>
      <c r="S486" s="235">
        <v>44642</v>
      </c>
      <c r="T486" s="235">
        <v>44950</v>
      </c>
      <c r="U486" s="234" t="s">
        <v>318</v>
      </c>
      <c r="V486" s="232" t="s">
        <v>321</v>
      </c>
      <c r="W486" s="231"/>
      <c r="X486" s="232" t="s">
        <v>322</v>
      </c>
      <c r="Y486" s="232" t="s">
        <v>338</v>
      </c>
      <c r="Z486" s="232" t="s">
        <v>324</v>
      </c>
      <c r="AA486" s="232" t="s">
        <v>354</v>
      </c>
      <c r="AB486" s="236">
        <v>0</v>
      </c>
      <c r="AC486" s="235"/>
      <c r="AD486" s="234"/>
      <c r="AE486" s="234"/>
      <c r="AF486" s="232" t="s">
        <v>77</v>
      </c>
      <c r="AG486" s="232" t="s">
        <v>350</v>
      </c>
      <c r="AH486" s="234" t="s">
        <v>317</v>
      </c>
      <c r="AJ486" s="234">
        <v>0</v>
      </c>
      <c r="AK486" s="224"/>
      <c r="AL486" s="234">
        <v>0</v>
      </c>
      <c r="AM486" s="224"/>
      <c r="AN486" s="234">
        <v>0</v>
      </c>
      <c r="AO486" s="234">
        <v>0</v>
      </c>
      <c r="AP486" s="234">
        <v>7</v>
      </c>
      <c r="AQ486" s="234">
        <v>0</v>
      </c>
      <c r="AR486" s="234">
        <v>0</v>
      </c>
      <c r="AS486" s="234">
        <v>0</v>
      </c>
      <c r="AT486" s="234">
        <v>0</v>
      </c>
      <c r="AU486" s="234">
        <v>0</v>
      </c>
      <c r="AV486" s="234">
        <v>0</v>
      </c>
      <c r="AW486" s="234">
        <v>7</v>
      </c>
      <c r="AX486" s="234">
        <v>0</v>
      </c>
      <c r="AY486" s="234">
        <v>0</v>
      </c>
      <c r="AZ486" s="234">
        <v>0</v>
      </c>
      <c r="BA486" s="234">
        <v>0</v>
      </c>
      <c r="BB486" s="234">
        <v>0</v>
      </c>
      <c r="BC486" s="234">
        <v>0</v>
      </c>
      <c r="BD486" s="234">
        <v>0</v>
      </c>
      <c r="BE486" s="234">
        <v>0</v>
      </c>
      <c r="BF486" s="234">
        <v>0</v>
      </c>
      <c r="BG486" s="234">
        <v>0</v>
      </c>
      <c r="BH486" s="234">
        <v>0</v>
      </c>
      <c r="BI486" s="234">
        <v>0</v>
      </c>
      <c r="BJ486" s="234">
        <v>0</v>
      </c>
      <c r="BK486" s="234">
        <v>0</v>
      </c>
      <c r="BL486" s="234">
        <v>0</v>
      </c>
      <c r="BM486" s="234">
        <v>0</v>
      </c>
      <c r="BN486" s="234">
        <v>0</v>
      </c>
      <c r="BO486" s="234">
        <v>0</v>
      </c>
      <c r="BP486" s="234"/>
      <c r="BQ486" s="234"/>
      <c r="BR486" s="237" t="s">
        <v>334</v>
      </c>
      <c r="BS486" s="238">
        <v>18</v>
      </c>
      <c r="BU486" s="239">
        <f t="shared" si="44"/>
        <v>1.75</v>
      </c>
      <c r="BV486" s="239">
        <f t="shared" si="45"/>
        <v>1.75</v>
      </c>
      <c r="BW486" s="239">
        <f t="shared" si="46"/>
        <v>1.75</v>
      </c>
      <c r="BX486" s="239">
        <f t="shared" si="47"/>
        <v>1.75</v>
      </c>
      <c r="CN486" s="238">
        <f t="shared" si="36"/>
        <v>7</v>
      </c>
      <c r="CO486" s="238">
        <f t="shared" si="37"/>
        <v>7</v>
      </c>
    </row>
    <row r="487" spans="1:93" ht="13.95" customHeight="1" x14ac:dyDescent="0.2">
      <c r="A487" s="231">
        <v>4750</v>
      </c>
      <c r="B487" s="232" t="s">
        <v>822</v>
      </c>
      <c r="C487" s="232" t="s">
        <v>1499</v>
      </c>
      <c r="D487" s="232" t="s">
        <v>1500</v>
      </c>
      <c r="E487" s="232" t="s">
        <v>317</v>
      </c>
      <c r="F487" s="231">
        <v>525522</v>
      </c>
      <c r="G487" s="231">
        <v>174660</v>
      </c>
      <c r="H487" s="232" t="s">
        <v>181</v>
      </c>
      <c r="I487" s="233"/>
      <c r="J487" s="231"/>
      <c r="K487" s="231">
        <v>0</v>
      </c>
      <c r="L487" s="231">
        <v>6</v>
      </c>
      <c r="M487" s="231">
        <v>6</v>
      </c>
      <c r="N487" s="231">
        <v>6</v>
      </c>
      <c r="O487" s="231">
        <v>6</v>
      </c>
      <c r="P487" s="234"/>
      <c r="Q487" s="232" t="s">
        <v>1501</v>
      </c>
      <c r="R487" s="234" t="s">
        <v>332</v>
      </c>
      <c r="S487" s="235">
        <v>44253</v>
      </c>
      <c r="T487" s="235">
        <v>44404</v>
      </c>
      <c r="U487" s="234"/>
      <c r="V487" s="232" t="s">
        <v>321</v>
      </c>
      <c r="W487" s="231"/>
      <c r="X487" s="232" t="s">
        <v>322</v>
      </c>
      <c r="Y487" s="232" t="s">
        <v>338</v>
      </c>
      <c r="Z487" s="232" t="s">
        <v>324</v>
      </c>
      <c r="AA487" s="232" t="s">
        <v>31</v>
      </c>
      <c r="AB487" s="236">
        <v>2.9000000000000001E-2</v>
      </c>
      <c r="AC487" s="235"/>
      <c r="AD487" s="234"/>
      <c r="AE487" s="234"/>
      <c r="AF487" s="232" t="s">
        <v>77</v>
      </c>
      <c r="AG487" s="232" t="s">
        <v>350</v>
      </c>
      <c r="AH487" s="234" t="s">
        <v>317</v>
      </c>
      <c r="AJ487" s="234">
        <v>0</v>
      </c>
      <c r="AK487" s="224"/>
      <c r="AL487" s="234">
        <v>0</v>
      </c>
      <c r="AM487" s="224"/>
      <c r="AN487" s="234">
        <v>1</v>
      </c>
      <c r="AO487" s="234">
        <v>1</v>
      </c>
      <c r="AP487" s="234">
        <v>4</v>
      </c>
      <c r="AQ487" s="234">
        <v>0</v>
      </c>
      <c r="AR487" s="234">
        <v>0</v>
      </c>
      <c r="AS487" s="234">
        <v>0</v>
      </c>
      <c r="AT487" s="234">
        <v>0</v>
      </c>
      <c r="AU487" s="234">
        <v>1</v>
      </c>
      <c r="AV487" s="234">
        <v>1</v>
      </c>
      <c r="AW487" s="234">
        <v>4</v>
      </c>
      <c r="AX487" s="234">
        <v>0</v>
      </c>
      <c r="AY487" s="234">
        <v>0</v>
      </c>
      <c r="AZ487" s="234">
        <v>0</v>
      </c>
      <c r="BA487" s="234">
        <v>0</v>
      </c>
      <c r="BB487" s="234">
        <v>0</v>
      </c>
      <c r="BC487" s="234">
        <v>0</v>
      </c>
      <c r="BD487" s="234">
        <v>0</v>
      </c>
      <c r="BE487" s="234">
        <v>0</v>
      </c>
      <c r="BF487" s="234">
        <v>0</v>
      </c>
      <c r="BG487" s="234">
        <v>0</v>
      </c>
      <c r="BH487" s="234">
        <v>0</v>
      </c>
      <c r="BI487" s="234">
        <v>0</v>
      </c>
      <c r="BJ487" s="234">
        <v>0</v>
      </c>
      <c r="BK487" s="234">
        <v>0</v>
      </c>
      <c r="BL487" s="234">
        <v>0</v>
      </c>
      <c r="BM487" s="234">
        <v>0</v>
      </c>
      <c r="BN487" s="234">
        <v>0</v>
      </c>
      <c r="BO487" s="234">
        <v>0</v>
      </c>
      <c r="BP487" s="234" t="s">
        <v>145</v>
      </c>
      <c r="BQ487" s="234"/>
      <c r="BR487" s="237" t="s">
        <v>327</v>
      </c>
      <c r="BS487" s="238">
        <v>18</v>
      </c>
      <c r="BU487" s="239">
        <f t="shared" si="44"/>
        <v>1.5</v>
      </c>
      <c r="BV487" s="239">
        <f t="shared" si="45"/>
        <v>1.5</v>
      </c>
      <c r="BW487" s="239">
        <f t="shared" si="46"/>
        <v>1.5</v>
      </c>
      <c r="BX487" s="239">
        <f t="shared" si="47"/>
        <v>1.5</v>
      </c>
      <c r="CN487" s="238">
        <f t="shared" si="36"/>
        <v>6</v>
      </c>
      <c r="CO487" s="238">
        <f t="shared" si="37"/>
        <v>6</v>
      </c>
    </row>
    <row r="488" spans="1:93" ht="13.95" customHeight="1" x14ac:dyDescent="0.2">
      <c r="A488" s="231">
        <v>6805</v>
      </c>
      <c r="B488" s="232" t="s">
        <v>822</v>
      </c>
      <c r="C488" s="232" t="s">
        <v>1502</v>
      </c>
      <c r="D488" s="232" t="s">
        <v>1503</v>
      </c>
      <c r="E488" s="232" t="s">
        <v>317</v>
      </c>
      <c r="F488" s="231">
        <v>524490</v>
      </c>
      <c r="G488" s="231">
        <v>175266</v>
      </c>
      <c r="H488" s="232" t="s">
        <v>175</v>
      </c>
      <c r="I488" s="233"/>
      <c r="J488" s="231"/>
      <c r="K488" s="231">
        <v>0</v>
      </c>
      <c r="L488" s="231">
        <v>6</v>
      </c>
      <c r="M488" s="231">
        <v>6</v>
      </c>
      <c r="N488" s="231">
        <v>8</v>
      </c>
      <c r="O488" s="231">
        <v>8</v>
      </c>
      <c r="P488" s="234"/>
      <c r="Q488" s="232" t="s">
        <v>1504</v>
      </c>
      <c r="R488" s="234" t="s">
        <v>332</v>
      </c>
      <c r="S488" s="235">
        <v>44048</v>
      </c>
      <c r="T488" s="235">
        <v>44162</v>
      </c>
      <c r="U488" s="234"/>
      <c r="V488" s="232" t="s">
        <v>321</v>
      </c>
      <c r="W488" s="231"/>
      <c r="X488" s="232" t="s">
        <v>322</v>
      </c>
      <c r="Y488" s="232" t="s">
        <v>338</v>
      </c>
      <c r="Z488" s="232" t="s">
        <v>324</v>
      </c>
      <c r="AA488" s="232" t="s">
        <v>31</v>
      </c>
      <c r="AB488" s="236">
        <v>1.4E-2</v>
      </c>
      <c r="AC488" s="235"/>
      <c r="AD488" s="234"/>
      <c r="AE488" s="234"/>
      <c r="AF488" s="232" t="s">
        <v>77</v>
      </c>
      <c r="AG488" s="232" t="s">
        <v>350</v>
      </c>
      <c r="AH488" s="234" t="s">
        <v>317</v>
      </c>
      <c r="AJ488" s="234">
        <v>0</v>
      </c>
      <c r="AK488" s="224"/>
      <c r="AL488" s="234">
        <v>0</v>
      </c>
      <c r="AM488" s="224"/>
      <c r="AN488" s="234">
        <v>0</v>
      </c>
      <c r="AO488" s="234">
        <v>5</v>
      </c>
      <c r="AP488" s="234">
        <v>1</v>
      </c>
      <c r="AQ488" s="234">
        <v>0</v>
      </c>
      <c r="AR488" s="234">
        <v>0</v>
      </c>
      <c r="AS488" s="234">
        <v>0</v>
      </c>
      <c r="AT488" s="234">
        <v>0</v>
      </c>
      <c r="AU488" s="234">
        <v>0</v>
      </c>
      <c r="AV488" s="234">
        <v>5</v>
      </c>
      <c r="AW488" s="234">
        <v>1</v>
      </c>
      <c r="AX488" s="234">
        <v>0</v>
      </c>
      <c r="AY488" s="234">
        <v>0</v>
      </c>
      <c r="AZ488" s="234">
        <v>0</v>
      </c>
      <c r="BA488" s="234">
        <v>0</v>
      </c>
      <c r="BB488" s="234">
        <v>0</v>
      </c>
      <c r="BC488" s="234">
        <v>0</v>
      </c>
      <c r="BD488" s="234">
        <v>0</v>
      </c>
      <c r="BE488" s="234">
        <v>0</v>
      </c>
      <c r="BF488" s="234">
        <v>0</v>
      </c>
      <c r="BG488" s="234">
        <v>0</v>
      </c>
      <c r="BH488" s="234">
        <v>0</v>
      </c>
      <c r="BI488" s="234">
        <v>0</v>
      </c>
      <c r="BJ488" s="234">
        <v>0</v>
      </c>
      <c r="BK488" s="234">
        <v>0</v>
      </c>
      <c r="BL488" s="234">
        <v>0</v>
      </c>
      <c r="BM488" s="234">
        <v>0</v>
      </c>
      <c r="BN488" s="234">
        <v>0</v>
      </c>
      <c r="BO488" s="234">
        <v>0</v>
      </c>
      <c r="BP488" s="234"/>
      <c r="BQ488" s="234"/>
      <c r="BR488" s="237" t="s">
        <v>334</v>
      </c>
      <c r="BS488" s="238">
        <v>18</v>
      </c>
      <c r="BU488" s="239">
        <f t="shared" si="44"/>
        <v>1.5</v>
      </c>
      <c r="BV488" s="239">
        <f t="shared" si="45"/>
        <v>1.5</v>
      </c>
      <c r="BW488" s="239">
        <f t="shared" si="46"/>
        <v>1.5</v>
      </c>
      <c r="BX488" s="239">
        <f t="shared" si="47"/>
        <v>1.5</v>
      </c>
      <c r="CN488" s="238">
        <f t="shared" si="36"/>
        <v>6</v>
      </c>
      <c r="CO488" s="238">
        <f t="shared" si="37"/>
        <v>6</v>
      </c>
    </row>
    <row r="489" spans="1:93" ht="13.95" customHeight="1" x14ac:dyDescent="0.2">
      <c r="A489" s="231">
        <v>2304</v>
      </c>
      <c r="B489" s="232" t="s">
        <v>822</v>
      </c>
      <c r="C489" s="232" t="s">
        <v>1505</v>
      </c>
      <c r="D489" s="232" t="s">
        <v>909</v>
      </c>
      <c r="E489" s="232" t="s">
        <v>317</v>
      </c>
      <c r="F489" s="231">
        <v>528666</v>
      </c>
      <c r="G489" s="231">
        <v>177450</v>
      </c>
      <c r="H489" s="232" t="s">
        <v>163</v>
      </c>
      <c r="I489" s="233"/>
      <c r="J489" s="231"/>
      <c r="K489" s="231">
        <v>0</v>
      </c>
      <c r="L489" s="231">
        <v>6</v>
      </c>
      <c r="M489" s="231">
        <v>6</v>
      </c>
      <c r="N489" s="231">
        <v>6</v>
      </c>
      <c r="O489" s="231">
        <v>6</v>
      </c>
      <c r="P489" s="234"/>
      <c r="Q489" s="232" t="s">
        <v>1506</v>
      </c>
      <c r="R489" s="234" t="s">
        <v>332</v>
      </c>
      <c r="S489" s="235">
        <v>44132</v>
      </c>
      <c r="T489" s="235">
        <v>44316</v>
      </c>
      <c r="U489" s="234"/>
      <c r="V489" s="232" t="s">
        <v>321</v>
      </c>
      <c r="W489" s="231"/>
      <c r="X489" s="232" t="s">
        <v>322</v>
      </c>
      <c r="Y489" s="232" t="s">
        <v>365</v>
      </c>
      <c r="Z489" s="232" t="s">
        <v>324</v>
      </c>
      <c r="AA489" s="232" t="s">
        <v>28</v>
      </c>
      <c r="AB489" s="236">
        <v>8.0000000000000002E-3</v>
      </c>
      <c r="AC489" s="235"/>
      <c r="AD489" s="234"/>
      <c r="AE489" s="234"/>
      <c r="AF489" s="232" t="s">
        <v>77</v>
      </c>
      <c r="AG489" s="232" t="s">
        <v>350</v>
      </c>
      <c r="AH489" s="234" t="s">
        <v>317</v>
      </c>
      <c r="AJ489" s="234">
        <v>0</v>
      </c>
      <c r="AK489" s="224"/>
      <c r="AL489" s="234">
        <v>0</v>
      </c>
      <c r="AM489" s="224"/>
      <c r="AN489" s="234">
        <v>0</v>
      </c>
      <c r="AO489" s="234">
        <v>2</v>
      </c>
      <c r="AP489" s="234">
        <v>3</v>
      </c>
      <c r="AQ489" s="234">
        <v>1</v>
      </c>
      <c r="AR489" s="234">
        <v>0</v>
      </c>
      <c r="AS489" s="234">
        <v>0</v>
      </c>
      <c r="AT489" s="234">
        <v>0</v>
      </c>
      <c r="AU489" s="234">
        <v>0</v>
      </c>
      <c r="AV489" s="234">
        <v>2</v>
      </c>
      <c r="AW489" s="234">
        <v>3</v>
      </c>
      <c r="AX489" s="234">
        <v>1</v>
      </c>
      <c r="AY489" s="234">
        <v>0</v>
      </c>
      <c r="AZ489" s="234">
        <v>0</v>
      </c>
      <c r="BA489" s="234">
        <v>0</v>
      </c>
      <c r="BB489" s="234">
        <v>0</v>
      </c>
      <c r="BC489" s="234">
        <v>0</v>
      </c>
      <c r="BD489" s="234">
        <v>0</v>
      </c>
      <c r="BE489" s="234">
        <v>0</v>
      </c>
      <c r="BF489" s="234">
        <v>0</v>
      </c>
      <c r="BG489" s="234">
        <v>0</v>
      </c>
      <c r="BH489" s="234">
        <v>0</v>
      </c>
      <c r="BI489" s="234">
        <v>0</v>
      </c>
      <c r="BJ489" s="234">
        <v>0</v>
      </c>
      <c r="BK489" s="234">
        <v>0</v>
      </c>
      <c r="BL489" s="234">
        <v>0</v>
      </c>
      <c r="BM489" s="234">
        <v>0</v>
      </c>
      <c r="BN489" s="234">
        <v>0</v>
      </c>
      <c r="BO489" s="234">
        <v>0</v>
      </c>
      <c r="BP489" s="234"/>
      <c r="BQ489" s="234" t="s">
        <v>318</v>
      </c>
      <c r="BR489" s="237" t="s">
        <v>151</v>
      </c>
      <c r="BS489" s="238">
        <v>18</v>
      </c>
      <c r="BU489" s="239">
        <f t="shared" si="44"/>
        <v>1.5</v>
      </c>
      <c r="BV489" s="239">
        <f t="shared" si="45"/>
        <v>1.5</v>
      </c>
      <c r="BW489" s="239">
        <f t="shared" si="46"/>
        <v>1.5</v>
      </c>
      <c r="BX489" s="239">
        <f t="shared" si="47"/>
        <v>1.5</v>
      </c>
      <c r="CN489" s="238">
        <f t="shared" si="36"/>
        <v>6</v>
      </c>
      <c r="CO489" s="238">
        <f t="shared" si="37"/>
        <v>6</v>
      </c>
    </row>
    <row r="490" spans="1:93" ht="13.95" customHeight="1" x14ac:dyDescent="0.2">
      <c r="A490" s="231">
        <v>2102</v>
      </c>
      <c r="B490" s="232" t="s">
        <v>822</v>
      </c>
      <c r="C490" s="232" t="s">
        <v>1507</v>
      </c>
      <c r="D490" s="232" t="s">
        <v>1508</v>
      </c>
      <c r="E490" s="232" t="s">
        <v>317</v>
      </c>
      <c r="F490" s="231">
        <v>523637</v>
      </c>
      <c r="G490" s="231">
        <v>173150</v>
      </c>
      <c r="H490" s="232" t="s">
        <v>182</v>
      </c>
      <c r="I490" s="233"/>
      <c r="J490" s="231"/>
      <c r="K490" s="231">
        <v>0</v>
      </c>
      <c r="L490" s="231">
        <v>6</v>
      </c>
      <c r="M490" s="231">
        <v>6</v>
      </c>
      <c r="N490" s="231">
        <v>6</v>
      </c>
      <c r="O490" s="231">
        <v>6</v>
      </c>
      <c r="P490" s="234"/>
      <c r="Q490" s="232" t="s">
        <v>1509</v>
      </c>
      <c r="R490" s="234" t="s">
        <v>332</v>
      </c>
      <c r="S490" s="235">
        <v>44631</v>
      </c>
      <c r="T490" s="235">
        <v>44841</v>
      </c>
      <c r="U490" s="234" t="s">
        <v>318</v>
      </c>
      <c r="V490" s="232" t="s">
        <v>321</v>
      </c>
      <c r="W490" s="231"/>
      <c r="X490" s="232" t="s">
        <v>322</v>
      </c>
      <c r="Y490" s="232" t="s">
        <v>339</v>
      </c>
      <c r="Z490" s="232" t="s">
        <v>324</v>
      </c>
      <c r="AA490" s="232" t="s">
        <v>354</v>
      </c>
      <c r="AB490" s="236">
        <v>4.6300000000000001E-2</v>
      </c>
      <c r="AC490" s="235"/>
      <c r="AD490" s="234"/>
      <c r="AE490" s="234"/>
      <c r="AF490" s="232" t="s">
        <v>77</v>
      </c>
      <c r="AG490" s="232" t="s">
        <v>350</v>
      </c>
      <c r="AH490" s="234" t="s">
        <v>317</v>
      </c>
      <c r="AJ490" s="234">
        <v>0</v>
      </c>
      <c r="AK490" s="224"/>
      <c r="AL490" s="234">
        <v>0</v>
      </c>
      <c r="AM490" s="224"/>
      <c r="AN490" s="234">
        <v>0</v>
      </c>
      <c r="AO490" s="234">
        <v>0</v>
      </c>
      <c r="AP490" s="234">
        <v>4</v>
      </c>
      <c r="AQ490" s="234">
        <v>2</v>
      </c>
      <c r="AR490" s="234">
        <v>0</v>
      </c>
      <c r="AS490" s="234">
        <v>0</v>
      </c>
      <c r="AT490" s="234">
        <v>0</v>
      </c>
      <c r="AU490" s="234">
        <v>0</v>
      </c>
      <c r="AV490" s="234">
        <v>0</v>
      </c>
      <c r="AW490" s="234">
        <v>4</v>
      </c>
      <c r="AX490" s="234">
        <v>2</v>
      </c>
      <c r="AY490" s="234">
        <v>0</v>
      </c>
      <c r="AZ490" s="234">
        <v>0</v>
      </c>
      <c r="BA490" s="234">
        <v>0</v>
      </c>
      <c r="BB490" s="234">
        <v>0</v>
      </c>
      <c r="BC490" s="234">
        <v>0</v>
      </c>
      <c r="BD490" s="234">
        <v>0</v>
      </c>
      <c r="BE490" s="234">
        <v>0</v>
      </c>
      <c r="BF490" s="234">
        <v>0</v>
      </c>
      <c r="BG490" s="234">
        <v>0</v>
      </c>
      <c r="BH490" s="234">
        <v>0</v>
      </c>
      <c r="BI490" s="234">
        <v>0</v>
      </c>
      <c r="BJ490" s="234">
        <v>0</v>
      </c>
      <c r="BK490" s="234">
        <v>0</v>
      </c>
      <c r="BL490" s="234">
        <v>0</v>
      </c>
      <c r="BM490" s="234">
        <v>0</v>
      </c>
      <c r="BN490" s="234">
        <v>0</v>
      </c>
      <c r="BO490" s="234">
        <v>0</v>
      </c>
      <c r="BP490" s="234"/>
      <c r="BQ490" s="234"/>
      <c r="BR490" s="237" t="s">
        <v>334</v>
      </c>
      <c r="BS490" s="238">
        <v>18</v>
      </c>
      <c r="BU490" s="239">
        <f t="shared" si="44"/>
        <v>1.5</v>
      </c>
      <c r="BV490" s="239">
        <f t="shared" si="45"/>
        <v>1.5</v>
      </c>
      <c r="BW490" s="239">
        <f t="shared" si="46"/>
        <v>1.5</v>
      </c>
      <c r="BX490" s="239">
        <f t="shared" si="47"/>
        <v>1.5</v>
      </c>
      <c r="CN490" s="238">
        <f t="shared" si="36"/>
        <v>6</v>
      </c>
      <c r="CO490" s="238">
        <f t="shared" si="37"/>
        <v>6</v>
      </c>
    </row>
    <row r="491" spans="1:93" ht="13.95" customHeight="1" x14ac:dyDescent="0.2">
      <c r="A491" s="231">
        <v>5803</v>
      </c>
      <c r="B491" s="232" t="s">
        <v>822</v>
      </c>
      <c r="C491" s="232" t="s">
        <v>1510</v>
      </c>
      <c r="D491" s="232" t="s">
        <v>1511</v>
      </c>
      <c r="E491" s="232" t="s">
        <v>317</v>
      </c>
      <c r="F491" s="231">
        <v>526534</v>
      </c>
      <c r="G491" s="231">
        <v>175822</v>
      </c>
      <c r="H491" s="232" t="s">
        <v>174</v>
      </c>
      <c r="I491" s="233"/>
      <c r="J491" s="231"/>
      <c r="K491" s="231">
        <v>0</v>
      </c>
      <c r="L491" s="231">
        <v>6</v>
      </c>
      <c r="M491" s="231">
        <v>6</v>
      </c>
      <c r="N491" s="231">
        <v>6</v>
      </c>
      <c r="O491" s="231">
        <v>6</v>
      </c>
      <c r="P491" s="234"/>
      <c r="Q491" s="232" t="s">
        <v>1512</v>
      </c>
      <c r="R491" s="234" t="s">
        <v>629</v>
      </c>
      <c r="S491" s="235">
        <v>43892</v>
      </c>
      <c r="T491" s="235">
        <v>43938</v>
      </c>
      <c r="U491" s="234"/>
      <c r="V491" s="232" t="s">
        <v>321</v>
      </c>
      <c r="W491" s="231"/>
      <c r="X491" s="232" t="s">
        <v>322</v>
      </c>
      <c r="Y491" s="232" t="s">
        <v>378</v>
      </c>
      <c r="Z491" s="232" t="s">
        <v>324</v>
      </c>
      <c r="AA491" s="232" t="s">
        <v>28</v>
      </c>
      <c r="AB491" s="236">
        <v>8.0000000000000002E-3</v>
      </c>
      <c r="AC491" s="235"/>
      <c r="AD491" s="234"/>
      <c r="AE491" s="234"/>
      <c r="AF491" s="232" t="s">
        <v>77</v>
      </c>
      <c r="AG491" s="232" t="s">
        <v>350</v>
      </c>
      <c r="AH491" s="234" t="s">
        <v>1513</v>
      </c>
      <c r="AJ491" s="234">
        <v>0</v>
      </c>
      <c r="AK491" s="224"/>
      <c r="AL491" s="234">
        <v>0</v>
      </c>
      <c r="AM491" s="224"/>
      <c r="AN491" s="234">
        <v>0</v>
      </c>
      <c r="AO491" s="234">
        <v>6</v>
      </c>
      <c r="AP491" s="234">
        <v>0</v>
      </c>
      <c r="AQ491" s="234">
        <v>0</v>
      </c>
      <c r="AR491" s="234">
        <v>0</v>
      </c>
      <c r="AS491" s="234">
        <v>0</v>
      </c>
      <c r="AT491" s="234">
        <v>0</v>
      </c>
      <c r="AU491" s="234">
        <v>0</v>
      </c>
      <c r="AV491" s="234">
        <v>6</v>
      </c>
      <c r="AW491" s="234">
        <v>0</v>
      </c>
      <c r="AX491" s="234">
        <v>0</v>
      </c>
      <c r="AY491" s="234">
        <v>0</v>
      </c>
      <c r="AZ491" s="234">
        <v>0</v>
      </c>
      <c r="BA491" s="234">
        <v>0</v>
      </c>
      <c r="BB491" s="234">
        <v>0</v>
      </c>
      <c r="BC491" s="234">
        <v>0</v>
      </c>
      <c r="BD491" s="234">
        <v>0</v>
      </c>
      <c r="BE491" s="234">
        <v>0</v>
      </c>
      <c r="BF491" s="234">
        <v>0</v>
      </c>
      <c r="BG491" s="234">
        <v>0</v>
      </c>
      <c r="BH491" s="234">
        <v>0</v>
      </c>
      <c r="BI491" s="234">
        <v>0</v>
      </c>
      <c r="BJ491" s="234">
        <v>0</v>
      </c>
      <c r="BK491" s="234">
        <v>0</v>
      </c>
      <c r="BL491" s="234">
        <v>0</v>
      </c>
      <c r="BM491" s="234">
        <v>0</v>
      </c>
      <c r="BN491" s="234">
        <v>0</v>
      </c>
      <c r="BO491" s="234">
        <v>0</v>
      </c>
      <c r="BP491" s="234"/>
      <c r="BQ491" s="234"/>
      <c r="BR491" s="237" t="s">
        <v>481</v>
      </c>
      <c r="BS491" s="238">
        <v>18</v>
      </c>
      <c r="BU491" s="239">
        <f t="shared" si="44"/>
        <v>1.5</v>
      </c>
      <c r="BV491" s="239">
        <f t="shared" si="45"/>
        <v>1.5</v>
      </c>
      <c r="BW491" s="239">
        <f t="shared" si="46"/>
        <v>1.5</v>
      </c>
      <c r="BX491" s="239">
        <f t="shared" si="47"/>
        <v>1.5</v>
      </c>
      <c r="CN491" s="238">
        <f t="shared" si="36"/>
        <v>6</v>
      </c>
      <c r="CO491" s="238">
        <f t="shared" si="37"/>
        <v>6</v>
      </c>
    </row>
    <row r="492" spans="1:93" ht="13.95" customHeight="1" x14ac:dyDescent="0.2">
      <c r="A492" s="231">
        <v>7358</v>
      </c>
      <c r="B492" s="232" t="s">
        <v>822</v>
      </c>
      <c r="C492" s="232" t="s">
        <v>1514</v>
      </c>
      <c r="D492" s="232" t="s">
        <v>1515</v>
      </c>
      <c r="E492" s="232" t="s">
        <v>317</v>
      </c>
      <c r="F492" s="231">
        <v>526467</v>
      </c>
      <c r="G492" s="231">
        <v>175725</v>
      </c>
      <c r="H492" s="232" t="s">
        <v>174</v>
      </c>
      <c r="I492" s="233"/>
      <c r="J492" s="231"/>
      <c r="K492" s="231">
        <v>0</v>
      </c>
      <c r="L492" s="231">
        <v>6</v>
      </c>
      <c r="M492" s="231">
        <v>6</v>
      </c>
      <c r="N492" s="231">
        <v>6</v>
      </c>
      <c r="O492" s="231">
        <v>6</v>
      </c>
      <c r="P492" s="234"/>
      <c r="Q492" s="232" t="s">
        <v>1516</v>
      </c>
      <c r="R492" s="234" t="s">
        <v>629</v>
      </c>
      <c r="S492" s="235">
        <v>43895</v>
      </c>
      <c r="T492" s="235">
        <v>43938</v>
      </c>
      <c r="U492" s="234"/>
      <c r="V492" s="232" t="s">
        <v>321</v>
      </c>
      <c r="W492" s="231"/>
      <c r="X492" s="232" t="s">
        <v>322</v>
      </c>
      <c r="Y492" s="232" t="s">
        <v>378</v>
      </c>
      <c r="Z492" s="232" t="s">
        <v>324</v>
      </c>
      <c r="AA492" s="232" t="s">
        <v>28</v>
      </c>
      <c r="AB492" s="236">
        <v>1.4999999999999999E-2</v>
      </c>
      <c r="AC492" s="235"/>
      <c r="AD492" s="234"/>
      <c r="AE492" s="234"/>
      <c r="AF492" s="232" t="s">
        <v>77</v>
      </c>
      <c r="AG492" s="232" t="s">
        <v>350</v>
      </c>
      <c r="AH492" s="234" t="s">
        <v>317</v>
      </c>
      <c r="AJ492" s="234">
        <v>0</v>
      </c>
      <c r="AK492" s="224"/>
      <c r="AL492" s="234">
        <v>0</v>
      </c>
      <c r="AM492" s="224"/>
      <c r="AN492" s="234">
        <v>0</v>
      </c>
      <c r="AO492" s="234">
        <v>3</v>
      </c>
      <c r="AP492" s="234">
        <v>3</v>
      </c>
      <c r="AQ492" s="234">
        <v>0</v>
      </c>
      <c r="AR492" s="234">
        <v>0</v>
      </c>
      <c r="AS492" s="234">
        <v>0</v>
      </c>
      <c r="AT492" s="234">
        <v>0</v>
      </c>
      <c r="AU492" s="234">
        <v>0</v>
      </c>
      <c r="AV492" s="234">
        <v>3</v>
      </c>
      <c r="AW492" s="234">
        <v>3</v>
      </c>
      <c r="AX492" s="234">
        <v>0</v>
      </c>
      <c r="AY492" s="234">
        <v>0</v>
      </c>
      <c r="AZ492" s="234">
        <v>0</v>
      </c>
      <c r="BA492" s="234">
        <v>0</v>
      </c>
      <c r="BB492" s="234">
        <v>0</v>
      </c>
      <c r="BC492" s="234">
        <v>0</v>
      </c>
      <c r="BD492" s="234">
        <v>0</v>
      </c>
      <c r="BE492" s="234">
        <v>0</v>
      </c>
      <c r="BF492" s="234">
        <v>0</v>
      </c>
      <c r="BG492" s="234">
        <v>0</v>
      </c>
      <c r="BH492" s="234">
        <v>0</v>
      </c>
      <c r="BI492" s="234">
        <v>0</v>
      </c>
      <c r="BJ492" s="234">
        <v>0</v>
      </c>
      <c r="BK492" s="234">
        <v>0</v>
      </c>
      <c r="BL492" s="234">
        <v>0</v>
      </c>
      <c r="BM492" s="234">
        <v>0</v>
      </c>
      <c r="BN492" s="234">
        <v>0</v>
      </c>
      <c r="BO492" s="234">
        <v>0</v>
      </c>
      <c r="BP492" s="234"/>
      <c r="BQ492" s="234"/>
      <c r="BR492" s="237" t="s">
        <v>481</v>
      </c>
      <c r="BS492" s="238">
        <v>18</v>
      </c>
      <c r="BU492" s="239">
        <f t="shared" si="44"/>
        <v>1.5</v>
      </c>
      <c r="BV492" s="239">
        <f t="shared" si="45"/>
        <v>1.5</v>
      </c>
      <c r="BW492" s="239">
        <f t="shared" si="46"/>
        <v>1.5</v>
      </c>
      <c r="BX492" s="239">
        <f t="shared" si="47"/>
        <v>1.5</v>
      </c>
      <c r="CN492" s="238">
        <f t="shared" si="36"/>
        <v>6</v>
      </c>
      <c r="CO492" s="238">
        <f t="shared" si="37"/>
        <v>6</v>
      </c>
    </row>
    <row r="493" spans="1:93" ht="13.95" customHeight="1" x14ac:dyDescent="0.2">
      <c r="A493" s="231">
        <v>7786</v>
      </c>
      <c r="B493" s="232" t="s">
        <v>822</v>
      </c>
      <c r="C493" s="232" t="s">
        <v>1517</v>
      </c>
      <c r="D493" s="232" t="s">
        <v>1518</v>
      </c>
      <c r="E493" s="232" t="s">
        <v>317</v>
      </c>
      <c r="F493" s="231">
        <v>527853</v>
      </c>
      <c r="G493" s="231">
        <v>171000</v>
      </c>
      <c r="H493" s="232" t="s">
        <v>177</v>
      </c>
      <c r="I493" s="233"/>
      <c r="J493" s="231"/>
      <c r="K493" s="231">
        <v>2</v>
      </c>
      <c r="L493" s="231">
        <v>7</v>
      </c>
      <c r="M493" s="231">
        <v>5</v>
      </c>
      <c r="N493" s="231">
        <v>7</v>
      </c>
      <c r="O493" s="231">
        <v>5</v>
      </c>
      <c r="P493" s="234"/>
      <c r="Q493" s="232" t="s">
        <v>1519</v>
      </c>
      <c r="R493" s="234" t="s">
        <v>332</v>
      </c>
      <c r="S493" s="235">
        <v>44613</v>
      </c>
      <c r="T493" s="235">
        <v>44889</v>
      </c>
      <c r="U493" s="234" t="s">
        <v>318</v>
      </c>
      <c r="V493" s="232" t="s">
        <v>321</v>
      </c>
      <c r="W493" s="231"/>
      <c r="X493" s="232" t="s">
        <v>322</v>
      </c>
      <c r="Y493" s="232" t="s">
        <v>338</v>
      </c>
      <c r="Z493" s="232" t="s">
        <v>324</v>
      </c>
      <c r="AA493" s="232" t="s">
        <v>25</v>
      </c>
      <c r="AB493" s="236">
        <v>1.6566669999999999E-2</v>
      </c>
      <c r="AC493" s="235"/>
      <c r="AD493" s="234"/>
      <c r="AE493" s="234"/>
      <c r="AF493" s="232" t="s">
        <v>77</v>
      </c>
      <c r="AG493" s="232" t="s">
        <v>340</v>
      </c>
      <c r="AH493" s="234" t="s">
        <v>317</v>
      </c>
      <c r="AJ493" s="234">
        <v>0</v>
      </c>
      <c r="AK493" s="224"/>
      <c r="AL493" s="234">
        <v>0</v>
      </c>
      <c r="AM493" s="224"/>
      <c r="AN493" s="234">
        <v>1</v>
      </c>
      <c r="AO493" s="234">
        <v>3</v>
      </c>
      <c r="AP493" s="234">
        <v>3</v>
      </c>
      <c r="AQ493" s="234">
        <v>0</v>
      </c>
      <c r="AR493" s="234">
        <v>-2</v>
      </c>
      <c r="AS493" s="234">
        <v>0</v>
      </c>
      <c r="AT493" s="234">
        <v>0</v>
      </c>
      <c r="AU493" s="234">
        <v>1</v>
      </c>
      <c r="AV493" s="234">
        <v>3</v>
      </c>
      <c r="AW493" s="234">
        <v>3</v>
      </c>
      <c r="AX493" s="234">
        <v>0</v>
      </c>
      <c r="AY493" s="234">
        <v>-2</v>
      </c>
      <c r="AZ493" s="234">
        <v>0</v>
      </c>
      <c r="BA493" s="234">
        <v>0</v>
      </c>
      <c r="BB493" s="234">
        <v>0</v>
      </c>
      <c r="BC493" s="234">
        <v>0</v>
      </c>
      <c r="BD493" s="234">
        <v>0</v>
      </c>
      <c r="BE493" s="234">
        <v>0</v>
      </c>
      <c r="BF493" s="234">
        <v>0</v>
      </c>
      <c r="BG493" s="234">
        <v>0</v>
      </c>
      <c r="BH493" s="234">
        <v>0</v>
      </c>
      <c r="BI493" s="234">
        <v>0</v>
      </c>
      <c r="BJ493" s="234">
        <v>0</v>
      </c>
      <c r="BK493" s="234">
        <v>0</v>
      </c>
      <c r="BL493" s="234">
        <v>0</v>
      </c>
      <c r="BM493" s="234">
        <v>0</v>
      </c>
      <c r="BN493" s="234">
        <v>0</v>
      </c>
      <c r="BO493" s="234">
        <v>0</v>
      </c>
      <c r="BP493" s="234"/>
      <c r="BQ493" s="234"/>
      <c r="BR493" s="237" t="s">
        <v>144</v>
      </c>
      <c r="BS493" s="238">
        <v>15</v>
      </c>
      <c r="BU493" s="239">
        <f t="shared" si="44"/>
        <v>1.25</v>
      </c>
      <c r="BV493" s="239">
        <f t="shared" si="45"/>
        <v>1.25</v>
      </c>
      <c r="BW493" s="239">
        <f t="shared" si="46"/>
        <v>1.25</v>
      </c>
      <c r="BX493" s="239">
        <f t="shared" si="47"/>
        <v>1.25</v>
      </c>
      <c r="CN493" s="238">
        <f t="shared" si="36"/>
        <v>5</v>
      </c>
      <c r="CO493" s="238">
        <f t="shared" si="37"/>
        <v>5</v>
      </c>
    </row>
    <row r="494" spans="1:93" ht="13.95" customHeight="1" x14ac:dyDescent="0.2">
      <c r="A494" s="231">
        <v>7822</v>
      </c>
      <c r="B494" s="232" t="s">
        <v>822</v>
      </c>
      <c r="C494" s="232" t="s">
        <v>1520</v>
      </c>
      <c r="D494" s="232" t="s">
        <v>1521</v>
      </c>
      <c r="E494" s="232" t="s">
        <v>317</v>
      </c>
      <c r="F494" s="231">
        <v>528706</v>
      </c>
      <c r="G494" s="231">
        <v>172468</v>
      </c>
      <c r="H494" s="232" t="s">
        <v>172</v>
      </c>
      <c r="I494" s="233"/>
      <c r="J494" s="231"/>
      <c r="K494" s="231">
        <v>1</v>
      </c>
      <c r="L494" s="231">
        <v>6</v>
      </c>
      <c r="M494" s="231">
        <v>5</v>
      </c>
      <c r="N494" s="231">
        <v>6</v>
      </c>
      <c r="O494" s="231">
        <v>5</v>
      </c>
      <c r="P494" s="234"/>
      <c r="Q494" s="232" t="s">
        <v>1522</v>
      </c>
      <c r="R494" s="234" t="s">
        <v>332</v>
      </c>
      <c r="S494" s="235">
        <v>44655</v>
      </c>
      <c r="T494" s="235">
        <v>44771</v>
      </c>
      <c r="U494" s="234" t="s">
        <v>318</v>
      </c>
      <c r="V494" s="232" t="s">
        <v>321</v>
      </c>
      <c r="W494" s="231"/>
      <c r="X494" s="232" t="s">
        <v>322</v>
      </c>
      <c r="Y494" s="232" t="s">
        <v>338</v>
      </c>
      <c r="Z494" s="232" t="s">
        <v>324</v>
      </c>
      <c r="AA494" s="232" t="s">
        <v>15</v>
      </c>
      <c r="AB494" s="236">
        <v>1.7000000000000001E-2</v>
      </c>
      <c r="AC494" s="235"/>
      <c r="AD494" s="234"/>
      <c r="AE494" s="234"/>
      <c r="AF494" s="232" t="s">
        <v>77</v>
      </c>
      <c r="AG494" s="232" t="s">
        <v>350</v>
      </c>
      <c r="AH494" s="234" t="s">
        <v>317</v>
      </c>
      <c r="AJ494" s="234">
        <v>0</v>
      </c>
      <c r="AK494" s="224"/>
      <c r="AL494" s="234">
        <v>0</v>
      </c>
      <c r="AM494" s="224"/>
      <c r="AN494" s="234">
        <v>0</v>
      </c>
      <c r="AO494" s="234">
        <v>1</v>
      </c>
      <c r="AP494" s="234">
        <v>2</v>
      </c>
      <c r="AQ494" s="234">
        <v>3</v>
      </c>
      <c r="AR494" s="234">
        <v>0</v>
      </c>
      <c r="AS494" s="234">
        <v>-1</v>
      </c>
      <c r="AT494" s="234">
        <v>0</v>
      </c>
      <c r="AU494" s="234">
        <v>0</v>
      </c>
      <c r="AV494" s="234">
        <v>1</v>
      </c>
      <c r="AW494" s="234">
        <v>2</v>
      </c>
      <c r="AX494" s="234">
        <v>3</v>
      </c>
      <c r="AY494" s="234">
        <v>0</v>
      </c>
      <c r="AZ494" s="234">
        <v>0</v>
      </c>
      <c r="BA494" s="234">
        <v>0</v>
      </c>
      <c r="BB494" s="234">
        <v>0</v>
      </c>
      <c r="BC494" s="234">
        <v>0</v>
      </c>
      <c r="BD494" s="234">
        <v>0</v>
      </c>
      <c r="BE494" s="234">
        <v>0</v>
      </c>
      <c r="BF494" s="234">
        <v>0</v>
      </c>
      <c r="BG494" s="234">
        <v>-1</v>
      </c>
      <c r="BH494" s="234">
        <v>0</v>
      </c>
      <c r="BI494" s="234">
        <v>0</v>
      </c>
      <c r="BJ494" s="234">
        <v>0</v>
      </c>
      <c r="BK494" s="234">
        <v>0</v>
      </c>
      <c r="BL494" s="234">
        <v>0</v>
      </c>
      <c r="BM494" s="234">
        <v>0</v>
      </c>
      <c r="BN494" s="234">
        <v>0</v>
      </c>
      <c r="BO494" s="234">
        <v>0</v>
      </c>
      <c r="BP494" s="234"/>
      <c r="BQ494" s="234"/>
      <c r="BR494" s="237" t="s">
        <v>334</v>
      </c>
      <c r="BS494" s="238">
        <v>15</v>
      </c>
      <c r="BU494" s="239">
        <f t="shared" si="44"/>
        <v>1.25</v>
      </c>
      <c r="BV494" s="239">
        <f t="shared" si="45"/>
        <v>1.25</v>
      </c>
      <c r="BW494" s="239">
        <f t="shared" si="46"/>
        <v>1.25</v>
      </c>
      <c r="BX494" s="239">
        <f t="shared" si="47"/>
        <v>1.25</v>
      </c>
      <c r="CN494" s="238">
        <f t="shared" si="36"/>
        <v>5</v>
      </c>
      <c r="CO494" s="238">
        <f t="shared" si="37"/>
        <v>5</v>
      </c>
    </row>
    <row r="495" spans="1:93" ht="13.95" customHeight="1" x14ac:dyDescent="0.2">
      <c r="A495" s="231">
        <v>6348</v>
      </c>
      <c r="B495" s="232" t="s">
        <v>822</v>
      </c>
      <c r="C495" s="232" t="s">
        <v>1523</v>
      </c>
      <c r="D495" s="232" t="s">
        <v>1524</v>
      </c>
      <c r="E495" s="232" t="s">
        <v>317</v>
      </c>
      <c r="F495" s="231">
        <v>525098</v>
      </c>
      <c r="G495" s="231">
        <v>174608</v>
      </c>
      <c r="H495" s="232" t="s">
        <v>164</v>
      </c>
      <c r="I495" s="233"/>
      <c r="J495" s="231"/>
      <c r="K495" s="231">
        <v>0</v>
      </c>
      <c r="L495" s="231">
        <v>5</v>
      </c>
      <c r="M495" s="231">
        <v>5</v>
      </c>
      <c r="N495" s="231">
        <v>5</v>
      </c>
      <c r="O495" s="231">
        <v>5</v>
      </c>
      <c r="P495" s="234"/>
      <c r="Q495" s="232" t="s">
        <v>1525</v>
      </c>
      <c r="R495" s="234" t="s">
        <v>332</v>
      </c>
      <c r="S495" s="235">
        <v>44743</v>
      </c>
      <c r="T495" s="235">
        <v>44798</v>
      </c>
      <c r="U495" s="234" t="s">
        <v>318</v>
      </c>
      <c r="V495" s="232" t="s">
        <v>321</v>
      </c>
      <c r="W495" s="231"/>
      <c r="X495" s="232" t="s">
        <v>322</v>
      </c>
      <c r="Y495" s="232" t="s">
        <v>338</v>
      </c>
      <c r="Z495" s="232" t="s">
        <v>324</v>
      </c>
      <c r="AA495" s="232" t="s">
        <v>354</v>
      </c>
      <c r="AB495" s="236">
        <v>2.4549999999999999E-2</v>
      </c>
      <c r="AC495" s="235"/>
      <c r="AD495" s="234"/>
      <c r="AE495" s="234"/>
      <c r="AF495" s="232" t="s">
        <v>77</v>
      </c>
      <c r="AG495" s="232" t="s">
        <v>350</v>
      </c>
      <c r="AH495" s="234" t="s">
        <v>317</v>
      </c>
      <c r="AJ495" s="234">
        <v>0</v>
      </c>
      <c r="AK495" s="224"/>
      <c r="AL495" s="234">
        <v>0</v>
      </c>
      <c r="AM495" s="224"/>
      <c r="AN495" s="234">
        <v>0</v>
      </c>
      <c r="AO495" s="234">
        <v>1</v>
      </c>
      <c r="AP495" s="234">
        <v>4</v>
      </c>
      <c r="AQ495" s="234">
        <v>0</v>
      </c>
      <c r="AR495" s="234">
        <v>0</v>
      </c>
      <c r="AS495" s="234">
        <v>0</v>
      </c>
      <c r="AT495" s="234">
        <v>0</v>
      </c>
      <c r="AU495" s="234">
        <v>0</v>
      </c>
      <c r="AV495" s="234">
        <v>1</v>
      </c>
      <c r="AW495" s="234">
        <v>4</v>
      </c>
      <c r="AX495" s="234">
        <v>0</v>
      </c>
      <c r="AY495" s="234">
        <v>0</v>
      </c>
      <c r="AZ495" s="234">
        <v>0</v>
      </c>
      <c r="BA495" s="234">
        <v>0</v>
      </c>
      <c r="BB495" s="234">
        <v>0</v>
      </c>
      <c r="BC495" s="234">
        <v>0</v>
      </c>
      <c r="BD495" s="234">
        <v>0</v>
      </c>
      <c r="BE495" s="234">
        <v>0</v>
      </c>
      <c r="BF495" s="234">
        <v>0</v>
      </c>
      <c r="BG495" s="234">
        <v>0</v>
      </c>
      <c r="BH495" s="234">
        <v>0</v>
      </c>
      <c r="BI495" s="234">
        <v>0</v>
      </c>
      <c r="BJ495" s="234">
        <v>0</v>
      </c>
      <c r="BK495" s="234">
        <v>0</v>
      </c>
      <c r="BL495" s="234">
        <v>0</v>
      </c>
      <c r="BM495" s="234">
        <v>0</v>
      </c>
      <c r="BN495" s="234">
        <v>0</v>
      </c>
      <c r="BO495" s="234">
        <v>0</v>
      </c>
      <c r="BP495" s="234"/>
      <c r="BQ495" s="234"/>
      <c r="BR495" s="237" t="s">
        <v>334</v>
      </c>
      <c r="BS495" s="238">
        <v>15</v>
      </c>
      <c r="BU495" s="239">
        <f t="shared" si="44"/>
        <v>1.25</v>
      </c>
      <c r="BV495" s="239">
        <f t="shared" si="45"/>
        <v>1.25</v>
      </c>
      <c r="BW495" s="239">
        <f t="shared" si="46"/>
        <v>1.25</v>
      </c>
      <c r="BX495" s="239">
        <f t="shared" si="47"/>
        <v>1.25</v>
      </c>
      <c r="CN495" s="238">
        <f t="shared" si="36"/>
        <v>5</v>
      </c>
      <c r="CO495" s="238">
        <f t="shared" si="37"/>
        <v>5</v>
      </c>
    </row>
    <row r="496" spans="1:93" ht="13.95" customHeight="1" x14ac:dyDescent="0.2">
      <c r="A496" s="231">
        <v>5804</v>
      </c>
      <c r="B496" s="232" t="s">
        <v>822</v>
      </c>
      <c r="C496" s="232" t="s">
        <v>1526</v>
      </c>
      <c r="D496" s="232" t="s">
        <v>1527</v>
      </c>
      <c r="E496" s="232" t="s">
        <v>317</v>
      </c>
      <c r="F496" s="231">
        <v>526485</v>
      </c>
      <c r="G496" s="231">
        <v>175743</v>
      </c>
      <c r="H496" s="232" t="s">
        <v>174</v>
      </c>
      <c r="I496" s="233"/>
      <c r="J496" s="231"/>
      <c r="K496" s="231">
        <v>0</v>
      </c>
      <c r="L496" s="231">
        <v>5</v>
      </c>
      <c r="M496" s="231">
        <v>5</v>
      </c>
      <c r="N496" s="231">
        <v>5</v>
      </c>
      <c r="O496" s="231">
        <v>5</v>
      </c>
      <c r="P496" s="234"/>
      <c r="Q496" s="232" t="s">
        <v>1528</v>
      </c>
      <c r="R496" s="234" t="s">
        <v>629</v>
      </c>
      <c r="S496" s="235">
        <v>43895</v>
      </c>
      <c r="T496" s="235">
        <v>43938</v>
      </c>
      <c r="U496" s="234"/>
      <c r="V496" s="232" t="s">
        <v>321</v>
      </c>
      <c r="W496" s="231"/>
      <c r="X496" s="232" t="s">
        <v>322</v>
      </c>
      <c r="Y496" s="232" t="s">
        <v>378</v>
      </c>
      <c r="Z496" s="232" t="s">
        <v>324</v>
      </c>
      <c r="AA496" s="232" t="s">
        <v>28</v>
      </c>
      <c r="AB496" s="236">
        <v>3.5999999999999997E-2</v>
      </c>
      <c r="AC496" s="235"/>
      <c r="AD496" s="234"/>
      <c r="AE496" s="234"/>
      <c r="AF496" s="232" t="s">
        <v>77</v>
      </c>
      <c r="AG496" s="232" t="s">
        <v>350</v>
      </c>
      <c r="AH496" s="234" t="s">
        <v>1513</v>
      </c>
      <c r="AJ496" s="234">
        <v>0</v>
      </c>
      <c r="AK496" s="224"/>
      <c r="AL496" s="234">
        <v>0</v>
      </c>
      <c r="AM496" s="224"/>
      <c r="AN496" s="234">
        <v>0</v>
      </c>
      <c r="AO496" s="234">
        <v>0</v>
      </c>
      <c r="AP496" s="234">
        <v>0</v>
      </c>
      <c r="AQ496" s="234">
        <v>5</v>
      </c>
      <c r="AR496" s="234">
        <v>0</v>
      </c>
      <c r="AS496" s="234">
        <v>0</v>
      </c>
      <c r="AT496" s="234">
        <v>0</v>
      </c>
      <c r="AU496" s="234">
        <v>0</v>
      </c>
      <c r="AV496" s="234">
        <v>0</v>
      </c>
      <c r="AW496" s="234">
        <v>0</v>
      </c>
      <c r="AX496" s="234">
        <v>5</v>
      </c>
      <c r="AY496" s="234">
        <v>0</v>
      </c>
      <c r="AZ496" s="234">
        <v>0</v>
      </c>
      <c r="BA496" s="234">
        <v>0</v>
      </c>
      <c r="BB496" s="234">
        <v>0</v>
      </c>
      <c r="BC496" s="234">
        <v>0</v>
      </c>
      <c r="BD496" s="234">
        <v>0</v>
      </c>
      <c r="BE496" s="234">
        <v>0</v>
      </c>
      <c r="BF496" s="234">
        <v>0</v>
      </c>
      <c r="BG496" s="234">
        <v>0</v>
      </c>
      <c r="BH496" s="234">
        <v>0</v>
      </c>
      <c r="BI496" s="234">
        <v>0</v>
      </c>
      <c r="BJ496" s="234">
        <v>0</v>
      </c>
      <c r="BK496" s="234">
        <v>0</v>
      </c>
      <c r="BL496" s="234">
        <v>0</v>
      </c>
      <c r="BM496" s="234">
        <v>0</v>
      </c>
      <c r="BN496" s="234">
        <v>0</v>
      </c>
      <c r="BO496" s="234">
        <v>0</v>
      </c>
      <c r="BP496" s="234"/>
      <c r="BQ496" s="234"/>
      <c r="BR496" s="237" t="s">
        <v>481</v>
      </c>
      <c r="BS496" s="238">
        <v>15</v>
      </c>
      <c r="BU496" s="239">
        <f t="shared" si="44"/>
        <v>1.25</v>
      </c>
      <c r="BV496" s="239">
        <f t="shared" si="45"/>
        <v>1.25</v>
      </c>
      <c r="BW496" s="239">
        <f t="shared" si="46"/>
        <v>1.25</v>
      </c>
      <c r="BX496" s="239">
        <f t="shared" si="47"/>
        <v>1.25</v>
      </c>
      <c r="CN496" s="238">
        <f t="shared" si="36"/>
        <v>5</v>
      </c>
      <c r="CO496" s="238">
        <f t="shared" si="37"/>
        <v>5</v>
      </c>
    </row>
    <row r="497" spans="1:93" ht="13.95" customHeight="1" x14ac:dyDescent="0.2">
      <c r="A497" s="231">
        <v>54</v>
      </c>
      <c r="B497" s="232" t="s">
        <v>822</v>
      </c>
      <c r="C497" s="232" t="s">
        <v>1529</v>
      </c>
      <c r="D497" s="232" t="s">
        <v>1530</v>
      </c>
      <c r="E497" s="232" t="s">
        <v>317</v>
      </c>
      <c r="F497" s="231">
        <v>527320</v>
      </c>
      <c r="G497" s="231">
        <v>177144</v>
      </c>
      <c r="H497" s="232" t="s">
        <v>163</v>
      </c>
      <c r="I497" s="233"/>
      <c r="J497" s="231"/>
      <c r="K497" s="231">
        <v>0</v>
      </c>
      <c r="L497" s="231">
        <v>5</v>
      </c>
      <c r="M497" s="231">
        <v>5</v>
      </c>
      <c r="N497" s="231">
        <v>5</v>
      </c>
      <c r="O497" s="231">
        <v>5</v>
      </c>
      <c r="P497" s="234"/>
      <c r="Q497" s="232" t="s">
        <v>1531</v>
      </c>
      <c r="R497" s="234" t="s">
        <v>320</v>
      </c>
      <c r="S497" s="235">
        <v>44112</v>
      </c>
      <c r="T497" s="235">
        <v>44256</v>
      </c>
      <c r="U497" s="234"/>
      <c r="V497" s="232" t="s">
        <v>321</v>
      </c>
      <c r="W497" s="231"/>
      <c r="X497" s="232" t="s">
        <v>322</v>
      </c>
      <c r="Y497" s="232" t="s">
        <v>339</v>
      </c>
      <c r="Z497" s="232" t="s">
        <v>324</v>
      </c>
      <c r="AA497" s="232" t="s">
        <v>354</v>
      </c>
      <c r="AB497" s="236">
        <v>0.02</v>
      </c>
      <c r="AC497" s="235"/>
      <c r="AD497" s="234"/>
      <c r="AE497" s="234"/>
      <c r="AF497" s="232" t="s">
        <v>77</v>
      </c>
      <c r="AG497" s="232" t="s">
        <v>350</v>
      </c>
      <c r="AH497" s="234" t="s">
        <v>317</v>
      </c>
      <c r="AJ497" s="234">
        <v>0</v>
      </c>
      <c r="AK497" s="224"/>
      <c r="AL497" s="234">
        <v>0</v>
      </c>
      <c r="AM497" s="224"/>
      <c r="AN497" s="234">
        <v>0</v>
      </c>
      <c r="AO497" s="234">
        <v>0</v>
      </c>
      <c r="AP497" s="234">
        <v>0</v>
      </c>
      <c r="AQ497" s="234">
        <v>4</v>
      </c>
      <c r="AR497" s="234">
        <v>1</v>
      </c>
      <c r="AS497" s="234">
        <v>0</v>
      </c>
      <c r="AT497" s="234">
        <v>0</v>
      </c>
      <c r="AU497" s="234">
        <v>0</v>
      </c>
      <c r="AV497" s="234">
        <v>0</v>
      </c>
      <c r="AW497" s="234">
        <v>0</v>
      </c>
      <c r="AX497" s="234">
        <v>4</v>
      </c>
      <c r="AY497" s="234">
        <v>1</v>
      </c>
      <c r="AZ497" s="234">
        <v>0</v>
      </c>
      <c r="BA497" s="234">
        <v>0</v>
      </c>
      <c r="BB497" s="234">
        <v>0</v>
      </c>
      <c r="BC497" s="234">
        <v>0</v>
      </c>
      <c r="BD497" s="234">
        <v>0</v>
      </c>
      <c r="BE497" s="234">
        <v>0</v>
      </c>
      <c r="BF497" s="234">
        <v>0</v>
      </c>
      <c r="BG497" s="234">
        <v>0</v>
      </c>
      <c r="BH497" s="234">
        <v>0</v>
      </c>
      <c r="BI497" s="234">
        <v>0</v>
      </c>
      <c r="BJ497" s="234">
        <v>0</v>
      </c>
      <c r="BK497" s="234">
        <v>0</v>
      </c>
      <c r="BL497" s="234">
        <v>0</v>
      </c>
      <c r="BM497" s="234">
        <v>0</v>
      </c>
      <c r="BN497" s="234">
        <v>0</v>
      </c>
      <c r="BO497" s="234">
        <v>0</v>
      </c>
      <c r="BP497" s="234"/>
      <c r="BQ497" s="234"/>
      <c r="BR497" s="237" t="s">
        <v>481</v>
      </c>
      <c r="BS497" s="238">
        <v>15</v>
      </c>
      <c r="BU497" s="239">
        <f t="shared" si="44"/>
        <v>1.25</v>
      </c>
      <c r="BV497" s="239">
        <f t="shared" si="45"/>
        <v>1.25</v>
      </c>
      <c r="BW497" s="239">
        <f t="shared" si="46"/>
        <v>1.25</v>
      </c>
      <c r="BX497" s="239">
        <f t="shared" si="47"/>
        <v>1.25</v>
      </c>
      <c r="CN497" s="238">
        <f t="shared" si="36"/>
        <v>5</v>
      </c>
      <c r="CO497" s="238">
        <f t="shared" si="37"/>
        <v>5</v>
      </c>
    </row>
    <row r="498" spans="1:93" ht="13.95" customHeight="1" x14ac:dyDescent="0.2">
      <c r="A498" s="231">
        <v>2356</v>
      </c>
      <c r="B498" s="232" t="s">
        <v>822</v>
      </c>
      <c r="C498" s="232" t="s">
        <v>1532</v>
      </c>
      <c r="D498" s="232" t="s">
        <v>1533</v>
      </c>
      <c r="E498" s="232" t="s">
        <v>317</v>
      </c>
      <c r="F498" s="231">
        <v>525955</v>
      </c>
      <c r="G498" s="231">
        <v>174077</v>
      </c>
      <c r="H498" s="232" t="s">
        <v>181</v>
      </c>
      <c r="I498" s="233"/>
      <c r="J498" s="231"/>
      <c r="K498" s="231">
        <v>0</v>
      </c>
      <c r="L498" s="231">
        <v>5</v>
      </c>
      <c r="M498" s="231">
        <v>5</v>
      </c>
      <c r="N498" s="231">
        <v>5</v>
      </c>
      <c r="O498" s="231">
        <v>5</v>
      </c>
      <c r="P498" s="234"/>
      <c r="Q498" s="232" t="s">
        <v>1534</v>
      </c>
      <c r="R498" s="234" t="s">
        <v>332</v>
      </c>
      <c r="S498" s="235">
        <v>44186</v>
      </c>
      <c r="T498" s="235">
        <v>44279</v>
      </c>
      <c r="U498" s="234"/>
      <c r="V498" s="232" t="s">
        <v>321</v>
      </c>
      <c r="W498" s="231"/>
      <c r="X498" s="232" t="s">
        <v>322</v>
      </c>
      <c r="Y498" s="232" t="s">
        <v>338</v>
      </c>
      <c r="Z498" s="232" t="s">
        <v>324</v>
      </c>
      <c r="AA498" s="232" t="s">
        <v>31</v>
      </c>
      <c r="AB498" s="236">
        <v>4.1000000000000002E-2</v>
      </c>
      <c r="AC498" s="235"/>
      <c r="AD498" s="234"/>
      <c r="AE498" s="234"/>
      <c r="AF498" s="232" t="s">
        <v>77</v>
      </c>
      <c r="AG498" s="232" t="s">
        <v>350</v>
      </c>
      <c r="AH498" s="234" t="s">
        <v>317</v>
      </c>
      <c r="AJ498" s="234">
        <v>0</v>
      </c>
      <c r="AK498" s="224"/>
      <c r="AL498" s="234">
        <v>0</v>
      </c>
      <c r="AM498" s="224"/>
      <c r="AN498" s="234">
        <v>0</v>
      </c>
      <c r="AO498" s="234">
        <v>3</v>
      </c>
      <c r="AP498" s="234">
        <v>1</v>
      </c>
      <c r="AQ498" s="234">
        <v>1</v>
      </c>
      <c r="AR498" s="234">
        <v>0</v>
      </c>
      <c r="AS498" s="234">
        <v>0</v>
      </c>
      <c r="AT498" s="234">
        <v>0</v>
      </c>
      <c r="AU498" s="234">
        <v>0</v>
      </c>
      <c r="AV498" s="234">
        <v>3</v>
      </c>
      <c r="AW498" s="234">
        <v>1</v>
      </c>
      <c r="AX498" s="234">
        <v>1</v>
      </c>
      <c r="AY498" s="234">
        <v>0</v>
      </c>
      <c r="AZ498" s="234">
        <v>0</v>
      </c>
      <c r="BA498" s="234">
        <v>0</v>
      </c>
      <c r="BB498" s="234">
        <v>0</v>
      </c>
      <c r="BC498" s="234">
        <v>0</v>
      </c>
      <c r="BD498" s="234">
        <v>0</v>
      </c>
      <c r="BE498" s="234">
        <v>0</v>
      </c>
      <c r="BF498" s="234">
        <v>0</v>
      </c>
      <c r="BG498" s="234">
        <v>0</v>
      </c>
      <c r="BH498" s="234">
        <v>0</v>
      </c>
      <c r="BI498" s="234">
        <v>0</v>
      </c>
      <c r="BJ498" s="234">
        <v>0</v>
      </c>
      <c r="BK498" s="234">
        <v>0</v>
      </c>
      <c r="BL498" s="234">
        <v>0</v>
      </c>
      <c r="BM498" s="234">
        <v>0</v>
      </c>
      <c r="BN498" s="234">
        <v>0</v>
      </c>
      <c r="BO498" s="234">
        <v>0</v>
      </c>
      <c r="BP498" s="234"/>
      <c r="BQ498" s="234"/>
      <c r="BR498" s="237" t="s">
        <v>334</v>
      </c>
      <c r="BS498" s="238">
        <v>15</v>
      </c>
      <c r="BU498" s="239">
        <f t="shared" si="44"/>
        <v>1.25</v>
      </c>
      <c r="BV498" s="239">
        <f t="shared" si="45"/>
        <v>1.25</v>
      </c>
      <c r="BW498" s="239">
        <f t="shared" si="46"/>
        <v>1.25</v>
      </c>
      <c r="BX498" s="239">
        <f t="shared" si="47"/>
        <v>1.25</v>
      </c>
      <c r="CN498" s="238">
        <f t="shared" si="36"/>
        <v>5</v>
      </c>
      <c r="CO498" s="238">
        <f t="shared" si="37"/>
        <v>5</v>
      </c>
    </row>
    <row r="499" spans="1:93" ht="13.95" customHeight="1" x14ac:dyDescent="0.2">
      <c r="A499" s="231">
        <v>7343</v>
      </c>
      <c r="B499" s="232" t="s">
        <v>822</v>
      </c>
      <c r="C499" s="232" t="s">
        <v>1535</v>
      </c>
      <c r="D499" s="232" t="s">
        <v>1536</v>
      </c>
      <c r="E499" s="232" t="s">
        <v>317</v>
      </c>
      <c r="F499" s="231">
        <v>526450</v>
      </c>
      <c r="G499" s="231">
        <v>175834</v>
      </c>
      <c r="H499" s="232" t="s">
        <v>174</v>
      </c>
      <c r="I499" s="233"/>
      <c r="J499" s="231"/>
      <c r="K499" s="231">
        <v>0</v>
      </c>
      <c r="L499" s="231">
        <v>5</v>
      </c>
      <c r="M499" s="231">
        <v>5</v>
      </c>
      <c r="N499" s="231">
        <v>5</v>
      </c>
      <c r="O499" s="231">
        <v>5</v>
      </c>
      <c r="P499" s="234"/>
      <c r="Q499" s="232" t="s">
        <v>1537</v>
      </c>
      <c r="R499" s="234" t="s">
        <v>629</v>
      </c>
      <c r="S499" s="235">
        <v>44806</v>
      </c>
      <c r="T499" s="235">
        <v>44855</v>
      </c>
      <c r="U499" s="234" t="s">
        <v>318</v>
      </c>
      <c r="V499" s="232" t="s">
        <v>321</v>
      </c>
      <c r="W499" s="231"/>
      <c r="X499" s="232" t="s">
        <v>322</v>
      </c>
      <c r="Y499" s="232" t="s">
        <v>378</v>
      </c>
      <c r="Z499" s="232" t="s">
        <v>324</v>
      </c>
      <c r="AA499" s="232" t="s">
        <v>28</v>
      </c>
      <c r="AB499" s="236">
        <v>3.0300000000000001E-2</v>
      </c>
      <c r="AC499" s="235"/>
      <c r="AD499" s="234"/>
      <c r="AE499" s="234"/>
      <c r="AF499" s="232" t="s">
        <v>77</v>
      </c>
      <c r="AG499" s="232" t="s">
        <v>350</v>
      </c>
      <c r="AH499" s="234" t="s">
        <v>317</v>
      </c>
      <c r="AJ499" s="234">
        <v>0</v>
      </c>
      <c r="AK499" s="224"/>
      <c r="AL499" s="234">
        <v>0</v>
      </c>
      <c r="AM499" s="224"/>
      <c r="AN499" s="234">
        <v>0</v>
      </c>
      <c r="AO499" s="234">
        <v>5</v>
      </c>
      <c r="AP499" s="234">
        <v>0</v>
      </c>
      <c r="AQ499" s="234">
        <v>0</v>
      </c>
      <c r="AR499" s="234">
        <v>0</v>
      </c>
      <c r="AS499" s="234">
        <v>0</v>
      </c>
      <c r="AT499" s="234">
        <v>0</v>
      </c>
      <c r="AU499" s="234">
        <v>0</v>
      </c>
      <c r="AV499" s="234">
        <v>5</v>
      </c>
      <c r="AW499" s="234">
        <v>0</v>
      </c>
      <c r="AX499" s="234">
        <v>0</v>
      </c>
      <c r="AY499" s="234">
        <v>0</v>
      </c>
      <c r="AZ499" s="234">
        <v>0</v>
      </c>
      <c r="BA499" s="234">
        <v>0</v>
      </c>
      <c r="BB499" s="234">
        <v>0</v>
      </c>
      <c r="BC499" s="234">
        <v>0</v>
      </c>
      <c r="BD499" s="234">
        <v>0</v>
      </c>
      <c r="BE499" s="234">
        <v>0</v>
      </c>
      <c r="BF499" s="234">
        <v>0</v>
      </c>
      <c r="BG499" s="234">
        <v>0</v>
      </c>
      <c r="BH499" s="234">
        <v>0</v>
      </c>
      <c r="BI499" s="234">
        <v>0</v>
      </c>
      <c r="BJ499" s="234">
        <v>0</v>
      </c>
      <c r="BK499" s="234">
        <v>0</v>
      </c>
      <c r="BL499" s="234">
        <v>0</v>
      </c>
      <c r="BM499" s="234">
        <v>0</v>
      </c>
      <c r="BN499" s="234">
        <v>0</v>
      </c>
      <c r="BO499" s="234">
        <v>0</v>
      </c>
      <c r="BP499" s="234"/>
      <c r="BQ499" s="234"/>
      <c r="BR499" s="237" t="s">
        <v>481</v>
      </c>
      <c r="BS499" s="238">
        <v>15</v>
      </c>
      <c r="BU499" s="239">
        <f t="shared" si="44"/>
        <v>1.25</v>
      </c>
      <c r="BV499" s="239">
        <f t="shared" si="45"/>
        <v>1.25</v>
      </c>
      <c r="BW499" s="239">
        <f t="shared" si="46"/>
        <v>1.25</v>
      </c>
      <c r="BX499" s="239">
        <f t="shared" si="47"/>
        <v>1.25</v>
      </c>
      <c r="CN499" s="238">
        <f t="shared" si="36"/>
        <v>5</v>
      </c>
      <c r="CO499" s="238">
        <f t="shared" si="37"/>
        <v>5</v>
      </c>
    </row>
    <row r="500" spans="1:93" ht="13.95" customHeight="1" x14ac:dyDescent="0.2">
      <c r="A500" s="231">
        <v>7382</v>
      </c>
      <c r="B500" s="232" t="s">
        <v>822</v>
      </c>
      <c r="C500" s="232" t="s">
        <v>1538</v>
      </c>
      <c r="D500" s="232" t="s">
        <v>1539</v>
      </c>
      <c r="E500" s="232" t="s">
        <v>317</v>
      </c>
      <c r="F500" s="231">
        <v>528107</v>
      </c>
      <c r="G500" s="231">
        <v>175629</v>
      </c>
      <c r="H500" s="232" t="s">
        <v>167</v>
      </c>
      <c r="I500" s="233"/>
      <c r="J500" s="231"/>
      <c r="K500" s="231">
        <v>1</v>
      </c>
      <c r="L500" s="231">
        <v>5</v>
      </c>
      <c r="M500" s="231">
        <v>4</v>
      </c>
      <c r="N500" s="231">
        <v>5</v>
      </c>
      <c r="O500" s="231">
        <v>4</v>
      </c>
      <c r="P500" s="234"/>
      <c r="Q500" s="232" t="s">
        <v>1540</v>
      </c>
      <c r="R500" s="234" t="s">
        <v>332</v>
      </c>
      <c r="S500" s="235">
        <v>44846</v>
      </c>
      <c r="T500" s="235">
        <v>44911</v>
      </c>
      <c r="U500" s="234" t="s">
        <v>318</v>
      </c>
      <c r="V500" s="232" t="s">
        <v>321</v>
      </c>
      <c r="W500" s="231"/>
      <c r="X500" s="232" t="s">
        <v>322</v>
      </c>
      <c r="Y500" s="232" t="s">
        <v>338</v>
      </c>
      <c r="Z500" s="232" t="s">
        <v>324</v>
      </c>
      <c r="AA500" s="232" t="s">
        <v>31</v>
      </c>
      <c r="AB500" s="236">
        <v>0.01</v>
      </c>
      <c r="AC500" s="235"/>
      <c r="AD500" s="234"/>
      <c r="AE500" s="234"/>
      <c r="AF500" s="232" t="s">
        <v>77</v>
      </c>
      <c r="AG500" s="232" t="s">
        <v>350</v>
      </c>
      <c r="AH500" s="234" t="s">
        <v>317</v>
      </c>
      <c r="AJ500" s="234">
        <v>0</v>
      </c>
      <c r="AK500" s="224"/>
      <c r="AL500" s="234">
        <v>0</v>
      </c>
      <c r="AM500" s="224"/>
      <c r="AN500" s="234">
        <v>0</v>
      </c>
      <c r="AO500" s="234">
        <v>5</v>
      </c>
      <c r="AP500" s="234">
        <v>-1</v>
      </c>
      <c r="AQ500" s="234">
        <v>0</v>
      </c>
      <c r="AR500" s="234">
        <v>0</v>
      </c>
      <c r="AS500" s="234">
        <v>0</v>
      </c>
      <c r="AT500" s="234">
        <v>0</v>
      </c>
      <c r="AU500" s="234">
        <v>0</v>
      </c>
      <c r="AV500" s="234">
        <v>5</v>
      </c>
      <c r="AW500" s="234">
        <v>-1</v>
      </c>
      <c r="AX500" s="234">
        <v>0</v>
      </c>
      <c r="AY500" s="234">
        <v>0</v>
      </c>
      <c r="AZ500" s="234">
        <v>0</v>
      </c>
      <c r="BA500" s="234">
        <v>0</v>
      </c>
      <c r="BB500" s="234">
        <v>0</v>
      </c>
      <c r="BC500" s="234">
        <v>0</v>
      </c>
      <c r="BD500" s="234">
        <v>0</v>
      </c>
      <c r="BE500" s="234">
        <v>0</v>
      </c>
      <c r="BF500" s="234">
        <v>0</v>
      </c>
      <c r="BG500" s="234">
        <v>0</v>
      </c>
      <c r="BH500" s="234">
        <v>0</v>
      </c>
      <c r="BI500" s="234">
        <v>0</v>
      </c>
      <c r="BJ500" s="234">
        <v>0</v>
      </c>
      <c r="BK500" s="234">
        <v>0</v>
      </c>
      <c r="BL500" s="234">
        <v>0</v>
      </c>
      <c r="BM500" s="234">
        <v>0</v>
      </c>
      <c r="BN500" s="234">
        <v>0</v>
      </c>
      <c r="BO500" s="234">
        <v>0</v>
      </c>
      <c r="BP500" s="234"/>
      <c r="BQ500" s="234"/>
      <c r="BR500" s="237" t="s">
        <v>334</v>
      </c>
      <c r="BS500" s="238">
        <v>15</v>
      </c>
      <c r="BU500" s="239">
        <f t="shared" si="44"/>
        <v>1</v>
      </c>
      <c r="BV500" s="239">
        <f t="shared" si="45"/>
        <v>1</v>
      </c>
      <c r="BW500" s="239">
        <f t="shared" si="46"/>
        <v>1</v>
      </c>
      <c r="BX500" s="239">
        <f t="shared" si="47"/>
        <v>1</v>
      </c>
      <c r="CN500" s="238">
        <f t="shared" si="36"/>
        <v>4</v>
      </c>
      <c r="CO500" s="238">
        <f t="shared" si="37"/>
        <v>4</v>
      </c>
    </row>
    <row r="501" spans="1:93" ht="13.95" customHeight="1" x14ac:dyDescent="0.2">
      <c r="A501" s="231">
        <v>7494</v>
      </c>
      <c r="B501" s="232" t="s">
        <v>822</v>
      </c>
      <c r="C501" s="232" t="s">
        <v>1541</v>
      </c>
      <c r="D501" s="232" t="s">
        <v>1542</v>
      </c>
      <c r="E501" s="232" t="s">
        <v>317</v>
      </c>
      <c r="F501" s="231">
        <v>523975</v>
      </c>
      <c r="G501" s="231">
        <v>175188</v>
      </c>
      <c r="H501" s="232" t="s">
        <v>175</v>
      </c>
      <c r="I501" s="233"/>
      <c r="J501" s="231"/>
      <c r="K501" s="231">
        <v>2</v>
      </c>
      <c r="L501" s="231">
        <v>6</v>
      </c>
      <c r="M501" s="231">
        <v>4</v>
      </c>
      <c r="N501" s="231">
        <v>6</v>
      </c>
      <c r="O501" s="231">
        <v>4</v>
      </c>
      <c r="P501" s="234"/>
      <c r="Q501" s="232" t="s">
        <v>1543</v>
      </c>
      <c r="R501" s="234" t="s">
        <v>332</v>
      </c>
      <c r="S501" s="235">
        <v>44158</v>
      </c>
      <c r="T501" s="235">
        <v>44308</v>
      </c>
      <c r="U501" s="234"/>
      <c r="V501" s="232" t="s">
        <v>321</v>
      </c>
      <c r="W501" s="231"/>
      <c r="X501" s="232" t="s">
        <v>322</v>
      </c>
      <c r="Y501" s="232" t="s">
        <v>338</v>
      </c>
      <c r="Z501" s="232" t="s">
        <v>324</v>
      </c>
      <c r="AA501" s="232" t="s">
        <v>354</v>
      </c>
      <c r="AB501" s="236">
        <v>8.9999999999999993E-3</v>
      </c>
      <c r="AC501" s="235"/>
      <c r="AD501" s="234"/>
      <c r="AE501" s="234"/>
      <c r="AF501" s="232" t="s">
        <v>77</v>
      </c>
      <c r="AG501" s="232" t="s">
        <v>350</v>
      </c>
      <c r="AH501" s="234" t="s">
        <v>317</v>
      </c>
      <c r="AJ501" s="234">
        <v>0</v>
      </c>
      <c r="AK501" s="224"/>
      <c r="AL501" s="234">
        <v>0</v>
      </c>
      <c r="AM501" s="224"/>
      <c r="AN501" s="234">
        <v>0</v>
      </c>
      <c r="AO501" s="234">
        <v>4</v>
      </c>
      <c r="AP501" s="234">
        <v>1</v>
      </c>
      <c r="AQ501" s="234">
        <v>-1</v>
      </c>
      <c r="AR501" s="234">
        <v>0</v>
      </c>
      <c r="AS501" s="234">
        <v>0</v>
      </c>
      <c r="AT501" s="234">
        <v>0</v>
      </c>
      <c r="AU501" s="234">
        <v>0</v>
      </c>
      <c r="AV501" s="234">
        <v>4</v>
      </c>
      <c r="AW501" s="234">
        <v>1</v>
      </c>
      <c r="AX501" s="234">
        <v>-1</v>
      </c>
      <c r="AY501" s="234">
        <v>0</v>
      </c>
      <c r="AZ501" s="234">
        <v>0</v>
      </c>
      <c r="BA501" s="234">
        <v>0</v>
      </c>
      <c r="BB501" s="234">
        <v>0</v>
      </c>
      <c r="BC501" s="234">
        <v>0</v>
      </c>
      <c r="BD501" s="234">
        <v>0</v>
      </c>
      <c r="BE501" s="234">
        <v>0</v>
      </c>
      <c r="BF501" s="234">
        <v>0</v>
      </c>
      <c r="BG501" s="234">
        <v>0</v>
      </c>
      <c r="BH501" s="234">
        <v>0</v>
      </c>
      <c r="BI501" s="234">
        <v>0</v>
      </c>
      <c r="BJ501" s="234">
        <v>0</v>
      </c>
      <c r="BK501" s="234">
        <v>0</v>
      </c>
      <c r="BL501" s="234">
        <v>0</v>
      </c>
      <c r="BM501" s="234">
        <v>0</v>
      </c>
      <c r="BN501" s="234">
        <v>0</v>
      </c>
      <c r="BO501" s="234">
        <v>0</v>
      </c>
      <c r="BP501" s="234" t="s">
        <v>143</v>
      </c>
      <c r="BQ501" s="234"/>
      <c r="BR501" s="237" t="s">
        <v>152</v>
      </c>
      <c r="BS501" s="238">
        <v>15</v>
      </c>
      <c r="BU501" s="239">
        <f t="shared" si="44"/>
        <v>1</v>
      </c>
      <c r="BV501" s="239">
        <f t="shared" si="45"/>
        <v>1</v>
      </c>
      <c r="BW501" s="239">
        <f t="shared" si="46"/>
        <v>1</v>
      </c>
      <c r="BX501" s="239">
        <f t="shared" si="47"/>
        <v>1</v>
      </c>
      <c r="CN501" s="238">
        <f t="shared" ref="CN501:CN564" si="48">SUM(BU501:BY501)</f>
        <v>4</v>
      </c>
      <c r="CO501" s="238">
        <f t="shared" ref="CO501:CO564" si="49">SUM(BU501:CD501)</f>
        <v>4</v>
      </c>
    </row>
    <row r="502" spans="1:93" ht="13.95" customHeight="1" x14ac:dyDescent="0.2">
      <c r="A502" s="231">
        <v>7024</v>
      </c>
      <c r="B502" s="232" t="s">
        <v>822</v>
      </c>
      <c r="C502" s="232" t="s">
        <v>1544</v>
      </c>
      <c r="D502" s="232" t="s">
        <v>1545</v>
      </c>
      <c r="E502" s="232" t="s">
        <v>317</v>
      </c>
      <c r="F502" s="231">
        <v>526226</v>
      </c>
      <c r="G502" s="231">
        <v>174119</v>
      </c>
      <c r="H502" s="232" t="s">
        <v>179</v>
      </c>
      <c r="I502" s="233"/>
      <c r="J502" s="231"/>
      <c r="K502" s="231">
        <v>5</v>
      </c>
      <c r="L502" s="231">
        <v>6</v>
      </c>
      <c r="M502" s="231">
        <v>1</v>
      </c>
      <c r="N502" s="231">
        <v>6</v>
      </c>
      <c r="O502" s="231">
        <v>1</v>
      </c>
      <c r="P502" s="234"/>
      <c r="Q502" s="232" t="s">
        <v>1546</v>
      </c>
      <c r="R502" s="234" t="s">
        <v>332</v>
      </c>
      <c r="S502" s="235">
        <v>44405</v>
      </c>
      <c r="T502" s="235">
        <v>44545</v>
      </c>
      <c r="U502" s="234"/>
      <c r="V502" s="232" t="s">
        <v>321</v>
      </c>
      <c r="W502" s="231"/>
      <c r="X502" s="232" t="s">
        <v>322</v>
      </c>
      <c r="Y502" s="232" t="s">
        <v>365</v>
      </c>
      <c r="Z502" s="232" t="s">
        <v>324</v>
      </c>
      <c r="AA502" s="232" t="s">
        <v>411</v>
      </c>
      <c r="AB502" s="236">
        <v>1.0999999999999999E-2</v>
      </c>
      <c r="AC502" s="235"/>
      <c r="AD502" s="234"/>
      <c r="AE502" s="234"/>
      <c r="AF502" s="232" t="s">
        <v>77</v>
      </c>
      <c r="AG502" s="232" t="s">
        <v>350</v>
      </c>
      <c r="AH502" s="234" t="s">
        <v>317</v>
      </c>
      <c r="AJ502" s="234">
        <v>0</v>
      </c>
      <c r="AK502" s="224"/>
      <c r="AL502" s="234">
        <v>0</v>
      </c>
      <c r="AM502" s="224"/>
      <c r="AN502" s="234">
        <v>0</v>
      </c>
      <c r="AO502" s="234">
        <v>0</v>
      </c>
      <c r="AP502" s="234">
        <v>1</v>
      </c>
      <c r="AQ502" s="234">
        <v>0</v>
      </c>
      <c r="AR502" s="234">
        <v>0</v>
      </c>
      <c r="AS502" s="234">
        <v>0</v>
      </c>
      <c r="AT502" s="234">
        <v>0</v>
      </c>
      <c r="AU502" s="234">
        <v>0</v>
      </c>
      <c r="AV502" s="234">
        <v>0</v>
      </c>
      <c r="AW502" s="234">
        <v>1</v>
      </c>
      <c r="AX502" s="234">
        <v>0</v>
      </c>
      <c r="AY502" s="234">
        <v>0</v>
      </c>
      <c r="AZ502" s="234">
        <v>0</v>
      </c>
      <c r="BA502" s="234">
        <v>0</v>
      </c>
      <c r="BB502" s="234">
        <v>0</v>
      </c>
      <c r="BC502" s="234">
        <v>0</v>
      </c>
      <c r="BD502" s="234">
        <v>0</v>
      </c>
      <c r="BE502" s="234">
        <v>0</v>
      </c>
      <c r="BF502" s="234">
        <v>0</v>
      </c>
      <c r="BG502" s="234">
        <v>0</v>
      </c>
      <c r="BH502" s="234">
        <v>0</v>
      </c>
      <c r="BI502" s="234">
        <v>0</v>
      </c>
      <c r="BJ502" s="234">
        <v>0</v>
      </c>
      <c r="BK502" s="234">
        <v>0</v>
      </c>
      <c r="BL502" s="234">
        <v>0</v>
      </c>
      <c r="BM502" s="234">
        <v>0</v>
      </c>
      <c r="BN502" s="234">
        <v>0</v>
      </c>
      <c r="BO502" s="234">
        <v>0</v>
      </c>
      <c r="BP502" s="234"/>
      <c r="BQ502" s="234"/>
      <c r="BR502" s="237" t="s">
        <v>334</v>
      </c>
      <c r="BS502" s="238">
        <v>12</v>
      </c>
      <c r="BU502" s="239">
        <f>M502</f>
        <v>1</v>
      </c>
      <c r="CN502" s="238">
        <f t="shared" si="48"/>
        <v>1</v>
      </c>
      <c r="CO502" s="238">
        <f t="shared" si="49"/>
        <v>1</v>
      </c>
    </row>
    <row r="503" spans="1:93" ht="13.95" customHeight="1" x14ac:dyDescent="0.2">
      <c r="A503" s="231">
        <v>7633</v>
      </c>
      <c r="B503" s="232" t="s">
        <v>822</v>
      </c>
      <c r="C503" s="232" t="s">
        <v>1547</v>
      </c>
      <c r="D503" s="232" t="s">
        <v>1548</v>
      </c>
      <c r="E503" s="232" t="s">
        <v>317</v>
      </c>
      <c r="F503" s="231">
        <v>523910</v>
      </c>
      <c r="G503" s="231">
        <v>174891</v>
      </c>
      <c r="H503" s="232" t="s">
        <v>183</v>
      </c>
      <c r="I503" s="233"/>
      <c r="J503" s="231"/>
      <c r="K503" s="231">
        <v>2</v>
      </c>
      <c r="L503" s="231">
        <v>6</v>
      </c>
      <c r="M503" s="231">
        <v>4</v>
      </c>
      <c r="N503" s="231">
        <v>6</v>
      </c>
      <c r="O503" s="231">
        <v>4</v>
      </c>
      <c r="P503" s="234"/>
      <c r="Q503" s="232" t="s">
        <v>1549</v>
      </c>
      <c r="R503" s="234" t="s">
        <v>332</v>
      </c>
      <c r="S503" s="235">
        <v>44336</v>
      </c>
      <c r="T503" s="235">
        <v>44405</v>
      </c>
      <c r="U503" s="234"/>
      <c r="V503" s="232" t="s">
        <v>321</v>
      </c>
      <c r="W503" s="231"/>
      <c r="X503" s="232" t="s">
        <v>322</v>
      </c>
      <c r="Y503" s="232" t="s">
        <v>338</v>
      </c>
      <c r="Z503" s="232" t="s">
        <v>324</v>
      </c>
      <c r="AA503" s="232" t="s">
        <v>411</v>
      </c>
      <c r="AB503" s="236">
        <v>9.7000000000000003E-3</v>
      </c>
      <c r="AC503" s="235"/>
      <c r="AD503" s="234"/>
      <c r="AE503" s="234"/>
      <c r="AF503" s="232" t="s">
        <v>77</v>
      </c>
      <c r="AG503" s="232" t="s">
        <v>350</v>
      </c>
      <c r="AH503" s="234" t="s">
        <v>317</v>
      </c>
      <c r="AJ503" s="234">
        <v>0</v>
      </c>
      <c r="AK503" s="224"/>
      <c r="AL503" s="234">
        <v>0</v>
      </c>
      <c r="AM503" s="224"/>
      <c r="AN503" s="234">
        <v>0</v>
      </c>
      <c r="AO503" s="234">
        <v>1</v>
      </c>
      <c r="AP503" s="234">
        <v>2</v>
      </c>
      <c r="AQ503" s="234">
        <v>2</v>
      </c>
      <c r="AR503" s="234">
        <v>0</v>
      </c>
      <c r="AS503" s="234">
        <v>-1</v>
      </c>
      <c r="AT503" s="234">
        <v>0</v>
      </c>
      <c r="AU503" s="234">
        <v>0</v>
      </c>
      <c r="AV503" s="234">
        <v>1</v>
      </c>
      <c r="AW503" s="234">
        <v>2</v>
      </c>
      <c r="AX503" s="234">
        <v>2</v>
      </c>
      <c r="AY503" s="234">
        <v>0</v>
      </c>
      <c r="AZ503" s="234">
        <v>-1</v>
      </c>
      <c r="BA503" s="234">
        <v>0</v>
      </c>
      <c r="BB503" s="234">
        <v>0</v>
      </c>
      <c r="BC503" s="234">
        <v>0</v>
      </c>
      <c r="BD503" s="234">
        <v>0</v>
      </c>
      <c r="BE503" s="234">
        <v>0</v>
      </c>
      <c r="BF503" s="234">
        <v>0</v>
      </c>
      <c r="BG503" s="234">
        <v>0</v>
      </c>
      <c r="BH503" s="234">
        <v>0</v>
      </c>
      <c r="BI503" s="234">
        <v>0</v>
      </c>
      <c r="BJ503" s="234">
        <v>0</v>
      </c>
      <c r="BK503" s="234">
        <v>0</v>
      </c>
      <c r="BL503" s="234">
        <v>0</v>
      </c>
      <c r="BM503" s="234">
        <v>0</v>
      </c>
      <c r="BN503" s="234">
        <v>0</v>
      </c>
      <c r="BO503" s="234">
        <v>0</v>
      </c>
      <c r="BP503" s="234"/>
      <c r="BQ503" s="234"/>
      <c r="BR503" s="237" t="s">
        <v>334</v>
      </c>
      <c r="BS503" s="238">
        <v>15</v>
      </c>
      <c r="BU503" s="239">
        <f t="shared" ref="BU503:BU516" si="50">M503/4</f>
        <v>1</v>
      </c>
      <c r="BV503" s="239">
        <f t="shared" ref="BV503:BV516" si="51">M503/4</f>
        <v>1</v>
      </c>
      <c r="BW503" s="239">
        <f t="shared" ref="BW503:BW516" si="52">M503/4</f>
        <v>1</v>
      </c>
      <c r="BX503" s="239">
        <f t="shared" ref="BX503:BX516" si="53">M503/4</f>
        <v>1</v>
      </c>
      <c r="CN503" s="238">
        <f t="shared" si="48"/>
        <v>4</v>
      </c>
      <c r="CO503" s="238">
        <f t="shared" si="49"/>
        <v>4</v>
      </c>
    </row>
    <row r="504" spans="1:93" ht="13.95" customHeight="1" x14ac:dyDescent="0.2">
      <c r="A504" s="231">
        <v>6979</v>
      </c>
      <c r="B504" s="232" t="s">
        <v>822</v>
      </c>
      <c r="C504" s="232" t="s">
        <v>1550</v>
      </c>
      <c r="D504" s="232" t="s">
        <v>1551</v>
      </c>
      <c r="E504" s="232" t="s">
        <v>317</v>
      </c>
      <c r="F504" s="231">
        <v>528847</v>
      </c>
      <c r="G504" s="231">
        <v>171190</v>
      </c>
      <c r="H504" s="232" t="s">
        <v>166</v>
      </c>
      <c r="I504" s="233"/>
      <c r="J504" s="231"/>
      <c r="K504" s="231">
        <v>0</v>
      </c>
      <c r="L504" s="231">
        <v>4</v>
      </c>
      <c r="M504" s="231">
        <v>4</v>
      </c>
      <c r="N504" s="231">
        <v>4</v>
      </c>
      <c r="O504" s="231">
        <v>4</v>
      </c>
      <c r="P504" s="234"/>
      <c r="Q504" s="232" t="s">
        <v>1552</v>
      </c>
      <c r="R504" s="234" t="s">
        <v>332</v>
      </c>
      <c r="S504" s="235">
        <v>43769</v>
      </c>
      <c r="T504" s="235">
        <v>44019</v>
      </c>
      <c r="U504" s="234"/>
      <c r="V504" s="232" t="s">
        <v>321</v>
      </c>
      <c r="W504" s="231"/>
      <c r="X504" s="232" t="s">
        <v>322</v>
      </c>
      <c r="Y504" s="232" t="s">
        <v>339</v>
      </c>
      <c r="Z504" s="232" t="s">
        <v>324</v>
      </c>
      <c r="AA504" s="232" t="s">
        <v>354</v>
      </c>
      <c r="AB504" s="236">
        <v>7.0000000000000001E-3</v>
      </c>
      <c r="AC504" s="235"/>
      <c r="AD504" s="234"/>
      <c r="AE504" s="234"/>
      <c r="AF504" s="232" t="s">
        <v>77</v>
      </c>
      <c r="AG504" s="232" t="s">
        <v>350</v>
      </c>
      <c r="AH504" s="234" t="s">
        <v>317</v>
      </c>
      <c r="AJ504" s="234">
        <v>0</v>
      </c>
      <c r="AK504" s="224"/>
      <c r="AL504" s="234">
        <v>0</v>
      </c>
      <c r="AM504" s="224"/>
      <c r="AN504" s="234">
        <v>1</v>
      </c>
      <c r="AO504" s="234">
        <v>3</v>
      </c>
      <c r="AP504" s="234">
        <v>0</v>
      </c>
      <c r="AQ504" s="234">
        <v>0</v>
      </c>
      <c r="AR504" s="234">
        <v>0</v>
      </c>
      <c r="AS504" s="234">
        <v>0</v>
      </c>
      <c r="AT504" s="234">
        <v>0</v>
      </c>
      <c r="AU504" s="234">
        <v>1</v>
      </c>
      <c r="AV504" s="234">
        <v>3</v>
      </c>
      <c r="AW504" s="234">
        <v>0</v>
      </c>
      <c r="AX504" s="234">
        <v>0</v>
      </c>
      <c r="AY504" s="234">
        <v>0</v>
      </c>
      <c r="AZ504" s="234">
        <v>0</v>
      </c>
      <c r="BA504" s="234">
        <v>0</v>
      </c>
      <c r="BB504" s="234">
        <v>0</v>
      </c>
      <c r="BC504" s="234">
        <v>0</v>
      </c>
      <c r="BD504" s="234">
        <v>0</v>
      </c>
      <c r="BE504" s="234">
        <v>0</v>
      </c>
      <c r="BF504" s="234">
        <v>0</v>
      </c>
      <c r="BG504" s="234">
        <v>0</v>
      </c>
      <c r="BH504" s="234">
        <v>0</v>
      </c>
      <c r="BI504" s="234">
        <v>0</v>
      </c>
      <c r="BJ504" s="234">
        <v>0</v>
      </c>
      <c r="BK504" s="234">
        <v>0</v>
      </c>
      <c r="BL504" s="234">
        <v>0</v>
      </c>
      <c r="BM504" s="234">
        <v>0</v>
      </c>
      <c r="BN504" s="234">
        <v>0</v>
      </c>
      <c r="BO504" s="234">
        <v>0</v>
      </c>
      <c r="BP504" s="234"/>
      <c r="BQ504" s="234"/>
      <c r="BR504" s="237" t="s">
        <v>334</v>
      </c>
      <c r="BS504" s="238">
        <v>15</v>
      </c>
      <c r="BU504" s="239">
        <f t="shared" si="50"/>
        <v>1</v>
      </c>
      <c r="BV504" s="239">
        <f t="shared" si="51"/>
        <v>1</v>
      </c>
      <c r="BW504" s="239">
        <f t="shared" si="52"/>
        <v>1</v>
      </c>
      <c r="BX504" s="239">
        <f t="shared" si="53"/>
        <v>1</v>
      </c>
      <c r="CN504" s="238">
        <f t="shared" si="48"/>
        <v>4</v>
      </c>
      <c r="CO504" s="238">
        <f t="shared" si="49"/>
        <v>4</v>
      </c>
    </row>
    <row r="505" spans="1:93" ht="13.95" customHeight="1" x14ac:dyDescent="0.2">
      <c r="A505" s="231">
        <v>7182</v>
      </c>
      <c r="B505" s="232" t="s">
        <v>822</v>
      </c>
      <c r="C505" s="232" t="s">
        <v>1553</v>
      </c>
      <c r="D505" s="232" t="s">
        <v>1554</v>
      </c>
      <c r="E505" s="232" t="s">
        <v>317</v>
      </c>
      <c r="F505" s="231">
        <v>523838</v>
      </c>
      <c r="G505" s="231">
        <v>174742</v>
      </c>
      <c r="H505" s="232" t="s">
        <v>183</v>
      </c>
      <c r="I505" s="233"/>
      <c r="J505" s="231"/>
      <c r="K505" s="231">
        <v>0</v>
      </c>
      <c r="L505" s="231">
        <v>4</v>
      </c>
      <c r="M505" s="231">
        <v>4</v>
      </c>
      <c r="N505" s="231">
        <v>4</v>
      </c>
      <c r="O505" s="231">
        <v>4</v>
      </c>
      <c r="P505" s="234"/>
      <c r="Q505" s="232" t="s">
        <v>1555</v>
      </c>
      <c r="R505" s="234" t="s">
        <v>332</v>
      </c>
      <c r="S505" s="235">
        <v>43588</v>
      </c>
      <c r="T505" s="235">
        <v>43797</v>
      </c>
      <c r="U505" s="234"/>
      <c r="V505" s="232" t="s">
        <v>321</v>
      </c>
      <c r="W505" s="231"/>
      <c r="X505" s="232" t="s">
        <v>322</v>
      </c>
      <c r="Y505" s="232" t="s">
        <v>338</v>
      </c>
      <c r="Z505" s="232" t="s">
        <v>324</v>
      </c>
      <c r="AA505" s="232" t="s">
        <v>31</v>
      </c>
      <c r="AB505" s="236">
        <v>1.7999999999999999E-2</v>
      </c>
      <c r="AC505" s="235"/>
      <c r="AD505" s="234"/>
      <c r="AE505" s="234"/>
      <c r="AF505" s="232" t="s">
        <v>77</v>
      </c>
      <c r="AG505" s="232" t="s">
        <v>350</v>
      </c>
      <c r="AH505" s="234" t="s">
        <v>317</v>
      </c>
      <c r="AJ505" s="234">
        <v>0</v>
      </c>
      <c r="AK505" s="224"/>
      <c r="AL505" s="234">
        <v>0</v>
      </c>
      <c r="AM505" s="224"/>
      <c r="AN505" s="234">
        <v>0</v>
      </c>
      <c r="AO505" s="234">
        <v>4</v>
      </c>
      <c r="AP505" s="234">
        <v>0</v>
      </c>
      <c r="AQ505" s="234">
        <v>0</v>
      </c>
      <c r="AR505" s="234">
        <v>0</v>
      </c>
      <c r="AS505" s="234">
        <v>0</v>
      </c>
      <c r="AT505" s="234">
        <v>0</v>
      </c>
      <c r="AU505" s="234">
        <v>0</v>
      </c>
      <c r="AV505" s="234">
        <v>4</v>
      </c>
      <c r="AW505" s="234">
        <v>0</v>
      </c>
      <c r="AX505" s="234">
        <v>0</v>
      </c>
      <c r="AY505" s="234">
        <v>0</v>
      </c>
      <c r="AZ505" s="234">
        <v>0</v>
      </c>
      <c r="BA505" s="234">
        <v>0</v>
      </c>
      <c r="BB505" s="234">
        <v>0</v>
      </c>
      <c r="BC505" s="234">
        <v>0</v>
      </c>
      <c r="BD505" s="234">
        <v>0</v>
      </c>
      <c r="BE505" s="234">
        <v>0</v>
      </c>
      <c r="BF505" s="234">
        <v>0</v>
      </c>
      <c r="BG505" s="234">
        <v>0</v>
      </c>
      <c r="BH505" s="234">
        <v>0</v>
      </c>
      <c r="BI505" s="234">
        <v>0</v>
      </c>
      <c r="BJ505" s="234">
        <v>0</v>
      </c>
      <c r="BK505" s="234">
        <v>0</v>
      </c>
      <c r="BL505" s="234">
        <v>0</v>
      </c>
      <c r="BM505" s="234">
        <v>0</v>
      </c>
      <c r="BN505" s="234">
        <v>0</v>
      </c>
      <c r="BO505" s="234">
        <v>0</v>
      </c>
      <c r="BP505" s="234"/>
      <c r="BQ505" s="234"/>
      <c r="BR505" s="237" t="s">
        <v>334</v>
      </c>
      <c r="BS505" s="238">
        <v>15</v>
      </c>
      <c r="BU505" s="239">
        <f t="shared" si="50"/>
        <v>1</v>
      </c>
      <c r="BV505" s="239">
        <f t="shared" si="51"/>
        <v>1</v>
      </c>
      <c r="BW505" s="239">
        <f t="shared" si="52"/>
        <v>1</v>
      </c>
      <c r="BX505" s="239">
        <f t="shared" si="53"/>
        <v>1</v>
      </c>
      <c r="CN505" s="238">
        <f t="shared" si="48"/>
        <v>4</v>
      </c>
      <c r="CO505" s="238">
        <f t="shared" si="49"/>
        <v>4</v>
      </c>
    </row>
    <row r="506" spans="1:93" ht="13.95" customHeight="1" x14ac:dyDescent="0.2">
      <c r="A506" s="231">
        <v>6374</v>
      </c>
      <c r="B506" s="232" t="s">
        <v>822</v>
      </c>
      <c r="C506" s="232" t="s">
        <v>1556</v>
      </c>
      <c r="D506" s="232" t="s">
        <v>1557</v>
      </c>
      <c r="E506" s="232" t="s">
        <v>317</v>
      </c>
      <c r="F506" s="231">
        <v>526468</v>
      </c>
      <c r="G506" s="231">
        <v>175853</v>
      </c>
      <c r="H506" s="232" t="s">
        <v>174</v>
      </c>
      <c r="I506" s="233"/>
      <c r="J506" s="231"/>
      <c r="K506" s="231">
        <v>0</v>
      </c>
      <c r="L506" s="231">
        <v>4</v>
      </c>
      <c r="M506" s="231">
        <v>4</v>
      </c>
      <c r="N506" s="231">
        <v>4</v>
      </c>
      <c r="O506" s="231">
        <v>4</v>
      </c>
      <c r="P506" s="234"/>
      <c r="Q506" s="232" t="s">
        <v>1558</v>
      </c>
      <c r="R506" s="234" t="s">
        <v>629</v>
      </c>
      <c r="S506" s="235">
        <v>44424</v>
      </c>
      <c r="T506" s="235">
        <v>44482</v>
      </c>
      <c r="U506" s="234"/>
      <c r="V506" s="232" t="s">
        <v>321</v>
      </c>
      <c r="W506" s="231"/>
      <c r="X506" s="232" t="s">
        <v>322</v>
      </c>
      <c r="Y506" s="232" t="s">
        <v>378</v>
      </c>
      <c r="Z506" s="232" t="s">
        <v>324</v>
      </c>
      <c r="AA506" s="232" t="s">
        <v>31</v>
      </c>
      <c r="AB506" s="236">
        <v>6.0000000000000001E-3</v>
      </c>
      <c r="AC506" s="235"/>
      <c r="AD506" s="234"/>
      <c r="AE506" s="234"/>
      <c r="AF506" s="232" t="s">
        <v>77</v>
      </c>
      <c r="AG506" s="232" t="s">
        <v>350</v>
      </c>
      <c r="AH506" s="234" t="s">
        <v>1513</v>
      </c>
      <c r="AJ506" s="234">
        <v>0</v>
      </c>
      <c r="AK506" s="224"/>
      <c r="AL506" s="234">
        <v>0</v>
      </c>
      <c r="AM506" s="224"/>
      <c r="AN506" s="234">
        <v>0</v>
      </c>
      <c r="AO506" s="234">
        <v>4</v>
      </c>
      <c r="AP506" s="234">
        <v>0</v>
      </c>
      <c r="AQ506" s="234">
        <v>0</v>
      </c>
      <c r="AR506" s="234">
        <v>0</v>
      </c>
      <c r="AS506" s="234">
        <v>0</v>
      </c>
      <c r="AT506" s="234">
        <v>0</v>
      </c>
      <c r="AU506" s="234">
        <v>0</v>
      </c>
      <c r="AV506" s="234">
        <v>4</v>
      </c>
      <c r="AW506" s="234">
        <v>0</v>
      </c>
      <c r="AX506" s="234">
        <v>0</v>
      </c>
      <c r="AY506" s="234">
        <v>0</v>
      </c>
      <c r="AZ506" s="234">
        <v>0</v>
      </c>
      <c r="BA506" s="234">
        <v>0</v>
      </c>
      <c r="BB506" s="234">
        <v>0</v>
      </c>
      <c r="BC506" s="234">
        <v>0</v>
      </c>
      <c r="BD506" s="234">
        <v>0</v>
      </c>
      <c r="BE506" s="234">
        <v>0</v>
      </c>
      <c r="BF506" s="234">
        <v>0</v>
      </c>
      <c r="BG506" s="234">
        <v>0</v>
      </c>
      <c r="BH506" s="234">
        <v>0</v>
      </c>
      <c r="BI506" s="234">
        <v>0</v>
      </c>
      <c r="BJ506" s="234">
        <v>0</v>
      </c>
      <c r="BK506" s="234">
        <v>0</v>
      </c>
      <c r="BL506" s="234">
        <v>0</v>
      </c>
      <c r="BM506" s="234">
        <v>0</v>
      </c>
      <c r="BN506" s="234">
        <v>0</v>
      </c>
      <c r="BO506" s="234">
        <v>0</v>
      </c>
      <c r="BP506" s="234"/>
      <c r="BQ506" s="234"/>
      <c r="BR506" s="237" t="s">
        <v>481</v>
      </c>
      <c r="BS506" s="238">
        <v>15</v>
      </c>
      <c r="BU506" s="239">
        <f t="shared" si="50"/>
        <v>1</v>
      </c>
      <c r="BV506" s="239">
        <f t="shared" si="51"/>
        <v>1</v>
      </c>
      <c r="BW506" s="239">
        <f t="shared" si="52"/>
        <v>1</v>
      </c>
      <c r="BX506" s="239">
        <f t="shared" si="53"/>
        <v>1</v>
      </c>
      <c r="CN506" s="238">
        <f t="shared" si="48"/>
        <v>4</v>
      </c>
      <c r="CO506" s="238">
        <f t="shared" si="49"/>
        <v>4</v>
      </c>
    </row>
    <row r="507" spans="1:93" ht="13.95" customHeight="1" x14ac:dyDescent="0.2">
      <c r="A507" s="231">
        <v>2482</v>
      </c>
      <c r="B507" s="232" t="s">
        <v>822</v>
      </c>
      <c r="C507" s="232" t="s">
        <v>1559</v>
      </c>
      <c r="D507" s="232" t="s">
        <v>1560</v>
      </c>
      <c r="E507" s="232" t="s">
        <v>317</v>
      </c>
      <c r="F507" s="231">
        <v>524517</v>
      </c>
      <c r="G507" s="231">
        <v>175256</v>
      </c>
      <c r="H507" s="232" t="s">
        <v>175</v>
      </c>
      <c r="I507" s="233"/>
      <c r="J507" s="231"/>
      <c r="K507" s="231">
        <v>2</v>
      </c>
      <c r="L507" s="231">
        <v>5</v>
      </c>
      <c r="M507" s="231">
        <v>3</v>
      </c>
      <c r="N507" s="231">
        <v>5</v>
      </c>
      <c r="O507" s="231">
        <v>3</v>
      </c>
      <c r="P507" s="234"/>
      <c r="Q507" s="232" t="s">
        <v>1561</v>
      </c>
      <c r="R507" s="234" t="s">
        <v>332</v>
      </c>
      <c r="S507" s="235">
        <v>44343</v>
      </c>
      <c r="T507" s="235">
        <v>44445</v>
      </c>
      <c r="U507" s="234"/>
      <c r="V507" s="232" t="s">
        <v>321</v>
      </c>
      <c r="W507" s="231"/>
      <c r="X507" s="232" t="s">
        <v>322</v>
      </c>
      <c r="Y507" s="232" t="s">
        <v>338</v>
      </c>
      <c r="Z507" s="232" t="s">
        <v>324</v>
      </c>
      <c r="AA507" s="232" t="s">
        <v>25</v>
      </c>
      <c r="AB507" s="236">
        <v>7.7999999999999996E-3</v>
      </c>
      <c r="AC507" s="235"/>
      <c r="AD507" s="234"/>
      <c r="AE507" s="234"/>
      <c r="AF507" s="232" t="s">
        <v>77</v>
      </c>
      <c r="AG507" s="232" t="s">
        <v>340</v>
      </c>
      <c r="AH507" s="234" t="s">
        <v>317</v>
      </c>
      <c r="AJ507" s="234">
        <v>0</v>
      </c>
      <c r="AK507" s="224"/>
      <c r="AL507" s="234">
        <v>0</v>
      </c>
      <c r="AM507" s="224"/>
      <c r="AN507" s="234">
        <v>1</v>
      </c>
      <c r="AO507" s="234">
        <v>3</v>
      </c>
      <c r="AP507" s="234">
        <v>-1</v>
      </c>
      <c r="AQ507" s="234">
        <v>0</v>
      </c>
      <c r="AR507" s="234">
        <v>0</v>
      </c>
      <c r="AS507" s="234">
        <v>0</v>
      </c>
      <c r="AT507" s="234">
        <v>0</v>
      </c>
      <c r="AU507" s="234">
        <v>1</v>
      </c>
      <c r="AV507" s="234">
        <v>3</v>
      </c>
      <c r="AW507" s="234">
        <v>-1</v>
      </c>
      <c r="AX507" s="234">
        <v>0</v>
      </c>
      <c r="AY507" s="234">
        <v>0</v>
      </c>
      <c r="AZ507" s="234">
        <v>0</v>
      </c>
      <c r="BA507" s="234">
        <v>0</v>
      </c>
      <c r="BB507" s="234">
        <v>0</v>
      </c>
      <c r="BC507" s="234">
        <v>0</v>
      </c>
      <c r="BD507" s="234">
        <v>0</v>
      </c>
      <c r="BE507" s="234">
        <v>0</v>
      </c>
      <c r="BF507" s="234">
        <v>0</v>
      </c>
      <c r="BG507" s="234">
        <v>0</v>
      </c>
      <c r="BH507" s="234">
        <v>0</v>
      </c>
      <c r="BI507" s="234">
        <v>0</v>
      </c>
      <c r="BJ507" s="234">
        <v>0</v>
      </c>
      <c r="BK507" s="234">
        <v>0</v>
      </c>
      <c r="BL507" s="234">
        <v>0</v>
      </c>
      <c r="BM507" s="234">
        <v>0</v>
      </c>
      <c r="BN507" s="234">
        <v>0</v>
      </c>
      <c r="BO507" s="234">
        <v>0</v>
      </c>
      <c r="BP507" s="234"/>
      <c r="BQ507" s="234"/>
      <c r="BR507" s="237" t="s">
        <v>334</v>
      </c>
      <c r="BS507" s="238">
        <v>15</v>
      </c>
      <c r="BU507" s="239">
        <f t="shared" si="50"/>
        <v>0.75</v>
      </c>
      <c r="BV507" s="239">
        <f t="shared" si="51"/>
        <v>0.75</v>
      </c>
      <c r="BW507" s="239">
        <f t="shared" si="52"/>
        <v>0.75</v>
      </c>
      <c r="BX507" s="239">
        <f t="shared" si="53"/>
        <v>0.75</v>
      </c>
      <c r="CN507" s="238">
        <f t="shared" si="48"/>
        <v>3</v>
      </c>
      <c r="CO507" s="238">
        <f t="shared" si="49"/>
        <v>3</v>
      </c>
    </row>
    <row r="508" spans="1:93" ht="13.95" customHeight="1" x14ac:dyDescent="0.2">
      <c r="A508" s="231">
        <v>7829</v>
      </c>
      <c r="B508" s="232" t="s">
        <v>822</v>
      </c>
      <c r="C508" s="232" t="s">
        <v>1562</v>
      </c>
      <c r="D508" s="232" t="s">
        <v>1563</v>
      </c>
      <c r="E508" s="232" t="s">
        <v>317</v>
      </c>
      <c r="F508" s="231">
        <v>524414</v>
      </c>
      <c r="G508" s="231">
        <v>175024</v>
      </c>
      <c r="H508" s="232" t="s">
        <v>175</v>
      </c>
      <c r="I508" s="233"/>
      <c r="J508" s="231"/>
      <c r="K508" s="231">
        <v>1</v>
      </c>
      <c r="L508" s="231">
        <v>4</v>
      </c>
      <c r="M508" s="231">
        <v>3</v>
      </c>
      <c r="N508" s="231">
        <v>4</v>
      </c>
      <c r="O508" s="231">
        <v>3</v>
      </c>
      <c r="P508" s="234"/>
      <c r="Q508" s="232" t="s">
        <v>1564</v>
      </c>
      <c r="R508" s="234" t="s">
        <v>332</v>
      </c>
      <c r="S508" s="235">
        <v>44664</v>
      </c>
      <c r="T508" s="235">
        <v>44728</v>
      </c>
      <c r="U508" s="234" t="s">
        <v>318</v>
      </c>
      <c r="V508" s="232" t="s">
        <v>321</v>
      </c>
      <c r="W508" s="231"/>
      <c r="X508" s="232" t="s">
        <v>322</v>
      </c>
      <c r="Y508" s="232" t="s">
        <v>338</v>
      </c>
      <c r="Z508" s="232" t="s">
        <v>324</v>
      </c>
      <c r="AA508" s="232" t="s">
        <v>15</v>
      </c>
      <c r="AB508" s="236">
        <v>1.0264000000000001E-2</v>
      </c>
      <c r="AC508" s="235"/>
      <c r="AD508" s="234"/>
      <c r="AE508" s="234"/>
      <c r="AF508" s="232" t="s">
        <v>77</v>
      </c>
      <c r="AG508" s="232" t="s">
        <v>350</v>
      </c>
      <c r="AH508" s="234" t="s">
        <v>317</v>
      </c>
      <c r="AJ508" s="234">
        <v>0</v>
      </c>
      <c r="AK508" s="224"/>
      <c r="AL508" s="234">
        <v>0</v>
      </c>
      <c r="AM508" s="224"/>
      <c r="AN508" s="234">
        <v>0</v>
      </c>
      <c r="AO508" s="234">
        <v>0</v>
      </c>
      <c r="AP508" s="234">
        <v>3</v>
      </c>
      <c r="AQ508" s="234">
        <v>1</v>
      </c>
      <c r="AR508" s="234">
        <v>0</v>
      </c>
      <c r="AS508" s="234">
        <v>-1</v>
      </c>
      <c r="AT508" s="234">
        <v>0</v>
      </c>
      <c r="AU508" s="234">
        <v>0</v>
      </c>
      <c r="AV508" s="234">
        <v>0</v>
      </c>
      <c r="AW508" s="234">
        <v>3</v>
      </c>
      <c r="AX508" s="234">
        <v>1</v>
      </c>
      <c r="AY508" s="234">
        <v>0</v>
      </c>
      <c r="AZ508" s="234">
        <v>0</v>
      </c>
      <c r="BA508" s="234">
        <v>0</v>
      </c>
      <c r="BB508" s="234">
        <v>0</v>
      </c>
      <c r="BC508" s="234">
        <v>0</v>
      </c>
      <c r="BD508" s="234">
        <v>0</v>
      </c>
      <c r="BE508" s="234">
        <v>0</v>
      </c>
      <c r="BF508" s="234">
        <v>0</v>
      </c>
      <c r="BG508" s="234">
        <v>-1</v>
      </c>
      <c r="BH508" s="234">
        <v>0</v>
      </c>
      <c r="BI508" s="234">
        <v>0</v>
      </c>
      <c r="BJ508" s="234">
        <v>0</v>
      </c>
      <c r="BK508" s="234">
        <v>0</v>
      </c>
      <c r="BL508" s="234">
        <v>0</v>
      </c>
      <c r="BM508" s="234">
        <v>0</v>
      </c>
      <c r="BN508" s="234">
        <v>0</v>
      </c>
      <c r="BO508" s="234">
        <v>0</v>
      </c>
      <c r="BP508" s="234"/>
      <c r="BQ508" s="234"/>
      <c r="BR508" s="237" t="s">
        <v>334</v>
      </c>
      <c r="BS508" s="238">
        <v>15</v>
      </c>
      <c r="BU508" s="239">
        <f t="shared" si="50"/>
        <v>0.75</v>
      </c>
      <c r="BV508" s="239">
        <f t="shared" si="51"/>
        <v>0.75</v>
      </c>
      <c r="BW508" s="239">
        <f t="shared" si="52"/>
        <v>0.75</v>
      </c>
      <c r="BX508" s="239">
        <f t="shared" si="53"/>
        <v>0.75</v>
      </c>
      <c r="CN508" s="238">
        <f t="shared" si="48"/>
        <v>3</v>
      </c>
      <c r="CO508" s="238">
        <f t="shared" si="49"/>
        <v>3</v>
      </c>
    </row>
    <row r="509" spans="1:93" ht="13.95" customHeight="1" x14ac:dyDescent="0.2">
      <c r="A509" s="231">
        <v>6810</v>
      </c>
      <c r="B509" s="232" t="s">
        <v>822</v>
      </c>
      <c r="C509" s="232" t="s">
        <v>1565</v>
      </c>
      <c r="D509" s="232" t="s">
        <v>1566</v>
      </c>
      <c r="E509" s="232" t="s">
        <v>317</v>
      </c>
      <c r="F509" s="231">
        <v>521688</v>
      </c>
      <c r="G509" s="231">
        <v>172441</v>
      </c>
      <c r="H509" s="232" t="s">
        <v>170</v>
      </c>
      <c r="I509" s="233"/>
      <c r="J509" s="231"/>
      <c r="K509" s="231">
        <v>1</v>
      </c>
      <c r="L509" s="231">
        <v>4</v>
      </c>
      <c r="M509" s="231">
        <v>3</v>
      </c>
      <c r="N509" s="231">
        <v>4</v>
      </c>
      <c r="O509" s="231">
        <v>3</v>
      </c>
      <c r="P509" s="234"/>
      <c r="Q509" s="232" t="s">
        <v>1567</v>
      </c>
      <c r="R509" s="234" t="s">
        <v>332</v>
      </c>
      <c r="S509" s="235">
        <v>43147</v>
      </c>
      <c r="T509" s="235">
        <v>43241</v>
      </c>
      <c r="U509" s="234"/>
      <c r="V509" s="232" t="s">
        <v>321</v>
      </c>
      <c r="W509" s="231"/>
      <c r="X509" s="232" t="s">
        <v>322</v>
      </c>
      <c r="Y509" s="232" t="s">
        <v>338</v>
      </c>
      <c r="Z509" s="232" t="s">
        <v>324</v>
      </c>
      <c r="AA509" s="232" t="s">
        <v>15</v>
      </c>
      <c r="AB509" s="236">
        <v>0.05</v>
      </c>
      <c r="AC509" s="235"/>
      <c r="AD509" s="234"/>
      <c r="AE509" s="234"/>
      <c r="AF509" s="232" t="s">
        <v>77</v>
      </c>
      <c r="AG509" s="232" t="s">
        <v>350</v>
      </c>
      <c r="AH509" s="234" t="s">
        <v>317</v>
      </c>
      <c r="AJ509" s="234">
        <v>0</v>
      </c>
      <c r="AK509" s="224"/>
      <c r="AL509" s="234">
        <v>0</v>
      </c>
      <c r="AM509" s="224"/>
      <c r="AN509" s="234">
        <v>0</v>
      </c>
      <c r="AO509" s="234">
        <v>1</v>
      </c>
      <c r="AP509" s="234">
        <v>2</v>
      </c>
      <c r="AQ509" s="234">
        <v>1</v>
      </c>
      <c r="AR509" s="234">
        <v>0</v>
      </c>
      <c r="AS509" s="234">
        <v>-1</v>
      </c>
      <c r="AT509" s="234">
        <v>0</v>
      </c>
      <c r="AU509" s="234">
        <v>0</v>
      </c>
      <c r="AV509" s="234">
        <v>1</v>
      </c>
      <c r="AW509" s="234">
        <v>2</v>
      </c>
      <c r="AX509" s="234">
        <v>1</v>
      </c>
      <c r="AY509" s="234">
        <v>0</v>
      </c>
      <c r="AZ509" s="234">
        <v>0</v>
      </c>
      <c r="BA509" s="234">
        <v>0</v>
      </c>
      <c r="BB509" s="234">
        <v>0</v>
      </c>
      <c r="BC509" s="234">
        <v>0</v>
      </c>
      <c r="BD509" s="234">
        <v>0</v>
      </c>
      <c r="BE509" s="234">
        <v>0</v>
      </c>
      <c r="BF509" s="234">
        <v>0</v>
      </c>
      <c r="BG509" s="234">
        <v>-1</v>
      </c>
      <c r="BH509" s="234">
        <v>0</v>
      </c>
      <c r="BI509" s="234">
        <v>0</v>
      </c>
      <c r="BJ509" s="234">
        <v>0</v>
      </c>
      <c r="BK509" s="234">
        <v>0</v>
      </c>
      <c r="BL509" s="234">
        <v>0</v>
      </c>
      <c r="BM509" s="234">
        <v>0</v>
      </c>
      <c r="BN509" s="234">
        <v>0</v>
      </c>
      <c r="BO509" s="234">
        <v>0</v>
      </c>
      <c r="BP509" s="234"/>
      <c r="BQ509" s="234"/>
      <c r="BR509" s="237" t="s">
        <v>334</v>
      </c>
      <c r="BS509" s="238">
        <v>15</v>
      </c>
      <c r="BU509" s="239">
        <f t="shared" si="50"/>
        <v>0.75</v>
      </c>
      <c r="BV509" s="239">
        <f t="shared" si="51"/>
        <v>0.75</v>
      </c>
      <c r="BW509" s="239">
        <f t="shared" si="52"/>
        <v>0.75</v>
      </c>
      <c r="BX509" s="239">
        <f t="shared" si="53"/>
        <v>0.75</v>
      </c>
      <c r="CN509" s="238">
        <f t="shared" si="48"/>
        <v>3</v>
      </c>
      <c r="CO509" s="238">
        <f t="shared" si="49"/>
        <v>3</v>
      </c>
    </row>
    <row r="510" spans="1:93" ht="13.95" customHeight="1" x14ac:dyDescent="0.2">
      <c r="A510" s="231">
        <v>5410</v>
      </c>
      <c r="B510" s="232" t="s">
        <v>822</v>
      </c>
      <c r="C510" s="232" t="s">
        <v>1568</v>
      </c>
      <c r="D510" s="232" t="s">
        <v>1569</v>
      </c>
      <c r="E510" s="232" t="s">
        <v>317</v>
      </c>
      <c r="F510" s="231">
        <v>524095</v>
      </c>
      <c r="G510" s="231">
        <v>173645</v>
      </c>
      <c r="H510" s="232" t="s">
        <v>182</v>
      </c>
      <c r="I510" s="233"/>
      <c r="J510" s="231"/>
      <c r="K510" s="231">
        <v>0</v>
      </c>
      <c r="L510" s="231">
        <v>3</v>
      </c>
      <c r="M510" s="231">
        <v>3</v>
      </c>
      <c r="N510" s="231">
        <v>3</v>
      </c>
      <c r="O510" s="231">
        <v>3</v>
      </c>
      <c r="P510" s="234"/>
      <c r="Q510" s="232" t="s">
        <v>1570</v>
      </c>
      <c r="R510" s="234" t="s">
        <v>320</v>
      </c>
      <c r="S510" s="235">
        <v>44376</v>
      </c>
      <c r="T510" s="235">
        <v>44672</v>
      </c>
      <c r="U510" s="234" t="s">
        <v>318</v>
      </c>
      <c r="V510" s="232" t="s">
        <v>321</v>
      </c>
      <c r="W510" s="231"/>
      <c r="X510" s="232" t="s">
        <v>322</v>
      </c>
      <c r="Y510" s="232" t="s">
        <v>339</v>
      </c>
      <c r="Z510" s="232" t="s">
        <v>324</v>
      </c>
      <c r="AA510" s="232" t="s">
        <v>354</v>
      </c>
      <c r="AB510" s="236">
        <v>2.8400000000000002E-2</v>
      </c>
      <c r="AC510" s="235"/>
      <c r="AD510" s="234"/>
      <c r="AE510" s="234"/>
      <c r="AF510" s="232" t="s">
        <v>77</v>
      </c>
      <c r="AG510" s="232" t="s">
        <v>350</v>
      </c>
      <c r="AH510" s="234" t="s">
        <v>317</v>
      </c>
      <c r="AJ510" s="234">
        <v>0</v>
      </c>
      <c r="AK510" s="224"/>
      <c r="AL510" s="234">
        <v>0</v>
      </c>
      <c r="AM510" s="224"/>
      <c r="AN510" s="234">
        <v>0</v>
      </c>
      <c r="AO510" s="234">
        <v>1</v>
      </c>
      <c r="AP510" s="234">
        <v>1</v>
      </c>
      <c r="AQ510" s="234">
        <v>1</v>
      </c>
      <c r="AR510" s="234">
        <v>0</v>
      </c>
      <c r="AS510" s="234">
        <v>0</v>
      </c>
      <c r="AT510" s="234">
        <v>0</v>
      </c>
      <c r="AU510" s="234">
        <v>0</v>
      </c>
      <c r="AV510" s="234">
        <v>1</v>
      </c>
      <c r="AW510" s="234">
        <v>1</v>
      </c>
      <c r="AX510" s="234">
        <v>1</v>
      </c>
      <c r="AY510" s="234">
        <v>0</v>
      </c>
      <c r="AZ510" s="234">
        <v>0</v>
      </c>
      <c r="BA510" s="234">
        <v>0</v>
      </c>
      <c r="BB510" s="234">
        <v>0</v>
      </c>
      <c r="BC510" s="234">
        <v>0</v>
      </c>
      <c r="BD510" s="234">
        <v>0</v>
      </c>
      <c r="BE510" s="234">
        <v>0</v>
      </c>
      <c r="BF510" s="234">
        <v>0</v>
      </c>
      <c r="BG510" s="234">
        <v>0</v>
      </c>
      <c r="BH510" s="234">
        <v>0</v>
      </c>
      <c r="BI510" s="234">
        <v>0</v>
      </c>
      <c r="BJ510" s="234">
        <v>0</v>
      </c>
      <c r="BK510" s="234">
        <v>0</v>
      </c>
      <c r="BL510" s="234">
        <v>0</v>
      </c>
      <c r="BM510" s="234">
        <v>0</v>
      </c>
      <c r="BN510" s="234">
        <v>0</v>
      </c>
      <c r="BO510" s="234">
        <v>0</v>
      </c>
      <c r="BP510" s="234"/>
      <c r="BQ510" s="234"/>
      <c r="BR510" s="237" t="s">
        <v>334</v>
      </c>
      <c r="BS510" s="238">
        <v>15</v>
      </c>
      <c r="BU510" s="239">
        <f t="shared" si="50"/>
        <v>0.75</v>
      </c>
      <c r="BV510" s="239">
        <f t="shared" si="51"/>
        <v>0.75</v>
      </c>
      <c r="BW510" s="239">
        <f t="shared" si="52"/>
        <v>0.75</v>
      </c>
      <c r="BX510" s="239">
        <f t="shared" si="53"/>
        <v>0.75</v>
      </c>
      <c r="CN510" s="238">
        <f t="shared" si="48"/>
        <v>3</v>
      </c>
      <c r="CO510" s="238">
        <f t="shared" si="49"/>
        <v>3</v>
      </c>
    </row>
    <row r="511" spans="1:93" ht="13.95" customHeight="1" x14ac:dyDescent="0.2">
      <c r="A511" s="231">
        <v>6817</v>
      </c>
      <c r="B511" s="232" t="s">
        <v>822</v>
      </c>
      <c r="C511" s="232" t="s">
        <v>1571</v>
      </c>
      <c r="D511" s="232" t="s">
        <v>1572</v>
      </c>
      <c r="E511" s="232" t="s">
        <v>317</v>
      </c>
      <c r="F511" s="231">
        <v>528402</v>
      </c>
      <c r="G511" s="231">
        <v>172041</v>
      </c>
      <c r="H511" s="232" t="s">
        <v>176</v>
      </c>
      <c r="I511" s="233"/>
      <c r="J511" s="231"/>
      <c r="K511" s="231">
        <v>1</v>
      </c>
      <c r="L511" s="231">
        <v>4</v>
      </c>
      <c r="M511" s="231">
        <v>3</v>
      </c>
      <c r="N511" s="231">
        <v>4</v>
      </c>
      <c r="O511" s="231">
        <v>3</v>
      </c>
      <c r="P511" s="234"/>
      <c r="Q511" s="232" t="s">
        <v>1573</v>
      </c>
      <c r="R511" s="234" t="s">
        <v>332</v>
      </c>
      <c r="S511" s="235">
        <v>44853</v>
      </c>
      <c r="T511" s="235">
        <v>45013</v>
      </c>
      <c r="U511" s="234" t="s">
        <v>318</v>
      </c>
      <c r="V511" s="232" t="s">
        <v>321</v>
      </c>
      <c r="W511" s="231"/>
      <c r="X511" s="232" t="s">
        <v>322</v>
      </c>
      <c r="Y511" s="232" t="s">
        <v>338</v>
      </c>
      <c r="Z511" s="232" t="s">
        <v>324</v>
      </c>
      <c r="AA511" s="232" t="s">
        <v>411</v>
      </c>
      <c r="AB511" s="236">
        <v>1.4E-2</v>
      </c>
      <c r="AC511" s="235"/>
      <c r="AD511" s="234"/>
      <c r="AE511" s="234"/>
      <c r="AF511" s="232" t="s">
        <v>77</v>
      </c>
      <c r="AG511" s="232" t="s">
        <v>340</v>
      </c>
      <c r="AH511" s="234" t="s">
        <v>317</v>
      </c>
      <c r="AJ511" s="234">
        <v>0</v>
      </c>
      <c r="AK511" s="224"/>
      <c r="AL511" s="234">
        <v>0</v>
      </c>
      <c r="AM511" s="224"/>
      <c r="AN511" s="234">
        <v>3</v>
      </c>
      <c r="AO511" s="234">
        <v>0</v>
      </c>
      <c r="AP511" s="234">
        <v>0</v>
      </c>
      <c r="AQ511" s="234">
        <v>0</v>
      </c>
      <c r="AR511" s="234">
        <v>0</v>
      </c>
      <c r="AS511" s="234">
        <v>0</v>
      </c>
      <c r="AT511" s="234">
        <v>0</v>
      </c>
      <c r="AU511" s="234">
        <v>3</v>
      </c>
      <c r="AV511" s="234">
        <v>0</v>
      </c>
      <c r="AW511" s="234">
        <v>0</v>
      </c>
      <c r="AX511" s="234">
        <v>0</v>
      </c>
      <c r="AY511" s="234">
        <v>0</v>
      </c>
      <c r="AZ511" s="234">
        <v>0</v>
      </c>
      <c r="BA511" s="234">
        <v>0</v>
      </c>
      <c r="BB511" s="234">
        <v>0</v>
      </c>
      <c r="BC511" s="234">
        <v>0</v>
      </c>
      <c r="BD511" s="234">
        <v>0</v>
      </c>
      <c r="BE511" s="234">
        <v>0</v>
      </c>
      <c r="BF511" s="234">
        <v>0</v>
      </c>
      <c r="BG511" s="234">
        <v>0</v>
      </c>
      <c r="BH511" s="234">
        <v>0</v>
      </c>
      <c r="BI511" s="234">
        <v>0</v>
      </c>
      <c r="BJ511" s="234">
        <v>0</v>
      </c>
      <c r="BK511" s="234">
        <v>0</v>
      </c>
      <c r="BL511" s="234">
        <v>0</v>
      </c>
      <c r="BM511" s="234">
        <v>0</v>
      </c>
      <c r="BN511" s="234">
        <v>0</v>
      </c>
      <c r="BO511" s="234">
        <v>0</v>
      </c>
      <c r="BP511" s="234"/>
      <c r="BQ511" s="234"/>
      <c r="BR511" s="237" t="s">
        <v>334</v>
      </c>
      <c r="BS511" s="238">
        <v>15</v>
      </c>
      <c r="BU511" s="239">
        <f t="shared" si="50"/>
        <v>0.75</v>
      </c>
      <c r="BV511" s="239">
        <f t="shared" si="51"/>
        <v>0.75</v>
      </c>
      <c r="BW511" s="239">
        <f t="shared" si="52"/>
        <v>0.75</v>
      </c>
      <c r="BX511" s="239">
        <f t="shared" si="53"/>
        <v>0.75</v>
      </c>
      <c r="CN511" s="238">
        <f t="shared" si="48"/>
        <v>3</v>
      </c>
      <c r="CO511" s="238">
        <f t="shared" si="49"/>
        <v>3</v>
      </c>
    </row>
    <row r="512" spans="1:93" ht="13.95" customHeight="1" x14ac:dyDescent="0.2">
      <c r="A512" s="231">
        <v>7640</v>
      </c>
      <c r="B512" s="232" t="s">
        <v>822</v>
      </c>
      <c r="C512" s="232" t="s">
        <v>1574</v>
      </c>
      <c r="D512" s="232" t="s">
        <v>1575</v>
      </c>
      <c r="E512" s="232" t="s">
        <v>317</v>
      </c>
      <c r="F512" s="231">
        <v>527216</v>
      </c>
      <c r="G512" s="231">
        <v>171096</v>
      </c>
      <c r="H512" s="232" t="s">
        <v>177</v>
      </c>
      <c r="I512" s="233">
        <v>44996</v>
      </c>
      <c r="J512" s="231"/>
      <c r="K512" s="231">
        <v>0</v>
      </c>
      <c r="L512" s="231">
        <v>3</v>
      </c>
      <c r="M512" s="231">
        <v>3</v>
      </c>
      <c r="N512" s="231">
        <v>3</v>
      </c>
      <c r="O512" s="231">
        <v>3</v>
      </c>
      <c r="P512" s="234"/>
      <c r="Q512" s="232" t="s">
        <v>1576</v>
      </c>
      <c r="R512" s="234" t="s">
        <v>332</v>
      </c>
      <c r="S512" s="235">
        <v>44865</v>
      </c>
      <c r="T512" s="235">
        <v>44950</v>
      </c>
      <c r="U512" s="234" t="s">
        <v>318</v>
      </c>
      <c r="V512" s="232" t="s">
        <v>321</v>
      </c>
      <c r="W512" s="231"/>
      <c r="X512" s="232" t="s">
        <v>322</v>
      </c>
      <c r="Y512" s="232" t="s">
        <v>338</v>
      </c>
      <c r="Z512" s="232" t="s">
        <v>324</v>
      </c>
      <c r="AA512" s="232" t="s">
        <v>354</v>
      </c>
      <c r="AB512" s="236">
        <v>5.3666670000000003E-3</v>
      </c>
      <c r="AC512" s="235"/>
      <c r="AD512" s="234"/>
      <c r="AE512" s="234"/>
      <c r="AF512" s="232" t="s">
        <v>77</v>
      </c>
      <c r="AG512" s="232" t="s">
        <v>340</v>
      </c>
      <c r="AH512" s="234" t="s">
        <v>317</v>
      </c>
      <c r="AJ512" s="234">
        <v>0</v>
      </c>
      <c r="AK512" s="224"/>
      <c r="AL512" s="234">
        <v>0</v>
      </c>
      <c r="AM512" s="224"/>
      <c r="AN512" s="234">
        <v>0</v>
      </c>
      <c r="AO512" s="234">
        <v>2</v>
      </c>
      <c r="AP512" s="234">
        <v>1</v>
      </c>
      <c r="AQ512" s="234">
        <v>0</v>
      </c>
      <c r="AR512" s="234">
        <v>0</v>
      </c>
      <c r="AS512" s="234">
        <v>0</v>
      </c>
      <c r="AT512" s="234">
        <v>0</v>
      </c>
      <c r="AU512" s="234">
        <v>0</v>
      </c>
      <c r="AV512" s="234">
        <v>2</v>
      </c>
      <c r="AW512" s="234">
        <v>1</v>
      </c>
      <c r="AX512" s="234">
        <v>0</v>
      </c>
      <c r="AY512" s="234">
        <v>0</v>
      </c>
      <c r="AZ512" s="234">
        <v>0</v>
      </c>
      <c r="BA512" s="234">
        <v>0</v>
      </c>
      <c r="BB512" s="234">
        <v>0</v>
      </c>
      <c r="BC512" s="234">
        <v>0</v>
      </c>
      <c r="BD512" s="234">
        <v>0</v>
      </c>
      <c r="BE512" s="234">
        <v>0</v>
      </c>
      <c r="BF512" s="234">
        <v>0</v>
      </c>
      <c r="BG512" s="234">
        <v>0</v>
      </c>
      <c r="BH512" s="234">
        <v>0</v>
      </c>
      <c r="BI512" s="234">
        <v>0</v>
      </c>
      <c r="BJ512" s="234">
        <v>0</v>
      </c>
      <c r="BK512" s="234">
        <v>0</v>
      </c>
      <c r="BL512" s="234">
        <v>0</v>
      </c>
      <c r="BM512" s="234">
        <v>0</v>
      </c>
      <c r="BN512" s="234">
        <v>0</v>
      </c>
      <c r="BO512" s="234">
        <v>0</v>
      </c>
      <c r="BP512" s="234"/>
      <c r="BQ512" s="234"/>
      <c r="BR512" s="237" t="s">
        <v>144</v>
      </c>
      <c r="BS512" s="238">
        <v>15</v>
      </c>
      <c r="BU512" s="239">
        <f t="shared" si="50"/>
        <v>0.75</v>
      </c>
      <c r="BV512" s="239">
        <f t="shared" si="51"/>
        <v>0.75</v>
      </c>
      <c r="BW512" s="239">
        <f t="shared" si="52"/>
        <v>0.75</v>
      </c>
      <c r="BX512" s="239">
        <f t="shared" si="53"/>
        <v>0.75</v>
      </c>
      <c r="CN512" s="238">
        <f t="shared" si="48"/>
        <v>3</v>
      </c>
      <c r="CO512" s="238">
        <f t="shared" si="49"/>
        <v>3</v>
      </c>
    </row>
    <row r="513" spans="1:93" ht="13.95" customHeight="1" x14ac:dyDescent="0.2">
      <c r="A513" s="231">
        <v>7799</v>
      </c>
      <c r="B513" s="232" t="s">
        <v>822</v>
      </c>
      <c r="C513" s="232" t="s">
        <v>1577</v>
      </c>
      <c r="D513" s="232" t="s">
        <v>1578</v>
      </c>
      <c r="E513" s="232" t="s">
        <v>317</v>
      </c>
      <c r="F513" s="231">
        <v>526281</v>
      </c>
      <c r="G513" s="231">
        <v>173564</v>
      </c>
      <c r="H513" s="232" t="s">
        <v>179</v>
      </c>
      <c r="I513" s="233">
        <v>44773</v>
      </c>
      <c r="J513" s="231"/>
      <c r="K513" s="231">
        <v>1</v>
      </c>
      <c r="L513" s="231">
        <v>4</v>
      </c>
      <c r="M513" s="231">
        <v>3</v>
      </c>
      <c r="N513" s="231">
        <v>4</v>
      </c>
      <c r="O513" s="231">
        <v>3</v>
      </c>
      <c r="P513" s="234"/>
      <c r="Q513" s="232" t="s">
        <v>1579</v>
      </c>
      <c r="R513" s="234" t="s">
        <v>332</v>
      </c>
      <c r="S513" s="235">
        <v>44622</v>
      </c>
      <c r="T513" s="235">
        <v>44686</v>
      </c>
      <c r="U513" s="234" t="s">
        <v>318</v>
      </c>
      <c r="V513" s="232" t="s">
        <v>321</v>
      </c>
      <c r="W513" s="231"/>
      <c r="X513" s="232" t="s">
        <v>322</v>
      </c>
      <c r="Y513" s="232" t="s">
        <v>365</v>
      </c>
      <c r="Z513" s="232" t="s">
        <v>324</v>
      </c>
      <c r="AA513" s="232" t="s">
        <v>15</v>
      </c>
      <c r="AB513" s="236">
        <v>8.2749999999999994E-3</v>
      </c>
      <c r="AC513" s="235"/>
      <c r="AD513" s="234"/>
      <c r="AE513" s="234"/>
      <c r="AF513" s="232" t="s">
        <v>77</v>
      </c>
      <c r="AG513" s="232" t="s">
        <v>350</v>
      </c>
      <c r="AH513" s="234" t="s">
        <v>317</v>
      </c>
      <c r="AJ513" s="234">
        <v>0</v>
      </c>
      <c r="AK513" s="224"/>
      <c r="AL513" s="234">
        <v>0</v>
      </c>
      <c r="AM513" s="224"/>
      <c r="AN513" s="234">
        <v>0</v>
      </c>
      <c r="AO513" s="234">
        <v>1</v>
      </c>
      <c r="AP513" s="234">
        <v>1</v>
      </c>
      <c r="AQ513" s="234">
        <v>2</v>
      </c>
      <c r="AR513" s="234">
        <v>0</v>
      </c>
      <c r="AS513" s="234">
        <v>-1</v>
      </c>
      <c r="AT513" s="234">
        <v>0</v>
      </c>
      <c r="AU513" s="234">
        <v>0</v>
      </c>
      <c r="AV513" s="234">
        <v>1</v>
      </c>
      <c r="AW513" s="234">
        <v>1</v>
      </c>
      <c r="AX513" s="234">
        <v>2</v>
      </c>
      <c r="AY513" s="234">
        <v>0</v>
      </c>
      <c r="AZ513" s="234">
        <v>0</v>
      </c>
      <c r="BA513" s="234">
        <v>0</v>
      </c>
      <c r="BB513" s="234">
        <v>0</v>
      </c>
      <c r="BC513" s="234">
        <v>0</v>
      </c>
      <c r="BD513" s="234">
        <v>0</v>
      </c>
      <c r="BE513" s="234">
        <v>0</v>
      </c>
      <c r="BF513" s="234">
        <v>0</v>
      </c>
      <c r="BG513" s="234">
        <v>-1</v>
      </c>
      <c r="BH513" s="234">
        <v>0</v>
      </c>
      <c r="BI513" s="234">
        <v>0</v>
      </c>
      <c r="BJ513" s="234">
        <v>0</v>
      </c>
      <c r="BK513" s="234">
        <v>0</v>
      </c>
      <c r="BL513" s="234">
        <v>0</v>
      </c>
      <c r="BM513" s="234">
        <v>0</v>
      </c>
      <c r="BN513" s="234">
        <v>0</v>
      </c>
      <c r="BO513" s="234">
        <v>0</v>
      </c>
      <c r="BP513" s="234"/>
      <c r="BQ513" s="234"/>
      <c r="BR513" s="237" t="s">
        <v>334</v>
      </c>
      <c r="BS513" s="238">
        <v>15</v>
      </c>
      <c r="BU513" s="239">
        <f t="shared" si="50"/>
        <v>0.75</v>
      </c>
      <c r="BV513" s="239">
        <f t="shared" si="51"/>
        <v>0.75</v>
      </c>
      <c r="BW513" s="239">
        <f t="shared" si="52"/>
        <v>0.75</v>
      </c>
      <c r="BX513" s="239">
        <f t="shared" si="53"/>
        <v>0.75</v>
      </c>
      <c r="CN513" s="238">
        <f t="shared" si="48"/>
        <v>3</v>
      </c>
      <c r="CO513" s="238">
        <f t="shared" si="49"/>
        <v>3</v>
      </c>
    </row>
    <row r="514" spans="1:93" ht="13.95" customHeight="1" x14ac:dyDescent="0.2">
      <c r="A514" s="231">
        <v>3722</v>
      </c>
      <c r="B514" s="232" t="s">
        <v>822</v>
      </c>
      <c r="C514" s="232" t="s">
        <v>1580</v>
      </c>
      <c r="D514" s="232" t="s">
        <v>1581</v>
      </c>
      <c r="E514" s="232" t="s">
        <v>317</v>
      </c>
      <c r="F514" s="231">
        <v>527721</v>
      </c>
      <c r="G514" s="231">
        <v>171876</v>
      </c>
      <c r="H514" s="232" t="s">
        <v>176</v>
      </c>
      <c r="I514" s="233"/>
      <c r="J514" s="231"/>
      <c r="K514" s="231">
        <v>0</v>
      </c>
      <c r="L514" s="231">
        <v>3</v>
      </c>
      <c r="M514" s="231">
        <v>3</v>
      </c>
      <c r="N514" s="231">
        <v>3</v>
      </c>
      <c r="O514" s="231">
        <v>3</v>
      </c>
      <c r="P514" s="234"/>
      <c r="Q514" s="232" t="s">
        <v>1582</v>
      </c>
      <c r="R514" s="234" t="s">
        <v>332</v>
      </c>
      <c r="S514" s="235">
        <v>44118</v>
      </c>
      <c r="T514" s="235">
        <v>44488</v>
      </c>
      <c r="U514" s="234"/>
      <c r="V514" s="232" t="s">
        <v>321</v>
      </c>
      <c r="W514" s="231"/>
      <c r="X514" s="232" t="s">
        <v>322</v>
      </c>
      <c r="Y514" s="232" t="s">
        <v>339</v>
      </c>
      <c r="Z514" s="232" t="s">
        <v>324</v>
      </c>
      <c r="AA514" s="232" t="s">
        <v>354</v>
      </c>
      <c r="AB514" s="236">
        <v>7.0000000000000001E-3</v>
      </c>
      <c r="AC514" s="235"/>
      <c r="AD514" s="234"/>
      <c r="AE514" s="234"/>
      <c r="AF514" s="232" t="s">
        <v>77</v>
      </c>
      <c r="AG514" s="232" t="s">
        <v>350</v>
      </c>
      <c r="AH514" s="234" t="s">
        <v>317</v>
      </c>
      <c r="AJ514" s="234">
        <v>0</v>
      </c>
      <c r="AK514" s="224"/>
      <c r="AL514" s="234">
        <v>0</v>
      </c>
      <c r="AM514" s="224"/>
      <c r="AN514" s="234">
        <v>0</v>
      </c>
      <c r="AO514" s="234">
        <v>3</v>
      </c>
      <c r="AP514" s="234">
        <v>0</v>
      </c>
      <c r="AQ514" s="234">
        <v>0</v>
      </c>
      <c r="AR514" s="234">
        <v>0</v>
      </c>
      <c r="AS514" s="234">
        <v>0</v>
      </c>
      <c r="AT514" s="234">
        <v>0</v>
      </c>
      <c r="AU514" s="234">
        <v>0</v>
      </c>
      <c r="AV514" s="234">
        <v>3</v>
      </c>
      <c r="AW514" s="234">
        <v>0</v>
      </c>
      <c r="AX514" s="234">
        <v>0</v>
      </c>
      <c r="AY514" s="234">
        <v>0</v>
      </c>
      <c r="AZ514" s="234">
        <v>0</v>
      </c>
      <c r="BA514" s="234">
        <v>0</v>
      </c>
      <c r="BB514" s="234">
        <v>0</v>
      </c>
      <c r="BC514" s="234">
        <v>0</v>
      </c>
      <c r="BD514" s="234">
        <v>0</v>
      </c>
      <c r="BE514" s="234">
        <v>0</v>
      </c>
      <c r="BF514" s="234">
        <v>0</v>
      </c>
      <c r="BG514" s="234">
        <v>0</v>
      </c>
      <c r="BH514" s="234">
        <v>0</v>
      </c>
      <c r="BI514" s="234">
        <v>0</v>
      </c>
      <c r="BJ514" s="234">
        <v>0</v>
      </c>
      <c r="BK514" s="234">
        <v>0</v>
      </c>
      <c r="BL514" s="234">
        <v>0</v>
      </c>
      <c r="BM514" s="234">
        <v>0</v>
      </c>
      <c r="BN514" s="234">
        <v>0</v>
      </c>
      <c r="BO514" s="234">
        <v>0</v>
      </c>
      <c r="BP514" s="234" t="s">
        <v>144</v>
      </c>
      <c r="BQ514" s="234"/>
      <c r="BR514" s="237" t="s">
        <v>144</v>
      </c>
      <c r="BS514" s="238">
        <v>15</v>
      </c>
      <c r="BU514" s="239">
        <f t="shared" si="50"/>
        <v>0.75</v>
      </c>
      <c r="BV514" s="239">
        <f t="shared" si="51"/>
        <v>0.75</v>
      </c>
      <c r="BW514" s="239">
        <f t="shared" si="52"/>
        <v>0.75</v>
      </c>
      <c r="BX514" s="239">
        <f t="shared" si="53"/>
        <v>0.75</v>
      </c>
      <c r="CN514" s="238">
        <f t="shared" si="48"/>
        <v>3</v>
      </c>
      <c r="CO514" s="238">
        <f t="shared" si="49"/>
        <v>3</v>
      </c>
    </row>
    <row r="515" spans="1:93" ht="13.95" customHeight="1" x14ac:dyDescent="0.2">
      <c r="A515" s="231">
        <v>2060</v>
      </c>
      <c r="B515" s="232" t="s">
        <v>822</v>
      </c>
      <c r="C515" s="232" t="s">
        <v>1583</v>
      </c>
      <c r="D515" s="232" t="s">
        <v>1584</v>
      </c>
      <c r="E515" s="232" t="s">
        <v>317</v>
      </c>
      <c r="F515" s="231">
        <v>525346</v>
      </c>
      <c r="G515" s="231">
        <v>174649</v>
      </c>
      <c r="H515" s="232" t="s">
        <v>181</v>
      </c>
      <c r="I515" s="233"/>
      <c r="J515" s="231"/>
      <c r="K515" s="231">
        <v>0</v>
      </c>
      <c r="L515" s="231">
        <v>3</v>
      </c>
      <c r="M515" s="231">
        <v>3</v>
      </c>
      <c r="N515" s="231">
        <v>6</v>
      </c>
      <c r="O515" s="231">
        <v>3</v>
      </c>
      <c r="P515" s="234"/>
      <c r="Q515" s="232" t="s">
        <v>1585</v>
      </c>
      <c r="R515" s="234" t="s">
        <v>332</v>
      </c>
      <c r="S515" s="235">
        <v>44071</v>
      </c>
      <c r="T515" s="235">
        <v>44127</v>
      </c>
      <c r="U515" s="234"/>
      <c r="V515" s="232" t="s">
        <v>321</v>
      </c>
      <c r="W515" s="231"/>
      <c r="X515" s="232" t="s">
        <v>322</v>
      </c>
      <c r="Y515" s="232" t="s">
        <v>338</v>
      </c>
      <c r="Z515" s="232" t="s">
        <v>324</v>
      </c>
      <c r="AA515" s="232" t="s">
        <v>354</v>
      </c>
      <c r="AB515" s="236">
        <v>6.0000000000000001E-3</v>
      </c>
      <c r="AC515" s="235"/>
      <c r="AD515" s="234"/>
      <c r="AE515" s="234"/>
      <c r="AF515" s="232" t="s">
        <v>77</v>
      </c>
      <c r="AG515" s="232" t="s">
        <v>350</v>
      </c>
      <c r="AH515" s="234" t="s">
        <v>317</v>
      </c>
      <c r="AJ515" s="234">
        <v>0</v>
      </c>
      <c r="AK515" s="224"/>
      <c r="AL515" s="234">
        <v>0</v>
      </c>
      <c r="AM515" s="224"/>
      <c r="AN515" s="234">
        <v>0</v>
      </c>
      <c r="AO515" s="234">
        <v>3</v>
      </c>
      <c r="AP515" s="234">
        <v>0</v>
      </c>
      <c r="AQ515" s="234">
        <v>0</v>
      </c>
      <c r="AR515" s="234">
        <v>0</v>
      </c>
      <c r="AS515" s="234">
        <v>0</v>
      </c>
      <c r="AT515" s="234">
        <v>0</v>
      </c>
      <c r="AU515" s="234">
        <v>0</v>
      </c>
      <c r="AV515" s="234">
        <v>3</v>
      </c>
      <c r="AW515" s="234">
        <v>0</v>
      </c>
      <c r="AX515" s="234">
        <v>0</v>
      </c>
      <c r="AY515" s="234">
        <v>0</v>
      </c>
      <c r="AZ515" s="234">
        <v>0</v>
      </c>
      <c r="BA515" s="234">
        <v>0</v>
      </c>
      <c r="BB515" s="234">
        <v>0</v>
      </c>
      <c r="BC515" s="234">
        <v>0</v>
      </c>
      <c r="BD515" s="234">
        <v>0</v>
      </c>
      <c r="BE515" s="234">
        <v>0</v>
      </c>
      <c r="BF515" s="234">
        <v>0</v>
      </c>
      <c r="BG515" s="234">
        <v>0</v>
      </c>
      <c r="BH515" s="234">
        <v>0</v>
      </c>
      <c r="BI515" s="234">
        <v>0</v>
      </c>
      <c r="BJ515" s="234">
        <v>0</v>
      </c>
      <c r="BK515" s="234">
        <v>0</v>
      </c>
      <c r="BL515" s="234">
        <v>0</v>
      </c>
      <c r="BM515" s="234">
        <v>0</v>
      </c>
      <c r="BN515" s="234">
        <v>0</v>
      </c>
      <c r="BO515" s="234">
        <v>0</v>
      </c>
      <c r="BP515" s="234" t="s">
        <v>145</v>
      </c>
      <c r="BQ515" s="234"/>
      <c r="BR515" s="237" t="s">
        <v>327</v>
      </c>
      <c r="BS515" s="238">
        <v>15</v>
      </c>
      <c r="BU515" s="239">
        <f t="shared" si="50"/>
        <v>0.75</v>
      </c>
      <c r="BV515" s="239">
        <f t="shared" si="51"/>
        <v>0.75</v>
      </c>
      <c r="BW515" s="239">
        <f t="shared" si="52"/>
        <v>0.75</v>
      </c>
      <c r="BX515" s="239">
        <f t="shared" si="53"/>
        <v>0.75</v>
      </c>
      <c r="CN515" s="238">
        <f t="shared" si="48"/>
        <v>3</v>
      </c>
      <c r="CO515" s="238">
        <f t="shared" si="49"/>
        <v>3</v>
      </c>
    </row>
    <row r="516" spans="1:93" ht="13.95" customHeight="1" x14ac:dyDescent="0.2">
      <c r="A516" s="231">
        <v>5958</v>
      </c>
      <c r="B516" s="232" t="s">
        <v>822</v>
      </c>
      <c r="C516" s="232" t="s">
        <v>1586</v>
      </c>
      <c r="D516" s="232" t="s">
        <v>1587</v>
      </c>
      <c r="E516" s="232" t="s">
        <v>317</v>
      </c>
      <c r="F516" s="231">
        <v>527576</v>
      </c>
      <c r="G516" s="231">
        <v>171713</v>
      </c>
      <c r="H516" s="232" t="s">
        <v>176</v>
      </c>
      <c r="I516" s="233"/>
      <c r="J516" s="231"/>
      <c r="K516" s="231">
        <v>0</v>
      </c>
      <c r="L516" s="231">
        <v>3</v>
      </c>
      <c r="M516" s="231">
        <v>3</v>
      </c>
      <c r="N516" s="231">
        <v>4</v>
      </c>
      <c r="O516" s="231">
        <v>2</v>
      </c>
      <c r="P516" s="234"/>
      <c r="Q516" s="232" t="s">
        <v>1588</v>
      </c>
      <c r="R516" s="234" t="s">
        <v>332</v>
      </c>
      <c r="S516" s="235">
        <v>44127</v>
      </c>
      <c r="T516" s="235">
        <v>44183</v>
      </c>
      <c r="U516" s="234"/>
      <c r="V516" s="232" t="s">
        <v>321</v>
      </c>
      <c r="W516" s="231"/>
      <c r="X516" s="232" t="s">
        <v>322</v>
      </c>
      <c r="Y516" s="232" t="s">
        <v>338</v>
      </c>
      <c r="Z516" s="232" t="s">
        <v>324</v>
      </c>
      <c r="AA516" s="232" t="s">
        <v>354</v>
      </c>
      <c r="AB516" s="236">
        <v>5.0000000000000001E-3</v>
      </c>
      <c r="AC516" s="235"/>
      <c r="AD516" s="234"/>
      <c r="AE516" s="234"/>
      <c r="AF516" s="232" t="s">
        <v>77</v>
      </c>
      <c r="AG516" s="232" t="s">
        <v>350</v>
      </c>
      <c r="AH516" s="234" t="s">
        <v>317</v>
      </c>
      <c r="AJ516" s="234">
        <v>0</v>
      </c>
      <c r="AK516" s="224"/>
      <c r="AL516" s="234">
        <v>0</v>
      </c>
      <c r="AM516" s="224"/>
      <c r="AN516" s="234">
        <v>0</v>
      </c>
      <c r="AO516" s="234">
        <v>3</v>
      </c>
      <c r="AP516" s="234">
        <v>0</v>
      </c>
      <c r="AQ516" s="234">
        <v>0</v>
      </c>
      <c r="AR516" s="234">
        <v>0</v>
      </c>
      <c r="AS516" s="234">
        <v>0</v>
      </c>
      <c r="AT516" s="234">
        <v>0</v>
      </c>
      <c r="AU516" s="234">
        <v>0</v>
      </c>
      <c r="AV516" s="234">
        <v>3</v>
      </c>
      <c r="AW516" s="234">
        <v>0</v>
      </c>
      <c r="AX516" s="234">
        <v>0</v>
      </c>
      <c r="AY516" s="234">
        <v>0</v>
      </c>
      <c r="AZ516" s="234">
        <v>0</v>
      </c>
      <c r="BA516" s="234">
        <v>0</v>
      </c>
      <c r="BB516" s="234">
        <v>0</v>
      </c>
      <c r="BC516" s="234">
        <v>0</v>
      </c>
      <c r="BD516" s="234">
        <v>0</v>
      </c>
      <c r="BE516" s="234">
        <v>0</v>
      </c>
      <c r="BF516" s="234">
        <v>0</v>
      </c>
      <c r="BG516" s="234">
        <v>0</v>
      </c>
      <c r="BH516" s="234">
        <v>0</v>
      </c>
      <c r="BI516" s="234">
        <v>0</v>
      </c>
      <c r="BJ516" s="234">
        <v>0</v>
      </c>
      <c r="BK516" s="234">
        <v>0</v>
      </c>
      <c r="BL516" s="234">
        <v>0</v>
      </c>
      <c r="BM516" s="234">
        <v>0</v>
      </c>
      <c r="BN516" s="234">
        <v>0</v>
      </c>
      <c r="BO516" s="234">
        <v>0</v>
      </c>
      <c r="BP516" s="234" t="s">
        <v>144</v>
      </c>
      <c r="BQ516" s="234"/>
      <c r="BR516" s="237" t="s">
        <v>144</v>
      </c>
      <c r="BS516" s="238">
        <v>15</v>
      </c>
      <c r="BU516" s="239">
        <f t="shared" si="50"/>
        <v>0.75</v>
      </c>
      <c r="BV516" s="239">
        <f t="shared" si="51"/>
        <v>0.75</v>
      </c>
      <c r="BW516" s="239">
        <f t="shared" si="52"/>
        <v>0.75</v>
      </c>
      <c r="BX516" s="239">
        <f t="shared" si="53"/>
        <v>0.75</v>
      </c>
      <c r="CN516" s="238">
        <f t="shared" si="48"/>
        <v>3</v>
      </c>
      <c r="CO516" s="238">
        <f t="shared" si="49"/>
        <v>3</v>
      </c>
    </row>
    <row r="517" spans="1:93" ht="13.95" customHeight="1" x14ac:dyDescent="0.2">
      <c r="A517" s="231">
        <v>378</v>
      </c>
      <c r="B517" s="232" t="s">
        <v>822</v>
      </c>
      <c r="C517" s="232" t="s">
        <v>1589</v>
      </c>
      <c r="D517" s="232" t="s">
        <v>1590</v>
      </c>
      <c r="E517" s="232" t="s">
        <v>317</v>
      </c>
      <c r="F517" s="231">
        <v>527913</v>
      </c>
      <c r="G517" s="231">
        <v>170958</v>
      </c>
      <c r="H517" s="232" t="s">
        <v>177</v>
      </c>
      <c r="I517" s="233"/>
      <c r="J517" s="231"/>
      <c r="K517" s="231">
        <v>0</v>
      </c>
      <c r="L517" s="231">
        <v>21</v>
      </c>
      <c r="M517" s="231">
        <v>21</v>
      </c>
      <c r="N517" s="231">
        <v>21</v>
      </c>
      <c r="O517" s="231">
        <v>21</v>
      </c>
      <c r="P517" s="234" t="s">
        <v>318</v>
      </c>
      <c r="Q517" s="232" t="s">
        <v>1591</v>
      </c>
      <c r="R517" s="234" t="s">
        <v>320</v>
      </c>
      <c r="S517" s="235">
        <v>44820</v>
      </c>
      <c r="T517" s="235">
        <v>45016</v>
      </c>
      <c r="U517" s="234" t="s">
        <v>318</v>
      </c>
      <c r="V517" s="232" t="s">
        <v>321</v>
      </c>
      <c r="W517" s="231"/>
      <c r="X517" s="232" t="s">
        <v>322</v>
      </c>
      <c r="Y517" s="232" t="s">
        <v>323</v>
      </c>
      <c r="Z517" s="232" t="s">
        <v>323</v>
      </c>
      <c r="AA517" s="232" t="s">
        <v>324</v>
      </c>
      <c r="AB517" s="236">
        <v>4.5874999999999999E-2</v>
      </c>
      <c r="AC517" s="235"/>
      <c r="AD517" s="234"/>
      <c r="AE517" s="234"/>
      <c r="AF517" s="232" t="s">
        <v>77</v>
      </c>
      <c r="AG517" s="232" t="s">
        <v>350</v>
      </c>
      <c r="AH517" s="234" t="s">
        <v>317</v>
      </c>
      <c r="AJ517" s="234">
        <v>0</v>
      </c>
      <c r="AK517" s="234">
        <v>19</v>
      </c>
      <c r="AL517" s="234">
        <v>0</v>
      </c>
      <c r="AM517" s="234">
        <v>2</v>
      </c>
      <c r="AN517" s="234">
        <v>1</v>
      </c>
      <c r="AO517" s="234">
        <v>4</v>
      </c>
      <c r="AP517" s="234">
        <v>14</v>
      </c>
      <c r="AQ517" s="234">
        <v>2</v>
      </c>
      <c r="AR517" s="234">
        <v>0</v>
      </c>
      <c r="AS517" s="234">
        <v>0</v>
      </c>
      <c r="AT517" s="234">
        <v>0</v>
      </c>
      <c r="AU517" s="234">
        <v>1</v>
      </c>
      <c r="AV517" s="234">
        <v>4</v>
      </c>
      <c r="AW517" s="234">
        <v>14</v>
      </c>
      <c r="AX517" s="234">
        <v>2</v>
      </c>
      <c r="AY517" s="234">
        <v>0</v>
      </c>
      <c r="AZ517" s="234">
        <v>0</v>
      </c>
      <c r="BA517" s="234">
        <v>0</v>
      </c>
      <c r="BB517" s="234">
        <v>0</v>
      </c>
      <c r="BC517" s="234">
        <v>0</v>
      </c>
      <c r="BD517" s="234">
        <v>0</v>
      </c>
      <c r="BE517" s="234">
        <v>0</v>
      </c>
      <c r="BF517" s="234">
        <v>0</v>
      </c>
      <c r="BG517" s="234">
        <v>0</v>
      </c>
      <c r="BH517" s="234">
        <v>0</v>
      </c>
      <c r="BI517" s="234">
        <v>0</v>
      </c>
      <c r="BJ517" s="234">
        <v>0</v>
      </c>
      <c r="BK517" s="234">
        <v>0</v>
      </c>
      <c r="BL517" s="234">
        <v>0</v>
      </c>
      <c r="BM517" s="234">
        <v>0</v>
      </c>
      <c r="BN517" s="234">
        <v>0</v>
      </c>
      <c r="BO517" s="234">
        <v>0</v>
      </c>
      <c r="BP517" s="234"/>
      <c r="BQ517" s="234"/>
      <c r="BR517" s="237" t="s">
        <v>334</v>
      </c>
      <c r="BS517" s="238">
        <v>8</v>
      </c>
      <c r="BW517" s="239">
        <f>M517</f>
        <v>21</v>
      </c>
      <c r="CN517" s="238">
        <f t="shared" si="48"/>
        <v>21</v>
      </c>
      <c r="CO517" s="238">
        <f t="shared" si="49"/>
        <v>21</v>
      </c>
    </row>
    <row r="518" spans="1:93" ht="13.95" customHeight="1" x14ac:dyDescent="0.2">
      <c r="A518" s="231">
        <v>5122</v>
      </c>
      <c r="B518" s="232" t="s">
        <v>822</v>
      </c>
      <c r="C518" s="232" t="s">
        <v>1592</v>
      </c>
      <c r="D518" s="232" t="s">
        <v>1593</v>
      </c>
      <c r="E518" s="232" t="s">
        <v>317</v>
      </c>
      <c r="F518" s="231">
        <v>527968</v>
      </c>
      <c r="G518" s="231">
        <v>170921</v>
      </c>
      <c r="H518" s="232" t="s">
        <v>177</v>
      </c>
      <c r="I518" s="233"/>
      <c r="J518" s="231"/>
      <c r="K518" s="231">
        <v>4</v>
      </c>
      <c r="L518" s="231">
        <v>14</v>
      </c>
      <c r="M518" s="231">
        <v>10</v>
      </c>
      <c r="N518" s="231">
        <v>14</v>
      </c>
      <c r="O518" s="231">
        <v>10</v>
      </c>
      <c r="P518" s="234" t="s">
        <v>318</v>
      </c>
      <c r="Q518" s="232" t="s">
        <v>1594</v>
      </c>
      <c r="R518" s="234" t="s">
        <v>320</v>
      </c>
      <c r="S518" s="235">
        <v>44144</v>
      </c>
      <c r="T518" s="235">
        <v>44491</v>
      </c>
      <c r="U518" s="234"/>
      <c r="V518" s="232" t="s">
        <v>321</v>
      </c>
      <c r="W518" s="231"/>
      <c r="X518" s="232" t="s">
        <v>322</v>
      </c>
      <c r="Y518" s="232" t="s">
        <v>338</v>
      </c>
      <c r="Z518" s="232" t="s">
        <v>323</v>
      </c>
      <c r="AA518" s="232" t="s">
        <v>324</v>
      </c>
      <c r="AB518" s="236">
        <v>9.9000000000000005E-2</v>
      </c>
      <c r="AC518" s="235"/>
      <c r="AD518" s="234"/>
      <c r="AE518" s="234"/>
      <c r="AF518" s="232" t="s">
        <v>77</v>
      </c>
      <c r="AG518" s="232" t="s">
        <v>350</v>
      </c>
      <c r="AH518" s="234" t="s">
        <v>317</v>
      </c>
      <c r="AJ518" s="234">
        <v>0</v>
      </c>
      <c r="AK518" s="224"/>
      <c r="AL518" s="234">
        <v>0</v>
      </c>
      <c r="AM518" s="224"/>
      <c r="AN518" s="234">
        <v>0</v>
      </c>
      <c r="AO518" s="234">
        <v>4</v>
      </c>
      <c r="AP518" s="234">
        <v>5</v>
      </c>
      <c r="AQ518" s="234">
        <v>1</v>
      </c>
      <c r="AR518" s="234">
        <v>0</v>
      </c>
      <c r="AS518" s="234">
        <v>0</v>
      </c>
      <c r="AT518" s="234">
        <v>0</v>
      </c>
      <c r="AU518" s="234">
        <v>0</v>
      </c>
      <c r="AV518" s="234">
        <v>4</v>
      </c>
      <c r="AW518" s="234">
        <v>5</v>
      </c>
      <c r="AX518" s="234">
        <v>1</v>
      </c>
      <c r="AY518" s="234">
        <v>0</v>
      </c>
      <c r="AZ518" s="234">
        <v>0</v>
      </c>
      <c r="BA518" s="234">
        <v>0</v>
      </c>
      <c r="BB518" s="234">
        <v>0</v>
      </c>
      <c r="BC518" s="234">
        <v>0</v>
      </c>
      <c r="BD518" s="234">
        <v>0</v>
      </c>
      <c r="BE518" s="234">
        <v>0</v>
      </c>
      <c r="BF518" s="234">
        <v>0</v>
      </c>
      <c r="BG518" s="234">
        <v>0</v>
      </c>
      <c r="BH518" s="234">
        <v>0</v>
      </c>
      <c r="BI518" s="234">
        <v>0</v>
      </c>
      <c r="BJ518" s="234">
        <v>0</v>
      </c>
      <c r="BK518" s="234">
        <v>0</v>
      </c>
      <c r="BL518" s="234">
        <v>0</v>
      </c>
      <c r="BM518" s="234">
        <v>0</v>
      </c>
      <c r="BN518" s="234">
        <v>0</v>
      </c>
      <c r="BO518" s="234">
        <v>0</v>
      </c>
      <c r="BP518" s="234"/>
      <c r="BQ518" s="234"/>
      <c r="BR518" s="237" t="s">
        <v>334</v>
      </c>
      <c r="BS518" s="238">
        <v>17</v>
      </c>
      <c r="BZ518" s="239">
        <f>M518/4</f>
        <v>2.5</v>
      </c>
      <c r="CA518" s="239">
        <f>M518/4</f>
        <v>2.5</v>
      </c>
      <c r="CB518" s="239">
        <f>M518/4</f>
        <v>2.5</v>
      </c>
      <c r="CC518" s="239">
        <f>M518/4</f>
        <v>2.5</v>
      </c>
      <c r="CN518" s="238">
        <f t="shared" si="48"/>
        <v>0</v>
      </c>
      <c r="CO518" s="238">
        <f t="shared" si="49"/>
        <v>10</v>
      </c>
    </row>
    <row r="519" spans="1:93" ht="13.95" customHeight="1" x14ac:dyDescent="0.2">
      <c r="A519" s="231">
        <v>4419</v>
      </c>
      <c r="B519" s="232" t="s">
        <v>822</v>
      </c>
      <c r="C519" s="232" t="s">
        <v>1595</v>
      </c>
      <c r="D519" s="232" t="s">
        <v>1596</v>
      </c>
      <c r="E519" s="232" t="s">
        <v>317</v>
      </c>
      <c r="F519" s="231">
        <v>523893</v>
      </c>
      <c r="G519" s="231">
        <v>175089</v>
      </c>
      <c r="H519" s="232" t="s">
        <v>183</v>
      </c>
      <c r="I519" s="233"/>
      <c r="J519" s="231"/>
      <c r="K519" s="231">
        <v>0</v>
      </c>
      <c r="L519" s="231">
        <v>15</v>
      </c>
      <c r="M519" s="231">
        <v>15</v>
      </c>
      <c r="N519" s="231">
        <v>15</v>
      </c>
      <c r="O519" s="231">
        <v>15</v>
      </c>
      <c r="P519" s="234" t="s">
        <v>318</v>
      </c>
      <c r="Q519" s="232" t="s">
        <v>1597</v>
      </c>
      <c r="R519" s="234" t="s">
        <v>320</v>
      </c>
      <c r="S519" s="235">
        <v>44621</v>
      </c>
      <c r="T519" s="235">
        <v>44944</v>
      </c>
      <c r="U519" s="234" t="s">
        <v>318</v>
      </c>
      <c r="V519" s="232" t="s">
        <v>321</v>
      </c>
      <c r="W519" s="231"/>
      <c r="X519" s="232" t="s">
        <v>322</v>
      </c>
      <c r="Y519" s="232" t="s">
        <v>365</v>
      </c>
      <c r="Z519" s="232" t="s">
        <v>843</v>
      </c>
      <c r="AA519" s="232" t="s">
        <v>324</v>
      </c>
      <c r="AB519" s="236">
        <v>1.8259999999999998E-2</v>
      </c>
      <c r="AC519" s="235"/>
      <c r="AD519" s="234"/>
      <c r="AE519" s="234"/>
      <c r="AF519" s="232" t="s">
        <v>77</v>
      </c>
      <c r="AG519" s="232" t="s">
        <v>350</v>
      </c>
      <c r="AH519" s="234" t="s">
        <v>317</v>
      </c>
      <c r="AJ519" s="234">
        <v>0</v>
      </c>
      <c r="AK519" s="224"/>
      <c r="AL519" s="234">
        <v>0</v>
      </c>
      <c r="AM519" s="224"/>
      <c r="AN519" s="234">
        <v>0</v>
      </c>
      <c r="AO519" s="234">
        <v>9</v>
      </c>
      <c r="AP519" s="234">
        <v>6</v>
      </c>
      <c r="AQ519" s="234">
        <v>0</v>
      </c>
      <c r="AR519" s="234">
        <v>0</v>
      </c>
      <c r="AS519" s="234">
        <v>0</v>
      </c>
      <c r="AT519" s="234">
        <v>0</v>
      </c>
      <c r="AU519" s="234">
        <v>0</v>
      </c>
      <c r="AV519" s="234">
        <v>9</v>
      </c>
      <c r="AW519" s="234">
        <v>6</v>
      </c>
      <c r="AX519" s="234">
        <v>0</v>
      </c>
      <c r="AY519" s="234">
        <v>0</v>
      </c>
      <c r="AZ519" s="234">
        <v>0</v>
      </c>
      <c r="BA519" s="234">
        <v>0</v>
      </c>
      <c r="BB519" s="234">
        <v>0</v>
      </c>
      <c r="BC519" s="234">
        <v>0</v>
      </c>
      <c r="BD519" s="234">
        <v>0</v>
      </c>
      <c r="BE519" s="234">
        <v>0</v>
      </c>
      <c r="BF519" s="234">
        <v>0</v>
      </c>
      <c r="BG519" s="234">
        <v>0</v>
      </c>
      <c r="BH519" s="234">
        <v>0</v>
      </c>
      <c r="BI519" s="234">
        <v>0</v>
      </c>
      <c r="BJ519" s="234">
        <v>0</v>
      </c>
      <c r="BK519" s="234">
        <v>0</v>
      </c>
      <c r="BL519" s="234">
        <v>0</v>
      </c>
      <c r="BM519" s="234">
        <v>0</v>
      </c>
      <c r="BN519" s="234">
        <v>0</v>
      </c>
      <c r="BO519" s="234">
        <v>0</v>
      </c>
      <c r="BP519" s="234" t="s">
        <v>143</v>
      </c>
      <c r="BQ519" s="234"/>
      <c r="BR519" s="237" t="s">
        <v>152</v>
      </c>
      <c r="BS519" s="238">
        <v>16</v>
      </c>
      <c r="BW519" s="239">
        <f>M519</f>
        <v>15</v>
      </c>
      <c r="CN519" s="238">
        <f t="shared" si="48"/>
        <v>15</v>
      </c>
      <c r="CO519" s="238">
        <f t="shared" si="49"/>
        <v>15</v>
      </c>
    </row>
    <row r="520" spans="1:93" ht="13.95" customHeight="1" x14ac:dyDescent="0.2">
      <c r="A520" s="231">
        <v>4258</v>
      </c>
      <c r="B520" s="232" t="s">
        <v>822</v>
      </c>
      <c r="C520" s="232" t="s">
        <v>1598</v>
      </c>
      <c r="D520" s="232" t="s">
        <v>1599</v>
      </c>
      <c r="E520" s="232" t="s">
        <v>317</v>
      </c>
      <c r="F520" s="231">
        <v>526831</v>
      </c>
      <c r="G520" s="231">
        <v>176179</v>
      </c>
      <c r="H520" s="232" t="s">
        <v>174</v>
      </c>
      <c r="I520" s="233"/>
      <c r="J520" s="231"/>
      <c r="K520" s="231">
        <v>0</v>
      </c>
      <c r="L520" s="231">
        <v>6</v>
      </c>
      <c r="M520" s="231">
        <v>6</v>
      </c>
      <c r="N520" s="231">
        <v>6</v>
      </c>
      <c r="O520" s="231">
        <v>6</v>
      </c>
      <c r="P520" s="234"/>
      <c r="Q520" s="232" t="s">
        <v>1600</v>
      </c>
      <c r="R520" s="234" t="s">
        <v>332</v>
      </c>
      <c r="S520" s="235">
        <v>43922</v>
      </c>
      <c r="T520" s="235">
        <v>44488</v>
      </c>
      <c r="U520" s="234"/>
      <c r="V520" s="232" t="s">
        <v>321</v>
      </c>
      <c r="W520" s="231"/>
      <c r="X520" s="232" t="s">
        <v>322</v>
      </c>
      <c r="Y520" s="232" t="s">
        <v>323</v>
      </c>
      <c r="Z520" s="232" t="s">
        <v>324</v>
      </c>
      <c r="AA520" s="232" t="s">
        <v>349</v>
      </c>
      <c r="AB520" s="236">
        <v>5.8999999999999997E-2</v>
      </c>
      <c r="AC520" s="235"/>
      <c r="AD520" s="234"/>
      <c r="AE520" s="234"/>
      <c r="AF520" s="232" t="s">
        <v>57</v>
      </c>
      <c r="AG520" s="232" t="s">
        <v>333</v>
      </c>
      <c r="AH520" s="234" t="s">
        <v>317</v>
      </c>
      <c r="AI520" s="234">
        <v>17320336</v>
      </c>
      <c r="AJ520" s="234">
        <v>0</v>
      </c>
      <c r="AK520" s="224"/>
      <c r="AL520" s="234">
        <v>0</v>
      </c>
      <c r="AM520" s="224"/>
      <c r="AN520" s="234">
        <v>0</v>
      </c>
      <c r="AO520" s="234">
        <v>0</v>
      </c>
      <c r="AP520" s="234">
        <v>4</v>
      </c>
      <c r="AQ520" s="234">
        <v>0</v>
      </c>
      <c r="AR520" s="234">
        <v>2</v>
      </c>
      <c r="AS520" s="234">
        <v>0</v>
      </c>
      <c r="AT520" s="234">
        <v>0</v>
      </c>
      <c r="AU520" s="234">
        <v>0</v>
      </c>
      <c r="AV520" s="234">
        <v>0</v>
      </c>
      <c r="AW520" s="234">
        <v>4</v>
      </c>
      <c r="AX520" s="234">
        <v>0</v>
      </c>
      <c r="AY520" s="234">
        <v>2</v>
      </c>
      <c r="AZ520" s="234">
        <v>0</v>
      </c>
      <c r="BA520" s="234">
        <v>0</v>
      </c>
      <c r="BB520" s="234">
        <v>0</v>
      </c>
      <c r="BC520" s="234">
        <v>0</v>
      </c>
      <c r="BD520" s="234">
        <v>0</v>
      </c>
      <c r="BE520" s="234">
        <v>0</v>
      </c>
      <c r="BF520" s="234">
        <v>0</v>
      </c>
      <c r="BG520" s="234">
        <v>0</v>
      </c>
      <c r="BH520" s="234">
        <v>0</v>
      </c>
      <c r="BI520" s="234">
        <v>0</v>
      </c>
      <c r="BJ520" s="234">
        <v>0</v>
      </c>
      <c r="BK520" s="234">
        <v>0</v>
      </c>
      <c r="BL520" s="234">
        <v>0</v>
      </c>
      <c r="BM520" s="234">
        <v>0</v>
      </c>
      <c r="BN520" s="234">
        <v>0</v>
      </c>
      <c r="BO520" s="234">
        <v>0</v>
      </c>
      <c r="BP520" s="234"/>
      <c r="BQ520" s="234"/>
      <c r="BR520" s="237" t="s">
        <v>481</v>
      </c>
      <c r="BS520" s="238">
        <v>8</v>
      </c>
      <c r="BV520" s="239">
        <f>M520</f>
        <v>6</v>
      </c>
      <c r="CN520" s="238">
        <f t="shared" si="48"/>
        <v>6</v>
      </c>
      <c r="CO520" s="238">
        <f t="shared" si="49"/>
        <v>6</v>
      </c>
    </row>
    <row r="521" spans="1:93" ht="13.95" customHeight="1" x14ac:dyDescent="0.2">
      <c r="A521" s="231">
        <v>7711</v>
      </c>
      <c r="B521" s="232" t="s">
        <v>822</v>
      </c>
      <c r="C521" s="232" t="s">
        <v>1601</v>
      </c>
      <c r="D521" s="232" t="s">
        <v>1602</v>
      </c>
      <c r="E521" s="232" t="s">
        <v>317</v>
      </c>
      <c r="F521" s="231">
        <v>523281</v>
      </c>
      <c r="G521" s="231">
        <v>175733</v>
      </c>
      <c r="H521" s="232" t="s">
        <v>175</v>
      </c>
      <c r="I521" s="233"/>
      <c r="J521" s="231"/>
      <c r="K521" s="231">
        <v>0</v>
      </c>
      <c r="L521" s="231">
        <v>8</v>
      </c>
      <c r="M521" s="231">
        <v>8</v>
      </c>
      <c r="N521" s="231">
        <v>8</v>
      </c>
      <c r="O521" s="231">
        <v>8</v>
      </c>
      <c r="P521" s="234"/>
      <c r="Q521" s="232" t="s">
        <v>1603</v>
      </c>
      <c r="R521" s="234" t="s">
        <v>344</v>
      </c>
      <c r="S521" s="235">
        <v>44901</v>
      </c>
      <c r="T521" s="235">
        <v>44992</v>
      </c>
      <c r="U521" s="234" t="s">
        <v>318</v>
      </c>
      <c r="V521" s="232" t="s">
        <v>321</v>
      </c>
      <c r="W521" s="231"/>
      <c r="X521" s="232" t="s">
        <v>322</v>
      </c>
      <c r="Y521" s="232" t="s">
        <v>323</v>
      </c>
      <c r="Z521" s="232" t="s">
        <v>324</v>
      </c>
      <c r="AA521" s="232" t="s">
        <v>349</v>
      </c>
      <c r="AB521" s="236">
        <v>1.4375000000000001E-2</v>
      </c>
      <c r="AC521" s="235"/>
      <c r="AD521" s="234"/>
      <c r="AE521" s="234"/>
      <c r="AF521" s="232" t="s">
        <v>57</v>
      </c>
      <c r="AG521" s="232" t="s">
        <v>328</v>
      </c>
      <c r="AH521" s="234" t="s">
        <v>317</v>
      </c>
      <c r="AJ521" s="234">
        <v>0</v>
      </c>
      <c r="AK521" s="234">
        <v>6</v>
      </c>
      <c r="AL521" s="234">
        <v>0</v>
      </c>
      <c r="AM521" s="234">
        <v>2</v>
      </c>
      <c r="AN521" s="234">
        <v>0</v>
      </c>
      <c r="AO521" s="234">
        <v>3</v>
      </c>
      <c r="AP521" s="234">
        <v>2</v>
      </c>
      <c r="AQ521" s="234">
        <v>3</v>
      </c>
      <c r="AR521" s="234">
        <v>0</v>
      </c>
      <c r="AS521" s="234">
        <v>0</v>
      </c>
      <c r="AT521" s="234">
        <v>0</v>
      </c>
      <c r="AU521" s="234">
        <v>0</v>
      </c>
      <c r="AV521" s="234">
        <v>3</v>
      </c>
      <c r="AW521" s="234">
        <v>2</v>
      </c>
      <c r="AX521" s="234">
        <v>3</v>
      </c>
      <c r="AY521" s="234">
        <v>0</v>
      </c>
      <c r="AZ521" s="234">
        <v>0</v>
      </c>
      <c r="BA521" s="234">
        <v>0</v>
      </c>
      <c r="BB521" s="234">
        <v>0</v>
      </c>
      <c r="BC521" s="234">
        <v>0</v>
      </c>
      <c r="BD521" s="234">
        <v>0</v>
      </c>
      <c r="BE521" s="234">
        <v>0</v>
      </c>
      <c r="BF521" s="234">
        <v>0</v>
      </c>
      <c r="BG521" s="234">
        <v>0</v>
      </c>
      <c r="BH521" s="234">
        <v>0</v>
      </c>
      <c r="BI521" s="234">
        <v>0</v>
      </c>
      <c r="BJ521" s="234">
        <v>0</v>
      </c>
      <c r="BK521" s="234">
        <v>0</v>
      </c>
      <c r="BL521" s="234">
        <v>0</v>
      </c>
      <c r="BM521" s="234">
        <v>0</v>
      </c>
      <c r="BN521" s="234">
        <v>0</v>
      </c>
      <c r="BO521" s="234">
        <v>0</v>
      </c>
      <c r="BP521" s="234"/>
      <c r="BQ521" s="234"/>
      <c r="BR521" s="237" t="s">
        <v>334</v>
      </c>
      <c r="BS521" s="238">
        <v>8</v>
      </c>
      <c r="BW521" s="239">
        <f>M521</f>
        <v>8</v>
      </c>
      <c r="CN521" s="238">
        <f t="shared" si="48"/>
        <v>8</v>
      </c>
      <c r="CO521" s="238">
        <f t="shared" si="49"/>
        <v>8</v>
      </c>
    </row>
    <row r="522" spans="1:93" ht="13.95" customHeight="1" x14ac:dyDescent="0.2">
      <c r="A522" s="231">
        <v>7377</v>
      </c>
      <c r="B522" s="232" t="s">
        <v>822</v>
      </c>
      <c r="C522" s="232" t="s">
        <v>1604</v>
      </c>
      <c r="D522" s="232" t="s">
        <v>1605</v>
      </c>
      <c r="E522" s="232" t="s">
        <v>317</v>
      </c>
      <c r="F522" s="231">
        <v>527306</v>
      </c>
      <c r="G522" s="231">
        <v>171495</v>
      </c>
      <c r="H522" s="232" t="s">
        <v>177</v>
      </c>
      <c r="I522" s="233"/>
      <c r="J522" s="231"/>
      <c r="K522" s="231">
        <v>1</v>
      </c>
      <c r="L522" s="231">
        <v>4</v>
      </c>
      <c r="M522" s="231">
        <v>3</v>
      </c>
      <c r="N522" s="231">
        <v>4</v>
      </c>
      <c r="O522" s="231">
        <v>3</v>
      </c>
      <c r="P522" s="234"/>
      <c r="Q522" s="232" t="s">
        <v>1606</v>
      </c>
      <c r="R522" s="234" t="s">
        <v>332</v>
      </c>
      <c r="S522" s="235">
        <v>44274</v>
      </c>
      <c r="T522" s="235">
        <v>44328</v>
      </c>
      <c r="U522" s="234"/>
      <c r="V522" s="232" t="s">
        <v>321</v>
      </c>
      <c r="W522" s="231"/>
      <c r="X522" s="232" t="s">
        <v>322</v>
      </c>
      <c r="Y522" s="232" t="s">
        <v>338</v>
      </c>
      <c r="Z522" s="232" t="s">
        <v>324</v>
      </c>
      <c r="AA522" s="232" t="s">
        <v>15</v>
      </c>
      <c r="AB522" s="236">
        <v>6.1749999999999999E-3</v>
      </c>
      <c r="AC522" s="235"/>
      <c r="AD522" s="234"/>
      <c r="AE522" s="234"/>
      <c r="AF522" s="232" t="s">
        <v>77</v>
      </c>
      <c r="AG522" s="232" t="s">
        <v>350</v>
      </c>
      <c r="AH522" s="234" t="s">
        <v>317</v>
      </c>
      <c r="AJ522" s="234">
        <v>0</v>
      </c>
      <c r="AK522" s="224"/>
      <c r="AL522" s="234">
        <v>0</v>
      </c>
      <c r="AM522" s="224"/>
      <c r="AN522" s="234">
        <v>0</v>
      </c>
      <c r="AO522" s="234">
        <v>2</v>
      </c>
      <c r="AP522" s="234">
        <v>1</v>
      </c>
      <c r="AQ522" s="234">
        <v>1</v>
      </c>
      <c r="AR522" s="234">
        <v>0</v>
      </c>
      <c r="AS522" s="234">
        <v>-1</v>
      </c>
      <c r="AT522" s="234">
        <v>0</v>
      </c>
      <c r="AU522" s="234">
        <v>0</v>
      </c>
      <c r="AV522" s="234">
        <v>2</v>
      </c>
      <c r="AW522" s="234">
        <v>1</v>
      </c>
      <c r="AX522" s="234">
        <v>1</v>
      </c>
      <c r="AY522" s="234">
        <v>0</v>
      </c>
      <c r="AZ522" s="234">
        <v>0</v>
      </c>
      <c r="BA522" s="234">
        <v>0</v>
      </c>
      <c r="BB522" s="234">
        <v>0</v>
      </c>
      <c r="BC522" s="234">
        <v>0</v>
      </c>
      <c r="BD522" s="234">
        <v>0</v>
      </c>
      <c r="BE522" s="234">
        <v>0</v>
      </c>
      <c r="BF522" s="234">
        <v>0</v>
      </c>
      <c r="BG522" s="234">
        <v>-1</v>
      </c>
      <c r="BH522" s="234">
        <v>0</v>
      </c>
      <c r="BI522" s="234">
        <v>0</v>
      </c>
      <c r="BJ522" s="234">
        <v>0</v>
      </c>
      <c r="BK522" s="234">
        <v>0</v>
      </c>
      <c r="BL522" s="234">
        <v>0</v>
      </c>
      <c r="BM522" s="234">
        <v>0</v>
      </c>
      <c r="BN522" s="234">
        <v>0</v>
      </c>
      <c r="BO522" s="234">
        <v>0</v>
      </c>
      <c r="BP522" s="234"/>
      <c r="BQ522" s="234"/>
      <c r="BR522" s="237" t="s">
        <v>144</v>
      </c>
      <c r="BS522" s="238">
        <v>15</v>
      </c>
      <c r="BU522" s="239">
        <f>M522/4</f>
        <v>0.75</v>
      </c>
      <c r="BV522" s="239">
        <f>M522/4</f>
        <v>0.75</v>
      </c>
      <c r="BW522" s="239">
        <f>M522/4</f>
        <v>0.75</v>
      </c>
      <c r="BX522" s="239">
        <f>M522/4</f>
        <v>0.75</v>
      </c>
      <c r="CN522" s="238">
        <f t="shared" si="48"/>
        <v>3</v>
      </c>
      <c r="CO522" s="238">
        <f t="shared" si="49"/>
        <v>3</v>
      </c>
    </row>
    <row r="523" spans="1:93" ht="13.95" customHeight="1" x14ac:dyDescent="0.2">
      <c r="A523" s="231">
        <v>4316</v>
      </c>
      <c r="B523" s="232" t="s">
        <v>822</v>
      </c>
      <c r="C523" s="232" t="s">
        <v>1607</v>
      </c>
      <c r="D523" s="232" t="s">
        <v>1608</v>
      </c>
      <c r="E523" s="232" t="s">
        <v>317</v>
      </c>
      <c r="F523" s="231">
        <v>527567</v>
      </c>
      <c r="G523" s="231">
        <v>171576</v>
      </c>
      <c r="H523" s="232" t="s">
        <v>177</v>
      </c>
      <c r="I523" s="233"/>
      <c r="J523" s="231"/>
      <c r="K523" s="231">
        <v>0</v>
      </c>
      <c r="L523" s="231">
        <v>23</v>
      </c>
      <c r="M523" s="231">
        <v>23</v>
      </c>
      <c r="N523" s="231">
        <v>29</v>
      </c>
      <c r="O523" s="231">
        <v>29</v>
      </c>
      <c r="P523" s="234" t="s">
        <v>318</v>
      </c>
      <c r="Q523" s="232" t="s">
        <v>1609</v>
      </c>
      <c r="R523" s="234" t="s">
        <v>320</v>
      </c>
      <c r="S523" s="235">
        <v>43923</v>
      </c>
      <c r="T523" s="235">
        <v>44566</v>
      </c>
      <c r="U523" s="234"/>
      <c r="V523" s="232" t="s">
        <v>321</v>
      </c>
      <c r="W523" s="231"/>
      <c r="X523" s="232" t="s">
        <v>322</v>
      </c>
      <c r="Y523" s="232" t="s">
        <v>338</v>
      </c>
      <c r="Z523" s="232" t="s">
        <v>323</v>
      </c>
      <c r="AA523" s="232" t="s">
        <v>324</v>
      </c>
      <c r="AB523" s="236">
        <v>0.08</v>
      </c>
      <c r="AC523" s="235"/>
      <c r="AD523" s="234"/>
      <c r="AE523" s="234"/>
      <c r="AF523" s="232" t="s">
        <v>77</v>
      </c>
      <c r="AG523" s="232" t="s">
        <v>350</v>
      </c>
      <c r="AH523" s="234" t="s">
        <v>883</v>
      </c>
      <c r="AJ523" s="234">
        <v>0</v>
      </c>
      <c r="AK523" s="234">
        <v>2</v>
      </c>
      <c r="AL523" s="234">
        <v>0</v>
      </c>
      <c r="AM523" s="224"/>
      <c r="AN523" s="234">
        <v>0</v>
      </c>
      <c r="AO523" s="234">
        <v>10</v>
      </c>
      <c r="AP523" s="234">
        <v>8</v>
      </c>
      <c r="AQ523" s="234">
        <v>5</v>
      </c>
      <c r="AR523" s="234">
        <v>0</v>
      </c>
      <c r="AS523" s="234">
        <v>0</v>
      </c>
      <c r="AT523" s="234">
        <v>0</v>
      </c>
      <c r="AU523" s="234">
        <v>0</v>
      </c>
      <c r="AV523" s="234">
        <v>10</v>
      </c>
      <c r="AW523" s="234">
        <v>8</v>
      </c>
      <c r="AX523" s="234">
        <v>5</v>
      </c>
      <c r="AY523" s="234">
        <v>0</v>
      </c>
      <c r="AZ523" s="234">
        <v>0</v>
      </c>
      <c r="BA523" s="234">
        <v>0</v>
      </c>
      <c r="BB523" s="234">
        <v>0</v>
      </c>
      <c r="BC523" s="234">
        <v>0</v>
      </c>
      <c r="BD523" s="234">
        <v>0</v>
      </c>
      <c r="BE523" s="234">
        <v>0</v>
      </c>
      <c r="BF523" s="234">
        <v>0</v>
      </c>
      <c r="BG523" s="234">
        <v>0</v>
      </c>
      <c r="BH523" s="234">
        <v>0</v>
      </c>
      <c r="BI523" s="234">
        <v>0</v>
      </c>
      <c r="BJ523" s="234">
        <v>0</v>
      </c>
      <c r="BK523" s="234">
        <v>0</v>
      </c>
      <c r="BL523" s="234">
        <v>0</v>
      </c>
      <c r="BM523" s="234">
        <v>0</v>
      </c>
      <c r="BN523" s="234">
        <v>0</v>
      </c>
      <c r="BO523" s="234">
        <v>0</v>
      </c>
      <c r="BP523" s="234" t="s">
        <v>144</v>
      </c>
      <c r="BQ523" s="234"/>
      <c r="BR523" s="237" t="s">
        <v>144</v>
      </c>
      <c r="BS523" s="238">
        <v>16</v>
      </c>
      <c r="BX523" s="239">
        <f>M523</f>
        <v>23</v>
      </c>
      <c r="CN523" s="238">
        <f t="shared" si="48"/>
        <v>23</v>
      </c>
      <c r="CO523" s="238">
        <f t="shared" si="49"/>
        <v>23</v>
      </c>
    </row>
    <row r="524" spans="1:93" ht="13.95" customHeight="1" x14ac:dyDescent="0.2">
      <c r="A524" s="231">
        <v>4316</v>
      </c>
      <c r="B524" s="232" t="s">
        <v>822</v>
      </c>
      <c r="C524" s="232" t="s">
        <v>1607</v>
      </c>
      <c r="D524" s="232" t="s">
        <v>1608</v>
      </c>
      <c r="E524" s="232" t="s">
        <v>317</v>
      </c>
      <c r="F524" s="231">
        <v>527567</v>
      </c>
      <c r="G524" s="231">
        <v>171576</v>
      </c>
      <c r="H524" s="232" t="s">
        <v>177</v>
      </c>
      <c r="I524" s="233"/>
      <c r="J524" s="231"/>
      <c r="K524" s="231">
        <v>0</v>
      </c>
      <c r="L524" s="231">
        <v>6</v>
      </c>
      <c r="M524" s="231">
        <v>6</v>
      </c>
      <c r="N524" s="231">
        <v>29</v>
      </c>
      <c r="O524" s="231">
        <v>29</v>
      </c>
      <c r="P524" s="234" t="s">
        <v>318</v>
      </c>
      <c r="Q524" s="232" t="s">
        <v>1609</v>
      </c>
      <c r="R524" s="234" t="s">
        <v>320</v>
      </c>
      <c r="S524" s="235">
        <v>43923</v>
      </c>
      <c r="T524" s="235">
        <v>44566</v>
      </c>
      <c r="U524" s="234"/>
      <c r="V524" s="232" t="s">
        <v>321</v>
      </c>
      <c r="W524" s="231"/>
      <c r="X524" s="232" t="s">
        <v>322</v>
      </c>
      <c r="Y524" s="232" t="s">
        <v>338</v>
      </c>
      <c r="Z524" s="232" t="s">
        <v>323</v>
      </c>
      <c r="AA524" s="232" t="s">
        <v>324</v>
      </c>
      <c r="AB524" s="236">
        <v>0.01</v>
      </c>
      <c r="AC524" s="235"/>
      <c r="AD524" s="234"/>
      <c r="AE524" s="234"/>
      <c r="AF524" s="232" t="s">
        <v>56</v>
      </c>
      <c r="AG524" s="232" t="s">
        <v>325</v>
      </c>
      <c r="AH524" s="234" t="s">
        <v>883</v>
      </c>
      <c r="AJ524" s="234">
        <v>0</v>
      </c>
      <c r="AK524" s="234">
        <v>1</v>
      </c>
      <c r="AL524" s="234">
        <v>0</v>
      </c>
      <c r="AM524" s="224"/>
      <c r="AN524" s="234">
        <v>0</v>
      </c>
      <c r="AO524" s="234">
        <v>3</v>
      </c>
      <c r="AP524" s="234">
        <v>2</v>
      </c>
      <c r="AQ524" s="234">
        <v>1</v>
      </c>
      <c r="AR524" s="234">
        <v>0</v>
      </c>
      <c r="AS524" s="234">
        <v>0</v>
      </c>
      <c r="AT524" s="234">
        <v>0</v>
      </c>
      <c r="AU524" s="234">
        <v>0</v>
      </c>
      <c r="AV524" s="234">
        <v>3</v>
      </c>
      <c r="AW524" s="234">
        <v>2</v>
      </c>
      <c r="AX524" s="234">
        <v>1</v>
      </c>
      <c r="AY524" s="234">
        <v>0</v>
      </c>
      <c r="AZ524" s="234">
        <v>0</v>
      </c>
      <c r="BA524" s="234">
        <v>0</v>
      </c>
      <c r="BB524" s="234">
        <v>0</v>
      </c>
      <c r="BC524" s="234">
        <v>0</v>
      </c>
      <c r="BD524" s="234">
        <v>0</v>
      </c>
      <c r="BE524" s="234">
        <v>0</v>
      </c>
      <c r="BF524" s="234">
        <v>0</v>
      </c>
      <c r="BG524" s="234">
        <v>0</v>
      </c>
      <c r="BH524" s="234">
        <v>0</v>
      </c>
      <c r="BI524" s="234">
        <v>0</v>
      </c>
      <c r="BJ524" s="234">
        <v>0</v>
      </c>
      <c r="BK524" s="234">
        <v>0</v>
      </c>
      <c r="BL524" s="234">
        <v>0</v>
      </c>
      <c r="BM524" s="234">
        <v>0</v>
      </c>
      <c r="BN524" s="234">
        <v>0</v>
      </c>
      <c r="BO524" s="234">
        <v>0</v>
      </c>
      <c r="BP524" s="234" t="s">
        <v>144</v>
      </c>
      <c r="BQ524" s="234"/>
      <c r="BR524" s="237" t="s">
        <v>144</v>
      </c>
      <c r="BS524" s="238">
        <v>16</v>
      </c>
      <c r="BX524" s="239">
        <f>M524</f>
        <v>6</v>
      </c>
      <c r="CN524" s="238">
        <f t="shared" si="48"/>
        <v>6</v>
      </c>
      <c r="CO524" s="238">
        <f t="shared" si="49"/>
        <v>6</v>
      </c>
    </row>
    <row r="525" spans="1:93" ht="13.95" customHeight="1" x14ac:dyDescent="0.2">
      <c r="A525" s="231">
        <v>5245</v>
      </c>
      <c r="B525" s="232" t="s">
        <v>822</v>
      </c>
      <c r="C525" s="232" t="s">
        <v>1610</v>
      </c>
      <c r="D525" s="232" t="s">
        <v>1611</v>
      </c>
      <c r="E525" s="232" t="s">
        <v>317</v>
      </c>
      <c r="F525" s="231">
        <v>529554</v>
      </c>
      <c r="G525" s="231">
        <v>176699</v>
      </c>
      <c r="H525" s="232" t="s">
        <v>171</v>
      </c>
      <c r="I525" s="233"/>
      <c r="J525" s="231"/>
      <c r="K525" s="231">
        <v>0</v>
      </c>
      <c r="L525" s="231">
        <v>17</v>
      </c>
      <c r="M525" s="231">
        <v>17</v>
      </c>
      <c r="N525" s="231">
        <v>17</v>
      </c>
      <c r="O525" s="231">
        <v>17</v>
      </c>
      <c r="P525" s="234" t="s">
        <v>318</v>
      </c>
      <c r="Q525" s="232" t="s">
        <v>1612</v>
      </c>
      <c r="R525" s="234" t="s">
        <v>320</v>
      </c>
      <c r="S525" s="235">
        <v>44442</v>
      </c>
      <c r="T525" s="235">
        <v>44930</v>
      </c>
      <c r="U525" s="234" t="s">
        <v>318</v>
      </c>
      <c r="V525" s="232" t="s">
        <v>321</v>
      </c>
      <c r="W525" s="231"/>
      <c r="X525" s="232" t="s">
        <v>322</v>
      </c>
      <c r="Y525" s="232" t="s">
        <v>323</v>
      </c>
      <c r="Z525" s="232" t="s">
        <v>323</v>
      </c>
      <c r="AA525" s="232" t="s">
        <v>324</v>
      </c>
      <c r="AB525" s="236">
        <v>3.1E-2</v>
      </c>
      <c r="AC525" s="235"/>
      <c r="AD525" s="234"/>
      <c r="AE525" s="234"/>
      <c r="AF525" s="232" t="s">
        <v>77</v>
      </c>
      <c r="AG525" s="232" t="s">
        <v>350</v>
      </c>
      <c r="AH525" s="234" t="s">
        <v>317</v>
      </c>
      <c r="AJ525" s="234">
        <v>0</v>
      </c>
      <c r="AK525" s="234">
        <v>15</v>
      </c>
      <c r="AL525" s="234">
        <v>0</v>
      </c>
      <c r="AM525" s="234">
        <v>2</v>
      </c>
      <c r="AN525" s="234">
        <v>3</v>
      </c>
      <c r="AO525" s="234">
        <v>0</v>
      </c>
      <c r="AP525" s="234">
        <v>11</v>
      </c>
      <c r="AQ525" s="234">
        <v>3</v>
      </c>
      <c r="AR525" s="234">
        <v>0</v>
      </c>
      <c r="AS525" s="234">
        <v>0</v>
      </c>
      <c r="AT525" s="234">
        <v>0</v>
      </c>
      <c r="AU525" s="234">
        <v>3</v>
      </c>
      <c r="AV525" s="234">
        <v>0</v>
      </c>
      <c r="AW525" s="234">
        <v>11</v>
      </c>
      <c r="AX525" s="234">
        <v>3</v>
      </c>
      <c r="AY525" s="234">
        <v>0</v>
      </c>
      <c r="AZ525" s="234">
        <v>0</v>
      </c>
      <c r="BA525" s="234">
        <v>0</v>
      </c>
      <c r="BB525" s="234">
        <v>0</v>
      </c>
      <c r="BC525" s="234">
        <v>0</v>
      </c>
      <c r="BD525" s="234">
        <v>0</v>
      </c>
      <c r="BE525" s="234">
        <v>0</v>
      </c>
      <c r="BF525" s="234">
        <v>0</v>
      </c>
      <c r="BG525" s="234">
        <v>0</v>
      </c>
      <c r="BH525" s="234">
        <v>0</v>
      </c>
      <c r="BI525" s="234">
        <v>0</v>
      </c>
      <c r="BJ525" s="234">
        <v>0</v>
      </c>
      <c r="BK525" s="234">
        <v>0</v>
      </c>
      <c r="BL525" s="234">
        <v>0</v>
      </c>
      <c r="BM525" s="234">
        <v>0</v>
      </c>
      <c r="BN525" s="234">
        <v>0</v>
      </c>
      <c r="BO525" s="234">
        <v>0</v>
      </c>
      <c r="BP525" s="234"/>
      <c r="BQ525" s="234" t="s">
        <v>318</v>
      </c>
      <c r="BR525" s="237" t="s">
        <v>151</v>
      </c>
      <c r="BS525" s="238">
        <v>10</v>
      </c>
      <c r="BX525" s="239">
        <f>M525/3</f>
        <v>5.666666666666667</v>
      </c>
      <c r="BY525" s="239">
        <f>M525/3</f>
        <v>5.666666666666667</v>
      </c>
      <c r="BZ525" s="239">
        <f>M525/3</f>
        <v>5.666666666666667</v>
      </c>
      <c r="CN525" s="238">
        <f t="shared" si="48"/>
        <v>11.333333333333334</v>
      </c>
      <c r="CO525" s="238">
        <f t="shared" si="49"/>
        <v>17</v>
      </c>
    </row>
    <row r="526" spans="1:93" ht="13.95" customHeight="1" x14ac:dyDescent="0.2">
      <c r="A526" s="231">
        <v>7779</v>
      </c>
      <c r="B526" s="232" t="s">
        <v>822</v>
      </c>
      <c r="C526" s="232" t="s">
        <v>1613</v>
      </c>
      <c r="D526" s="232" t="s">
        <v>1614</v>
      </c>
      <c r="E526" s="232" t="s">
        <v>317</v>
      </c>
      <c r="F526" s="231">
        <v>529455</v>
      </c>
      <c r="G526" s="231">
        <v>171646</v>
      </c>
      <c r="H526" s="232" t="s">
        <v>166</v>
      </c>
      <c r="I526" s="233"/>
      <c r="J526" s="231"/>
      <c r="K526" s="231">
        <v>0</v>
      </c>
      <c r="L526" s="231">
        <v>34</v>
      </c>
      <c r="M526" s="231">
        <v>34</v>
      </c>
      <c r="N526" s="231">
        <v>34</v>
      </c>
      <c r="O526" s="231">
        <v>34</v>
      </c>
      <c r="P526" s="234" t="s">
        <v>318</v>
      </c>
      <c r="Q526" s="232" t="s">
        <v>1615</v>
      </c>
      <c r="R526" s="234" t="s">
        <v>320</v>
      </c>
      <c r="S526" s="235">
        <v>44281</v>
      </c>
      <c r="T526" s="235">
        <v>44565</v>
      </c>
      <c r="U526" s="234"/>
      <c r="V526" s="232" t="s">
        <v>321</v>
      </c>
      <c r="W526" s="231"/>
      <c r="X526" s="232" t="s">
        <v>322</v>
      </c>
      <c r="Y526" s="232" t="s">
        <v>323</v>
      </c>
      <c r="Z526" s="232" t="s">
        <v>323</v>
      </c>
      <c r="AA526" s="232" t="s">
        <v>324</v>
      </c>
      <c r="AB526" s="236">
        <v>5.2999999999999999E-2</v>
      </c>
      <c r="AC526" s="235"/>
      <c r="AD526" s="234"/>
      <c r="AE526" s="234"/>
      <c r="AF526" s="232" t="s">
        <v>57</v>
      </c>
      <c r="AG526" s="232" t="s">
        <v>328</v>
      </c>
      <c r="AH526" s="234" t="s">
        <v>317</v>
      </c>
      <c r="AJ526" s="234">
        <v>0</v>
      </c>
      <c r="AK526" s="224"/>
      <c r="AL526" s="234">
        <v>0</v>
      </c>
      <c r="AM526" s="224"/>
      <c r="AN526" s="234">
        <v>0</v>
      </c>
      <c r="AO526" s="234">
        <v>14</v>
      </c>
      <c r="AP526" s="234">
        <v>16</v>
      </c>
      <c r="AQ526" s="234">
        <v>4</v>
      </c>
      <c r="AR526" s="234">
        <v>0</v>
      </c>
      <c r="AS526" s="234">
        <v>0</v>
      </c>
      <c r="AT526" s="234">
        <v>0</v>
      </c>
      <c r="AU526" s="234">
        <v>0</v>
      </c>
      <c r="AV526" s="234">
        <v>14</v>
      </c>
      <c r="AW526" s="234">
        <v>16</v>
      </c>
      <c r="AX526" s="234">
        <v>0</v>
      </c>
      <c r="AY526" s="234">
        <v>0</v>
      </c>
      <c r="AZ526" s="234">
        <v>0</v>
      </c>
      <c r="BA526" s="234">
        <v>0</v>
      </c>
      <c r="BB526" s="234">
        <v>0</v>
      </c>
      <c r="BC526" s="234">
        <v>0</v>
      </c>
      <c r="BD526" s="234">
        <v>0</v>
      </c>
      <c r="BE526" s="234">
        <v>4</v>
      </c>
      <c r="BF526" s="234">
        <v>0</v>
      </c>
      <c r="BG526" s="234">
        <v>0</v>
      </c>
      <c r="BH526" s="234">
        <v>0</v>
      </c>
      <c r="BI526" s="234">
        <v>0</v>
      </c>
      <c r="BJ526" s="234">
        <v>0</v>
      </c>
      <c r="BK526" s="234">
        <v>0</v>
      </c>
      <c r="BL526" s="234">
        <v>0</v>
      </c>
      <c r="BM526" s="234">
        <v>0</v>
      </c>
      <c r="BN526" s="234">
        <v>0</v>
      </c>
      <c r="BO526" s="234">
        <v>0</v>
      </c>
      <c r="BP526" s="234"/>
      <c r="BQ526" s="234"/>
      <c r="BR526" s="237" t="s">
        <v>334</v>
      </c>
      <c r="BS526" s="238">
        <v>8</v>
      </c>
      <c r="BX526" s="239">
        <f>M526</f>
        <v>34</v>
      </c>
      <c r="CN526" s="238">
        <f t="shared" si="48"/>
        <v>34</v>
      </c>
      <c r="CO526" s="238">
        <f t="shared" si="49"/>
        <v>34</v>
      </c>
    </row>
    <row r="527" spans="1:93" ht="13.95" customHeight="1" x14ac:dyDescent="0.2">
      <c r="A527" s="231">
        <v>7791</v>
      </c>
      <c r="B527" s="232" t="s">
        <v>822</v>
      </c>
      <c r="C527" s="232" t="s">
        <v>1616</v>
      </c>
      <c r="D527" s="232" t="s">
        <v>1617</v>
      </c>
      <c r="E527" s="232" t="s">
        <v>317</v>
      </c>
      <c r="F527" s="231">
        <v>527303</v>
      </c>
      <c r="G527" s="231">
        <v>171501</v>
      </c>
      <c r="H527" s="232" t="s">
        <v>177</v>
      </c>
      <c r="I527" s="233"/>
      <c r="J527" s="231"/>
      <c r="K527" s="231">
        <v>1</v>
      </c>
      <c r="L527" s="231">
        <v>4</v>
      </c>
      <c r="M527" s="231">
        <v>3</v>
      </c>
      <c r="N527" s="231">
        <v>4</v>
      </c>
      <c r="O527" s="231">
        <v>3</v>
      </c>
      <c r="P527" s="234"/>
      <c r="Q527" s="232" t="s">
        <v>1618</v>
      </c>
      <c r="R527" s="234" t="s">
        <v>332</v>
      </c>
      <c r="S527" s="235">
        <v>44614</v>
      </c>
      <c r="T527" s="235">
        <v>44721</v>
      </c>
      <c r="U527" s="234" t="s">
        <v>318</v>
      </c>
      <c r="V527" s="232" t="s">
        <v>321</v>
      </c>
      <c r="W527" s="231"/>
      <c r="X527" s="232" t="s">
        <v>322</v>
      </c>
      <c r="Y527" s="232" t="s">
        <v>338</v>
      </c>
      <c r="Z527" s="232" t="s">
        <v>324</v>
      </c>
      <c r="AA527" s="232" t="s">
        <v>15</v>
      </c>
      <c r="AB527" s="236">
        <v>6.0000000000000001E-3</v>
      </c>
      <c r="AC527" s="235"/>
      <c r="AD527" s="234"/>
      <c r="AE527" s="234"/>
      <c r="AF527" s="232" t="s">
        <v>77</v>
      </c>
      <c r="AG527" s="232" t="s">
        <v>350</v>
      </c>
      <c r="AH527" s="234" t="s">
        <v>317</v>
      </c>
      <c r="AJ527" s="234">
        <v>0</v>
      </c>
      <c r="AK527" s="224"/>
      <c r="AL527" s="234">
        <v>0</v>
      </c>
      <c r="AM527" s="224"/>
      <c r="AN527" s="234">
        <v>1</v>
      </c>
      <c r="AO527" s="234">
        <v>1</v>
      </c>
      <c r="AP527" s="234">
        <v>1</v>
      </c>
      <c r="AQ527" s="234">
        <v>1</v>
      </c>
      <c r="AR527" s="234">
        <v>0</v>
      </c>
      <c r="AS527" s="234">
        <v>-1</v>
      </c>
      <c r="AT527" s="234">
        <v>0</v>
      </c>
      <c r="AU527" s="234">
        <v>1</v>
      </c>
      <c r="AV527" s="234">
        <v>1</v>
      </c>
      <c r="AW527" s="234">
        <v>1</v>
      </c>
      <c r="AX527" s="234">
        <v>1</v>
      </c>
      <c r="AY527" s="234">
        <v>0</v>
      </c>
      <c r="AZ527" s="234">
        <v>0</v>
      </c>
      <c r="BA527" s="234">
        <v>0</v>
      </c>
      <c r="BB527" s="234">
        <v>0</v>
      </c>
      <c r="BC527" s="234">
        <v>0</v>
      </c>
      <c r="BD527" s="234">
        <v>0</v>
      </c>
      <c r="BE527" s="234">
        <v>0</v>
      </c>
      <c r="BF527" s="234">
        <v>0</v>
      </c>
      <c r="BG527" s="234">
        <v>-1</v>
      </c>
      <c r="BH527" s="234">
        <v>0</v>
      </c>
      <c r="BI527" s="234">
        <v>0</v>
      </c>
      <c r="BJ527" s="234">
        <v>0</v>
      </c>
      <c r="BK527" s="234">
        <v>0</v>
      </c>
      <c r="BL527" s="234">
        <v>0</v>
      </c>
      <c r="BM527" s="234">
        <v>0</v>
      </c>
      <c r="BN527" s="234">
        <v>0</v>
      </c>
      <c r="BO527" s="234">
        <v>0</v>
      </c>
      <c r="BP527" s="234"/>
      <c r="BQ527" s="234"/>
      <c r="BR527" s="237" t="s">
        <v>144</v>
      </c>
      <c r="BS527" s="238">
        <v>15</v>
      </c>
      <c r="BU527" s="239">
        <f t="shared" ref="BU527:BU546" si="54">M527/4</f>
        <v>0.75</v>
      </c>
      <c r="BV527" s="239">
        <f t="shared" ref="BV527:BV546" si="55">M527/4</f>
        <v>0.75</v>
      </c>
      <c r="BW527" s="239">
        <f t="shared" ref="BW527:BW546" si="56">M527/4</f>
        <v>0.75</v>
      </c>
      <c r="BX527" s="239">
        <f t="shared" ref="BX527:BX546" si="57">M527/4</f>
        <v>0.75</v>
      </c>
      <c r="CN527" s="238">
        <f t="shared" si="48"/>
        <v>3</v>
      </c>
      <c r="CO527" s="238">
        <f t="shared" si="49"/>
        <v>3</v>
      </c>
    </row>
    <row r="528" spans="1:93" ht="13.95" customHeight="1" x14ac:dyDescent="0.2">
      <c r="A528" s="231">
        <v>7161</v>
      </c>
      <c r="B528" s="232" t="s">
        <v>822</v>
      </c>
      <c r="C528" s="232" t="s">
        <v>1619</v>
      </c>
      <c r="D528" s="232" t="s">
        <v>1620</v>
      </c>
      <c r="E528" s="232" t="s">
        <v>317</v>
      </c>
      <c r="F528" s="231">
        <v>528016</v>
      </c>
      <c r="G528" s="231">
        <v>175405</v>
      </c>
      <c r="H528" s="232" t="s">
        <v>167</v>
      </c>
      <c r="I528" s="233"/>
      <c r="J528" s="231"/>
      <c r="K528" s="231">
        <v>1</v>
      </c>
      <c r="L528" s="231">
        <v>4</v>
      </c>
      <c r="M528" s="231">
        <v>3</v>
      </c>
      <c r="N528" s="231">
        <v>4</v>
      </c>
      <c r="O528" s="231">
        <v>3</v>
      </c>
      <c r="P528" s="234"/>
      <c r="Q528" s="232" t="s">
        <v>1621</v>
      </c>
      <c r="R528" s="234" t="s">
        <v>332</v>
      </c>
      <c r="S528" s="235">
        <v>43607</v>
      </c>
      <c r="T528" s="235">
        <v>43663</v>
      </c>
      <c r="U528" s="234"/>
      <c r="V528" s="232" t="s">
        <v>321</v>
      </c>
      <c r="W528" s="231"/>
      <c r="X528" s="232" t="s">
        <v>322</v>
      </c>
      <c r="Y528" s="232" t="s">
        <v>365</v>
      </c>
      <c r="Z528" s="232" t="s">
        <v>324</v>
      </c>
      <c r="AA528" s="232" t="s">
        <v>15</v>
      </c>
      <c r="AB528" s="236">
        <v>2.5000000000000001E-2</v>
      </c>
      <c r="AC528" s="235"/>
      <c r="AD528" s="234"/>
      <c r="AE528" s="234"/>
      <c r="AF528" s="232" t="s">
        <v>77</v>
      </c>
      <c r="AG528" s="232" t="s">
        <v>350</v>
      </c>
      <c r="AH528" s="234" t="s">
        <v>317</v>
      </c>
      <c r="AJ528" s="234">
        <v>0</v>
      </c>
      <c r="AK528" s="224"/>
      <c r="AL528" s="234">
        <v>0</v>
      </c>
      <c r="AM528" s="224"/>
      <c r="AN528" s="234">
        <v>0</v>
      </c>
      <c r="AO528" s="234">
        <v>1</v>
      </c>
      <c r="AP528" s="234">
        <v>0</v>
      </c>
      <c r="AQ528" s="234">
        <v>3</v>
      </c>
      <c r="AR528" s="234">
        <v>-1</v>
      </c>
      <c r="AS528" s="234">
        <v>0</v>
      </c>
      <c r="AT528" s="234">
        <v>0</v>
      </c>
      <c r="AU528" s="234">
        <v>0</v>
      </c>
      <c r="AV528" s="234">
        <v>1</v>
      </c>
      <c r="AW528" s="234">
        <v>0</v>
      </c>
      <c r="AX528" s="234">
        <v>3</v>
      </c>
      <c r="AY528" s="234">
        <v>0</v>
      </c>
      <c r="AZ528" s="234">
        <v>0</v>
      </c>
      <c r="BA528" s="234">
        <v>0</v>
      </c>
      <c r="BB528" s="234">
        <v>0</v>
      </c>
      <c r="BC528" s="234">
        <v>0</v>
      </c>
      <c r="BD528" s="234">
        <v>0</v>
      </c>
      <c r="BE528" s="234">
        <v>0</v>
      </c>
      <c r="BF528" s="234">
        <v>-1</v>
      </c>
      <c r="BG528" s="234">
        <v>0</v>
      </c>
      <c r="BH528" s="234">
        <v>0</v>
      </c>
      <c r="BI528" s="234">
        <v>0</v>
      </c>
      <c r="BJ528" s="234">
        <v>0</v>
      </c>
      <c r="BK528" s="234">
        <v>0</v>
      </c>
      <c r="BL528" s="234">
        <v>0</v>
      </c>
      <c r="BM528" s="234">
        <v>0</v>
      </c>
      <c r="BN528" s="234">
        <v>0</v>
      </c>
      <c r="BO528" s="234">
        <v>0</v>
      </c>
      <c r="BP528" s="234"/>
      <c r="BQ528" s="234"/>
      <c r="BR528" s="237" t="s">
        <v>334</v>
      </c>
      <c r="BS528" s="238">
        <v>15</v>
      </c>
      <c r="BU528" s="239">
        <f t="shared" si="54"/>
        <v>0.75</v>
      </c>
      <c r="BV528" s="239">
        <f t="shared" si="55"/>
        <v>0.75</v>
      </c>
      <c r="BW528" s="239">
        <f t="shared" si="56"/>
        <v>0.75</v>
      </c>
      <c r="BX528" s="239">
        <f t="shared" si="57"/>
        <v>0.75</v>
      </c>
      <c r="CN528" s="238">
        <f t="shared" si="48"/>
        <v>3</v>
      </c>
      <c r="CO528" s="238">
        <f t="shared" si="49"/>
        <v>3</v>
      </c>
    </row>
    <row r="529" spans="1:93" ht="13.95" customHeight="1" x14ac:dyDescent="0.2">
      <c r="A529" s="231">
        <v>6789</v>
      </c>
      <c r="B529" s="232" t="s">
        <v>822</v>
      </c>
      <c r="C529" s="232" t="s">
        <v>1622</v>
      </c>
      <c r="D529" s="232" t="s">
        <v>1623</v>
      </c>
      <c r="E529" s="232" t="s">
        <v>317</v>
      </c>
      <c r="F529" s="231">
        <v>528385</v>
      </c>
      <c r="G529" s="231">
        <v>175721</v>
      </c>
      <c r="H529" s="232" t="s">
        <v>167</v>
      </c>
      <c r="I529" s="233"/>
      <c r="J529" s="231"/>
      <c r="K529" s="231">
        <v>0</v>
      </c>
      <c r="L529" s="231">
        <v>3</v>
      </c>
      <c r="M529" s="231">
        <v>3</v>
      </c>
      <c r="N529" s="231">
        <v>3</v>
      </c>
      <c r="O529" s="231">
        <v>3</v>
      </c>
      <c r="P529" s="234"/>
      <c r="Q529" s="232" t="s">
        <v>1624</v>
      </c>
      <c r="R529" s="234" t="s">
        <v>332</v>
      </c>
      <c r="S529" s="235">
        <v>44235</v>
      </c>
      <c r="T529" s="235">
        <v>44308</v>
      </c>
      <c r="U529" s="234"/>
      <c r="V529" s="232" t="s">
        <v>321</v>
      </c>
      <c r="W529" s="231"/>
      <c r="X529" s="232" t="s">
        <v>322</v>
      </c>
      <c r="Y529" s="232" t="s">
        <v>339</v>
      </c>
      <c r="Z529" s="232" t="s">
        <v>324</v>
      </c>
      <c r="AA529" s="232" t="s">
        <v>354</v>
      </c>
      <c r="AB529" s="236">
        <v>5.0000000000000001E-3</v>
      </c>
      <c r="AC529" s="235"/>
      <c r="AD529" s="234"/>
      <c r="AE529" s="234"/>
      <c r="AF529" s="232" t="s">
        <v>77</v>
      </c>
      <c r="AG529" s="232" t="s">
        <v>350</v>
      </c>
      <c r="AH529" s="234" t="s">
        <v>317</v>
      </c>
      <c r="AJ529" s="234">
        <v>0</v>
      </c>
      <c r="AK529" s="224"/>
      <c r="AL529" s="234">
        <v>0</v>
      </c>
      <c r="AM529" s="224"/>
      <c r="AN529" s="234">
        <v>1</v>
      </c>
      <c r="AO529" s="234">
        <v>2</v>
      </c>
      <c r="AP529" s="234">
        <v>0</v>
      </c>
      <c r="AQ529" s="234">
        <v>0</v>
      </c>
      <c r="AR529" s="234">
        <v>0</v>
      </c>
      <c r="AS529" s="234">
        <v>0</v>
      </c>
      <c r="AT529" s="234">
        <v>0</v>
      </c>
      <c r="AU529" s="234">
        <v>1</v>
      </c>
      <c r="AV529" s="234">
        <v>2</v>
      </c>
      <c r="AW529" s="234">
        <v>0</v>
      </c>
      <c r="AX529" s="234">
        <v>0</v>
      </c>
      <c r="AY529" s="234">
        <v>0</v>
      </c>
      <c r="AZ529" s="234">
        <v>0</v>
      </c>
      <c r="BA529" s="234">
        <v>0</v>
      </c>
      <c r="BB529" s="234">
        <v>0</v>
      </c>
      <c r="BC529" s="234">
        <v>0</v>
      </c>
      <c r="BD529" s="234">
        <v>0</v>
      </c>
      <c r="BE529" s="234">
        <v>0</v>
      </c>
      <c r="BF529" s="234">
        <v>0</v>
      </c>
      <c r="BG529" s="234">
        <v>0</v>
      </c>
      <c r="BH529" s="234">
        <v>0</v>
      </c>
      <c r="BI529" s="234">
        <v>0</v>
      </c>
      <c r="BJ529" s="234">
        <v>0</v>
      </c>
      <c r="BK529" s="234">
        <v>0</v>
      </c>
      <c r="BL529" s="234">
        <v>0</v>
      </c>
      <c r="BM529" s="234">
        <v>0</v>
      </c>
      <c r="BN529" s="234">
        <v>0</v>
      </c>
      <c r="BO529" s="234">
        <v>0</v>
      </c>
      <c r="BP529" s="234"/>
      <c r="BQ529" s="234"/>
      <c r="BR529" s="237" t="s">
        <v>334</v>
      </c>
      <c r="BS529" s="238">
        <v>15</v>
      </c>
      <c r="BU529" s="239">
        <f t="shared" si="54"/>
        <v>0.75</v>
      </c>
      <c r="BV529" s="239">
        <f t="shared" si="55"/>
        <v>0.75</v>
      </c>
      <c r="BW529" s="239">
        <f t="shared" si="56"/>
        <v>0.75</v>
      </c>
      <c r="BX529" s="239">
        <f t="shared" si="57"/>
        <v>0.75</v>
      </c>
      <c r="CN529" s="238">
        <f t="shared" si="48"/>
        <v>3</v>
      </c>
      <c r="CO529" s="238">
        <f t="shared" si="49"/>
        <v>3</v>
      </c>
    </row>
    <row r="530" spans="1:93" ht="13.95" customHeight="1" x14ac:dyDescent="0.2">
      <c r="A530" s="231">
        <v>5830</v>
      </c>
      <c r="B530" s="232" t="s">
        <v>822</v>
      </c>
      <c r="C530" s="232" t="s">
        <v>1625</v>
      </c>
      <c r="D530" s="232" t="s">
        <v>1626</v>
      </c>
      <c r="E530" s="232" t="s">
        <v>317</v>
      </c>
      <c r="F530" s="231">
        <v>525688</v>
      </c>
      <c r="G530" s="231">
        <v>174648</v>
      </c>
      <c r="H530" s="232" t="s">
        <v>181</v>
      </c>
      <c r="I530" s="233"/>
      <c r="J530" s="231"/>
      <c r="K530" s="231">
        <v>0</v>
      </c>
      <c r="L530" s="231">
        <v>3</v>
      </c>
      <c r="M530" s="231">
        <v>3</v>
      </c>
      <c r="N530" s="231">
        <v>3</v>
      </c>
      <c r="O530" s="231">
        <v>3</v>
      </c>
      <c r="P530" s="234"/>
      <c r="Q530" s="232" t="s">
        <v>1627</v>
      </c>
      <c r="R530" s="234" t="s">
        <v>332</v>
      </c>
      <c r="S530" s="235">
        <v>43276</v>
      </c>
      <c r="T530" s="235">
        <v>43348</v>
      </c>
      <c r="U530" s="234"/>
      <c r="V530" s="232" t="s">
        <v>321</v>
      </c>
      <c r="W530" s="231"/>
      <c r="X530" s="232" t="s">
        <v>322</v>
      </c>
      <c r="Y530" s="232" t="s">
        <v>339</v>
      </c>
      <c r="Z530" s="232" t="s">
        <v>324</v>
      </c>
      <c r="AA530" s="232" t="s">
        <v>354</v>
      </c>
      <c r="AB530" s="236">
        <v>8.9999999999999993E-3</v>
      </c>
      <c r="AC530" s="235"/>
      <c r="AD530" s="234"/>
      <c r="AE530" s="234"/>
      <c r="AF530" s="232" t="s">
        <v>77</v>
      </c>
      <c r="AG530" s="232" t="s">
        <v>350</v>
      </c>
      <c r="AH530" s="234" t="s">
        <v>317</v>
      </c>
      <c r="AJ530" s="234">
        <v>0</v>
      </c>
      <c r="AK530" s="224"/>
      <c r="AL530" s="234">
        <v>0</v>
      </c>
      <c r="AM530" s="224"/>
      <c r="AN530" s="234">
        <v>0</v>
      </c>
      <c r="AO530" s="234">
        <v>1</v>
      </c>
      <c r="AP530" s="234">
        <v>1</v>
      </c>
      <c r="AQ530" s="234">
        <v>1</v>
      </c>
      <c r="AR530" s="234">
        <v>0</v>
      </c>
      <c r="AS530" s="234">
        <v>0</v>
      </c>
      <c r="AT530" s="234">
        <v>0</v>
      </c>
      <c r="AU530" s="234">
        <v>0</v>
      </c>
      <c r="AV530" s="234">
        <v>1</v>
      </c>
      <c r="AW530" s="234">
        <v>1</v>
      </c>
      <c r="AX530" s="234">
        <v>1</v>
      </c>
      <c r="AY530" s="234">
        <v>0</v>
      </c>
      <c r="AZ530" s="234">
        <v>0</v>
      </c>
      <c r="BA530" s="234">
        <v>0</v>
      </c>
      <c r="BB530" s="234">
        <v>0</v>
      </c>
      <c r="BC530" s="234">
        <v>0</v>
      </c>
      <c r="BD530" s="234">
        <v>0</v>
      </c>
      <c r="BE530" s="234">
        <v>0</v>
      </c>
      <c r="BF530" s="234">
        <v>0</v>
      </c>
      <c r="BG530" s="234">
        <v>0</v>
      </c>
      <c r="BH530" s="234">
        <v>0</v>
      </c>
      <c r="BI530" s="234">
        <v>0</v>
      </c>
      <c r="BJ530" s="234">
        <v>0</v>
      </c>
      <c r="BK530" s="234">
        <v>0</v>
      </c>
      <c r="BL530" s="234">
        <v>0</v>
      </c>
      <c r="BM530" s="234">
        <v>0</v>
      </c>
      <c r="BN530" s="234">
        <v>0</v>
      </c>
      <c r="BO530" s="234">
        <v>0</v>
      </c>
      <c r="BP530" s="234" t="s">
        <v>145</v>
      </c>
      <c r="BQ530" s="234"/>
      <c r="BR530" s="237" t="s">
        <v>327</v>
      </c>
      <c r="BS530" s="238">
        <v>15</v>
      </c>
      <c r="BU530" s="239">
        <f t="shared" si="54"/>
        <v>0.75</v>
      </c>
      <c r="BV530" s="239">
        <f t="shared" si="55"/>
        <v>0.75</v>
      </c>
      <c r="BW530" s="239">
        <f t="shared" si="56"/>
        <v>0.75</v>
      </c>
      <c r="BX530" s="239">
        <f t="shared" si="57"/>
        <v>0.75</v>
      </c>
      <c r="CN530" s="238">
        <f t="shared" si="48"/>
        <v>3</v>
      </c>
      <c r="CO530" s="238">
        <f t="shared" si="49"/>
        <v>3</v>
      </c>
    </row>
    <row r="531" spans="1:93" ht="13.95" customHeight="1" x14ac:dyDescent="0.2">
      <c r="A531" s="231">
        <v>6995</v>
      </c>
      <c r="B531" s="232" t="s">
        <v>822</v>
      </c>
      <c r="C531" s="232" t="s">
        <v>1628</v>
      </c>
      <c r="D531" s="232" t="s">
        <v>1629</v>
      </c>
      <c r="E531" s="232" t="s">
        <v>317</v>
      </c>
      <c r="F531" s="231">
        <v>527398</v>
      </c>
      <c r="G531" s="231">
        <v>171432</v>
      </c>
      <c r="H531" s="232" t="s">
        <v>177</v>
      </c>
      <c r="I531" s="233"/>
      <c r="J531" s="231"/>
      <c r="K531" s="231">
        <v>1</v>
      </c>
      <c r="L531" s="231">
        <v>4</v>
      </c>
      <c r="M531" s="231">
        <v>3</v>
      </c>
      <c r="N531" s="231">
        <v>4</v>
      </c>
      <c r="O531" s="231">
        <v>3</v>
      </c>
      <c r="P531" s="234"/>
      <c r="Q531" s="232" t="s">
        <v>1630</v>
      </c>
      <c r="R531" s="234" t="s">
        <v>332</v>
      </c>
      <c r="S531" s="235">
        <v>44354</v>
      </c>
      <c r="T531" s="235">
        <v>44463</v>
      </c>
      <c r="U531" s="234"/>
      <c r="V531" s="232" t="s">
        <v>321</v>
      </c>
      <c r="W531" s="231"/>
      <c r="X531" s="232" t="s">
        <v>322</v>
      </c>
      <c r="Y531" s="232" t="s">
        <v>338</v>
      </c>
      <c r="Z531" s="232" t="s">
        <v>324</v>
      </c>
      <c r="AA531" s="232" t="s">
        <v>25</v>
      </c>
      <c r="AB531" s="236">
        <v>5.2750000000000002E-3</v>
      </c>
      <c r="AC531" s="235"/>
      <c r="AD531" s="234"/>
      <c r="AE531" s="234"/>
      <c r="AF531" s="232" t="s">
        <v>77</v>
      </c>
      <c r="AG531" s="232" t="s">
        <v>350</v>
      </c>
      <c r="AH531" s="234" t="s">
        <v>317</v>
      </c>
      <c r="AJ531" s="234">
        <v>0</v>
      </c>
      <c r="AK531" s="224"/>
      <c r="AL531" s="234">
        <v>0</v>
      </c>
      <c r="AM531" s="224"/>
      <c r="AN531" s="234">
        <v>1</v>
      </c>
      <c r="AO531" s="234">
        <v>1</v>
      </c>
      <c r="AP531" s="234">
        <v>1</v>
      </c>
      <c r="AQ531" s="234">
        <v>0</v>
      </c>
      <c r="AR531" s="234">
        <v>0</v>
      </c>
      <c r="AS531" s="234">
        <v>0</v>
      </c>
      <c r="AT531" s="234">
        <v>0</v>
      </c>
      <c r="AU531" s="234">
        <v>1</v>
      </c>
      <c r="AV531" s="234">
        <v>1</v>
      </c>
      <c r="AW531" s="234">
        <v>1</v>
      </c>
      <c r="AX531" s="234">
        <v>0</v>
      </c>
      <c r="AY531" s="234">
        <v>0</v>
      </c>
      <c r="AZ531" s="234">
        <v>0</v>
      </c>
      <c r="BA531" s="234">
        <v>0</v>
      </c>
      <c r="BB531" s="234">
        <v>0</v>
      </c>
      <c r="BC531" s="234">
        <v>0</v>
      </c>
      <c r="BD531" s="234">
        <v>0</v>
      </c>
      <c r="BE531" s="234">
        <v>0</v>
      </c>
      <c r="BF531" s="234">
        <v>0</v>
      </c>
      <c r="BG531" s="234">
        <v>0</v>
      </c>
      <c r="BH531" s="234">
        <v>0</v>
      </c>
      <c r="BI531" s="234">
        <v>0</v>
      </c>
      <c r="BJ531" s="234">
        <v>0</v>
      </c>
      <c r="BK531" s="234">
        <v>0</v>
      </c>
      <c r="BL531" s="234">
        <v>0</v>
      </c>
      <c r="BM531" s="234">
        <v>0</v>
      </c>
      <c r="BN531" s="234">
        <v>0</v>
      </c>
      <c r="BO531" s="234">
        <v>0</v>
      </c>
      <c r="BP531" s="234" t="s">
        <v>144</v>
      </c>
      <c r="BQ531" s="234"/>
      <c r="BR531" s="237" t="s">
        <v>144</v>
      </c>
      <c r="BS531" s="238">
        <v>15</v>
      </c>
      <c r="BU531" s="239">
        <f t="shared" si="54"/>
        <v>0.75</v>
      </c>
      <c r="BV531" s="239">
        <f t="shared" si="55"/>
        <v>0.75</v>
      </c>
      <c r="BW531" s="239">
        <f t="shared" si="56"/>
        <v>0.75</v>
      </c>
      <c r="BX531" s="239">
        <f t="shared" si="57"/>
        <v>0.75</v>
      </c>
      <c r="CN531" s="238">
        <f t="shared" si="48"/>
        <v>3</v>
      </c>
      <c r="CO531" s="238">
        <f t="shared" si="49"/>
        <v>3</v>
      </c>
    </row>
    <row r="532" spans="1:93" ht="13.95" customHeight="1" x14ac:dyDescent="0.2">
      <c r="A532" s="231">
        <v>5920</v>
      </c>
      <c r="B532" s="232" t="s">
        <v>822</v>
      </c>
      <c r="C532" s="232" t="s">
        <v>1631</v>
      </c>
      <c r="D532" s="232" t="s">
        <v>1632</v>
      </c>
      <c r="E532" s="232" t="s">
        <v>317</v>
      </c>
      <c r="F532" s="231">
        <v>524021</v>
      </c>
      <c r="G532" s="231">
        <v>175002</v>
      </c>
      <c r="H532" s="232" t="s">
        <v>164</v>
      </c>
      <c r="I532" s="233"/>
      <c r="J532" s="231"/>
      <c r="K532" s="231">
        <v>0</v>
      </c>
      <c r="L532" s="231">
        <v>3</v>
      </c>
      <c r="M532" s="231">
        <v>3</v>
      </c>
      <c r="N532" s="231">
        <v>3</v>
      </c>
      <c r="O532" s="231">
        <v>3</v>
      </c>
      <c r="P532" s="234"/>
      <c r="Q532" s="232" t="s">
        <v>1633</v>
      </c>
      <c r="R532" s="234" t="s">
        <v>428</v>
      </c>
      <c r="S532" s="235">
        <v>43461</v>
      </c>
      <c r="T532" s="235">
        <v>43496</v>
      </c>
      <c r="U532" s="234"/>
      <c r="V532" s="232" t="s">
        <v>321</v>
      </c>
      <c r="W532" s="231"/>
      <c r="X532" s="232" t="s">
        <v>322</v>
      </c>
      <c r="Y532" s="232" t="s">
        <v>378</v>
      </c>
      <c r="Z532" s="232" t="s">
        <v>324</v>
      </c>
      <c r="AA532" s="232" t="s">
        <v>28</v>
      </c>
      <c r="AB532" s="236">
        <v>3.0000000000000001E-3</v>
      </c>
      <c r="AC532" s="235"/>
      <c r="AD532" s="234"/>
      <c r="AE532" s="234"/>
      <c r="AF532" s="232" t="s">
        <v>77</v>
      </c>
      <c r="AG532" s="232" t="s">
        <v>350</v>
      </c>
      <c r="AH532" s="234" t="s">
        <v>317</v>
      </c>
      <c r="AJ532" s="234">
        <v>0</v>
      </c>
      <c r="AK532" s="224"/>
      <c r="AL532" s="234">
        <v>0</v>
      </c>
      <c r="AM532" s="224"/>
      <c r="AN532" s="234">
        <v>0</v>
      </c>
      <c r="AO532" s="234">
        <v>2</v>
      </c>
      <c r="AP532" s="234">
        <v>1</v>
      </c>
      <c r="AQ532" s="234">
        <v>0</v>
      </c>
      <c r="AR532" s="234">
        <v>0</v>
      </c>
      <c r="AS532" s="234">
        <v>0</v>
      </c>
      <c r="AT532" s="234">
        <v>0</v>
      </c>
      <c r="AU532" s="234">
        <v>0</v>
      </c>
      <c r="AV532" s="234">
        <v>2</v>
      </c>
      <c r="AW532" s="234">
        <v>1</v>
      </c>
      <c r="AX532" s="234">
        <v>0</v>
      </c>
      <c r="AY532" s="234">
        <v>0</v>
      </c>
      <c r="AZ532" s="234">
        <v>0</v>
      </c>
      <c r="BA532" s="234">
        <v>0</v>
      </c>
      <c r="BB532" s="234">
        <v>0</v>
      </c>
      <c r="BC532" s="234">
        <v>0</v>
      </c>
      <c r="BD532" s="234">
        <v>0</v>
      </c>
      <c r="BE532" s="234">
        <v>0</v>
      </c>
      <c r="BF532" s="234">
        <v>0</v>
      </c>
      <c r="BG532" s="234">
        <v>0</v>
      </c>
      <c r="BH532" s="234">
        <v>0</v>
      </c>
      <c r="BI532" s="234">
        <v>0</v>
      </c>
      <c r="BJ532" s="234">
        <v>0</v>
      </c>
      <c r="BK532" s="234">
        <v>0</v>
      </c>
      <c r="BL532" s="234">
        <v>0</v>
      </c>
      <c r="BM532" s="234">
        <v>0</v>
      </c>
      <c r="BN532" s="234">
        <v>0</v>
      </c>
      <c r="BO532" s="234">
        <v>0</v>
      </c>
      <c r="BP532" s="234" t="s">
        <v>143</v>
      </c>
      <c r="BQ532" s="234"/>
      <c r="BR532" s="237" t="s">
        <v>152</v>
      </c>
      <c r="BS532" s="238">
        <v>15</v>
      </c>
      <c r="BU532" s="239">
        <f t="shared" si="54"/>
        <v>0.75</v>
      </c>
      <c r="BV532" s="239">
        <f t="shared" si="55"/>
        <v>0.75</v>
      </c>
      <c r="BW532" s="239">
        <f t="shared" si="56"/>
        <v>0.75</v>
      </c>
      <c r="BX532" s="239">
        <f t="shared" si="57"/>
        <v>0.75</v>
      </c>
      <c r="CN532" s="238">
        <f t="shared" si="48"/>
        <v>3</v>
      </c>
      <c r="CO532" s="238">
        <f t="shared" si="49"/>
        <v>3</v>
      </c>
    </row>
    <row r="533" spans="1:93" ht="13.95" customHeight="1" x14ac:dyDescent="0.2">
      <c r="A533" s="231">
        <v>4775</v>
      </c>
      <c r="B533" s="232" t="s">
        <v>822</v>
      </c>
      <c r="C533" s="232" t="s">
        <v>1634</v>
      </c>
      <c r="D533" s="232" t="s">
        <v>1635</v>
      </c>
      <c r="E533" s="232" t="s">
        <v>317</v>
      </c>
      <c r="F533" s="231">
        <v>521333</v>
      </c>
      <c r="G533" s="231">
        <v>174425</v>
      </c>
      <c r="H533" s="232" t="s">
        <v>170</v>
      </c>
      <c r="I533" s="233"/>
      <c r="J533" s="231"/>
      <c r="K533" s="231">
        <v>0</v>
      </c>
      <c r="L533" s="231">
        <v>3</v>
      </c>
      <c r="M533" s="231">
        <v>3</v>
      </c>
      <c r="N533" s="231">
        <v>3</v>
      </c>
      <c r="O533" s="231">
        <v>3</v>
      </c>
      <c r="P533" s="234"/>
      <c r="Q533" s="232" t="s">
        <v>1636</v>
      </c>
      <c r="R533" s="234" t="s">
        <v>332</v>
      </c>
      <c r="S533" s="235">
        <v>43643</v>
      </c>
      <c r="T533" s="235">
        <v>43677</v>
      </c>
      <c r="U533" s="234"/>
      <c r="V533" s="232" t="s">
        <v>321</v>
      </c>
      <c r="W533" s="231"/>
      <c r="X533" s="232" t="s">
        <v>322</v>
      </c>
      <c r="Y533" s="232" t="s">
        <v>378</v>
      </c>
      <c r="Z533" s="232" t="s">
        <v>324</v>
      </c>
      <c r="AA533" s="232" t="s">
        <v>31</v>
      </c>
      <c r="AB533" s="236">
        <v>1.4999999999999999E-2</v>
      </c>
      <c r="AC533" s="235"/>
      <c r="AD533" s="234"/>
      <c r="AE533" s="234"/>
      <c r="AF533" s="232" t="s">
        <v>77</v>
      </c>
      <c r="AG533" s="232" t="s">
        <v>350</v>
      </c>
      <c r="AH533" s="234" t="s">
        <v>317</v>
      </c>
      <c r="AJ533" s="234">
        <v>0</v>
      </c>
      <c r="AK533" s="224"/>
      <c r="AL533" s="234">
        <v>0</v>
      </c>
      <c r="AM533" s="224"/>
      <c r="AN533" s="234">
        <v>0</v>
      </c>
      <c r="AO533" s="234">
        <v>3</v>
      </c>
      <c r="AP533" s="234">
        <v>0</v>
      </c>
      <c r="AQ533" s="234">
        <v>0</v>
      </c>
      <c r="AR533" s="234">
        <v>0</v>
      </c>
      <c r="AS533" s="234">
        <v>0</v>
      </c>
      <c r="AT533" s="234">
        <v>0</v>
      </c>
      <c r="AU533" s="234">
        <v>0</v>
      </c>
      <c r="AV533" s="234">
        <v>3</v>
      </c>
      <c r="AW533" s="234">
        <v>0</v>
      </c>
      <c r="AX533" s="234">
        <v>0</v>
      </c>
      <c r="AY533" s="234">
        <v>0</v>
      </c>
      <c r="AZ533" s="234">
        <v>0</v>
      </c>
      <c r="BA533" s="234">
        <v>0</v>
      </c>
      <c r="BB533" s="234">
        <v>0</v>
      </c>
      <c r="BC533" s="234">
        <v>0</v>
      </c>
      <c r="BD533" s="234">
        <v>0</v>
      </c>
      <c r="BE533" s="234">
        <v>0</v>
      </c>
      <c r="BF533" s="234">
        <v>0</v>
      </c>
      <c r="BG533" s="234">
        <v>0</v>
      </c>
      <c r="BH533" s="234">
        <v>0</v>
      </c>
      <c r="BI533" s="234">
        <v>0</v>
      </c>
      <c r="BJ533" s="234">
        <v>0</v>
      </c>
      <c r="BK533" s="234">
        <v>0</v>
      </c>
      <c r="BL533" s="234">
        <v>0</v>
      </c>
      <c r="BM533" s="234">
        <v>0</v>
      </c>
      <c r="BN533" s="234">
        <v>0</v>
      </c>
      <c r="BO533" s="234">
        <v>0</v>
      </c>
      <c r="BP533" s="234"/>
      <c r="BQ533" s="234"/>
      <c r="BR533" s="237" t="s">
        <v>334</v>
      </c>
      <c r="BS533" s="238">
        <v>15</v>
      </c>
      <c r="BU533" s="239">
        <f t="shared" si="54"/>
        <v>0.75</v>
      </c>
      <c r="BV533" s="239">
        <f t="shared" si="55"/>
        <v>0.75</v>
      </c>
      <c r="BW533" s="239">
        <f t="shared" si="56"/>
        <v>0.75</v>
      </c>
      <c r="BX533" s="239">
        <f t="shared" si="57"/>
        <v>0.75</v>
      </c>
      <c r="CN533" s="238">
        <f t="shared" si="48"/>
        <v>3</v>
      </c>
      <c r="CO533" s="238">
        <f t="shared" si="49"/>
        <v>3</v>
      </c>
    </row>
    <row r="534" spans="1:93" ht="13.95" customHeight="1" x14ac:dyDescent="0.2">
      <c r="A534" s="231">
        <v>7342</v>
      </c>
      <c r="B534" s="232" t="s">
        <v>822</v>
      </c>
      <c r="C534" s="232" t="s">
        <v>1637</v>
      </c>
      <c r="D534" s="232" t="s">
        <v>1638</v>
      </c>
      <c r="E534" s="232" t="s">
        <v>317</v>
      </c>
      <c r="F534" s="231">
        <v>526368</v>
      </c>
      <c r="G534" s="231">
        <v>175721</v>
      </c>
      <c r="H534" s="232" t="s">
        <v>174</v>
      </c>
      <c r="I534" s="233"/>
      <c r="J534" s="231"/>
      <c r="K534" s="231">
        <v>0</v>
      </c>
      <c r="L534" s="231">
        <v>3</v>
      </c>
      <c r="M534" s="231">
        <v>3</v>
      </c>
      <c r="N534" s="231">
        <v>3</v>
      </c>
      <c r="O534" s="231">
        <v>3</v>
      </c>
      <c r="P534" s="234"/>
      <c r="Q534" s="232" t="s">
        <v>1639</v>
      </c>
      <c r="R534" s="234" t="s">
        <v>629</v>
      </c>
      <c r="S534" s="235">
        <v>43873</v>
      </c>
      <c r="T534" s="235">
        <v>43906</v>
      </c>
      <c r="U534" s="234"/>
      <c r="V534" s="232" t="s">
        <v>321</v>
      </c>
      <c r="W534" s="231"/>
      <c r="X534" s="232" t="s">
        <v>322</v>
      </c>
      <c r="Y534" s="232" t="s">
        <v>378</v>
      </c>
      <c r="Z534" s="232" t="s">
        <v>324</v>
      </c>
      <c r="AA534" s="232" t="s">
        <v>28</v>
      </c>
      <c r="AB534" s="236">
        <v>8.0000000000000002E-3</v>
      </c>
      <c r="AC534" s="235"/>
      <c r="AD534" s="234"/>
      <c r="AE534" s="234"/>
      <c r="AF534" s="232" t="s">
        <v>77</v>
      </c>
      <c r="AG534" s="232" t="s">
        <v>350</v>
      </c>
      <c r="AH534" s="234" t="s">
        <v>317</v>
      </c>
      <c r="AJ534" s="234">
        <v>0</v>
      </c>
      <c r="AK534" s="224"/>
      <c r="AL534" s="234">
        <v>0</v>
      </c>
      <c r="AM534" s="224"/>
      <c r="AN534" s="234">
        <v>0</v>
      </c>
      <c r="AO534" s="234">
        <v>2</v>
      </c>
      <c r="AP534" s="234">
        <v>1</v>
      </c>
      <c r="AQ534" s="234">
        <v>0</v>
      </c>
      <c r="AR534" s="234">
        <v>0</v>
      </c>
      <c r="AS534" s="234">
        <v>0</v>
      </c>
      <c r="AT534" s="234">
        <v>0</v>
      </c>
      <c r="AU534" s="234">
        <v>0</v>
      </c>
      <c r="AV534" s="234">
        <v>2</v>
      </c>
      <c r="AW534" s="234">
        <v>1</v>
      </c>
      <c r="AX534" s="234">
        <v>0</v>
      </c>
      <c r="AY534" s="234">
        <v>0</v>
      </c>
      <c r="AZ534" s="234">
        <v>0</v>
      </c>
      <c r="BA534" s="234">
        <v>0</v>
      </c>
      <c r="BB534" s="234">
        <v>0</v>
      </c>
      <c r="BC534" s="234">
        <v>0</v>
      </c>
      <c r="BD534" s="234">
        <v>0</v>
      </c>
      <c r="BE534" s="234">
        <v>0</v>
      </c>
      <c r="BF534" s="234">
        <v>0</v>
      </c>
      <c r="BG534" s="234">
        <v>0</v>
      </c>
      <c r="BH534" s="234">
        <v>0</v>
      </c>
      <c r="BI534" s="234">
        <v>0</v>
      </c>
      <c r="BJ534" s="234">
        <v>0</v>
      </c>
      <c r="BK534" s="234">
        <v>0</v>
      </c>
      <c r="BL534" s="234">
        <v>0</v>
      </c>
      <c r="BM534" s="234">
        <v>0</v>
      </c>
      <c r="BN534" s="234">
        <v>0</v>
      </c>
      <c r="BO534" s="234">
        <v>0</v>
      </c>
      <c r="BP534" s="234"/>
      <c r="BQ534" s="234"/>
      <c r="BR534" s="237" t="s">
        <v>481</v>
      </c>
      <c r="BS534" s="238">
        <v>15</v>
      </c>
      <c r="BU534" s="239">
        <f t="shared" si="54"/>
        <v>0.75</v>
      </c>
      <c r="BV534" s="239">
        <f t="shared" si="55"/>
        <v>0.75</v>
      </c>
      <c r="BW534" s="239">
        <f t="shared" si="56"/>
        <v>0.75</v>
      </c>
      <c r="BX534" s="239">
        <f t="shared" si="57"/>
        <v>0.75</v>
      </c>
      <c r="CN534" s="238">
        <f t="shared" si="48"/>
        <v>3</v>
      </c>
      <c r="CO534" s="238">
        <f t="shared" si="49"/>
        <v>3</v>
      </c>
    </row>
    <row r="535" spans="1:93" ht="13.95" customHeight="1" x14ac:dyDescent="0.2">
      <c r="A535" s="231">
        <v>7344</v>
      </c>
      <c r="B535" s="232" t="s">
        <v>822</v>
      </c>
      <c r="C535" s="232" t="s">
        <v>1640</v>
      </c>
      <c r="D535" s="232" t="s">
        <v>1641</v>
      </c>
      <c r="E535" s="232" t="s">
        <v>317</v>
      </c>
      <c r="F535" s="231">
        <v>526471</v>
      </c>
      <c r="G535" s="231">
        <v>175874</v>
      </c>
      <c r="H535" s="232" t="s">
        <v>174</v>
      </c>
      <c r="I535" s="233"/>
      <c r="J535" s="231"/>
      <c r="K535" s="231">
        <v>0</v>
      </c>
      <c r="L535" s="231">
        <v>3</v>
      </c>
      <c r="M535" s="231">
        <v>3</v>
      </c>
      <c r="N535" s="231">
        <v>3</v>
      </c>
      <c r="O535" s="231">
        <v>3</v>
      </c>
      <c r="P535" s="234"/>
      <c r="Q535" s="232" t="s">
        <v>1642</v>
      </c>
      <c r="R535" s="234" t="s">
        <v>629</v>
      </c>
      <c r="S535" s="235">
        <v>43873</v>
      </c>
      <c r="T535" s="235">
        <v>43920</v>
      </c>
      <c r="U535" s="234"/>
      <c r="V535" s="232" t="s">
        <v>321</v>
      </c>
      <c r="W535" s="231"/>
      <c r="X535" s="232" t="s">
        <v>322</v>
      </c>
      <c r="Y535" s="232" t="s">
        <v>378</v>
      </c>
      <c r="Z535" s="232" t="s">
        <v>324</v>
      </c>
      <c r="AA535" s="232" t="s">
        <v>28</v>
      </c>
      <c r="AB535" s="236">
        <v>3.0000000000000001E-3</v>
      </c>
      <c r="AC535" s="235"/>
      <c r="AD535" s="234"/>
      <c r="AE535" s="234"/>
      <c r="AF535" s="232" t="s">
        <v>77</v>
      </c>
      <c r="AG535" s="232" t="s">
        <v>350</v>
      </c>
      <c r="AH535" s="234" t="s">
        <v>317</v>
      </c>
      <c r="AJ535" s="234">
        <v>0</v>
      </c>
      <c r="AK535" s="224"/>
      <c r="AL535" s="234">
        <v>0</v>
      </c>
      <c r="AM535" s="224"/>
      <c r="AN535" s="234">
        <v>0</v>
      </c>
      <c r="AO535" s="234">
        <v>2</v>
      </c>
      <c r="AP535" s="234">
        <v>1</v>
      </c>
      <c r="AQ535" s="234">
        <v>0</v>
      </c>
      <c r="AR535" s="234">
        <v>0</v>
      </c>
      <c r="AS535" s="234">
        <v>0</v>
      </c>
      <c r="AT535" s="234">
        <v>0</v>
      </c>
      <c r="AU535" s="234">
        <v>0</v>
      </c>
      <c r="AV535" s="234">
        <v>2</v>
      </c>
      <c r="AW535" s="234">
        <v>1</v>
      </c>
      <c r="AX535" s="234">
        <v>0</v>
      </c>
      <c r="AY535" s="234">
        <v>0</v>
      </c>
      <c r="AZ535" s="234">
        <v>0</v>
      </c>
      <c r="BA535" s="234">
        <v>0</v>
      </c>
      <c r="BB535" s="234">
        <v>0</v>
      </c>
      <c r="BC535" s="234">
        <v>0</v>
      </c>
      <c r="BD535" s="234">
        <v>0</v>
      </c>
      <c r="BE535" s="234">
        <v>0</v>
      </c>
      <c r="BF535" s="234">
        <v>0</v>
      </c>
      <c r="BG535" s="234">
        <v>0</v>
      </c>
      <c r="BH535" s="234">
        <v>0</v>
      </c>
      <c r="BI535" s="234">
        <v>0</v>
      </c>
      <c r="BJ535" s="234">
        <v>0</v>
      </c>
      <c r="BK535" s="234">
        <v>0</v>
      </c>
      <c r="BL535" s="234">
        <v>0</v>
      </c>
      <c r="BM535" s="234">
        <v>0</v>
      </c>
      <c r="BN535" s="234">
        <v>0</v>
      </c>
      <c r="BO535" s="234">
        <v>0</v>
      </c>
      <c r="BP535" s="234"/>
      <c r="BQ535" s="234"/>
      <c r="BR535" s="237" t="s">
        <v>481</v>
      </c>
      <c r="BS535" s="238">
        <v>15</v>
      </c>
      <c r="BU535" s="239">
        <f t="shared" si="54"/>
        <v>0.75</v>
      </c>
      <c r="BV535" s="239">
        <f t="shared" si="55"/>
        <v>0.75</v>
      </c>
      <c r="BW535" s="239">
        <f t="shared" si="56"/>
        <v>0.75</v>
      </c>
      <c r="BX535" s="239">
        <f t="shared" si="57"/>
        <v>0.75</v>
      </c>
      <c r="CN535" s="238">
        <f t="shared" si="48"/>
        <v>3</v>
      </c>
      <c r="CO535" s="238">
        <f t="shared" si="49"/>
        <v>3</v>
      </c>
    </row>
    <row r="536" spans="1:93" ht="13.95" customHeight="1" x14ac:dyDescent="0.2">
      <c r="A536" s="231">
        <v>5800</v>
      </c>
      <c r="B536" s="232" t="s">
        <v>822</v>
      </c>
      <c r="C536" s="232" t="s">
        <v>1643</v>
      </c>
      <c r="D536" s="232" t="s">
        <v>1644</v>
      </c>
      <c r="E536" s="232" t="s">
        <v>317</v>
      </c>
      <c r="F536" s="231">
        <v>526505</v>
      </c>
      <c r="G536" s="231">
        <v>175773</v>
      </c>
      <c r="H536" s="232" t="s">
        <v>174</v>
      </c>
      <c r="I536" s="233"/>
      <c r="J536" s="231"/>
      <c r="K536" s="231">
        <v>0</v>
      </c>
      <c r="L536" s="231">
        <v>3</v>
      </c>
      <c r="M536" s="231">
        <v>3</v>
      </c>
      <c r="N536" s="231">
        <v>3</v>
      </c>
      <c r="O536" s="231">
        <v>3</v>
      </c>
      <c r="P536" s="234"/>
      <c r="Q536" s="232" t="s">
        <v>1645</v>
      </c>
      <c r="R536" s="234" t="s">
        <v>629</v>
      </c>
      <c r="S536" s="235">
        <v>43895</v>
      </c>
      <c r="T536" s="235">
        <v>43938</v>
      </c>
      <c r="U536" s="234"/>
      <c r="V536" s="232" t="s">
        <v>321</v>
      </c>
      <c r="W536" s="231"/>
      <c r="X536" s="232" t="s">
        <v>322</v>
      </c>
      <c r="Y536" s="232" t="s">
        <v>378</v>
      </c>
      <c r="Z536" s="232" t="s">
        <v>324</v>
      </c>
      <c r="AA536" s="232" t="s">
        <v>28</v>
      </c>
      <c r="AB536" s="236">
        <v>1.2999999999999999E-2</v>
      </c>
      <c r="AC536" s="235"/>
      <c r="AD536" s="234"/>
      <c r="AE536" s="234"/>
      <c r="AF536" s="232" t="s">
        <v>77</v>
      </c>
      <c r="AG536" s="232" t="s">
        <v>350</v>
      </c>
      <c r="AH536" s="234" t="s">
        <v>1513</v>
      </c>
      <c r="AJ536" s="234">
        <v>0</v>
      </c>
      <c r="AK536" s="224"/>
      <c r="AL536" s="234">
        <v>0</v>
      </c>
      <c r="AM536" s="224"/>
      <c r="AN536" s="234">
        <v>0</v>
      </c>
      <c r="AO536" s="234">
        <v>3</v>
      </c>
      <c r="AP536" s="234">
        <v>0</v>
      </c>
      <c r="AQ536" s="234">
        <v>0</v>
      </c>
      <c r="AR536" s="234">
        <v>0</v>
      </c>
      <c r="AS536" s="234">
        <v>0</v>
      </c>
      <c r="AT536" s="234">
        <v>0</v>
      </c>
      <c r="AU536" s="234">
        <v>0</v>
      </c>
      <c r="AV536" s="234">
        <v>3</v>
      </c>
      <c r="AW536" s="234">
        <v>0</v>
      </c>
      <c r="AX536" s="234">
        <v>0</v>
      </c>
      <c r="AY536" s="234">
        <v>0</v>
      </c>
      <c r="AZ536" s="234">
        <v>0</v>
      </c>
      <c r="BA536" s="234">
        <v>0</v>
      </c>
      <c r="BB536" s="234">
        <v>0</v>
      </c>
      <c r="BC536" s="234">
        <v>0</v>
      </c>
      <c r="BD536" s="234">
        <v>0</v>
      </c>
      <c r="BE536" s="234">
        <v>0</v>
      </c>
      <c r="BF536" s="234">
        <v>0</v>
      </c>
      <c r="BG536" s="234">
        <v>0</v>
      </c>
      <c r="BH536" s="234">
        <v>0</v>
      </c>
      <c r="BI536" s="234">
        <v>0</v>
      </c>
      <c r="BJ536" s="234">
        <v>0</v>
      </c>
      <c r="BK536" s="234">
        <v>0</v>
      </c>
      <c r="BL536" s="234">
        <v>0</v>
      </c>
      <c r="BM536" s="234">
        <v>0</v>
      </c>
      <c r="BN536" s="234">
        <v>0</v>
      </c>
      <c r="BO536" s="234">
        <v>0</v>
      </c>
      <c r="BP536" s="234"/>
      <c r="BQ536" s="234"/>
      <c r="BR536" s="237" t="s">
        <v>481</v>
      </c>
      <c r="BS536" s="238">
        <v>15</v>
      </c>
      <c r="BU536" s="239">
        <f t="shared" si="54"/>
        <v>0.75</v>
      </c>
      <c r="BV536" s="239">
        <f t="shared" si="55"/>
        <v>0.75</v>
      </c>
      <c r="BW536" s="239">
        <f t="shared" si="56"/>
        <v>0.75</v>
      </c>
      <c r="BX536" s="239">
        <f t="shared" si="57"/>
        <v>0.75</v>
      </c>
      <c r="CN536" s="238">
        <f t="shared" si="48"/>
        <v>3</v>
      </c>
      <c r="CO536" s="238">
        <f t="shared" si="49"/>
        <v>3</v>
      </c>
    </row>
    <row r="537" spans="1:93" s="249" customFormat="1" ht="13.95" customHeight="1" x14ac:dyDescent="0.2">
      <c r="A537" s="231">
        <v>6600</v>
      </c>
      <c r="B537" s="232" t="s">
        <v>822</v>
      </c>
      <c r="C537" s="232" t="s">
        <v>1646</v>
      </c>
      <c r="D537" s="232" t="s">
        <v>1647</v>
      </c>
      <c r="E537" s="232" t="s">
        <v>317</v>
      </c>
      <c r="F537" s="231">
        <v>525959</v>
      </c>
      <c r="G537" s="231">
        <v>174033</v>
      </c>
      <c r="H537" s="232" t="s">
        <v>179</v>
      </c>
      <c r="I537" s="233"/>
      <c r="J537" s="231"/>
      <c r="K537" s="231">
        <v>0</v>
      </c>
      <c r="L537" s="231">
        <v>2</v>
      </c>
      <c r="M537" s="231">
        <v>2</v>
      </c>
      <c r="N537" s="231">
        <v>2</v>
      </c>
      <c r="O537" s="231">
        <v>2</v>
      </c>
      <c r="P537" s="234"/>
      <c r="Q537" s="232" t="s">
        <v>1648</v>
      </c>
      <c r="R537" s="234" t="s">
        <v>428</v>
      </c>
      <c r="S537" s="235">
        <v>44222</v>
      </c>
      <c r="T537" s="235">
        <v>44280</v>
      </c>
      <c r="U537" s="234"/>
      <c r="V537" s="232" t="s">
        <v>321</v>
      </c>
      <c r="W537" s="231"/>
      <c r="X537" s="232" t="s">
        <v>322</v>
      </c>
      <c r="Y537" s="232" t="s">
        <v>378</v>
      </c>
      <c r="Z537" s="232" t="s">
        <v>324</v>
      </c>
      <c r="AA537" s="232" t="s">
        <v>25</v>
      </c>
      <c r="AB537" s="236">
        <v>6.0000000000000001E-3</v>
      </c>
      <c r="AC537" s="235"/>
      <c r="AD537" s="234"/>
      <c r="AE537" s="234"/>
      <c r="AF537" s="232" t="s">
        <v>77</v>
      </c>
      <c r="AG537" s="232" t="s">
        <v>350</v>
      </c>
      <c r="AH537" s="234" t="s">
        <v>317</v>
      </c>
      <c r="AI537" s="224"/>
      <c r="AJ537" s="234">
        <v>0</v>
      </c>
      <c r="AK537" s="224"/>
      <c r="AL537" s="234">
        <v>0</v>
      </c>
      <c r="AM537" s="224"/>
      <c r="AN537" s="234">
        <v>1</v>
      </c>
      <c r="AO537" s="234">
        <v>1</v>
      </c>
      <c r="AP537" s="234">
        <v>0</v>
      </c>
      <c r="AQ537" s="234">
        <v>0</v>
      </c>
      <c r="AR537" s="234">
        <v>0</v>
      </c>
      <c r="AS537" s="234">
        <v>0</v>
      </c>
      <c r="AT537" s="234">
        <v>0</v>
      </c>
      <c r="AU537" s="234">
        <v>1</v>
      </c>
      <c r="AV537" s="234">
        <v>1</v>
      </c>
      <c r="AW537" s="234">
        <v>0</v>
      </c>
      <c r="AX537" s="234">
        <v>0</v>
      </c>
      <c r="AY537" s="234">
        <v>0</v>
      </c>
      <c r="AZ537" s="234">
        <v>0</v>
      </c>
      <c r="BA537" s="234">
        <v>0</v>
      </c>
      <c r="BB537" s="234">
        <v>0</v>
      </c>
      <c r="BC537" s="234">
        <v>0</v>
      </c>
      <c r="BD537" s="234">
        <v>0</v>
      </c>
      <c r="BE537" s="234">
        <v>0</v>
      </c>
      <c r="BF537" s="234">
        <v>0</v>
      </c>
      <c r="BG537" s="234">
        <v>0</v>
      </c>
      <c r="BH537" s="234">
        <v>0</v>
      </c>
      <c r="BI537" s="234">
        <v>0</v>
      </c>
      <c r="BJ537" s="234">
        <v>0</v>
      </c>
      <c r="BK537" s="234">
        <v>0</v>
      </c>
      <c r="BL537" s="234">
        <v>0</v>
      </c>
      <c r="BM537" s="234">
        <v>0</v>
      </c>
      <c r="BN537" s="234">
        <v>0</v>
      </c>
      <c r="BO537" s="234">
        <v>0</v>
      </c>
      <c r="BP537" s="234"/>
      <c r="BQ537" s="234"/>
      <c r="BR537" s="237" t="s">
        <v>334</v>
      </c>
      <c r="BS537" s="238">
        <v>15</v>
      </c>
      <c r="BT537" s="239"/>
      <c r="BU537" s="239">
        <f t="shared" si="54"/>
        <v>0.5</v>
      </c>
      <c r="BV537" s="239">
        <f t="shared" si="55"/>
        <v>0.5</v>
      </c>
      <c r="BW537" s="239">
        <f t="shared" si="56"/>
        <v>0.5</v>
      </c>
      <c r="BX537" s="239">
        <f t="shared" si="57"/>
        <v>0.5</v>
      </c>
      <c r="BY537" s="239"/>
      <c r="BZ537" s="239"/>
      <c r="CA537" s="239"/>
      <c r="CB537" s="239"/>
      <c r="CC537" s="239"/>
      <c r="CD537" s="239"/>
      <c r="CE537" s="239"/>
      <c r="CF537" s="239"/>
      <c r="CG537" s="239"/>
      <c r="CH537" s="239"/>
      <c r="CI537" s="239"/>
      <c r="CJ537" s="239"/>
      <c r="CK537" s="239"/>
      <c r="CL537" s="239"/>
      <c r="CM537" s="239"/>
      <c r="CN537" s="238">
        <f t="shared" si="48"/>
        <v>2</v>
      </c>
      <c r="CO537" s="238">
        <f t="shared" si="49"/>
        <v>2</v>
      </c>
    </row>
    <row r="538" spans="1:93" ht="13.95" customHeight="1" x14ac:dyDescent="0.2">
      <c r="A538" s="231">
        <v>6059</v>
      </c>
      <c r="B538" s="232" t="s">
        <v>822</v>
      </c>
      <c r="C538" s="232" t="s">
        <v>1649</v>
      </c>
      <c r="D538" s="232" t="s">
        <v>1650</v>
      </c>
      <c r="E538" s="232" t="s">
        <v>317</v>
      </c>
      <c r="F538" s="231">
        <v>522113</v>
      </c>
      <c r="G538" s="231">
        <v>175402</v>
      </c>
      <c r="H538" s="232" t="s">
        <v>170</v>
      </c>
      <c r="I538" s="233"/>
      <c r="J538" s="231"/>
      <c r="K538" s="231">
        <v>1</v>
      </c>
      <c r="L538" s="231">
        <v>3</v>
      </c>
      <c r="M538" s="231">
        <v>2</v>
      </c>
      <c r="N538" s="231">
        <v>3</v>
      </c>
      <c r="O538" s="231">
        <v>2</v>
      </c>
      <c r="P538" s="234"/>
      <c r="Q538" s="232" t="s">
        <v>1651</v>
      </c>
      <c r="R538" s="234" t="s">
        <v>332</v>
      </c>
      <c r="S538" s="235">
        <v>43350</v>
      </c>
      <c r="T538" s="235">
        <v>43406</v>
      </c>
      <c r="U538" s="234"/>
      <c r="V538" s="232" t="s">
        <v>321</v>
      </c>
      <c r="W538" s="231"/>
      <c r="X538" s="232" t="s">
        <v>322</v>
      </c>
      <c r="Y538" s="232" t="s">
        <v>338</v>
      </c>
      <c r="Z538" s="232" t="s">
        <v>324</v>
      </c>
      <c r="AA538" s="232" t="s">
        <v>15</v>
      </c>
      <c r="AB538" s="236">
        <v>2.8000000000000001E-2</v>
      </c>
      <c r="AC538" s="235"/>
      <c r="AD538" s="234"/>
      <c r="AE538" s="234"/>
      <c r="AF538" s="232" t="s">
        <v>77</v>
      </c>
      <c r="AG538" s="232" t="s">
        <v>350</v>
      </c>
      <c r="AH538" s="234" t="s">
        <v>317</v>
      </c>
      <c r="AJ538" s="234">
        <v>0</v>
      </c>
      <c r="AK538" s="224"/>
      <c r="AL538" s="234">
        <v>0</v>
      </c>
      <c r="AM538" s="224"/>
      <c r="AN538" s="234">
        <v>0</v>
      </c>
      <c r="AO538" s="234">
        <v>1</v>
      </c>
      <c r="AP538" s="234">
        <v>1</v>
      </c>
      <c r="AQ538" s="234">
        <v>1</v>
      </c>
      <c r="AR538" s="234">
        <v>0</v>
      </c>
      <c r="AS538" s="234">
        <v>-1</v>
      </c>
      <c r="AT538" s="234">
        <v>0</v>
      </c>
      <c r="AU538" s="234">
        <v>0</v>
      </c>
      <c r="AV538" s="234">
        <v>1</v>
      </c>
      <c r="AW538" s="234">
        <v>1</v>
      </c>
      <c r="AX538" s="234">
        <v>1</v>
      </c>
      <c r="AY538" s="234">
        <v>0</v>
      </c>
      <c r="AZ538" s="234">
        <v>0</v>
      </c>
      <c r="BA538" s="234">
        <v>0</v>
      </c>
      <c r="BB538" s="234">
        <v>0</v>
      </c>
      <c r="BC538" s="234">
        <v>0</v>
      </c>
      <c r="BD538" s="234">
        <v>0</v>
      </c>
      <c r="BE538" s="234">
        <v>0</v>
      </c>
      <c r="BF538" s="234">
        <v>0</v>
      </c>
      <c r="BG538" s="234">
        <v>-1</v>
      </c>
      <c r="BH538" s="234">
        <v>0</v>
      </c>
      <c r="BI538" s="234">
        <v>0</v>
      </c>
      <c r="BJ538" s="234">
        <v>0</v>
      </c>
      <c r="BK538" s="234">
        <v>0</v>
      </c>
      <c r="BL538" s="234">
        <v>0</v>
      </c>
      <c r="BM538" s="234">
        <v>0</v>
      </c>
      <c r="BN538" s="234">
        <v>0</v>
      </c>
      <c r="BO538" s="234">
        <v>0</v>
      </c>
      <c r="BP538" s="234"/>
      <c r="BQ538" s="234"/>
      <c r="BR538" s="237" t="s">
        <v>334</v>
      </c>
      <c r="BS538" s="238">
        <v>15</v>
      </c>
      <c r="BU538" s="239">
        <f t="shared" si="54"/>
        <v>0.5</v>
      </c>
      <c r="BV538" s="239">
        <f t="shared" si="55"/>
        <v>0.5</v>
      </c>
      <c r="BW538" s="239">
        <f t="shared" si="56"/>
        <v>0.5</v>
      </c>
      <c r="BX538" s="239">
        <f t="shared" si="57"/>
        <v>0.5</v>
      </c>
      <c r="CN538" s="238">
        <f t="shared" si="48"/>
        <v>2</v>
      </c>
      <c r="CO538" s="238">
        <f t="shared" si="49"/>
        <v>2</v>
      </c>
    </row>
    <row r="539" spans="1:93" ht="13.95" customHeight="1" x14ac:dyDescent="0.2">
      <c r="A539" s="231">
        <v>7435</v>
      </c>
      <c r="B539" s="232" t="s">
        <v>822</v>
      </c>
      <c r="C539" s="232" t="s">
        <v>1652</v>
      </c>
      <c r="D539" s="232" t="s">
        <v>1653</v>
      </c>
      <c r="E539" s="232" t="s">
        <v>317</v>
      </c>
      <c r="F539" s="231">
        <v>527953</v>
      </c>
      <c r="G539" s="231">
        <v>172977</v>
      </c>
      <c r="H539" s="232" t="s">
        <v>178</v>
      </c>
      <c r="I539" s="233"/>
      <c r="J539" s="231"/>
      <c r="K539" s="231">
        <v>1</v>
      </c>
      <c r="L539" s="231">
        <v>3</v>
      </c>
      <c r="M539" s="231">
        <v>2</v>
      </c>
      <c r="N539" s="231">
        <v>3</v>
      </c>
      <c r="O539" s="231">
        <v>2</v>
      </c>
      <c r="P539" s="234"/>
      <c r="Q539" s="232" t="s">
        <v>1654</v>
      </c>
      <c r="R539" s="234" t="s">
        <v>332</v>
      </c>
      <c r="S539" s="235">
        <v>44047</v>
      </c>
      <c r="T539" s="235">
        <v>44112</v>
      </c>
      <c r="U539" s="234"/>
      <c r="V539" s="232" t="s">
        <v>321</v>
      </c>
      <c r="W539" s="231"/>
      <c r="X539" s="232" t="s">
        <v>322</v>
      </c>
      <c r="Y539" s="232" t="s">
        <v>338</v>
      </c>
      <c r="Z539" s="232" t="s">
        <v>324</v>
      </c>
      <c r="AA539" s="232" t="s">
        <v>15</v>
      </c>
      <c r="AB539" s="236">
        <v>2.7E-2</v>
      </c>
      <c r="AC539" s="235"/>
      <c r="AD539" s="234"/>
      <c r="AE539" s="234"/>
      <c r="AF539" s="232" t="s">
        <v>77</v>
      </c>
      <c r="AG539" s="232" t="s">
        <v>350</v>
      </c>
      <c r="AH539" s="234" t="s">
        <v>317</v>
      </c>
      <c r="AJ539" s="234">
        <v>0</v>
      </c>
      <c r="AK539" s="224"/>
      <c r="AL539" s="234">
        <v>0</v>
      </c>
      <c r="AM539" s="224"/>
      <c r="AN539" s="234">
        <v>0</v>
      </c>
      <c r="AO539" s="234">
        <v>0</v>
      </c>
      <c r="AP539" s="234">
        <v>2</v>
      </c>
      <c r="AQ539" s="234">
        <v>1</v>
      </c>
      <c r="AR539" s="234">
        <v>0</v>
      </c>
      <c r="AS539" s="234">
        <v>-1</v>
      </c>
      <c r="AT539" s="234">
        <v>0</v>
      </c>
      <c r="AU539" s="234">
        <v>0</v>
      </c>
      <c r="AV539" s="234">
        <v>0</v>
      </c>
      <c r="AW539" s="234">
        <v>2</v>
      </c>
      <c r="AX539" s="234">
        <v>1</v>
      </c>
      <c r="AY539" s="234">
        <v>0</v>
      </c>
      <c r="AZ539" s="234">
        <v>0</v>
      </c>
      <c r="BA539" s="234">
        <v>0</v>
      </c>
      <c r="BB539" s="234">
        <v>0</v>
      </c>
      <c r="BC539" s="234">
        <v>0</v>
      </c>
      <c r="BD539" s="234">
        <v>0</v>
      </c>
      <c r="BE539" s="234">
        <v>0</v>
      </c>
      <c r="BF539" s="234">
        <v>0</v>
      </c>
      <c r="BG539" s="234">
        <v>-1</v>
      </c>
      <c r="BH539" s="234">
        <v>0</v>
      </c>
      <c r="BI539" s="234">
        <v>0</v>
      </c>
      <c r="BJ539" s="234">
        <v>0</v>
      </c>
      <c r="BK539" s="234">
        <v>0</v>
      </c>
      <c r="BL539" s="234">
        <v>0</v>
      </c>
      <c r="BM539" s="234">
        <v>0</v>
      </c>
      <c r="BN539" s="234">
        <v>0</v>
      </c>
      <c r="BO539" s="234">
        <v>0</v>
      </c>
      <c r="BP539" s="234"/>
      <c r="BQ539" s="234"/>
      <c r="BR539" s="237" t="s">
        <v>334</v>
      </c>
      <c r="BS539" s="238">
        <v>15</v>
      </c>
      <c r="BU539" s="239">
        <f t="shared" si="54"/>
        <v>0.5</v>
      </c>
      <c r="BV539" s="239">
        <f t="shared" si="55"/>
        <v>0.5</v>
      </c>
      <c r="BW539" s="239">
        <f t="shared" si="56"/>
        <v>0.5</v>
      </c>
      <c r="BX539" s="239">
        <f t="shared" si="57"/>
        <v>0.5</v>
      </c>
      <c r="CN539" s="238">
        <f t="shared" si="48"/>
        <v>2</v>
      </c>
      <c r="CO539" s="238">
        <f t="shared" si="49"/>
        <v>2</v>
      </c>
    </row>
    <row r="540" spans="1:93" s="249" customFormat="1" ht="13.95" customHeight="1" x14ac:dyDescent="0.2">
      <c r="A540" s="231">
        <v>7057</v>
      </c>
      <c r="B540" s="232" t="s">
        <v>822</v>
      </c>
      <c r="C540" s="232" t="s">
        <v>1655</v>
      </c>
      <c r="D540" s="232" t="s">
        <v>1656</v>
      </c>
      <c r="E540" s="232" t="s">
        <v>317</v>
      </c>
      <c r="F540" s="231">
        <v>521700</v>
      </c>
      <c r="G540" s="231">
        <v>172445</v>
      </c>
      <c r="H540" s="232" t="s">
        <v>170</v>
      </c>
      <c r="I540" s="233"/>
      <c r="J540" s="231"/>
      <c r="K540" s="231">
        <v>1</v>
      </c>
      <c r="L540" s="231">
        <v>3</v>
      </c>
      <c r="M540" s="231">
        <v>2</v>
      </c>
      <c r="N540" s="231">
        <v>3</v>
      </c>
      <c r="O540" s="231">
        <v>2</v>
      </c>
      <c r="P540" s="234"/>
      <c r="Q540" s="232" t="s">
        <v>1657</v>
      </c>
      <c r="R540" s="234" t="s">
        <v>332</v>
      </c>
      <c r="S540" s="235">
        <v>43517</v>
      </c>
      <c r="T540" s="235">
        <v>43584</v>
      </c>
      <c r="U540" s="234"/>
      <c r="V540" s="232" t="s">
        <v>321</v>
      </c>
      <c r="W540" s="231"/>
      <c r="X540" s="232" t="s">
        <v>322</v>
      </c>
      <c r="Y540" s="232" t="s">
        <v>338</v>
      </c>
      <c r="Z540" s="232" t="s">
        <v>324</v>
      </c>
      <c r="AA540" s="232" t="s">
        <v>15</v>
      </c>
      <c r="AB540" s="236">
        <v>5.5E-2</v>
      </c>
      <c r="AC540" s="235"/>
      <c r="AD540" s="234"/>
      <c r="AE540" s="234"/>
      <c r="AF540" s="232" t="s">
        <v>77</v>
      </c>
      <c r="AG540" s="232" t="s">
        <v>350</v>
      </c>
      <c r="AH540" s="234" t="s">
        <v>317</v>
      </c>
      <c r="AI540" s="224"/>
      <c r="AJ540" s="234">
        <v>0</v>
      </c>
      <c r="AK540" s="224"/>
      <c r="AL540" s="234">
        <v>0</v>
      </c>
      <c r="AM540" s="224"/>
      <c r="AN540" s="234">
        <v>0</v>
      </c>
      <c r="AO540" s="234">
        <v>1</v>
      </c>
      <c r="AP540" s="234">
        <v>0</v>
      </c>
      <c r="AQ540" s="234">
        <v>2</v>
      </c>
      <c r="AR540" s="234">
        <v>-1</v>
      </c>
      <c r="AS540" s="234">
        <v>0</v>
      </c>
      <c r="AT540" s="234">
        <v>0</v>
      </c>
      <c r="AU540" s="234">
        <v>0</v>
      </c>
      <c r="AV540" s="234">
        <v>1</v>
      </c>
      <c r="AW540" s="234">
        <v>0</v>
      </c>
      <c r="AX540" s="234">
        <v>2</v>
      </c>
      <c r="AY540" s="234">
        <v>0</v>
      </c>
      <c r="AZ540" s="234">
        <v>0</v>
      </c>
      <c r="BA540" s="234">
        <v>0</v>
      </c>
      <c r="BB540" s="234">
        <v>0</v>
      </c>
      <c r="BC540" s="234">
        <v>0</v>
      </c>
      <c r="BD540" s="234">
        <v>0</v>
      </c>
      <c r="BE540" s="234">
        <v>0</v>
      </c>
      <c r="BF540" s="234">
        <v>-1</v>
      </c>
      <c r="BG540" s="234">
        <v>0</v>
      </c>
      <c r="BH540" s="234">
        <v>0</v>
      </c>
      <c r="BI540" s="234">
        <v>0</v>
      </c>
      <c r="BJ540" s="234">
        <v>0</v>
      </c>
      <c r="BK540" s="234">
        <v>0</v>
      </c>
      <c r="BL540" s="234">
        <v>0</v>
      </c>
      <c r="BM540" s="234">
        <v>0</v>
      </c>
      <c r="BN540" s="234">
        <v>0</v>
      </c>
      <c r="BO540" s="234">
        <v>0</v>
      </c>
      <c r="BP540" s="234"/>
      <c r="BQ540" s="234"/>
      <c r="BR540" s="237" t="s">
        <v>334</v>
      </c>
      <c r="BS540" s="238">
        <v>15</v>
      </c>
      <c r="BT540" s="239"/>
      <c r="BU540" s="239">
        <f t="shared" si="54"/>
        <v>0.5</v>
      </c>
      <c r="BV540" s="239">
        <f t="shared" si="55"/>
        <v>0.5</v>
      </c>
      <c r="BW540" s="239">
        <f t="shared" si="56"/>
        <v>0.5</v>
      </c>
      <c r="BX540" s="239">
        <f t="shared" si="57"/>
        <v>0.5</v>
      </c>
      <c r="BY540" s="239"/>
      <c r="BZ540" s="239"/>
      <c r="CA540" s="239"/>
      <c r="CB540" s="239"/>
      <c r="CC540" s="239"/>
      <c r="CD540" s="239"/>
      <c r="CE540" s="239"/>
      <c r="CF540" s="239"/>
      <c r="CG540" s="239"/>
      <c r="CH540" s="239"/>
      <c r="CI540" s="239"/>
      <c r="CJ540" s="239"/>
      <c r="CK540" s="239"/>
      <c r="CL540" s="239"/>
      <c r="CM540" s="239"/>
      <c r="CN540" s="238">
        <f t="shared" si="48"/>
        <v>2</v>
      </c>
      <c r="CO540" s="238">
        <f t="shared" si="49"/>
        <v>2</v>
      </c>
    </row>
    <row r="541" spans="1:93" ht="13.95" customHeight="1" x14ac:dyDescent="0.2">
      <c r="A541" s="231">
        <v>6277</v>
      </c>
      <c r="B541" s="232" t="s">
        <v>822</v>
      </c>
      <c r="C541" s="232" t="s">
        <v>1658</v>
      </c>
      <c r="D541" s="232" t="s">
        <v>1659</v>
      </c>
      <c r="E541" s="232" t="s">
        <v>317</v>
      </c>
      <c r="F541" s="231">
        <v>527645</v>
      </c>
      <c r="G541" s="231">
        <v>170659</v>
      </c>
      <c r="H541" s="232" t="s">
        <v>177</v>
      </c>
      <c r="I541" s="233"/>
      <c r="J541" s="231"/>
      <c r="K541" s="231">
        <v>1</v>
      </c>
      <c r="L541" s="231">
        <v>3</v>
      </c>
      <c r="M541" s="231">
        <v>2</v>
      </c>
      <c r="N541" s="231">
        <v>4</v>
      </c>
      <c r="O541" s="231">
        <v>3</v>
      </c>
      <c r="P541" s="234"/>
      <c r="Q541" s="232" t="s">
        <v>1660</v>
      </c>
      <c r="R541" s="234" t="s">
        <v>332</v>
      </c>
      <c r="S541" s="235">
        <v>44063</v>
      </c>
      <c r="T541" s="235">
        <v>44187</v>
      </c>
      <c r="U541" s="234"/>
      <c r="V541" s="232" t="s">
        <v>321</v>
      </c>
      <c r="W541" s="231"/>
      <c r="X541" s="232" t="s">
        <v>322</v>
      </c>
      <c r="Y541" s="232" t="s">
        <v>338</v>
      </c>
      <c r="Z541" s="232" t="s">
        <v>324</v>
      </c>
      <c r="AA541" s="232" t="s">
        <v>15</v>
      </c>
      <c r="AB541" s="236">
        <v>8.9999999999999993E-3</v>
      </c>
      <c r="AC541" s="235"/>
      <c r="AD541" s="234"/>
      <c r="AE541" s="234"/>
      <c r="AF541" s="232" t="s">
        <v>77</v>
      </c>
      <c r="AG541" s="232" t="s">
        <v>350</v>
      </c>
      <c r="AH541" s="234" t="s">
        <v>317</v>
      </c>
      <c r="AJ541" s="234">
        <v>0</v>
      </c>
      <c r="AK541" s="224"/>
      <c r="AL541" s="234">
        <v>0</v>
      </c>
      <c r="AM541" s="224"/>
      <c r="AN541" s="234">
        <v>0</v>
      </c>
      <c r="AO541" s="234">
        <v>0</v>
      </c>
      <c r="AP541" s="234">
        <v>1</v>
      </c>
      <c r="AQ541" s="234">
        <v>2</v>
      </c>
      <c r="AR541" s="234">
        <v>0</v>
      </c>
      <c r="AS541" s="234">
        <v>-1</v>
      </c>
      <c r="AT541" s="234">
        <v>0</v>
      </c>
      <c r="AU541" s="234">
        <v>0</v>
      </c>
      <c r="AV541" s="234">
        <v>0</v>
      </c>
      <c r="AW541" s="234">
        <v>1</v>
      </c>
      <c r="AX541" s="234">
        <v>2</v>
      </c>
      <c r="AY541" s="234">
        <v>0</v>
      </c>
      <c r="AZ541" s="234">
        <v>0</v>
      </c>
      <c r="BA541" s="234">
        <v>0</v>
      </c>
      <c r="BB541" s="234">
        <v>0</v>
      </c>
      <c r="BC541" s="234">
        <v>0</v>
      </c>
      <c r="BD541" s="234">
        <v>0</v>
      </c>
      <c r="BE541" s="234">
        <v>0</v>
      </c>
      <c r="BF541" s="234">
        <v>0</v>
      </c>
      <c r="BG541" s="234">
        <v>-1</v>
      </c>
      <c r="BH541" s="234">
        <v>0</v>
      </c>
      <c r="BI541" s="234">
        <v>0</v>
      </c>
      <c r="BJ541" s="234">
        <v>0</v>
      </c>
      <c r="BK541" s="234">
        <v>0</v>
      </c>
      <c r="BL541" s="234">
        <v>0</v>
      </c>
      <c r="BM541" s="234">
        <v>0</v>
      </c>
      <c r="BN541" s="234">
        <v>0</v>
      </c>
      <c r="BO541" s="234">
        <v>0</v>
      </c>
      <c r="BP541" s="234"/>
      <c r="BQ541" s="234"/>
      <c r="BR541" s="237" t="s">
        <v>334</v>
      </c>
      <c r="BS541" s="238">
        <v>15</v>
      </c>
      <c r="BU541" s="239">
        <f t="shared" si="54"/>
        <v>0.5</v>
      </c>
      <c r="BV541" s="239">
        <f t="shared" si="55"/>
        <v>0.5</v>
      </c>
      <c r="BW541" s="239">
        <f t="shared" si="56"/>
        <v>0.5</v>
      </c>
      <c r="BX541" s="239">
        <f t="shared" si="57"/>
        <v>0.5</v>
      </c>
      <c r="CN541" s="238">
        <f t="shared" si="48"/>
        <v>2</v>
      </c>
      <c r="CO541" s="238">
        <f t="shared" si="49"/>
        <v>2</v>
      </c>
    </row>
    <row r="542" spans="1:93" ht="13.95" customHeight="1" x14ac:dyDescent="0.2">
      <c r="A542" s="231">
        <v>7437</v>
      </c>
      <c r="B542" s="232" t="s">
        <v>822</v>
      </c>
      <c r="C542" s="232" t="s">
        <v>1661</v>
      </c>
      <c r="D542" s="232" t="s">
        <v>1662</v>
      </c>
      <c r="E542" s="232" t="s">
        <v>317</v>
      </c>
      <c r="F542" s="231">
        <v>525471</v>
      </c>
      <c r="G542" s="231">
        <v>174681</v>
      </c>
      <c r="H542" s="232" t="s">
        <v>181</v>
      </c>
      <c r="I542" s="233"/>
      <c r="J542" s="231"/>
      <c r="K542" s="231">
        <v>0</v>
      </c>
      <c r="L542" s="231">
        <v>2</v>
      </c>
      <c r="M542" s="231">
        <v>2</v>
      </c>
      <c r="N542" s="231">
        <v>2</v>
      </c>
      <c r="O542" s="231">
        <v>2</v>
      </c>
      <c r="P542" s="234"/>
      <c r="Q542" s="232" t="s">
        <v>1663</v>
      </c>
      <c r="R542" s="234" t="s">
        <v>332</v>
      </c>
      <c r="S542" s="235">
        <v>44054</v>
      </c>
      <c r="T542" s="235">
        <v>44272</v>
      </c>
      <c r="U542" s="234"/>
      <c r="V542" s="232" t="s">
        <v>321</v>
      </c>
      <c r="W542" s="231"/>
      <c r="X542" s="232" t="s">
        <v>322</v>
      </c>
      <c r="Y542" s="232" t="s">
        <v>338</v>
      </c>
      <c r="Z542" s="232" t="s">
        <v>324</v>
      </c>
      <c r="AA542" s="232" t="s">
        <v>354</v>
      </c>
      <c r="AB542" s="236">
        <v>2E-3</v>
      </c>
      <c r="AC542" s="235"/>
      <c r="AD542" s="234"/>
      <c r="AE542" s="234"/>
      <c r="AF542" s="232" t="s">
        <v>77</v>
      </c>
      <c r="AG542" s="232" t="s">
        <v>350</v>
      </c>
      <c r="AH542" s="234" t="s">
        <v>317</v>
      </c>
      <c r="AJ542" s="234">
        <v>0</v>
      </c>
      <c r="AK542" s="224"/>
      <c r="AL542" s="234">
        <v>0</v>
      </c>
      <c r="AM542" s="224"/>
      <c r="AN542" s="234">
        <v>0</v>
      </c>
      <c r="AO542" s="234">
        <v>1</v>
      </c>
      <c r="AP542" s="234">
        <v>1</v>
      </c>
      <c r="AQ542" s="234">
        <v>0</v>
      </c>
      <c r="AR542" s="234">
        <v>0</v>
      </c>
      <c r="AS542" s="234">
        <v>0</v>
      </c>
      <c r="AT542" s="234">
        <v>0</v>
      </c>
      <c r="AU542" s="234">
        <v>0</v>
      </c>
      <c r="AV542" s="234">
        <v>1</v>
      </c>
      <c r="AW542" s="234">
        <v>1</v>
      </c>
      <c r="AX542" s="234">
        <v>0</v>
      </c>
      <c r="AY542" s="234">
        <v>0</v>
      </c>
      <c r="AZ542" s="234">
        <v>0</v>
      </c>
      <c r="BA542" s="234">
        <v>0</v>
      </c>
      <c r="BB542" s="234">
        <v>0</v>
      </c>
      <c r="BC542" s="234">
        <v>0</v>
      </c>
      <c r="BD542" s="234">
        <v>0</v>
      </c>
      <c r="BE542" s="234">
        <v>0</v>
      </c>
      <c r="BF542" s="234">
        <v>0</v>
      </c>
      <c r="BG542" s="234">
        <v>0</v>
      </c>
      <c r="BH542" s="234">
        <v>0</v>
      </c>
      <c r="BI542" s="234">
        <v>0</v>
      </c>
      <c r="BJ542" s="234">
        <v>0</v>
      </c>
      <c r="BK542" s="234">
        <v>0</v>
      </c>
      <c r="BL542" s="234">
        <v>0</v>
      </c>
      <c r="BM542" s="234">
        <v>0</v>
      </c>
      <c r="BN542" s="234">
        <v>0</v>
      </c>
      <c r="BO542" s="234">
        <v>0</v>
      </c>
      <c r="BP542" s="234" t="s">
        <v>145</v>
      </c>
      <c r="BQ542" s="234"/>
      <c r="BR542" s="237" t="s">
        <v>327</v>
      </c>
      <c r="BS542" s="238">
        <v>15</v>
      </c>
      <c r="BU542" s="239">
        <f t="shared" si="54"/>
        <v>0.5</v>
      </c>
      <c r="BV542" s="239">
        <f t="shared" si="55"/>
        <v>0.5</v>
      </c>
      <c r="BW542" s="239">
        <f t="shared" si="56"/>
        <v>0.5</v>
      </c>
      <c r="BX542" s="239">
        <f t="shared" si="57"/>
        <v>0.5</v>
      </c>
      <c r="CN542" s="238">
        <f t="shared" si="48"/>
        <v>2</v>
      </c>
      <c r="CO542" s="238">
        <f t="shared" si="49"/>
        <v>2</v>
      </c>
    </row>
    <row r="543" spans="1:93" ht="13.95" customHeight="1" x14ac:dyDescent="0.2">
      <c r="A543" s="231">
        <v>7858</v>
      </c>
      <c r="B543" s="232" t="s">
        <v>822</v>
      </c>
      <c r="C543" s="232" t="s">
        <v>1664</v>
      </c>
      <c r="D543" s="232" t="s">
        <v>1665</v>
      </c>
      <c r="E543" s="232" t="s">
        <v>317</v>
      </c>
      <c r="F543" s="231">
        <v>528443</v>
      </c>
      <c r="G543" s="231">
        <v>171438</v>
      </c>
      <c r="H543" s="232" t="s">
        <v>176</v>
      </c>
      <c r="I543" s="233"/>
      <c r="J543" s="231"/>
      <c r="K543" s="231">
        <v>1</v>
      </c>
      <c r="L543" s="231">
        <v>3</v>
      </c>
      <c r="M543" s="231">
        <v>2</v>
      </c>
      <c r="N543" s="231">
        <v>3</v>
      </c>
      <c r="O543" s="231">
        <v>2</v>
      </c>
      <c r="P543" s="234"/>
      <c r="Q543" s="232" t="s">
        <v>1666</v>
      </c>
      <c r="R543" s="234" t="s">
        <v>332</v>
      </c>
      <c r="S543" s="235">
        <v>44711</v>
      </c>
      <c r="T543" s="235">
        <v>44767</v>
      </c>
      <c r="U543" s="234" t="s">
        <v>318</v>
      </c>
      <c r="V543" s="232" t="s">
        <v>321</v>
      </c>
      <c r="W543" s="231"/>
      <c r="X543" s="232" t="s">
        <v>322</v>
      </c>
      <c r="Y543" s="232" t="s">
        <v>338</v>
      </c>
      <c r="Z543" s="232" t="s">
        <v>324</v>
      </c>
      <c r="AA543" s="232" t="s">
        <v>15</v>
      </c>
      <c r="AB543" s="236">
        <v>8.0333330000000001E-3</v>
      </c>
      <c r="AC543" s="235"/>
      <c r="AD543" s="234"/>
      <c r="AE543" s="234"/>
      <c r="AF543" s="232" t="s">
        <v>77</v>
      </c>
      <c r="AG543" s="232" t="s">
        <v>350</v>
      </c>
      <c r="AH543" s="234" t="s">
        <v>317</v>
      </c>
      <c r="AJ543" s="234">
        <v>0</v>
      </c>
      <c r="AK543" s="224"/>
      <c r="AL543" s="234">
        <v>0</v>
      </c>
      <c r="AM543" s="224"/>
      <c r="AN543" s="234">
        <v>0</v>
      </c>
      <c r="AO543" s="234">
        <v>0</v>
      </c>
      <c r="AP543" s="234">
        <v>2</v>
      </c>
      <c r="AQ543" s="234">
        <v>0</v>
      </c>
      <c r="AR543" s="234">
        <v>0</v>
      </c>
      <c r="AS543" s="234">
        <v>0</v>
      </c>
      <c r="AT543" s="234">
        <v>0</v>
      </c>
      <c r="AU543" s="234">
        <v>0</v>
      </c>
      <c r="AV543" s="234">
        <v>0</v>
      </c>
      <c r="AW543" s="234">
        <v>2</v>
      </c>
      <c r="AX543" s="234">
        <v>1</v>
      </c>
      <c r="AY543" s="234">
        <v>0</v>
      </c>
      <c r="AZ543" s="234">
        <v>0</v>
      </c>
      <c r="BA543" s="234">
        <v>0</v>
      </c>
      <c r="BB543" s="234">
        <v>0</v>
      </c>
      <c r="BC543" s="234">
        <v>0</v>
      </c>
      <c r="BD543" s="234">
        <v>0</v>
      </c>
      <c r="BE543" s="234">
        <v>-1</v>
      </c>
      <c r="BF543" s="234">
        <v>0</v>
      </c>
      <c r="BG543" s="234">
        <v>0</v>
      </c>
      <c r="BH543" s="234">
        <v>0</v>
      </c>
      <c r="BI543" s="234">
        <v>0</v>
      </c>
      <c r="BJ543" s="234">
        <v>0</v>
      </c>
      <c r="BK543" s="234">
        <v>0</v>
      </c>
      <c r="BL543" s="234">
        <v>0</v>
      </c>
      <c r="BM543" s="234">
        <v>0</v>
      </c>
      <c r="BN543" s="234">
        <v>0</v>
      </c>
      <c r="BO543" s="234">
        <v>0</v>
      </c>
      <c r="BP543" s="234"/>
      <c r="BQ543" s="234"/>
      <c r="BR543" s="237" t="s">
        <v>334</v>
      </c>
      <c r="BS543" s="238">
        <v>15</v>
      </c>
      <c r="BU543" s="239">
        <f t="shared" si="54"/>
        <v>0.5</v>
      </c>
      <c r="BV543" s="239">
        <f t="shared" si="55"/>
        <v>0.5</v>
      </c>
      <c r="BW543" s="239">
        <f t="shared" si="56"/>
        <v>0.5</v>
      </c>
      <c r="BX543" s="239">
        <f t="shared" si="57"/>
        <v>0.5</v>
      </c>
      <c r="CN543" s="238">
        <f t="shared" si="48"/>
        <v>2</v>
      </c>
      <c r="CO543" s="238">
        <f t="shared" si="49"/>
        <v>2</v>
      </c>
    </row>
    <row r="544" spans="1:93" ht="13.95" customHeight="1" x14ac:dyDescent="0.2">
      <c r="A544" s="231">
        <v>2654</v>
      </c>
      <c r="B544" s="232" t="s">
        <v>822</v>
      </c>
      <c r="C544" s="232" t="s">
        <v>1667</v>
      </c>
      <c r="D544" s="232" t="s">
        <v>1668</v>
      </c>
      <c r="E544" s="232" t="s">
        <v>317</v>
      </c>
      <c r="F544" s="231">
        <v>528760</v>
      </c>
      <c r="G544" s="231">
        <v>173705</v>
      </c>
      <c r="H544" s="232" t="s">
        <v>141</v>
      </c>
      <c r="I544" s="233"/>
      <c r="J544" s="231"/>
      <c r="K544" s="231">
        <v>1</v>
      </c>
      <c r="L544" s="231">
        <v>3</v>
      </c>
      <c r="M544" s="231">
        <v>2</v>
      </c>
      <c r="N544" s="231">
        <v>3</v>
      </c>
      <c r="O544" s="231">
        <v>2</v>
      </c>
      <c r="P544" s="234"/>
      <c r="Q544" s="232" t="s">
        <v>1669</v>
      </c>
      <c r="R544" s="234" t="s">
        <v>332</v>
      </c>
      <c r="S544" s="235">
        <v>44679</v>
      </c>
      <c r="T544" s="235">
        <v>44770</v>
      </c>
      <c r="U544" s="234" t="s">
        <v>318</v>
      </c>
      <c r="V544" s="232" t="s">
        <v>321</v>
      </c>
      <c r="W544" s="231"/>
      <c r="X544" s="232" t="s">
        <v>322</v>
      </c>
      <c r="Y544" s="232" t="s">
        <v>365</v>
      </c>
      <c r="Z544" s="232" t="s">
        <v>324</v>
      </c>
      <c r="AA544" s="232" t="s">
        <v>15</v>
      </c>
      <c r="AB544" s="236">
        <v>7.0000000000000001E-3</v>
      </c>
      <c r="AC544" s="235"/>
      <c r="AD544" s="234"/>
      <c r="AE544" s="234"/>
      <c r="AF544" s="232" t="s">
        <v>77</v>
      </c>
      <c r="AG544" s="232" t="s">
        <v>340</v>
      </c>
      <c r="AH544" s="234" t="s">
        <v>317</v>
      </c>
      <c r="AJ544" s="234">
        <v>0</v>
      </c>
      <c r="AK544" s="224"/>
      <c r="AL544" s="234">
        <v>0</v>
      </c>
      <c r="AM544" s="224"/>
      <c r="AN544" s="234">
        <v>1</v>
      </c>
      <c r="AO544" s="234">
        <v>0</v>
      </c>
      <c r="AP544" s="234">
        <v>2</v>
      </c>
      <c r="AQ544" s="234">
        <v>0</v>
      </c>
      <c r="AR544" s="234">
        <v>-1</v>
      </c>
      <c r="AS544" s="234">
        <v>0</v>
      </c>
      <c r="AT544" s="234">
        <v>0</v>
      </c>
      <c r="AU544" s="234">
        <v>1</v>
      </c>
      <c r="AV544" s="234">
        <v>0</v>
      </c>
      <c r="AW544" s="234">
        <v>2</v>
      </c>
      <c r="AX544" s="234">
        <v>0</v>
      </c>
      <c r="AY544" s="234">
        <v>0</v>
      </c>
      <c r="AZ544" s="234">
        <v>0</v>
      </c>
      <c r="BA544" s="234">
        <v>0</v>
      </c>
      <c r="BB544" s="234">
        <v>0</v>
      </c>
      <c r="BC544" s="234">
        <v>0</v>
      </c>
      <c r="BD544" s="234">
        <v>0</v>
      </c>
      <c r="BE544" s="234">
        <v>0</v>
      </c>
      <c r="BF544" s="234">
        <v>-1</v>
      </c>
      <c r="BG544" s="234">
        <v>0</v>
      </c>
      <c r="BH544" s="234">
        <v>0</v>
      </c>
      <c r="BI544" s="234">
        <v>0</v>
      </c>
      <c r="BJ544" s="234">
        <v>0</v>
      </c>
      <c r="BK544" s="234">
        <v>0</v>
      </c>
      <c r="BL544" s="234">
        <v>0</v>
      </c>
      <c r="BM544" s="234">
        <v>0</v>
      </c>
      <c r="BN544" s="234">
        <v>0</v>
      </c>
      <c r="BO544" s="234">
        <v>0</v>
      </c>
      <c r="BP544" s="234"/>
      <c r="BQ544" s="234"/>
      <c r="BR544" s="237" t="s">
        <v>141</v>
      </c>
      <c r="BS544" s="238">
        <v>15</v>
      </c>
      <c r="BU544" s="239">
        <f t="shared" si="54"/>
        <v>0.5</v>
      </c>
      <c r="BV544" s="239">
        <f t="shared" si="55"/>
        <v>0.5</v>
      </c>
      <c r="BW544" s="239">
        <f t="shared" si="56"/>
        <v>0.5</v>
      </c>
      <c r="BX544" s="239">
        <f t="shared" si="57"/>
        <v>0.5</v>
      </c>
      <c r="CN544" s="238">
        <f t="shared" si="48"/>
        <v>2</v>
      </c>
      <c r="CO544" s="238">
        <f t="shared" si="49"/>
        <v>2</v>
      </c>
    </row>
    <row r="545" spans="1:93" ht="13.95" customHeight="1" x14ac:dyDescent="0.2">
      <c r="A545" s="231">
        <v>7704</v>
      </c>
      <c r="B545" s="232" t="s">
        <v>822</v>
      </c>
      <c r="C545" s="232" t="s">
        <v>1670</v>
      </c>
      <c r="D545" s="232" t="s">
        <v>1671</v>
      </c>
      <c r="E545" s="232" t="s">
        <v>317</v>
      </c>
      <c r="F545" s="231">
        <v>527741</v>
      </c>
      <c r="G545" s="231">
        <v>171921</v>
      </c>
      <c r="H545" s="232" t="s">
        <v>176</v>
      </c>
      <c r="I545" s="233"/>
      <c r="J545" s="231"/>
      <c r="K545" s="231">
        <v>1</v>
      </c>
      <c r="L545" s="231">
        <v>3</v>
      </c>
      <c r="M545" s="231">
        <v>2</v>
      </c>
      <c r="N545" s="231">
        <v>3</v>
      </c>
      <c r="O545" s="231">
        <v>2</v>
      </c>
      <c r="P545" s="234"/>
      <c r="Q545" s="232" t="s">
        <v>1672</v>
      </c>
      <c r="R545" s="234" t="s">
        <v>332</v>
      </c>
      <c r="S545" s="235">
        <v>44225</v>
      </c>
      <c r="T545" s="235">
        <v>44629</v>
      </c>
      <c r="U545" s="234"/>
      <c r="V545" s="232" t="s">
        <v>321</v>
      </c>
      <c r="W545" s="231"/>
      <c r="X545" s="232" t="s">
        <v>322</v>
      </c>
      <c r="Y545" s="232" t="s">
        <v>338</v>
      </c>
      <c r="Z545" s="232" t="s">
        <v>324</v>
      </c>
      <c r="AA545" s="232" t="s">
        <v>354</v>
      </c>
      <c r="AB545" s="236">
        <v>6.0000000000000001E-3</v>
      </c>
      <c r="AC545" s="235"/>
      <c r="AD545" s="234"/>
      <c r="AE545" s="234"/>
      <c r="AF545" s="232" t="s">
        <v>77</v>
      </c>
      <c r="AG545" s="232" t="s">
        <v>350</v>
      </c>
      <c r="AH545" s="234" t="s">
        <v>317</v>
      </c>
      <c r="AJ545" s="234">
        <v>0</v>
      </c>
      <c r="AK545" s="224"/>
      <c r="AL545" s="234">
        <v>0</v>
      </c>
      <c r="AM545" s="224"/>
      <c r="AN545" s="234">
        <v>1</v>
      </c>
      <c r="AO545" s="234">
        <v>1</v>
      </c>
      <c r="AP545" s="234">
        <v>1</v>
      </c>
      <c r="AQ545" s="234">
        <v>0</v>
      </c>
      <c r="AR545" s="234">
        <v>0</v>
      </c>
      <c r="AS545" s="234">
        <v>-1</v>
      </c>
      <c r="AT545" s="234">
        <v>0</v>
      </c>
      <c r="AU545" s="234">
        <v>1</v>
      </c>
      <c r="AV545" s="234">
        <v>1</v>
      </c>
      <c r="AW545" s="234">
        <v>1</v>
      </c>
      <c r="AX545" s="234">
        <v>0</v>
      </c>
      <c r="AY545" s="234">
        <v>0</v>
      </c>
      <c r="AZ545" s="234">
        <v>-1</v>
      </c>
      <c r="BA545" s="234">
        <v>0</v>
      </c>
      <c r="BB545" s="234">
        <v>0</v>
      </c>
      <c r="BC545" s="234">
        <v>0</v>
      </c>
      <c r="BD545" s="234">
        <v>0</v>
      </c>
      <c r="BE545" s="234">
        <v>0</v>
      </c>
      <c r="BF545" s="234">
        <v>0</v>
      </c>
      <c r="BG545" s="234">
        <v>0</v>
      </c>
      <c r="BH545" s="234">
        <v>0</v>
      </c>
      <c r="BI545" s="234">
        <v>0</v>
      </c>
      <c r="BJ545" s="234">
        <v>0</v>
      </c>
      <c r="BK545" s="234">
        <v>0</v>
      </c>
      <c r="BL545" s="234">
        <v>0</v>
      </c>
      <c r="BM545" s="234">
        <v>0</v>
      </c>
      <c r="BN545" s="234">
        <v>0</v>
      </c>
      <c r="BO545" s="234">
        <v>0</v>
      </c>
      <c r="BP545" s="234" t="s">
        <v>144</v>
      </c>
      <c r="BQ545" s="234"/>
      <c r="BR545" s="237" t="s">
        <v>144</v>
      </c>
      <c r="BS545" s="238">
        <v>15</v>
      </c>
      <c r="BU545" s="239">
        <f t="shared" si="54"/>
        <v>0.5</v>
      </c>
      <c r="BV545" s="239">
        <f t="shared" si="55"/>
        <v>0.5</v>
      </c>
      <c r="BW545" s="239">
        <f t="shared" si="56"/>
        <v>0.5</v>
      </c>
      <c r="BX545" s="239">
        <f t="shared" si="57"/>
        <v>0.5</v>
      </c>
      <c r="CN545" s="238">
        <f t="shared" si="48"/>
        <v>2</v>
      </c>
      <c r="CO545" s="238">
        <f t="shared" si="49"/>
        <v>2</v>
      </c>
    </row>
    <row r="546" spans="1:93" ht="13.95" customHeight="1" x14ac:dyDescent="0.2">
      <c r="A546" s="231">
        <v>7850</v>
      </c>
      <c r="B546" s="232" t="s">
        <v>822</v>
      </c>
      <c r="C546" s="232" t="s">
        <v>1673</v>
      </c>
      <c r="D546" s="232" t="s">
        <v>1674</v>
      </c>
      <c r="E546" s="232" t="s">
        <v>317</v>
      </c>
      <c r="F546" s="231">
        <v>525311</v>
      </c>
      <c r="G546" s="231">
        <v>174644</v>
      </c>
      <c r="H546" s="232" t="s">
        <v>181</v>
      </c>
      <c r="I546" s="233"/>
      <c r="J546" s="231"/>
      <c r="K546" s="231">
        <v>0</v>
      </c>
      <c r="L546" s="231">
        <v>2</v>
      </c>
      <c r="M546" s="231">
        <v>2</v>
      </c>
      <c r="N546" s="231">
        <v>2</v>
      </c>
      <c r="O546" s="231">
        <v>2</v>
      </c>
      <c r="P546" s="234"/>
      <c r="Q546" s="232" t="s">
        <v>1675</v>
      </c>
      <c r="R546" s="234" t="s">
        <v>332</v>
      </c>
      <c r="S546" s="235">
        <v>44733</v>
      </c>
      <c r="T546" s="235">
        <v>44820</v>
      </c>
      <c r="U546" s="234" t="s">
        <v>318</v>
      </c>
      <c r="V546" s="232" t="s">
        <v>321</v>
      </c>
      <c r="W546" s="231"/>
      <c r="X546" s="232" t="s">
        <v>322</v>
      </c>
      <c r="Y546" s="232" t="s">
        <v>338</v>
      </c>
      <c r="Z546" s="232" t="s">
        <v>324</v>
      </c>
      <c r="AA546" s="232" t="s">
        <v>28</v>
      </c>
      <c r="AB546" s="236">
        <v>1.189E-2</v>
      </c>
      <c r="AC546" s="235"/>
      <c r="AD546" s="234"/>
      <c r="AE546" s="234"/>
      <c r="AF546" s="232" t="s">
        <v>77</v>
      </c>
      <c r="AG546" s="232" t="s">
        <v>350</v>
      </c>
      <c r="AH546" s="234" t="s">
        <v>1676</v>
      </c>
      <c r="AJ546" s="234">
        <v>0</v>
      </c>
      <c r="AK546" s="224"/>
      <c r="AL546" s="234">
        <v>0</v>
      </c>
      <c r="AM546" s="224"/>
      <c r="AN546" s="234">
        <v>0</v>
      </c>
      <c r="AO546" s="234">
        <v>1</v>
      </c>
      <c r="AP546" s="234">
        <v>0</v>
      </c>
      <c r="AQ546" s="234">
        <v>1</v>
      </c>
      <c r="AR546" s="234">
        <v>0</v>
      </c>
      <c r="AS546" s="234">
        <v>0</v>
      </c>
      <c r="AT546" s="234">
        <v>0</v>
      </c>
      <c r="AU546" s="234">
        <v>0</v>
      </c>
      <c r="AV546" s="234">
        <v>1</v>
      </c>
      <c r="AW546" s="234">
        <v>0</v>
      </c>
      <c r="AX546" s="234">
        <v>0</v>
      </c>
      <c r="AY546" s="234">
        <v>0</v>
      </c>
      <c r="AZ546" s="234">
        <v>0</v>
      </c>
      <c r="BA546" s="234">
        <v>0</v>
      </c>
      <c r="BB546" s="234">
        <v>0</v>
      </c>
      <c r="BC546" s="234">
        <v>0</v>
      </c>
      <c r="BD546" s="234">
        <v>0</v>
      </c>
      <c r="BE546" s="234">
        <v>1</v>
      </c>
      <c r="BF546" s="234">
        <v>0</v>
      </c>
      <c r="BG546" s="234">
        <v>0</v>
      </c>
      <c r="BH546" s="234">
        <v>0</v>
      </c>
      <c r="BI546" s="234">
        <v>0</v>
      </c>
      <c r="BJ546" s="234">
        <v>0</v>
      </c>
      <c r="BK546" s="234">
        <v>0</v>
      </c>
      <c r="BL546" s="234">
        <v>0</v>
      </c>
      <c r="BM546" s="234">
        <v>0</v>
      </c>
      <c r="BN546" s="234">
        <v>0</v>
      </c>
      <c r="BO546" s="234">
        <v>0</v>
      </c>
      <c r="BP546" s="234" t="s">
        <v>145</v>
      </c>
      <c r="BQ546" s="234"/>
      <c r="BR546" s="237" t="s">
        <v>327</v>
      </c>
      <c r="BS546" s="238">
        <v>15</v>
      </c>
      <c r="BU546" s="239">
        <f t="shared" si="54"/>
        <v>0.5</v>
      </c>
      <c r="BV546" s="239">
        <f t="shared" si="55"/>
        <v>0.5</v>
      </c>
      <c r="BW546" s="239">
        <f t="shared" si="56"/>
        <v>0.5</v>
      </c>
      <c r="BX546" s="239">
        <f t="shared" si="57"/>
        <v>0.5</v>
      </c>
      <c r="CN546" s="238">
        <f t="shared" si="48"/>
        <v>2</v>
      </c>
      <c r="CO546" s="238">
        <f t="shared" si="49"/>
        <v>2</v>
      </c>
    </row>
    <row r="547" spans="1:93" s="249" customFormat="1" ht="13.95" customHeight="1" x14ac:dyDescent="0.2">
      <c r="A547" s="231">
        <v>6149</v>
      </c>
      <c r="B547" s="232" t="s">
        <v>822</v>
      </c>
      <c r="C547" s="232" t="s">
        <v>1677</v>
      </c>
      <c r="D547" s="232" t="s">
        <v>1678</v>
      </c>
      <c r="E547" s="232" t="s">
        <v>317</v>
      </c>
      <c r="F547" s="231">
        <v>525867</v>
      </c>
      <c r="G547" s="231">
        <v>172948</v>
      </c>
      <c r="H547" s="232" t="s">
        <v>173</v>
      </c>
      <c r="I547" s="233">
        <v>44409</v>
      </c>
      <c r="J547" s="231"/>
      <c r="K547" s="231">
        <v>0</v>
      </c>
      <c r="L547" s="231">
        <v>14</v>
      </c>
      <c r="M547" s="231">
        <v>14</v>
      </c>
      <c r="N547" s="231">
        <v>14</v>
      </c>
      <c r="O547" s="231">
        <v>14</v>
      </c>
      <c r="P547" s="234" t="s">
        <v>318</v>
      </c>
      <c r="Q547" s="232" t="s">
        <v>1679</v>
      </c>
      <c r="R547" s="234" t="s">
        <v>320</v>
      </c>
      <c r="S547" s="235">
        <v>42615</v>
      </c>
      <c r="T547" s="235">
        <v>43770</v>
      </c>
      <c r="U547" s="234"/>
      <c r="V547" s="232" t="s">
        <v>321</v>
      </c>
      <c r="W547" s="231"/>
      <c r="X547" s="232" t="s">
        <v>322</v>
      </c>
      <c r="Y547" s="232" t="s">
        <v>323</v>
      </c>
      <c r="Z547" s="232" t="s">
        <v>323</v>
      </c>
      <c r="AA547" s="232" t="s">
        <v>324</v>
      </c>
      <c r="AB547" s="236">
        <v>6.7000000000000004E-2</v>
      </c>
      <c r="AC547" s="235"/>
      <c r="AD547" s="234"/>
      <c r="AE547" s="234"/>
      <c r="AF547" s="232" t="s">
        <v>77</v>
      </c>
      <c r="AG547" s="232" t="s">
        <v>350</v>
      </c>
      <c r="AH547" s="234" t="s">
        <v>317</v>
      </c>
      <c r="AI547" s="224"/>
      <c r="AJ547" s="234">
        <v>0</v>
      </c>
      <c r="AK547" s="234">
        <v>1</v>
      </c>
      <c r="AL547" s="234">
        <v>2</v>
      </c>
      <c r="AM547" s="234">
        <v>1</v>
      </c>
      <c r="AN547" s="234">
        <v>0</v>
      </c>
      <c r="AO547" s="234">
        <v>3</v>
      </c>
      <c r="AP547" s="234">
        <v>10</v>
      </c>
      <c r="AQ547" s="234">
        <v>1</v>
      </c>
      <c r="AR547" s="234">
        <v>0</v>
      </c>
      <c r="AS547" s="234">
        <v>0</v>
      </c>
      <c r="AT547" s="234">
        <v>0</v>
      </c>
      <c r="AU547" s="234">
        <v>0</v>
      </c>
      <c r="AV547" s="234">
        <v>3</v>
      </c>
      <c r="AW547" s="234">
        <v>10</v>
      </c>
      <c r="AX547" s="234">
        <v>1</v>
      </c>
      <c r="AY547" s="234">
        <v>0</v>
      </c>
      <c r="AZ547" s="234">
        <v>0</v>
      </c>
      <c r="BA547" s="234">
        <v>0</v>
      </c>
      <c r="BB547" s="234">
        <v>0</v>
      </c>
      <c r="BC547" s="234">
        <v>0</v>
      </c>
      <c r="BD547" s="234">
        <v>0</v>
      </c>
      <c r="BE547" s="234">
        <v>0</v>
      </c>
      <c r="BF547" s="234">
        <v>0</v>
      </c>
      <c r="BG547" s="234">
        <v>0</v>
      </c>
      <c r="BH547" s="234">
        <v>0</v>
      </c>
      <c r="BI547" s="234">
        <v>0</v>
      </c>
      <c r="BJ547" s="234">
        <v>0</v>
      </c>
      <c r="BK547" s="234">
        <v>0</v>
      </c>
      <c r="BL547" s="234">
        <v>0</v>
      </c>
      <c r="BM547" s="234">
        <v>0</v>
      </c>
      <c r="BN547" s="234">
        <v>0</v>
      </c>
      <c r="BO547" s="234">
        <v>0</v>
      </c>
      <c r="BP547" s="234"/>
      <c r="BQ547" s="234"/>
      <c r="BR547" s="237" t="s">
        <v>154</v>
      </c>
      <c r="BS547" s="238">
        <v>10</v>
      </c>
      <c r="BT547" s="239"/>
      <c r="BU547" s="239"/>
      <c r="BV547" s="239"/>
      <c r="BW547" s="239"/>
      <c r="BX547" s="239">
        <f>M547/3</f>
        <v>4.666666666666667</v>
      </c>
      <c r="BY547" s="239">
        <f>M547/3</f>
        <v>4.666666666666667</v>
      </c>
      <c r="BZ547" s="239">
        <f>M547/3</f>
        <v>4.666666666666667</v>
      </c>
      <c r="CA547" s="239"/>
      <c r="CB547" s="239"/>
      <c r="CC547" s="239"/>
      <c r="CD547" s="239"/>
      <c r="CE547" s="239"/>
      <c r="CF547" s="239"/>
      <c r="CG547" s="239"/>
      <c r="CH547" s="239"/>
      <c r="CI547" s="239"/>
      <c r="CJ547" s="239"/>
      <c r="CK547" s="239"/>
      <c r="CL547" s="239"/>
      <c r="CM547" s="239"/>
      <c r="CN547" s="238">
        <f t="shared" si="48"/>
        <v>9.3333333333333339</v>
      </c>
      <c r="CO547" s="238">
        <f t="shared" si="49"/>
        <v>14</v>
      </c>
    </row>
    <row r="548" spans="1:93" ht="13.95" customHeight="1" x14ac:dyDescent="0.2">
      <c r="A548" s="231">
        <v>7756</v>
      </c>
      <c r="B548" s="232" t="s">
        <v>822</v>
      </c>
      <c r="C548" s="232" t="s">
        <v>1680</v>
      </c>
      <c r="D548" s="232" t="s">
        <v>1681</v>
      </c>
      <c r="E548" s="232" t="s">
        <v>317</v>
      </c>
      <c r="F548" s="231">
        <v>528535</v>
      </c>
      <c r="G548" s="231">
        <v>174164</v>
      </c>
      <c r="H548" s="232" t="s">
        <v>141</v>
      </c>
      <c r="I548" s="233"/>
      <c r="J548" s="231"/>
      <c r="K548" s="231">
        <v>1</v>
      </c>
      <c r="L548" s="231">
        <v>6</v>
      </c>
      <c r="M548" s="231">
        <v>5</v>
      </c>
      <c r="N548" s="231">
        <v>6</v>
      </c>
      <c r="O548" s="231">
        <v>5</v>
      </c>
      <c r="P548" s="234"/>
      <c r="Q548" s="232" t="s">
        <v>1682</v>
      </c>
      <c r="R548" s="234" t="s">
        <v>332</v>
      </c>
      <c r="S548" s="235">
        <v>44552</v>
      </c>
      <c r="T548" s="235">
        <v>44648</v>
      </c>
      <c r="U548" s="234"/>
      <c r="V548" s="232" t="s">
        <v>321</v>
      </c>
      <c r="W548" s="231"/>
      <c r="X548" s="232" t="s">
        <v>322</v>
      </c>
      <c r="Y548" s="232" t="s">
        <v>323</v>
      </c>
      <c r="Z548" s="232" t="s">
        <v>324</v>
      </c>
      <c r="AA548" s="232" t="s">
        <v>349</v>
      </c>
      <c r="AB548" s="236">
        <v>1.439E-2</v>
      </c>
      <c r="AC548" s="235"/>
      <c r="AD548" s="234"/>
      <c r="AE548" s="234"/>
      <c r="AF548" s="232" t="s">
        <v>77</v>
      </c>
      <c r="AG548" s="232" t="s">
        <v>350</v>
      </c>
      <c r="AH548" s="234" t="s">
        <v>317</v>
      </c>
      <c r="AJ548" s="234">
        <v>0</v>
      </c>
      <c r="AK548" s="224"/>
      <c r="AL548" s="234">
        <v>0</v>
      </c>
      <c r="AM548" s="224"/>
      <c r="AN548" s="234">
        <v>0</v>
      </c>
      <c r="AO548" s="234">
        <v>2</v>
      </c>
      <c r="AP548" s="234">
        <v>2</v>
      </c>
      <c r="AQ548" s="234">
        <v>2</v>
      </c>
      <c r="AR548" s="234">
        <v>-1</v>
      </c>
      <c r="AS548" s="234">
        <v>0</v>
      </c>
      <c r="AT548" s="234">
        <v>0</v>
      </c>
      <c r="AU548" s="234">
        <v>0</v>
      </c>
      <c r="AV548" s="234">
        <v>2</v>
      </c>
      <c r="AW548" s="234">
        <v>2</v>
      </c>
      <c r="AX548" s="234">
        <v>2</v>
      </c>
      <c r="AY548" s="234">
        <v>0</v>
      </c>
      <c r="AZ548" s="234">
        <v>0</v>
      </c>
      <c r="BA548" s="234">
        <v>0</v>
      </c>
      <c r="BB548" s="234">
        <v>0</v>
      </c>
      <c r="BC548" s="234">
        <v>0</v>
      </c>
      <c r="BD548" s="234">
        <v>0</v>
      </c>
      <c r="BE548" s="234">
        <v>0</v>
      </c>
      <c r="BF548" s="234">
        <v>-1</v>
      </c>
      <c r="BG548" s="234">
        <v>0</v>
      </c>
      <c r="BH548" s="234">
        <v>0</v>
      </c>
      <c r="BI548" s="234">
        <v>0</v>
      </c>
      <c r="BJ548" s="234">
        <v>0</v>
      </c>
      <c r="BK548" s="234">
        <v>0</v>
      </c>
      <c r="BL548" s="234">
        <v>0</v>
      </c>
      <c r="BM548" s="234">
        <v>0</v>
      </c>
      <c r="BN548" s="234">
        <v>0</v>
      </c>
      <c r="BO548" s="234">
        <v>0</v>
      </c>
      <c r="BP548" s="234"/>
      <c r="BQ548" s="234"/>
      <c r="BR548" s="237" t="s">
        <v>334</v>
      </c>
      <c r="BS548" s="238">
        <v>7</v>
      </c>
      <c r="BV548" s="239">
        <f t="shared" ref="BV548:BV563" si="58">M548/4</f>
        <v>1.25</v>
      </c>
      <c r="BW548" s="239">
        <f t="shared" ref="BW548:BW563" si="59">M548/4</f>
        <v>1.25</v>
      </c>
      <c r="BX548" s="239">
        <f t="shared" ref="BX548:BX563" si="60">M548/4</f>
        <v>1.25</v>
      </c>
      <c r="BY548" s="239">
        <f>M548/4</f>
        <v>1.25</v>
      </c>
      <c r="CN548" s="238">
        <f t="shared" si="48"/>
        <v>5</v>
      </c>
      <c r="CO548" s="238">
        <f t="shared" si="49"/>
        <v>5</v>
      </c>
    </row>
    <row r="549" spans="1:93" ht="13.95" customHeight="1" x14ac:dyDescent="0.2">
      <c r="A549" s="231">
        <v>7036</v>
      </c>
      <c r="B549" s="232" t="s">
        <v>822</v>
      </c>
      <c r="C549" s="232" t="s">
        <v>1683</v>
      </c>
      <c r="D549" s="232" t="s">
        <v>1684</v>
      </c>
      <c r="E549" s="232" t="s">
        <v>317</v>
      </c>
      <c r="F549" s="231">
        <v>527828</v>
      </c>
      <c r="G549" s="231">
        <v>175000</v>
      </c>
      <c r="H549" s="232" t="s">
        <v>169</v>
      </c>
      <c r="I549" s="233"/>
      <c r="J549" s="231"/>
      <c r="K549" s="231">
        <v>1</v>
      </c>
      <c r="L549" s="231">
        <v>3</v>
      </c>
      <c r="M549" s="231">
        <v>2</v>
      </c>
      <c r="N549" s="231">
        <v>3</v>
      </c>
      <c r="O549" s="231">
        <v>2</v>
      </c>
      <c r="P549" s="234"/>
      <c r="Q549" s="232" t="s">
        <v>1685</v>
      </c>
      <c r="R549" s="234" t="s">
        <v>332</v>
      </c>
      <c r="S549" s="235">
        <v>43839</v>
      </c>
      <c r="T549" s="235">
        <v>43949</v>
      </c>
      <c r="U549" s="234"/>
      <c r="V549" s="232" t="s">
        <v>321</v>
      </c>
      <c r="W549" s="231"/>
      <c r="X549" s="232" t="s">
        <v>322</v>
      </c>
      <c r="Y549" s="232" t="s">
        <v>338</v>
      </c>
      <c r="Z549" s="232" t="s">
        <v>324</v>
      </c>
      <c r="AA549" s="232" t="s">
        <v>15</v>
      </c>
      <c r="AB549" s="236">
        <v>1.4E-2</v>
      </c>
      <c r="AC549" s="235"/>
      <c r="AD549" s="234"/>
      <c r="AE549" s="234"/>
      <c r="AF549" s="232" t="s">
        <v>77</v>
      </c>
      <c r="AG549" s="232" t="s">
        <v>350</v>
      </c>
      <c r="AH549" s="234" t="s">
        <v>317</v>
      </c>
      <c r="AJ549" s="234">
        <v>0</v>
      </c>
      <c r="AK549" s="224"/>
      <c r="AL549" s="234">
        <v>0</v>
      </c>
      <c r="AM549" s="224"/>
      <c r="AN549" s="234">
        <v>0</v>
      </c>
      <c r="AO549" s="234">
        <v>0</v>
      </c>
      <c r="AP549" s="234">
        <v>1</v>
      </c>
      <c r="AQ549" s="234">
        <v>2</v>
      </c>
      <c r="AR549" s="234">
        <v>-1</v>
      </c>
      <c r="AS549" s="234">
        <v>0</v>
      </c>
      <c r="AT549" s="234">
        <v>0</v>
      </c>
      <c r="AU549" s="234">
        <v>0</v>
      </c>
      <c r="AV549" s="234">
        <v>0</v>
      </c>
      <c r="AW549" s="234">
        <v>1</v>
      </c>
      <c r="AX549" s="234">
        <v>2</v>
      </c>
      <c r="AY549" s="234">
        <v>0</v>
      </c>
      <c r="AZ549" s="234">
        <v>0</v>
      </c>
      <c r="BA549" s="234">
        <v>0</v>
      </c>
      <c r="BB549" s="234">
        <v>0</v>
      </c>
      <c r="BC549" s="234">
        <v>0</v>
      </c>
      <c r="BD549" s="234">
        <v>0</v>
      </c>
      <c r="BE549" s="234">
        <v>0</v>
      </c>
      <c r="BF549" s="234">
        <v>-1</v>
      </c>
      <c r="BG549" s="234">
        <v>0</v>
      </c>
      <c r="BH549" s="234">
        <v>0</v>
      </c>
      <c r="BI549" s="234">
        <v>0</v>
      </c>
      <c r="BJ549" s="234">
        <v>0</v>
      </c>
      <c r="BK549" s="234">
        <v>0</v>
      </c>
      <c r="BL549" s="234">
        <v>0</v>
      </c>
      <c r="BM549" s="234">
        <v>0</v>
      </c>
      <c r="BN549" s="234">
        <v>0</v>
      </c>
      <c r="BO549" s="234">
        <v>0</v>
      </c>
      <c r="BP549" s="234"/>
      <c r="BQ549" s="234"/>
      <c r="BR549" s="237" t="s">
        <v>334</v>
      </c>
      <c r="BS549" s="238">
        <v>15</v>
      </c>
      <c r="BU549" s="239">
        <f>M549/4</f>
        <v>0.5</v>
      </c>
      <c r="BV549" s="239">
        <f t="shared" si="58"/>
        <v>0.5</v>
      </c>
      <c r="BW549" s="239">
        <f t="shared" si="59"/>
        <v>0.5</v>
      </c>
      <c r="BX549" s="239">
        <f t="shared" si="60"/>
        <v>0.5</v>
      </c>
      <c r="CN549" s="238">
        <f t="shared" si="48"/>
        <v>2</v>
      </c>
      <c r="CO549" s="238">
        <f t="shared" si="49"/>
        <v>2</v>
      </c>
    </row>
    <row r="550" spans="1:93" ht="13.95" customHeight="1" x14ac:dyDescent="0.2">
      <c r="A550" s="231">
        <v>6016</v>
      </c>
      <c r="B550" s="232" t="s">
        <v>822</v>
      </c>
      <c r="C550" s="232" t="s">
        <v>1686</v>
      </c>
      <c r="D550" s="232" t="s">
        <v>1687</v>
      </c>
      <c r="E550" s="232" t="s">
        <v>317</v>
      </c>
      <c r="F550" s="231">
        <v>525206</v>
      </c>
      <c r="G550" s="231">
        <v>173428</v>
      </c>
      <c r="H550" s="232" t="s">
        <v>173</v>
      </c>
      <c r="I550" s="233"/>
      <c r="J550" s="231"/>
      <c r="K550" s="231">
        <v>0</v>
      </c>
      <c r="L550" s="231">
        <v>2</v>
      </c>
      <c r="M550" s="231">
        <v>2</v>
      </c>
      <c r="N550" s="231">
        <v>2</v>
      </c>
      <c r="O550" s="231">
        <v>2</v>
      </c>
      <c r="P550" s="234"/>
      <c r="Q550" s="232" t="s">
        <v>1688</v>
      </c>
      <c r="R550" s="234" t="s">
        <v>629</v>
      </c>
      <c r="S550" s="235">
        <v>44286</v>
      </c>
      <c r="T550" s="235">
        <v>44340</v>
      </c>
      <c r="U550" s="234"/>
      <c r="V550" s="232" t="s">
        <v>321</v>
      </c>
      <c r="W550" s="231"/>
      <c r="X550" s="232" t="s">
        <v>322</v>
      </c>
      <c r="Y550" s="232" t="s">
        <v>378</v>
      </c>
      <c r="Z550" s="232" t="s">
        <v>324</v>
      </c>
      <c r="AA550" s="232" t="s">
        <v>25</v>
      </c>
      <c r="AB550" s="236">
        <v>5.0000000000000001E-3</v>
      </c>
      <c r="AC550" s="235"/>
      <c r="AD550" s="234"/>
      <c r="AE550" s="234"/>
      <c r="AF550" s="232" t="s">
        <v>77</v>
      </c>
      <c r="AG550" s="232" t="s">
        <v>350</v>
      </c>
      <c r="AH550" s="234" t="s">
        <v>317</v>
      </c>
      <c r="AJ550" s="234">
        <v>0</v>
      </c>
      <c r="AK550" s="224"/>
      <c r="AL550" s="234">
        <v>0</v>
      </c>
      <c r="AM550" s="224"/>
      <c r="AN550" s="234">
        <v>0</v>
      </c>
      <c r="AO550" s="234">
        <v>2</v>
      </c>
      <c r="AP550" s="234">
        <v>0</v>
      </c>
      <c r="AQ550" s="234">
        <v>0</v>
      </c>
      <c r="AR550" s="234">
        <v>0</v>
      </c>
      <c r="AS550" s="234">
        <v>0</v>
      </c>
      <c r="AT550" s="234">
        <v>0</v>
      </c>
      <c r="AU550" s="234">
        <v>0</v>
      </c>
      <c r="AV550" s="234">
        <v>2</v>
      </c>
      <c r="AW550" s="234">
        <v>0</v>
      </c>
      <c r="AX550" s="234">
        <v>0</v>
      </c>
      <c r="AY550" s="234">
        <v>0</v>
      </c>
      <c r="AZ550" s="234">
        <v>0</v>
      </c>
      <c r="BA550" s="234">
        <v>0</v>
      </c>
      <c r="BB550" s="234">
        <v>0</v>
      </c>
      <c r="BC550" s="234">
        <v>0</v>
      </c>
      <c r="BD550" s="234">
        <v>0</v>
      </c>
      <c r="BE550" s="234">
        <v>0</v>
      </c>
      <c r="BF550" s="234">
        <v>0</v>
      </c>
      <c r="BG550" s="234">
        <v>0</v>
      </c>
      <c r="BH550" s="234">
        <v>0</v>
      </c>
      <c r="BI550" s="234">
        <v>0</v>
      </c>
      <c r="BJ550" s="234">
        <v>0</v>
      </c>
      <c r="BK550" s="234">
        <v>0</v>
      </c>
      <c r="BL550" s="234">
        <v>0</v>
      </c>
      <c r="BM550" s="234">
        <v>0</v>
      </c>
      <c r="BN550" s="234">
        <v>0</v>
      </c>
      <c r="BO550" s="234">
        <v>0</v>
      </c>
      <c r="BP550" s="234"/>
      <c r="BQ550" s="234"/>
      <c r="BR550" s="237" t="s">
        <v>334</v>
      </c>
      <c r="BS550" s="238">
        <v>15</v>
      </c>
      <c r="BU550" s="239">
        <f>M550/4</f>
        <v>0.5</v>
      </c>
      <c r="BV550" s="239">
        <f t="shared" si="58"/>
        <v>0.5</v>
      </c>
      <c r="BW550" s="239">
        <f t="shared" si="59"/>
        <v>0.5</v>
      </c>
      <c r="BX550" s="239">
        <f t="shared" si="60"/>
        <v>0.5</v>
      </c>
      <c r="CN550" s="238">
        <f t="shared" si="48"/>
        <v>2</v>
      </c>
      <c r="CO550" s="238">
        <f t="shared" si="49"/>
        <v>2</v>
      </c>
    </row>
    <row r="551" spans="1:93" ht="13.95" customHeight="1" x14ac:dyDescent="0.2">
      <c r="A551" s="231">
        <v>6709</v>
      </c>
      <c r="B551" s="232" t="s">
        <v>822</v>
      </c>
      <c r="C551" s="232" t="s">
        <v>1689</v>
      </c>
      <c r="D551" s="232" t="s">
        <v>1690</v>
      </c>
      <c r="E551" s="232" t="s">
        <v>317</v>
      </c>
      <c r="F551" s="231">
        <v>528478</v>
      </c>
      <c r="G551" s="231">
        <v>175737</v>
      </c>
      <c r="H551" s="232" t="s">
        <v>167</v>
      </c>
      <c r="I551" s="233"/>
      <c r="J551" s="231"/>
      <c r="K551" s="231">
        <v>0</v>
      </c>
      <c r="L551" s="231">
        <v>2</v>
      </c>
      <c r="M551" s="231">
        <v>2</v>
      </c>
      <c r="N551" s="231">
        <v>2</v>
      </c>
      <c r="O551" s="231">
        <v>2</v>
      </c>
      <c r="P551" s="234"/>
      <c r="Q551" s="232" t="s">
        <v>1691</v>
      </c>
      <c r="R551" s="234" t="s">
        <v>629</v>
      </c>
      <c r="S551" s="235">
        <v>43784</v>
      </c>
      <c r="T551" s="235">
        <v>43832</v>
      </c>
      <c r="U551" s="234"/>
      <c r="V551" s="232" t="s">
        <v>321</v>
      </c>
      <c r="W551" s="231"/>
      <c r="X551" s="232" t="s">
        <v>322</v>
      </c>
      <c r="Y551" s="232" t="s">
        <v>378</v>
      </c>
      <c r="Z551" s="232" t="s">
        <v>324</v>
      </c>
      <c r="AA551" s="232" t="s">
        <v>31</v>
      </c>
      <c r="AB551" s="236">
        <v>7.0000000000000001E-3</v>
      </c>
      <c r="AC551" s="235"/>
      <c r="AD551" s="234"/>
      <c r="AE551" s="234"/>
      <c r="AF551" s="232" t="s">
        <v>77</v>
      </c>
      <c r="AG551" s="232" t="s">
        <v>350</v>
      </c>
      <c r="AH551" s="234" t="s">
        <v>317</v>
      </c>
      <c r="AJ551" s="234">
        <v>0</v>
      </c>
      <c r="AK551" s="224"/>
      <c r="AL551" s="234">
        <v>0</v>
      </c>
      <c r="AM551" s="224"/>
      <c r="AN551" s="234">
        <v>0</v>
      </c>
      <c r="AO551" s="234">
        <v>2</v>
      </c>
      <c r="AP551" s="234">
        <v>0</v>
      </c>
      <c r="AQ551" s="234">
        <v>0</v>
      </c>
      <c r="AR551" s="234">
        <v>0</v>
      </c>
      <c r="AS551" s="234">
        <v>0</v>
      </c>
      <c r="AT551" s="234">
        <v>0</v>
      </c>
      <c r="AU551" s="234">
        <v>0</v>
      </c>
      <c r="AV551" s="234">
        <v>2</v>
      </c>
      <c r="AW551" s="234">
        <v>0</v>
      </c>
      <c r="AX551" s="234">
        <v>0</v>
      </c>
      <c r="AY551" s="234">
        <v>0</v>
      </c>
      <c r="AZ551" s="234">
        <v>0</v>
      </c>
      <c r="BA551" s="234">
        <v>0</v>
      </c>
      <c r="BB551" s="234">
        <v>0</v>
      </c>
      <c r="BC551" s="234">
        <v>0</v>
      </c>
      <c r="BD551" s="234">
        <v>0</v>
      </c>
      <c r="BE551" s="234">
        <v>0</v>
      </c>
      <c r="BF551" s="234">
        <v>0</v>
      </c>
      <c r="BG551" s="234">
        <v>0</v>
      </c>
      <c r="BH551" s="234">
        <v>0</v>
      </c>
      <c r="BI551" s="234">
        <v>0</v>
      </c>
      <c r="BJ551" s="234">
        <v>0</v>
      </c>
      <c r="BK551" s="234">
        <v>0</v>
      </c>
      <c r="BL551" s="234">
        <v>0</v>
      </c>
      <c r="BM551" s="234">
        <v>0</v>
      </c>
      <c r="BN551" s="234">
        <v>0</v>
      </c>
      <c r="BO551" s="234">
        <v>0</v>
      </c>
      <c r="BP551" s="234"/>
      <c r="BQ551" s="234"/>
      <c r="BR551" s="237" t="s">
        <v>334</v>
      </c>
      <c r="BS551" s="238">
        <v>15</v>
      </c>
      <c r="BU551" s="239">
        <f>M551/4</f>
        <v>0.5</v>
      </c>
      <c r="BV551" s="239">
        <f t="shared" si="58"/>
        <v>0.5</v>
      </c>
      <c r="BW551" s="239">
        <f t="shared" si="59"/>
        <v>0.5</v>
      </c>
      <c r="BX551" s="239">
        <f t="shared" si="60"/>
        <v>0.5</v>
      </c>
      <c r="CN551" s="238">
        <f t="shared" si="48"/>
        <v>2</v>
      </c>
      <c r="CO551" s="238">
        <f t="shared" si="49"/>
        <v>2</v>
      </c>
    </row>
    <row r="552" spans="1:93" ht="13.95" customHeight="1" x14ac:dyDescent="0.2">
      <c r="A552" s="231">
        <v>6499</v>
      </c>
      <c r="B552" s="232" t="s">
        <v>822</v>
      </c>
      <c r="C552" s="232" t="s">
        <v>1692</v>
      </c>
      <c r="D552" s="232" t="s">
        <v>1693</v>
      </c>
      <c r="E552" s="232" t="s">
        <v>317</v>
      </c>
      <c r="F552" s="231">
        <v>529152</v>
      </c>
      <c r="G552" s="231">
        <v>176426</v>
      </c>
      <c r="H552" s="232" t="s">
        <v>171</v>
      </c>
      <c r="I552" s="233"/>
      <c r="J552" s="231"/>
      <c r="K552" s="231">
        <v>2</v>
      </c>
      <c r="L552" s="231">
        <v>1</v>
      </c>
      <c r="M552" s="231">
        <v>-1</v>
      </c>
      <c r="N552" s="231">
        <v>1</v>
      </c>
      <c r="O552" s="231">
        <v>-1</v>
      </c>
      <c r="P552" s="234"/>
      <c r="Q552" s="232" t="s">
        <v>1694</v>
      </c>
      <c r="R552" s="234" t="s">
        <v>1695</v>
      </c>
      <c r="S552" s="235">
        <v>44302</v>
      </c>
      <c r="T552" s="235">
        <v>44432</v>
      </c>
      <c r="U552" s="234"/>
      <c r="V552" s="232" t="s">
        <v>321</v>
      </c>
      <c r="W552" s="231"/>
      <c r="X552" s="232" t="s">
        <v>322</v>
      </c>
      <c r="Y552" s="232" t="s">
        <v>323</v>
      </c>
      <c r="Z552" s="232" t="s">
        <v>324</v>
      </c>
      <c r="AA552" s="232" t="s">
        <v>349</v>
      </c>
      <c r="AB552" s="236">
        <v>2E-3</v>
      </c>
      <c r="AC552" s="235"/>
      <c r="AD552" s="234"/>
      <c r="AE552" s="234"/>
      <c r="AF552" s="232" t="s">
        <v>77</v>
      </c>
      <c r="AG552" s="232" t="s">
        <v>350</v>
      </c>
      <c r="AH552" s="234" t="s">
        <v>317</v>
      </c>
      <c r="AJ552" s="234">
        <v>0</v>
      </c>
      <c r="AK552" s="224"/>
      <c r="AL552" s="234">
        <v>0</v>
      </c>
      <c r="AM552" s="224"/>
      <c r="AN552" s="234">
        <v>-1</v>
      </c>
      <c r="AO552" s="234">
        <v>-1</v>
      </c>
      <c r="AP552" s="234">
        <v>0</v>
      </c>
      <c r="AQ552" s="234">
        <v>1</v>
      </c>
      <c r="AR552" s="234">
        <v>0</v>
      </c>
      <c r="AS552" s="234">
        <v>0</v>
      </c>
      <c r="AT552" s="234">
        <v>0</v>
      </c>
      <c r="AU552" s="234">
        <v>-1</v>
      </c>
      <c r="AV552" s="234">
        <v>-1</v>
      </c>
      <c r="AW552" s="234">
        <v>0</v>
      </c>
      <c r="AX552" s="234">
        <v>1</v>
      </c>
      <c r="AY552" s="234">
        <v>0</v>
      </c>
      <c r="AZ552" s="234">
        <v>0</v>
      </c>
      <c r="BA552" s="234">
        <v>0</v>
      </c>
      <c r="BB552" s="234">
        <v>0</v>
      </c>
      <c r="BC552" s="234">
        <v>0</v>
      </c>
      <c r="BD552" s="234">
        <v>0</v>
      </c>
      <c r="BE552" s="234">
        <v>0</v>
      </c>
      <c r="BF552" s="234">
        <v>0</v>
      </c>
      <c r="BG552" s="234">
        <v>0</v>
      </c>
      <c r="BH552" s="234">
        <v>0</v>
      </c>
      <c r="BI552" s="234">
        <v>0</v>
      </c>
      <c r="BJ552" s="234">
        <v>0</v>
      </c>
      <c r="BK552" s="234">
        <v>0</v>
      </c>
      <c r="BL552" s="234">
        <v>0</v>
      </c>
      <c r="BM552" s="234">
        <v>0</v>
      </c>
      <c r="BN552" s="234">
        <v>0</v>
      </c>
      <c r="BO552" s="234">
        <v>0</v>
      </c>
      <c r="BP552" s="234"/>
      <c r="BQ552" s="234" t="s">
        <v>318</v>
      </c>
      <c r="BR552" s="237" t="s">
        <v>151</v>
      </c>
      <c r="BS552" s="238">
        <v>7</v>
      </c>
      <c r="BV552" s="239">
        <f t="shared" si="58"/>
        <v>-0.25</v>
      </c>
      <c r="BW552" s="239">
        <f t="shared" si="59"/>
        <v>-0.25</v>
      </c>
      <c r="BX552" s="239">
        <f t="shared" si="60"/>
        <v>-0.25</v>
      </c>
      <c r="BY552" s="239">
        <f>M552/4</f>
        <v>-0.25</v>
      </c>
      <c r="CN552" s="238">
        <f t="shared" si="48"/>
        <v>-1</v>
      </c>
      <c r="CO552" s="238">
        <f t="shared" si="49"/>
        <v>-1</v>
      </c>
    </row>
    <row r="553" spans="1:93" ht="13.95" customHeight="1" x14ac:dyDescent="0.2">
      <c r="A553" s="231">
        <v>3716</v>
      </c>
      <c r="B553" s="232" t="s">
        <v>822</v>
      </c>
      <c r="C553" s="232" t="s">
        <v>1696</v>
      </c>
      <c r="D553" s="232" t="s">
        <v>1697</v>
      </c>
      <c r="E553" s="232" t="s">
        <v>317</v>
      </c>
      <c r="F553" s="231">
        <v>525905</v>
      </c>
      <c r="G553" s="231">
        <v>173871</v>
      </c>
      <c r="H553" s="232" t="s">
        <v>179</v>
      </c>
      <c r="I553" s="233"/>
      <c r="J553" s="231"/>
      <c r="K553" s="231">
        <v>1</v>
      </c>
      <c r="L553" s="231">
        <v>3</v>
      </c>
      <c r="M553" s="231">
        <v>2</v>
      </c>
      <c r="N553" s="231">
        <v>3</v>
      </c>
      <c r="O553" s="231">
        <v>2</v>
      </c>
      <c r="P553" s="234"/>
      <c r="Q553" s="232" t="s">
        <v>1698</v>
      </c>
      <c r="R553" s="234" t="s">
        <v>332</v>
      </c>
      <c r="S553" s="235">
        <v>44680</v>
      </c>
      <c r="T553" s="235">
        <v>44755</v>
      </c>
      <c r="U553" s="234" t="s">
        <v>318</v>
      </c>
      <c r="V553" s="232" t="s">
        <v>321</v>
      </c>
      <c r="W553" s="231"/>
      <c r="X553" s="232" t="s">
        <v>322</v>
      </c>
      <c r="Y553" s="232" t="s">
        <v>338</v>
      </c>
      <c r="Z553" s="232" t="s">
        <v>324</v>
      </c>
      <c r="AA553" s="232" t="s">
        <v>411</v>
      </c>
      <c r="AB553" s="236">
        <v>5.0000000000000001E-3</v>
      </c>
      <c r="AC553" s="235"/>
      <c r="AD553" s="234"/>
      <c r="AE553" s="234"/>
      <c r="AF553" s="232" t="s">
        <v>77</v>
      </c>
      <c r="AG553" s="232" t="s">
        <v>350</v>
      </c>
      <c r="AH553" s="234" t="s">
        <v>317</v>
      </c>
      <c r="AJ553" s="234">
        <v>0</v>
      </c>
      <c r="AK553" s="224"/>
      <c r="AL553" s="234">
        <v>0</v>
      </c>
      <c r="AM553" s="224"/>
      <c r="AN553" s="234">
        <v>1</v>
      </c>
      <c r="AO553" s="234">
        <v>2</v>
      </c>
      <c r="AP553" s="234">
        <v>0</v>
      </c>
      <c r="AQ553" s="234">
        <v>-1</v>
      </c>
      <c r="AR553" s="234">
        <v>0</v>
      </c>
      <c r="AS553" s="234">
        <v>0</v>
      </c>
      <c r="AT553" s="234">
        <v>0</v>
      </c>
      <c r="AU553" s="234">
        <v>1</v>
      </c>
      <c r="AV553" s="234">
        <v>2</v>
      </c>
      <c r="AW553" s="234">
        <v>0</v>
      </c>
      <c r="AX553" s="234">
        <v>-1</v>
      </c>
      <c r="AY553" s="234">
        <v>0</v>
      </c>
      <c r="AZ553" s="234">
        <v>0</v>
      </c>
      <c r="BA553" s="234">
        <v>0</v>
      </c>
      <c r="BB553" s="234">
        <v>0</v>
      </c>
      <c r="BC553" s="234">
        <v>0</v>
      </c>
      <c r="BD553" s="234">
        <v>0</v>
      </c>
      <c r="BE553" s="234">
        <v>0</v>
      </c>
      <c r="BF553" s="234">
        <v>0</v>
      </c>
      <c r="BG553" s="234">
        <v>0</v>
      </c>
      <c r="BH553" s="234">
        <v>0</v>
      </c>
      <c r="BI553" s="234">
        <v>0</v>
      </c>
      <c r="BJ553" s="234">
        <v>0</v>
      </c>
      <c r="BK553" s="234">
        <v>0</v>
      </c>
      <c r="BL553" s="234">
        <v>0</v>
      </c>
      <c r="BM553" s="234">
        <v>0</v>
      </c>
      <c r="BN553" s="234">
        <v>0</v>
      </c>
      <c r="BO553" s="234">
        <v>0</v>
      </c>
      <c r="BP553" s="234"/>
      <c r="BQ553" s="234"/>
      <c r="BR553" s="237" t="s">
        <v>154</v>
      </c>
      <c r="BS553" s="238">
        <v>15</v>
      </c>
      <c r="BU553" s="239">
        <f>M553/4</f>
        <v>0.5</v>
      </c>
      <c r="BV553" s="239">
        <f t="shared" si="58"/>
        <v>0.5</v>
      </c>
      <c r="BW553" s="239">
        <f t="shared" si="59"/>
        <v>0.5</v>
      </c>
      <c r="BX553" s="239">
        <f t="shared" si="60"/>
        <v>0.5</v>
      </c>
      <c r="CN553" s="238">
        <f t="shared" si="48"/>
        <v>2</v>
      </c>
      <c r="CO553" s="238">
        <f t="shared" si="49"/>
        <v>2</v>
      </c>
    </row>
    <row r="554" spans="1:93" ht="13.95" customHeight="1" x14ac:dyDescent="0.2">
      <c r="A554" s="231">
        <v>6805</v>
      </c>
      <c r="B554" s="232" t="s">
        <v>822</v>
      </c>
      <c r="C554" s="232" t="s">
        <v>1502</v>
      </c>
      <c r="D554" s="232" t="s">
        <v>1503</v>
      </c>
      <c r="E554" s="232" t="s">
        <v>317</v>
      </c>
      <c r="F554" s="231">
        <v>524490</v>
      </c>
      <c r="G554" s="231">
        <v>175266</v>
      </c>
      <c r="H554" s="232" t="s">
        <v>175</v>
      </c>
      <c r="I554" s="233"/>
      <c r="J554" s="231"/>
      <c r="K554" s="231">
        <v>0</v>
      </c>
      <c r="L554" s="231">
        <v>2</v>
      </c>
      <c r="M554" s="231">
        <v>2</v>
      </c>
      <c r="N554" s="231">
        <v>8</v>
      </c>
      <c r="O554" s="231">
        <v>8</v>
      </c>
      <c r="P554" s="234"/>
      <c r="Q554" s="232" t="s">
        <v>1504</v>
      </c>
      <c r="R554" s="234" t="s">
        <v>332</v>
      </c>
      <c r="S554" s="235">
        <v>44048</v>
      </c>
      <c r="T554" s="235">
        <v>44162</v>
      </c>
      <c r="U554" s="234"/>
      <c r="V554" s="232" t="s">
        <v>321</v>
      </c>
      <c r="W554" s="231"/>
      <c r="X554" s="232" t="s">
        <v>322</v>
      </c>
      <c r="Y554" s="232" t="s">
        <v>338</v>
      </c>
      <c r="Z554" s="232" t="s">
        <v>324</v>
      </c>
      <c r="AA554" s="232" t="s">
        <v>354</v>
      </c>
      <c r="AB554" s="236">
        <v>5.0000000000000001E-3</v>
      </c>
      <c r="AC554" s="235"/>
      <c r="AD554" s="234"/>
      <c r="AE554" s="234"/>
      <c r="AF554" s="232" t="s">
        <v>77</v>
      </c>
      <c r="AG554" s="232" t="s">
        <v>350</v>
      </c>
      <c r="AH554" s="234" t="s">
        <v>317</v>
      </c>
      <c r="AJ554" s="234">
        <v>0</v>
      </c>
      <c r="AK554" s="224"/>
      <c r="AL554" s="234">
        <v>0</v>
      </c>
      <c r="AM554" s="224"/>
      <c r="AN554" s="234">
        <v>0</v>
      </c>
      <c r="AO554" s="234">
        <v>1</v>
      </c>
      <c r="AP554" s="234">
        <v>1</v>
      </c>
      <c r="AQ554" s="234">
        <v>0</v>
      </c>
      <c r="AR554" s="234">
        <v>0</v>
      </c>
      <c r="AS554" s="234">
        <v>0</v>
      </c>
      <c r="AT554" s="234">
        <v>0</v>
      </c>
      <c r="AU554" s="234">
        <v>0</v>
      </c>
      <c r="AV554" s="234">
        <v>1</v>
      </c>
      <c r="AW554" s="234">
        <v>1</v>
      </c>
      <c r="AX554" s="234">
        <v>0</v>
      </c>
      <c r="AY554" s="234">
        <v>0</v>
      </c>
      <c r="AZ554" s="234">
        <v>0</v>
      </c>
      <c r="BA554" s="234">
        <v>0</v>
      </c>
      <c r="BB554" s="234">
        <v>0</v>
      </c>
      <c r="BC554" s="234">
        <v>0</v>
      </c>
      <c r="BD554" s="234">
        <v>0</v>
      </c>
      <c r="BE554" s="234">
        <v>0</v>
      </c>
      <c r="BF554" s="234">
        <v>0</v>
      </c>
      <c r="BG554" s="234">
        <v>0</v>
      </c>
      <c r="BH554" s="234">
        <v>0</v>
      </c>
      <c r="BI554" s="234">
        <v>0</v>
      </c>
      <c r="BJ554" s="234">
        <v>0</v>
      </c>
      <c r="BK554" s="234">
        <v>0</v>
      </c>
      <c r="BL554" s="234">
        <v>0</v>
      </c>
      <c r="BM554" s="234">
        <v>0</v>
      </c>
      <c r="BN554" s="234">
        <v>0</v>
      </c>
      <c r="BO554" s="234">
        <v>0</v>
      </c>
      <c r="BP554" s="234"/>
      <c r="BQ554" s="234"/>
      <c r="BR554" s="237" t="s">
        <v>334</v>
      </c>
      <c r="BS554" s="238">
        <v>18</v>
      </c>
      <c r="BU554" s="239">
        <f>M554/4</f>
        <v>0.5</v>
      </c>
      <c r="BV554" s="239">
        <f t="shared" si="58"/>
        <v>0.5</v>
      </c>
      <c r="BW554" s="239">
        <f t="shared" si="59"/>
        <v>0.5</v>
      </c>
      <c r="BX554" s="239">
        <f t="shared" si="60"/>
        <v>0.5</v>
      </c>
      <c r="CN554" s="238">
        <f t="shared" si="48"/>
        <v>2</v>
      </c>
      <c r="CO554" s="238">
        <f t="shared" si="49"/>
        <v>2</v>
      </c>
    </row>
    <row r="555" spans="1:93" ht="13.95" customHeight="1" x14ac:dyDescent="0.2">
      <c r="A555" s="231">
        <v>7887</v>
      </c>
      <c r="B555" s="232" t="s">
        <v>822</v>
      </c>
      <c r="C555" s="232" t="s">
        <v>1699</v>
      </c>
      <c r="D555" s="232" t="s">
        <v>1700</v>
      </c>
      <c r="E555" s="232" t="s">
        <v>317</v>
      </c>
      <c r="F555" s="231">
        <v>521118</v>
      </c>
      <c r="G555" s="231">
        <v>174326</v>
      </c>
      <c r="H555" s="232" t="s">
        <v>170</v>
      </c>
      <c r="I555" s="233"/>
      <c r="J555" s="231"/>
      <c r="K555" s="231">
        <v>1</v>
      </c>
      <c r="L555" s="231">
        <v>1</v>
      </c>
      <c r="M555" s="231">
        <v>0</v>
      </c>
      <c r="N555" s="231">
        <v>1</v>
      </c>
      <c r="O555" s="231">
        <v>0</v>
      </c>
      <c r="P555" s="234"/>
      <c r="Q555" s="232" t="s">
        <v>1701</v>
      </c>
      <c r="R555" s="234" t="s">
        <v>332</v>
      </c>
      <c r="S555" s="235">
        <v>44817</v>
      </c>
      <c r="T555" s="235">
        <v>44937</v>
      </c>
      <c r="U555" s="234" t="s">
        <v>318</v>
      </c>
      <c r="V555" s="232" t="s">
        <v>321</v>
      </c>
      <c r="W555" s="231"/>
      <c r="X555" s="232" t="s">
        <v>322</v>
      </c>
      <c r="Y555" s="232" t="s">
        <v>323</v>
      </c>
      <c r="Z555" s="232" t="s">
        <v>324</v>
      </c>
      <c r="AA555" s="232" t="s">
        <v>349</v>
      </c>
      <c r="AB555" s="236">
        <v>2.8000000000000001E-2</v>
      </c>
      <c r="AC555" s="235"/>
      <c r="AD555" s="234"/>
      <c r="AE555" s="234"/>
      <c r="AF555" s="232" t="s">
        <v>77</v>
      </c>
      <c r="AG555" s="232" t="s">
        <v>350</v>
      </c>
      <c r="AH555" s="234" t="s">
        <v>317</v>
      </c>
      <c r="AJ555" s="234">
        <v>0</v>
      </c>
      <c r="AK555" s="224"/>
      <c r="AL555" s="234">
        <v>0</v>
      </c>
      <c r="AM555" s="224"/>
      <c r="AN555" s="234">
        <v>0</v>
      </c>
      <c r="AO555" s="234">
        <v>0</v>
      </c>
      <c r="AP555" s="234">
        <v>0</v>
      </c>
      <c r="AQ555" s="234">
        <v>0</v>
      </c>
      <c r="AR555" s="234">
        <v>-1</v>
      </c>
      <c r="AS555" s="234">
        <v>1</v>
      </c>
      <c r="AT555" s="234">
        <v>0</v>
      </c>
      <c r="AU555" s="234">
        <v>0</v>
      </c>
      <c r="AV555" s="234">
        <v>0</v>
      </c>
      <c r="AW555" s="234">
        <v>0</v>
      </c>
      <c r="AX555" s="234">
        <v>0</v>
      </c>
      <c r="AY555" s="234">
        <v>0</v>
      </c>
      <c r="AZ555" s="234">
        <v>0</v>
      </c>
      <c r="BA555" s="234">
        <v>0</v>
      </c>
      <c r="BB555" s="234">
        <v>0</v>
      </c>
      <c r="BC555" s="234">
        <v>0</v>
      </c>
      <c r="BD555" s="234">
        <v>0</v>
      </c>
      <c r="BE555" s="234">
        <v>0</v>
      </c>
      <c r="BF555" s="234">
        <v>-1</v>
      </c>
      <c r="BG555" s="234">
        <v>1</v>
      </c>
      <c r="BH555" s="234">
        <v>0</v>
      </c>
      <c r="BI555" s="234">
        <v>0</v>
      </c>
      <c r="BJ555" s="234">
        <v>0</v>
      </c>
      <c r="BK555" s="234">
        <v>0</v>
      </c>
      <c r="BL555" s="234">
        <v>0</v>
      </c>
      <c r="BM555" s="234">
        <v>0</v>
      </c>
      <c r="BN555" s="234">
        <v>0</v>
      </c>
      <c r="BO555" s="234">
        <v>0</v>
      </c>
      <c r="BP555" s="234"/>
      <c r="BQ555" s="234"/>
      <c r="BR555" s="237" t="s">
        <v>334</v>
      </c>
      <c r="BS555" s="238">
        <v>7</v>
      </c>
      <c r="BV555" s="239">
        <f t="shared" si="58"/>
        <v>0</v>
      </c>
      <c r="BW555" s="239">
        <f t="shared" si="59"/>
        <v>0</v>
      </c>
      <c r="BX555" s="239">
        <f t="shared" si="60"/>
        <v>0</v>
      </c>
      <c r="BY555" s="239">
        <f>M555/4</f>
        <v>0</v>
      </c>
      <c r="CN555" s="238">
        <f t="shared" si="48"/>
        <v>0</v>
      </c>
      <c r="CO555" s="238">
        <f t="shared" si="49"/>
        <v>0</v>
      </c>
    </row>
    <row r="556" spans="1:93" ht="13.95" customHeight="1" x14ac:dyDescent="0.2">
      <c r="A556" s="231">
        <v>2032</v>
      </c>
      <c r="B556" s="232" t="s">
        <v>822</v>
      </c>
      <c r="C556" s="232" t="s">
        <v>1702</v>
      </c>
      <c r="D556" s="232" t="s">
        <v>1703</v>
      </c>
      <c r="E556" s="232" t="s">
        <v>317</v>
      </c>
      <c r="F556" s="231">
        <v>528095</v>
      </c>
      <c r="G556" s="231">
        <v>172380</v>
      </c>
      <c r="H556" s="232" t="s">
        <v>172</v>
      </c>
      <c r="I556" s="233"/>
      <c r="J556" s="231"/>
      <c r="K556" s="231">
        <v>0</v>
      </c>
      <c r="L556" s="231">
        <v>2</v>
      </c>
      <c r="M556" s="231">
        <v>2</v>
      </c>
      <c r="N556" s="231">
        <v>2</v>
      </c>
      <c r="O556" s="231">
        <v>2</v>
      </c>
      <c r="P556" s="234"/>
      <c r="Q556" s="232" t="s">
        <v>1704</v>
      </c>
      <c r="R556" s="234" t="s">
        <v>332</v>
      </c>
      <c r="S556" s="235">
        <v>44239</v>
      </c>
      <c r="T556" s="235">
        <v>44368</v>
      </c>
      <c r="U556" s="234"/>
      <c r="V556" s="232" t="s">
        <v>321</v>
      </c>
      <c r="W556" s="231"/>
      <c r="X556" s="232" t="s">
        <v>322</v>
      </c>
      <c r="Y556" s="232" t="s">
        <v>339</v>
      </c>
      <c r="Z556" s="232" t="s">
        <v>324</v>
      </c>
      <c r="AA556" s="232" t="s">
        <v>354</v>
      </c>
      <c r="AB556" s="236">
        <v>8.9999999999999993E-3</v>
      </c>
      <c r="AC556" s="235"/>
      <c r="AD556" s="234"/>
      <c r="AE556" s="234"/>
      <c r="AF556" s="232" t="s">
        <v>77</v>
      </c>
      <c r="AG556" s="232" t="s">
        <v>350</v>
      </c>
      <c r="AH556" s="234" t="s">
        <v>317</v>
      </c>
      <c r="AJ556" s="234">
        <v>0</v>
      </c>
      <c r="AK556" s="224"/>
      <c r="AL556" s="234">
        <v>0</v>
      </c>
      <c r="AM556" s="224"/>
      <c r="AN556" s="234">
        <v>0</v>
      </c>
      <c r="AO556" s="234">
        <v>0</v>
      </c>
      <c r="AP556" s="234">
        <v>2</v>
      </c>
      <c r="AQ556" s="234">
        <v>0</v>
      </c>
      <c r="AR556" s="234">
        <v>0</v>
      </c>
      <c r="AS556" s="234">
        <v>0</v>
      </c>
      <c r="AT556" s="234">
        <v>0</v>
      </c>
      <c r="AU556" s="234">
        <v>0</v>
      </c>
      <c r="AV556" s="234">
        <v>0</v>
      </c>
      <c r="AW556" s="234">
        <v>2</v>
      </c>
      <c r="AX556" s="234">
        <v>0</v>
      </c>
      <c r="AY556" s="234">
        <v>0</v>
      </c>
      <c r="AZ556" s="234">
        <v>0</v>
      </c>
      <c r="BA556" s="234">
        <v>0</v>
      </c>
      <c r="BB556" s="234">
        <v>0</v>
      </c>
      <c r="BC556" s="234">
        <v>0</v>
      </c>
      <c r="BD556" s="234">
        <v>0</v>
      </c>
      <c r="BE556" s="234">
        <v>0</v>
      </c>
      <c r="BF556" s="234">
        <v>0</v>
      </c>
      <c r="BG556" s="234">
        <v>0</v>
      </c>
      <c r="BH556" s="234">
        <v>0</v>
      </c>
      <c r="BI556" s="234">
        <v>0</v>
      </c>
      <c r="BJ556" s="234">
        <v>0</v>
      </c>
      <c r="BK556" s="234">
        <v>0</v>
      </c>
      <c r="BL556" s="234">
        <v>0</v>
      </c>
      <c r="BM556" s="234">
        <v>0</v>
      </c>
      <c r="BN556" s="234">
        <v>0</v>
      </c>
      <c r="BO556" s="234">
        <v>0</v>
      </c>
      <c r="BP556" s="234"/>
      <c r="BQ556" s="234"/>
      <c r="BR556" s="237" t="s">
        <v>334</v>
      </c>
      <c r="BS556" s="238">
        <v>15</v>
      </c>
      <c r="BU556" s="239">
        <f>M556/4</f>
        <v>0.5</v>
      </c>
      <c r="BV556" s="239">
        <f t="shared" si="58"/>
        <v>0.5</v>
      </c>
      <c r="BW556" s="239">
        <f t="shared" si="59"/>
        <v>0.5</v>
      </c>
      <c r="BX556" s="239">
        <f t="shared" si="60"/>
        <v>0.5</v>
      </c>
      <c r="CN556" s="238">
        <f t="shared" si="48"/>
        <v>2</v>
      </c>
      <c r="CO556" s="238">
        <f t="shared" si="49"/>
        <v>2</v>
      </c>
    </row>
    <row r="557" spans="1:93" ht="13.95" customHeight="1" x14ac:dyDescent="0.2">
      <c r="A557" s="231">
        <v>7729</v>
      </c>
      <c r="B557" s="232" t="s">
        <v>822</v>
      </c>
      <c r="C557" s="232" t="s">
        <v>1705</v>
      </c>
      <c r="D557" s="232" t="s">
        <v>1706</v>
      </c>
      <c r="E557" s="232" t="s">
        <v>317</v>
      </c>
      <c r="F557" s="231">
        <v>527446</v>
      </c>
      <c r="G557" s="231">
        <v>173267</v>
      </c>
      <c r="H557" s="232" t="s">
        <v>178</v>
      </c>
      <c r="I557" s="233"/>
      <c r="J557" s="231"/>
      <c r="K557" s="231">
        <v>0</v>
      </c>
      <c r="L557" s="231">
        <v>2</v>
      </c>
      <c r="M557" s="231">
        <v>2</v>
      </c>
      <c r="N557" s="231">
        <v>2</v>
      </c>
      <c r="O557" s="231">
        <v>2</v>
      </c>
      <c r="P557" s="234"/>
      <c r="Q557" s="232" t="s">
        <v>1707</v>
      </c>
      <c r="R557" s="234" t="s">
        <v>332</v>
      </c>
      <c r="S557" s="235">
        <v>44641</v>
      </c>
      <c r="T557" s="235">
        <v>44797</v>
      </c>
      <c r="U557" s="234" t="s">
        <v>318</v>
      </c>
      <c r="V557" s="232" t="s">
        <v>321</v>
      </c>
      <c r="W557" s="231"/>
      <c r="X557" s="232" t="s">
        <v>322</v>
      </c>
      <c r="Y557" s="232" t="s">
        <v>339</v>
      </c>
      <c r="Z557" s="232" t="s">
        <v>324</v>
      </c>
      <c r="AA557" s="232" t="s">
        <v>28</v>
      </c>
      <c r="AB557" s="236">
        <v>6.3E-3</v>
      </c>
      <c r="AC557" s="235"/>
      <c r="AD557" s="234"/>
      <c r="AE557" s="234"/>
      <c r="AF557" s="232" t="s">
        <v>77</v>
      </c>
      <c r="AG557" s="232" t="s">
        <v>350</v>
      </c>
      <c r="AH557" s="234" t="s">
        <v>317</v>
      </c>
      <c r="AJ557" s="234">
        <v>0</v>
      </c>
      <c r="AK557" s="224"/>
      <c r="AL557" s="234">
        <v>0</v>
      </c>
      <c r="AM557" s="224"/>
      <c r="AN557" s="234">
        <v>0</v>
      </c>
      <c r="AO557" s="234">
        <v>1</v>
      </c>
      <c r="AP557" s="234">
        <v>1</v>
      </c>
      <c r="AQ557" s="234">
        <v>0</v>
      </c>
      <c r="AR557" s="234">
        <v>0</v>
      </c>
      <c r="AS557" s="234">
        <v>0</v>
      </c>
      <c r="AT557" s="234">
        <v>0</v>
      </c>
      <c r="AU557" s="234">
        <v>0</v>
      </c>
      <c r="AV557" s="234">
        <v>1</v>
      </c>
      <c r="AW557" s="234">
        <v>1</v>
      </c>
      <c r="AX557" s="234">
        <v>0</v>
      </c>
      <c r="AY557" s="234">
        <v>0</v>
      </c>
      <c r="AZ557" s="234">
        <v>0</v>
      </c>
      <c r="BA557" s="234">
        <v>0</v>
      </c>
      <c r="BB557" s="234">
        <v>0</v>
      </c>
      <c r="BC557" s="234">
        <v>0</v>
      </c>
      <c r="BD557" s="234">
        <v>0</v>
      </c>
      <c r="BE557" s="234">
        <v>0</v>
      </c>
      <c r="BF557" s="234">
        <v>0</v>
      </c>
      <c r="BG557" s="234">
        <v>0</v>
      </c>
      <c r="BH557" s="234">
        <v>0</v>
      </c>
      <c r="BI557" s="234">
        <v>0</v>
      </c>
      <c r="BJ557" s="234">
        <v>0</v>
      </c>
      <c r="BK557" s="234">
        <v>0</v>
      </c>
      <c r="BL557" s="234">
        <v>0</v>
      </c>
      <c r="BM557" s="234">
        <v>0</v>
      </c>
      <c r="BN557" s="234">
        <v>0</v>
      </c>
      <c r="BO557" s="234">
        <v>0</v>
      </c>
      <c r="BP557" s="234"/>
      <c r="BQ557" s="234"/>
      <c r="BR557" s="237" t="s">
        <v>334</v>
      </c>
      <c r="BS557" s="238">
        <v>15</v>
      </c>
      <c r="BU557" s="239">
        <f>M557/4</f>
        <v>0.5</v>
      </c>
      <c r="BV557" s="239">
        <f t="shared" si="58"/>
        <v>0.5</v>
      </c>
      <c r="BW557" s="239">
        <f t="shared" si="59"/>
        <v>0.5</v>
      </c>
      <c r="BX557" s="239">
        <f t="shared" si="60"/>
        <v>0.5</v>
      </c>
      <c r="CN557" s="238">
        <f t="shared" si="48"/>
        <v>2</v>
      </c>
      <c r="CO557" s="238">
        <f t="shared" si="49"/>
        <v>2</v>
      </c>
    </row>
    <row r="558" spans="1:93" ht="13.95" customHeight="1" x14ac:dyDescent="0.2">
      <c r="A558" s="231">
        <v>7692</v>
      </c>
      <c r="B558" s="232" t="s">
        <v>822</v>
      </c>
      <c r="C558" s="232" t="s">
        <v>1708</v>
      </c>
      <c r="D558" s="232" t="s">
        <v>1709</v>
      </c>
      <c r="E558" s="232" t="s">
        <v>317</v>
      </c>
      <c r="F558" s="231">
        <v>525937</v>
      </c>
      <c r="G558" s="231">
        <v>173389</v>
      </c>
      <c r="H558" s="232" t="s">
        <v>179</v>
      </c>
      <c r="I558" s="233"/>
      <c r="J558" s="231"/>
      <c r="K558" s="231">
        <v>0</v>
      </c>
      <c r="L558" s="231">
        <v>2</v>
      </c>
      <c r="M558" s="231">
        <v>2</v>
      </c>
      <c r="N558" s="231">
        <v>2</v>
      </c>
      <c r="O558" s="231">
        <v>2</v>
      </c>
      <c r="P558" s="234"/>
      <c r="Q558" s="232" t="s">
        <v>1710</v>
      </c>
      <c r="R558" s="234" t="s">
        <v>332</v>
      </c>
      <c r="S558" s="235">
        <v>44525</v>
      </c>
      <c r="T558" s="235">
        <v>44589</v>
      </c>
      <c r="U558" s="234"/>
      <c r="V558" s="232" t="s">
        <v>321</v>
      </c>
      <c r="W558" s="231"/>
      <c r="X558" s="232" t="s">
        <v>322</v>
      </c>
      <c r="Y558" s="232" t="s">
        <v>338</v>
      </c>
      <c r="Z558" s="232" t="s">
        <v>324</v>
      </c>
      <c r="AA558" s="232" t="s">
        <v>25</v>
      </c>
      <c r="AB558" s="236">
        <v>6.0000000000000001E-3</v>
      </c>
      <c r="AC558" s="235"/>
      <c r="AD558" s="234"/>
      <c r="AE558" s="234"/>
      <c r="AF558" s="232" t="s">
        <v>77</v>
      </c>
      <c r="AG558" s="232" t="s">
        <v>350</v>
      </c>
      <c r="AH558" s="234" t="s">
        <v>317</v>
      </c>
      <c r="AJ558" s="234">
        <v>0</v>
      </c>
      <c r="AK558" s="224"/>
      <c r="AL558" s="234">
        <v>0</v>
      </c>
      <c r="AM558" s="224"/>
      <c r="AN558" s="234">
        <v>0</v>
      </c>
      <c r="AO558" s="234">
        <v>0</v>
      </c>
      <c r="AP558" s="234">
        <v>2</v>
      </c>
      <c r="AQ558" s="234">
        <v>0</v>
      </c>
      <c r="AR558" s="234">
        <v>0</v>
      </c>
      <c r="AS558" s="234">
        <v>0</v>
      </c>
      <c r="AT558" s="234">
        <v>0</v>
      </c>
      <c r="AU558" s="234">
        <v>0</v>
      </c>
      <c r="AV558" s="234">
        <v>0</v>
      </c>
      <c r="AW558" s="234">
        <v>2</v>
      </c>
      <c r="AX558" s="234">
        <v>0</v>
      </c>
      <c r="AY558" s="234">
        <v>0</v>
      </c>
      <c r="AZ558" s="234">
        <v>0</v>
      </c>
      <c r="BA558" s="234">
        <v>0</v>
      </c>
      <c r="BB558" s="234">
        <v>0</v>
      </c>
      <c r="BC558" s="234">
        <v>0</v>
      </c>
      <c r="BD558" s="234">
        <v>0</v>
      </c>
      <c r="BE558" s="234">
        <v>0</v>
      </c>
      <c r="BF558" s="234">
        <v>0</v>
      </c>
      <c r="BG558" s="234">
        <v>0</v>
      </c>
      <c r="BH558" s="234">
        <v>0</v>
      </c>
      <c r="BI558" s="234">
        <v>0</v>
      </c>
      <c r="BJ558" s="234">
        <v>0</v>
      </c>
      <c r="BK558" s="234">
        <v>0</v>
      </c>
      <c r="BL558" s="234">
        <v>0</v>
      </c>
      <c r="BM558" s="234">
        <v>0</v>
      </c>
      <c r="BN558" s="234">
        <v>0</v>
      </c>
      <c r="BO558" s="234">
        <v>0</v>
      </c>
      <c r="BP558" s="234"/>
      <c r="BQ558" s="234"/>
      <c r="BR558" s="237" t="s">
        <v>154</v>
      </c>
      <c r="BS558" s="238">
        <v>15</v>
      </c>
      <c r="BU558" s="239">
        <f>M558/4</f>
        <v>0.5</v>
      </c>
      <c r="BV558" s="239">
        <f t="shared" si="58"/>
        <v>0.5</v>
      </c>
      <c r="BW558" s="239">
        <f t="shared" si="59"/>
        <v>0.5</v>
      </c>
      <c r="BX558" s="239">
        <f t="shared" si="60"/>
        <v>0.5</v>
      </c>
      <c r="CN558" s="238">
        <f t="shared" si="48"/>
        <v>2</v>
      </c>
      <c r="CO558" s="238">
        <f t="shared" si="49"/>
        <v>2</v>
      </c>
    </row>
    <row r="559" spans="1:93" ht="13.95" customHeight="1" x14ac:dyDescent="0.2">
      <c r="A559" s="231">
        <v>7748</v>
      </c>
      <c r="B559" s="232" t="s">
        <v>822</v>
      </c>
      <c r="C559" s="232" t="s">
        <v>1711</v>
      </c>
      <c r="D559" s="232" t="s">
        <v>1712</v>
      </c>
      <c r="E559" s="232" t="s">
        <v>317</v>
      </c>
      <c r="F559" s="231">
        <v>522924</v>
      </c>
      <c r="G559" s="231">
        <v>174688</v>
      </c>
      <c r="H559" s="232" t="s">
        <v>183</v>
      </c>
      <c r="I559" s="233"/>
      <c r="J559" s="231"/>
      <c r="K559" s="231">
        <v>0</v>
      </c>
      <c r="L559" s="231">
        <v>1</v>
      </c>
      <c r="M559" s="231">
        <v>1</v>
      </c>
      <c r="N559" s="231">
        <v>1</v>
      </c>
      <c r="O559" s="231">
        <v>1</v>
      </c>
      <c r="P559" s="234"/>
      <c r="Q559" s="232" t="s">
        <v>1713</v>
      </c>
      <c r="R559" s="234" t="s">
        <v>332</v>
      </c>
      <c r="S559" s="235">
        <v>44874</v>
      </c>
      <c r="T559" s="235">
        <v>44930</v>
      </c>
      <c r="U559" s="234" t="s">
        <v>318</v>
      </c>
      <c r="V559" s="232" t="s">
        <v>321</v>
      </c>
      <c r="W559" s="231"/>
      <c r="X559" s="232" t="s">
        <v>322</v>
      </c>
      <c r="Y559" s="232" t="s">
        <v>323</v>
      </c>
      <c r="Z559" s="232" t="s">
        <v>324</v>
      </c>
      <c r="AA559" s="232" t="s">
        <v>349</v>
      </c>
      <c r="AB559" s="236">
        <v>1.09E-2</v>
      </c>
      <c r="AC559" s="235"/>
      <c r="AD559" s="234"/>
      <c r="AE559" s="234"/>
      <c r="AF559" s="232" t="s">
        <v>77</v>
      </c>
      <c r="AG559" s="232" t="s">
        <v>350</v>
      </c>
      <c r="AH559" s="234" t="s">
        <v>317</v>
      </c>
      <c r="AJ559" s="234">
        <v>0</v>
      </c>
      <c r="AK559" s="224"/>
      <c r="AL559" s="234">
        <v>0</v>
      </c>
      <c r="AM559" s="224"/>
      <c r="AN559" s="234">
        <v>0</v>
      </c>
      <c r="AO559" s="234">
        <v>0</v>
      </c>
      <c r="AP559" s="234">
        <v>0</v>
      </c>
      <c r="AQ559" s="234">
        <v>1</v>
      </c>
      <c r="AR559" s="234">
        <v>0</v>
      </c>
      <c r="AS559" s="234">
        <v>0</v>
      </c>
      <c r="AT559" s="234">
        <v>0</v>
      </c>
      <c r="AU559" s="234">
        <v>0</v>
      </c>
      <c r="AV559" s="234">
        <v>0</v>
      </c>
      <c r="AW559" s="234">
        <v>0</v>
      </c>
      <c r="AX559" s="234">
        <v>0</v>
      </c>
      <c r="AY559" s="234">
        <v>0</v>
      </c>
      <c r="AZ559" s="234">
        <v>0</v>
      </c>
      <c r="BA559" s="234">
        <v>0</v>
      </c>
      <c r="BB559" s="234">
        <v>0</v>
      </c>
      <c r="BC559" s="234">
        <v>0</v>
      </c>
      <c r="BD559" s="234">
        <v>0</v>
      </c>
      <c r="BE559" s="234">
        <v>1</v>
      </c>
      <c r="BF559" s="234">
        <v>0</v>
      </c>
      <c r="BG559" s="234">
        <v>0</v>
      </c>
      <c r="BH559" s="234">
        <v>0</v>
      </c>
      <c r="BI559" s="234">
        <v>0</v>
      </c>
      <c r="BJ559" s="234">
        <v>0</v>
      </c>
      <c r="BK559" s="234">
        <v>0</v>
      </c>
      <c r="BL559" s="234">
        <v>0</v>
      </c>
      <c r="BM559" s="234">
        <v>0</v>
      </c>
      <c r="BN559" s="234">
        <v>0</v>
      </c>
      <c r="BO559" s="234">
        <v>0</v>
      </c>
      <c r="BP559" s="234"/>
      <c r="BQ559" s="234"/>
      <c r="BR559" s="237" t="s">
        <v>334</v>
      </c>
      <c r="BS559" s="238">
        <v>7</v>
      </c>
      <c r="BV559" s="239">
        <f t="shared" si="58"/>
        <v>0.25</v>
      </c>
      <c r="BW559" s="239">
        <f t="shared" si="59"/>
        <v>0.25</v>
      </c>
      <c r="BX559" s="239">
        <f t="shared" si="60"/>
        <v>0.25</v>
      </c>
      <c r="BY559" s="239">
        <f>M559/4</f>
        <v>0.25</v>
      </c>
      <c r="CN559" s="238">
        <f t="shared" si="48"/>
        <v>1</v>
      </c>
      <c r="CO559" s="238">
        <f t="shared" si="49"/>
        <v>1</v>
      </c>
    </row>
    <row r="560" spans="1:93" ht="13.95" customHeight="1" x14ac:dyDescent="0.2">
      <c r="A560" s="231">
        <v>7153</v>
      </c>
      <c r="B560" s="232" t="s">
        <v>822</v>
      </c>
      <c r="C560" s="232" t="s">
        <v>1714</v>
      </c>
      <c r="D560" s="232" t="s">
        <v>1715</v>
      </c>
      <c r="E560" s="232" t="s">
        <v>317</v>
      </c>
      <c r="F560" s="231">
        <v>527497</v>
      </c>
      <c r="G560" s="231">
        <v>174444</v>
      </c>
      <c r="H560" s="232" t="s">
        <v>169</v>
      </c>
      <c r="I560" s="233"/>
      <c r="J560" s="231"/>
      <c r="K560" s="231">
        <v>3</v>
      </c>
      <c r="L560" s="231">
        <v>5</v>
      </c>
      <c r="M560" s="231">
        <v>2</v>
      </c>
      <c r="N560" s="231">
        <v>5</v>
      </c>
      <c r="O560" s="231">
        <v>2</v>
      </c>
      <c r="P560" s="234"/>
      <c r="Q560" s="232" t="s">
        <v>1716</v>
      </c>
      <c r="R560" s="234" t="s">
        <v>332</v>
      </c>
      <c r="S560" s="235">
        <v>43236</v>
      </c>
      <c r="T560" s="235">
        <v>43367</v>
      </c>
      <c r="U560" s="234"/>
      <c r="V560" s="232" t="s">
        <v>321</v>
      </c>
      <c r="W560" s="231"/>
      <c r="X560" s="232" t="s">
        <v>322</v>
      </c>
      <c r="Y560" s="232" t="s">
        <v>365</v>
      </c>
      <c r="Z560" s="232" t="s">
        <v>324</v>
      </c>
      <c r="AA560" s="232" t="s">
        <v>15</v>
      </c>
      <c r="AB560" s="236">
        <v>3.5000000000000003E-2</v>
      </c>
      <c r="AC560" s="235"/>
      <c r="AD560" s="234"/>
      <c r="AE560" s="234"/>
      <c r="AF560" s="232" t="s">
        <v>77</v>
      </c>
      <c r="AG560" s="232" t="s">
        <v>350</v>
      </c>
      <c r="AH560" s="234" t="s">
        <v>317</v>
      </c>
      <c r="AJ560" s="234">
        <v>0</v>
      </c>
      <c r="AK560" s="224"/>
      <c r="AL560" s="234">
        <v>0</v>
      </c>
      <c r="AM560" s="224"/>
      <c r="AN560" s="234">
        <v>1</v>
      </c>
      <c r="AO560" s="234">
        <v>1</v>
      </c>
      <c r="AP560" s="234">
        <v>0</v>
      </c>
      <c r="AQ560" s="234">
        <v>0</v>
      </c>
      <c r="AR560" s="234">
        <v>0</v>
      </c>
      <c r="AS560" s="234">
        <v>0</v>
      </c>
      <c r="AT560" s="234">
        <v>0</v>
      </c>
      <c r="AU560" s="234">
        <v>1</v>
      </c>
      <c r="AV560" s="234">
        <v>1</v>
      </c>
      <c r="AW560" s="234">
        <v>0</v>
      </c>
      <c r="AX560" s="234">
        <v>1</v>
      </c>
      <c r="AY560" s="234">
        <v>0</v>
      </c>
      <c r="AZ560" s="234">
        <v>0</v>
      </c>
      <c r="BA560" s="234">
        <v>0</v>
      </c>
      <c r="BB560" s="234">
        <v>0</v>
      </c>
      <c r="BC560" s="234">
        <v>0</v>
      </c>
      <c r="BD560" s="234">
        <v>0</v>
      </c>
      <c r="BE560" s="234">
        <v>-1</v>
      </c>
      <c r="BF560" s="234">
        <v>0</v>
      </c>
      <c r="BG560" s="234">
        <v>0</v>
      </c>
      <c r="BH560" s="234">
        <v>0</v>
      </c>
      <c r="BI560" s="234">
        <v>0</v>
      </c>
      <c r="BJ560" s="234">
        <v>0</v>
      </c>
      <c r="BK560" s="234">
        <v>0</v>
      </c>
      <c r="BL560" s="234">
        <v>0</v>
      </c>
      <c r="BM560" s="234">
        <v>0</v>
      </c>
      <c r="BN560" s="234">
        <v>0</v>
      </c>
      <c r="BO560" s="234">
        <v>0</v>
      </c>
      <c r="BP560" s="234"/>
      <c r="BQ560" s="234"/>
      <c r="BR560" s="237" t="s">
        <v>334</v>
      </c>
      <c r="BS560" s="238">
        <v>15</v>
      </c>
      <c r="BU560" s="239">
        <f>M560/4</f>
        <v>0.5</v>
      </c>
      <c r="BV560" s="239">
        <f t="shared" si="58"/>
        <v>0.5</v>
      </c>
      <c r="BW560" s="239">
        <f t="shared" si="59"/>
        <v>0.5</v>
      </c>
      <c r="BX560" s="239">
        <f t="shared" si="60"/>
        <v>0.5</v>
      </c>
      <c r="CN560" s="238">
        <f t="shared" si="48"/>
        <v>2</v>
      </c>
      <c r="CO560" s="238">
        <f t="shared" si="49"/>
        <v>2</v>
      </c>
    </row>
    <row r="561" spans="1:93" ht="13.95" customHeight="1" x14ac:dyDescent="0.2">
      <c r="A561" s="231">
        <v>7857</v>
      </c>
      <c r="B561" s="232" t="s">
        <v>822</v>
      </c>
      <c r="C561" s="232" t="s">
        <v>1717</v>
      </c>
      <c r="D561" s="232" t="s">
        <v>1718</v>
      </c>
      <c r="E561" s="232" t="s">
        <v>317</v>
      </c>
      <c r="F561" s="231">
        <v>525896</v>
      </c>
      <c r="G561" s="231">
        <v>174999</v>
      </c>
      <c r="H561" s="232" t="s">
        <v>181</v>
      </c>
      <c r="I561" s="233"/>
      <c r="J561" s="231"/>
      <c r="K561" s="231">
        <v>0</v>
      </c>
      <c r="L561" s="231">
        <v>2</v>
      </c>
      <c r="M561" s="231">
        <v>2</v>
      </c>
      <c r="N561" s="231">
        <v>2</v>
      </c>
      <c r="O561" s="231">
        <v>2</v>
      </c>
      <c r="P561" s="234"/>
      <c r="Q561" s="232" t="s">
        <v>1719</v>
      </c>
      <c r="R561" s="234" t="s">
        <v>332</v>
      </c>
      <c r="S561" s="235">
        <v>44707</v>
      </c>
      <c r="T561" s="235">
        <v>44915</v>
      </c>
      <c r="U561" s="234" t="s">
        <v>318</v>
      </c>
      <c r="V561" s="232" t="s">
        <v>321</v>
      </c>
      <c r="W561" s="231"/>
      <c r="X561" s="232" t="s">
        <v>322</v>
      </c>
      <c r="Y561" s="232" t="s">
        <v>323</v>
      </c>
      <c r="Z561" s="232" t="s">
        <v>324</v>
      </c>
      <c r="AA561" s="232" t="s">
        <v>349</v>
      </c>
      <c r="AB561" s="236">
        <v>4.7999999999999996E-3</v>
      </c>
      <c r="AC561" s="235"/>
      <c r="AD561" s="234"/>
      <c r="AE561" s="234"/>
      <c r="AF561" s="232" t="s">
        <v>77</v>
      </c>
      <c r="AG561" s="232" t="s">
        <v>350</v>
      </c>
      <c r="AH561" s="234" t="s">
        <v>317</v>
      </c>
      <c r="AJ561" s="234">
        <v>0</v>
      </c>
      <c r="AK561" s="224"/>
      <c r="AL561" s="234">
        <v>0</v>
      </c>
      <c r="AM561" s="224"/>
      <c r="AN561" s="234">
        <v>1</v>
      </c>
      <c r="AO561" s="234">
        <v>1</v>
      </c>
      <c r="AP561" s="234">
        <v>0</v>
      </c>
      <c r="AQ561" s="234">
        <v>0</v>
      </c>
      <c r="AR561" s="234">
        <v>0</v>
      </c>
      <c r="AS561" s="234">
        <v>0</v>
      </c>
      <c r="AT561" s="234">
        <v>0</v>
      </c>
      <c r="AU561" s="234">
        <v>1</v>
      </c>
      <c r="AV561" s="234">
        <v>1</v>
      </c>
      <c r="AW561" s="234">
        <v>0</v>
      </c>
      <c r="AX561" s="234">
        <v>0</v>
      </c>
      <c r="AY561" s="234">
        <v>0</v>
      </c>
      <c r="AZ561" s="234">
        <v>0</v>
      </c>
      <c r="BA561" s="234">
        <v>0</v>
      </c>
      <c r="BB561" s="234">
        <v>0</v>
      </c>
      <c r="BC561" s="234">
        <v>0</v>
      </c>
      <c r="BD561" s="234">
        <v>0</v>
      </c>
      <c r="BE561" s="234">
        <v>0</v>
      </c>
      <c r="BF561" s="234">
        <v>0</v>
      </c>
      <c r="BG561" s="234">
        <v>0</v>
      </c>
      <c r="BH561" s="234">
        <v>0</v>
      </c>
      <c r="BI561" s="234">
        <v>0</v>
      </c>
      <c r="BJ561" s="234">
        <v>0</v>
      </c>
      <c r="BK561" s="234">
        <v>0</v>
      </c>
      <c r="BL561" s="234">
        <v>0</v>
      </c>
      <c r="BM561" s="234">
        <v>0</v>
      </c>
      <c r="BN561" s="234">
        <v>0</v>
      </c>
      <c r="BO561" s="234">
        <v>0</v>
      </c>
      <c r="BP561" s="234"/>
      <c r="BQ561" s="234"/>
      <c r="BR561" s="237" t="s">
        <v>327</v>
      </c>
      <c r="BS561" s="238">
        <v>7</v>
      </c>
      <c r="BV561" s="239">
        <f t="shared" si="58"/>
        <v>0.5</v>
      </c>
      <c r="BW561" s="239">
        <f t="shared" si="59"/>
        <v>0.5</v>
      </c>
      <c r="BX561" s="239">
        <f t="shared" si="60"/>
        <v>0.5</v>
      </c>
      <c r="BY561" s="239">
        <f>M561/4</f>
        <v>0.5</v>
      </c>
      <c r="CN561" s="238">
        <f t="shared" si="48"/>
        <v>2</v>
      </c>
      <c r="CO561" s="238">
        <f t="shared" si="49"/>
        <v>2</v>
      </c>
    </row>
    <row r="562" spans="1:93" ht="13.95" customHeight="1" x14ac:dyDescent="0.2">
      <c r="A562" s="231">
        <v>7833</v>
      </c>
      <c r="B562" s="232" t="s">
        <v>822</v>
      </c>
      <c r="C562" s="232" t="s">
        <v>1720</v>
      </c>
      <c r="D562" s="232" t="s">
        <v>1721</v>
      </c>
      <c r="E562" s="232" t="s">
        <v>317</v>
      </c>
      <c r="F562" s="231">
        <v>522849</v>
      </c>
      <c r="G562" s="231">
        <v>175561</v>
      </c>
      <c r="H562" s="232" t="s">
        <v>175</v>
      </c>
      <c r="I562" s="233"/>
      <c r="J562" s="231"/>
      <c r="K562" s="231">
        <v>1</v>
      </c>
      <c r="L562" s="231">
        <v>1</v>
      </c>
      <c r="M562" s="231">
        <v>0</v>
      </c>
      <c r="N562" s="231">
        <v>1</v>
      </c>
      <c r="O562" s="231">
        <v>0</v>
      </c>
      <c r="P562" s="234"/>
      <c r="Q562" s="232" t="s">
        <v>1722</v>
      </c>
      <c r="R562" s="234" t="s">
        <v>332</v>
      </c>
      <c r="S562" s="235">
        <v>44704</v>
      </c>
      <c r="T562" s="235">
        <v>44915</v>
      </c>
      <c r="U562" s="234" t="s">
        <v>318</v>
      </c>
      <c r="V562" s="232" t="s">
        <v>321</v>
      </c>
      <c r="W562" s="231"/>
      <c r="X562" s="232" t="s">
        <v>322</v>
      </c>
      <c r="Y562" s="232" t="s">
        <v>323</v>
      </c>
      <c r="Z562" s="232" t="s">
        <v>324</v>
      </c>
      <c r="AA562" s="232" t="s">
        <v>349</v>
      </c>
      <c r="AB562" s="236">
        <v>7.0000000000000001E-3</v>
      </c>
      <c r="AC562" s="235"/>
      <c r="AD562" s="234"/>
      <c r="AE562" s="234"/>
      <c r="AF562" s="232" t="s">
        <v>77</v>
      </c>
      <c r="AG562" s="232" t="s">
        <v>350</v>
      </c>
      <c r="AH562" s="234" t="s">
        <v>317</v>
      </c>
      <c r="AJ562" s="234">
        <v>0</v>
      </c>
      <c r="AK562" s="224"/>
      <c r="AL562" s="234">
        <v>0</v>
      </c>
      <c r="AM562" s="224"/>
      <c r="AN562" s="234">
        <v>0</v>
      </c>
      <c r="AO562" s="234">
        <v>0</v>
      </c>
      <c r="AP562" s="234">
        <v>0</v>
      </c>
      <c r="AQ562" s="234">
        <v>0</v>
      </c>
      <c r="AR562" s="234">
        <v>0</v>
      </c>
      <c r="AS562" s="234">
        <v>0</v>
      </c>
      <c r="AT562" s="234">
        <v>0</v>
      </c>
      <c r="AU562" s="234">
        <v>0</v>
      </c>
      <c r="AV562" s="234">
        <v>0</v>
      </c>
      <c r="AW562" s="234">
        <v>0</v>
      </c>
      <c r="AX562" s="234">
        <v>0</v>
      </c>
      <c r="AY562" s="234">
        <v>0</v>
      </c>
      <c r="AZ562" s="234">
        <v>0</v>
      </c>
      <c r="BA562" s="234">
        <v>0</v>
      </c>
      <c r="BB562" s="234">
        <v>0</v>
      </c>
      <c r="BC562" s="234">
        <v>0</v>
      </c>
      <c r="BD562" s="234">
        <v>0</v>
      </c>
      <c r="BE562" s="234">
        <v>0</v>
      </c>
      <c r="BF562" s="234">
        <v>0</v>
      </c>
      <c r="BG562" s="234">
        <v>0</v>
      </c>
      <c r="BH562" s="234">
        <v>0</v>
      </c>
      <c r="BI562" s="234">
        <v>0</v>
      </c>
      <c r="BJ562" s="234">
        <v>0</v>
      </c>
      <c r="BK562" s="234">
        <v>0</v>
      </c>
      <c r="BL562" s="234">
        <v>0</v>
      </c>
      <c r="BM562" s="234">
        <v>0</v>
      </c>
      <c r="BN562" s="234">
        <v>0</v>
      </c>
      <c r="BO562" s="234">
        <v>0</v>
      </c>
      <c r="BP562" s="234"/>
      <c r="BQ562" s="234"/>
      <c r="BR562" s="237" t="s">
        <v>334</v>
      </c>
      <c r="BS562" s="238">
        <v>7</v>
      </c>
      <c r="BV562" s="239">
        <f t="shared" si="58"/>
        <v>0</v>
      </c>
      <c r="BW562" s="239">
        <f t="shared" si="59"/>
        <v>0</v>
      </c>
      <c r="BX562" s="239">
        <f t="shared" si="60"/>
        <v>0</v>
      </c>
      <c r="BY562" s="239">
        <f>M562/4</f>
        <v>0</v>
      </c>
      <c r="CN562" s="238">
        <f t="shared" si="48"/>
        <v>0</v>
      </c>
      <c r="CO562" s="238">
        <f t="shared" si="49"/>
        <v>0</v>
      </c>
    </row>
    <row r="563" spans="1:93" ht="13.95" customHeight="1" x14ac:dyDescent="0.2">
      <c r="A563" s="231">
        <v>7902</v>
      </c>
      <c r="B563" s="232" t="s">
        <v>822</v>
      </c>
      <c r="C563" s="232" t="s">
        <v>1723</v>
      </c>
      <c r="D563" s="232" t="s">
        <v>1724</v>
      </c>
      <c r="E563" s="232" t="s">
        <v>317</v>
      </c>
      <c r="F563" s="231">
        <v>526640</v>
      </c>
      <c r="G563" s="231">
        <v>172690</v>
      </c>
      <c r="H563" s="232" t="s">
        <v>180</v>
      </c>
      <c r="I563" s="233"/>
      <c r="J563" s="231"/>
      <c r="K563" s="231">
        <v>0</v>
      </c>
      <c r="L563" s="231">
        <v>1</v>
      </c>
      <c r="M563" s="231">
        <v>1</v>
      </c>
      <c r="N563" s="231">
        <v>1</v>
      </c>
      <c r="O563" s="231">
        <v>1</v>
      </c>
      <c r="P563" s="234"/>
      <c r="Q563" s="232" t="s">
        <v>1725</v>
      </c>
      <c r="R563" s="234" t="s">
        <v>332</v>
      </c>
      <c r="S563" s="235">
        <v>44845</v>
      </c>
      <c r="T563" s="235">
        <v>44900</v>
      </c>
      <c r="U563" s="234" t="s">
        <v>318</v>
      </c>
      <c r="V563" s="232" t="s">
        <v>321</v>
      </c>
      <c r="W563" s="231"/>
      <c r="X563" s="232" t="s">
        <v>322</v>
      </c>
      <c r="Y563" s="232" t="s">
        <v>323</v>
      </c>
      <c r="Z563" s="232" t="s">
        <v>324</v>
      </c>
      <c r="AA563" s="232" t="s">
        <v>349</v>
      </c>
      <c r="AB563" s="236">
        <v>3.0000000000000001E-3</v>
      </c>
      <c r="AC563" s="235"/>
      <c r="AD563" s="234"/>
      <c r="AE563" s="234"/>
      <c r="AF563" s="232" t="s">
        <v>77</v>
      </c>
      <c r="AG563" s="232" t="s">
        <v>350</v>
      </c>
      <c r="AH563" s="234" t="s">
        <v>317</v>
      </c>
      <c r="AJ563" s="234">
        <v>0</v>
      </c>
      <c r="AK563" s="224"/>
      <c r="AL563" s="234">
        <v>0</v>
      </c>
      <c r="AM563" s="224"/>
      <c r="AN563" s="234">
        <v>0</v>
      </c>
      <c r="AO563" s="234">
        <v>1</v>
      </c>
      <c r="AP563" s="234">
        <v>0</v>
      </c>
      <c r="AQ563" s="234">
        <v>0</v>
      </c>
      <c r="AR563" s="234">
        <v>0</v>
      </c>
      <c r="AS563" s="234">
        <v>0</v>
      </c>
      <c r="AT563" s="234">
        <v>0</v>
      </c>
      <c r="AU563" s="234">
        <v>0</v>
      </c>
      <c r="AV563" s="234">
        <v>0</v>
      </c>
      <c r="AW563" s="234">
        <v>0</v>
      </c>
      <c r="AX563" s="234">
        <v>0</v>
      </c>
      <c r="AY563" s="234">
        <v>0</v>
      </c>
      <c r="AZ563" s="234">
        <v>0</v>
      </c>
      <c r="BA563" s="234">
        <v>0</v>
      </c>
      <c r="BB563" s="234">
        <v>0</v>
      </c>
      <c r="BC563" s="234">
        <v>1</v>
      </c>
      <c r="BD563" s="234">
        <v>0</v>
      </c>
      <c r="BE563" s="234">
        <v>0</v>
      </c>
      <c r="BF563" s="234">
        <v>0</v>
      </c>
      <c r="BG563" s="234">
        <v>0</v>
      </c>
      <c r="BH563" s="234">
        <v>0</v>
      </c>
      <c r="BI563" s="234">
        <v>0</v>
      </c>
      <c r="BJ563" s="234">
        <v>0</v>
      </c>
      <c r="BK563" s="234">
        <v>0</v>
      </c>
      <c r="BL563" s="234">
        <v>0</v>
      </c>
      <c r="BM563" s="234">
        <v>0</v>
      </c>
      <c r="BN563" s="234">
        <v>0</v>
      </c>
      <c r="BO563" s="234">
        <v>0</v>
      </c>
      <c r="BP563" s="234"/>
      <c r="BQ563" s="234"/>
      <c r="BR563" s="237" t="s">
        <v>334</v>
      </c>
      <c r="BS563" s="238">
        <v>7</v>
      </c>
      <c r="BV563" s="239">
        <f t="shared" si="58"/>
        <v>0.25</v>
      </c>
      <c r="BW563" s="239">
        <f t="shared" si="59"/>
        <v>0.25</v>
      </c>
      <c r="BX563" s="239">
        <f t="shared" si="60"/>
        <v>0.25</v>
      </c>
      <c r="BY563" s="239">
        <f>M563/4</f>
        <v>0.25</v>
      </c>
      <c r="CN563" s="238">
        <f t="shared" si="48"/>
        <v>1</v>
      </c>
      <c r="CO563" s="238">
        <f t="shared" si="49"/>
        <v>1</v>
      </c>
    </row>
    <row r="564" spans="1:93" ht="13.95" customHeight="1" x14ac:dyDescent="0.2">
      <c r="A564" s="231">
        <v>7069</v>
      </c>
      <c r="B564" s="232" t="s">
        <v>822</v>
      </c>
      <c r="C564" s="232" t="s">
        <v>1726</v>
      </c>
      <c r="D564" s="232" t="s">
        <v>1727</v>
      </c>
      <c r="E564" s="232" t="s">
        <v>317</v>
      </c>
      <c r="F564" s="231">
        <v>525885</v>
      </c>
      <c r="G564" s="231">
        <v>175045</v>
      </c>
      <c r="H564" s="232" t="s">
        <v>181</v>
      </c>
      <c r="I564" s="233"/>
      <c r="J564" s="231"/>
      <c r="K564" s="231">
        <v>1</v>
      </c>
      <c r="L564" s="231">
        <v>65</v>
      </c>
      <c r="M564" s="231">
        <v>64</v>
      </c>
      <c r="N564" s="231">
        <v>106</v>
      </c>
      <c r="O564" s="231">
        <v>105</v>
      </c>
      <c r="P564" s="234" t="s">
        <v>318</v>
      </c>
      <c r="Q564" s="232" t="s">
        <v>1728</v>
      </c>
      <c r="R564" s="234" t="s">
        <v>320</v>
      </c>
      <c r="S564" s="235">
        <v>43439</v>
      </c>
      <c r="T564" s="235">
        <v>44693</v>
      </c>
      <c r="U564" s="234" t="s">
        <v>318</v>
      </c>
      <c r="V564" s="232" t="s">
        <v>321</v>
      </c>
      <c r="W564" s="231"/>
      <c r="X564" s="232" t="s">
        <v>322</v>
      </c>
      <c r="Y564" s="232" t="s">
        <v>323</v>
      </c>
      <c r="Z564" s="232" t="s">
        <v>323</v>
      </c>
      <c r="AA564" s="232" t="s">
        <v>324</v>
      </c>
      <c r="AB564" s="236">
        <v>0.19700000000000001</v>
      </c>
      <c r="AC564" s="235"/>
      <c r="AD564" s="234"/>
      <c r="AE564" s="234"/>
      <c r="AF564" s="232" t="s">
        <v>77</v>
      </c>
      <c r="AG564" s="232" t="s">
        <v>350</v>
      </c>
      <c r="AH564" s="234" t="s">
        <v>317</v>
      </c>
      <c r="AJ564" s="234">
        <v>0</v>
      </c>
      <c r="AK564" s="234">
        <v>0</v>
      </c>
      <c r="AL564" s="234">
        <v>0</v>
      </c>
      <c r="AM564" s="234">
        <v>0</v>
      </c>
      <c r="AN564" s="234">
        <v>12</v>
      </c>
      <c r="AO564" s="234">
        <v>25</v>
      </c>
      <c r="AP564" s="234">
        <v>24</v>
      </c>
      <c r="AQ564" s="234">
        <v>3</v>
      </c>
      <c r="AR564" s="234">
        <v>0</v>
      </c>
      <c r="AS564" s="234">
        <v>0</v>
      </c>
      <c r="AT564" s="234">
        <v>0</v>
      </c>
      <c r="AU564" s="234">
        <v>12</v>
      </c>
      <c r="AV564" s="234">
        <v>25</v>
      </c>
      <c r="AW564" s="234">
        <v>24</v>
      </c>
      <c r="AX564" s="234">
        <v>3</v>
      </c>
      <c r="AY564" s="234">
        <v>0</v>
      </c>
      <c r="AZ564" s="234">
        <v>0</v>
      </c>
      <c r="BA564" s="234">
        <v>0</v>
      </c>
      <c r="BB564" s="234">
        <v>0</v>
      </c>
      <c r="BC564" s="234">
        <v>0</v>
      </c>
      <c r="BD564" s="234">
        <v>0</v>
      </c>
      <c r="BE564" s="234">
        <v>0</v>
      </c>
      <c r="BF564" s="234">
        <v>0</v>
      </c>
      <c r="BG564" s="234">
        <v>0</v>
      </c>
      <c r="BH564" s="234">
        <v>0</v>
      </c>
      <c r="BI564" s="234">
        <v>0</v>
      </c>
      <c r="BJ564" s="234">
        <v>0</v>
      </c>
      <c r="BK564" s="234">
        <v>0</v>
      </c>
      <c r="BL564" s="234">
        <v>0</v>
      </c>
      <c r="BM564" s="234">
        <v>0</v>
      </c>
      <c r="BN564" s="234">
        <v>0</v>
      </c>
      <c r="BO564" s="234">
        <v>0</v>
      </c>
      <c r="BP564" s="234"/>
      <c r="BQ564" s="234"/>
      <c r="BR564" s="237" t="s">
        <v>327</v>
      </c>
      <c r="BS564" s="238">
        <v>8</v>
      </c>
      <c r="BY564" s="239">
        <f>M564</f>
        <v>64</v>
      </c>
      <c r="CN564" s="238">
        <f t="shared" si="48"/>
        <v>64</v>
      </c>
      <c r="CO564" s="238">
        <f t="shared" si="49"/>
        <v>64</v>
      </c>
    </row>
    <row r="565" spans="1:93" ht="13.95" customHeight="1" x14ac:dyDescent="0.2">
      <c r="A565" s="231">
        <v>7069</v>
      </c>
      <c r="B565" s="232" t="s">
        <v>822</v>
      </c>
      <c r="C565" s="232" t="s">
        <v>1726</v>
      </c>
      <c r="D565" s="232" t="s">
        <v>1727</v>
      </c>
      <c r="E565" s="232" t="s">
        <v>317</v>
      </c>
      <c r="F565" s="231">
        <v>525885</v>
      </c>
      <c r="G565" s="231">
        <v>175045</v>
      </c>
      <c r="H565" s="232" t="s">
        <v>181</v>
      </c>
      <c r="I565" s="233"/>
      <c r="J565" s="231"/>
      <c r="K565" s="231">
        <v>0</v>
      </c>
      <c r="L565" s="231">
        <v>21</v>
      </c>
      <c r="M565" s="231">
        <v>21</v>
      </c>
      <c r="N565" s="231">
        <v>106</v>
      </c>
      <c r="O565" s="231">
        <v>105</v>
      </c>
      <c r="P565" s="234" t="s">
        <v>318</v>
      </c>
      <c r="Q565" s="232" t="s">
        <v>1728</v>
      </c>
      <c r="R565" s="234" t="s">
        <v>320</v>
      </c>
      <c r="S565" s="235">
        <v>43439</v>
      </c>
      <c r="T565" s="235">
        <v>44693</v>
      </c>
      <c r="U565" s="234" t="s">
        <v>318</v>
      </c>
      <c r="V565" s="232" t="s">
        <v>321</v>
      </c>
      <c r="W565" s="231"/>
      <c r="X565" s="232" t="s">
        <v>322</v>
      </c>
      <c r="Y565" s="232" t="s">
        <v>323</v>
      </c>
      <c r="Z565" s="232" t="s">
        <v>323</v>
      </c>
      <c r="AA565" s="232" t="s">
        <v>324</v>
      </c>
      <c r="AB565" s="236">
        <v>0.04</v>
      </c>
      <c r="AC565" s="235"/>
      <c r="AD565" s="234"/>
      <c r="AE565" s="234"/>
      <c r="AF565" s="232" t="s">
        <v>56</v>
      </c>
      <c r="AG565" s="232" t="s">
        <v>325</v>
      </c>
      <c r="AH565" s="234" t="s">
        <v>317</v>
      </c>
      <c r="AJ565" s="234">
        <v>0</v>
      </c>
      <c r="AK565" s="234">
        <v>0</v>
      </c>
      <c r="AL565" s="234">
        <v>0</v>
      </c>
      <c r="AM565" s="234">
        <v>0</v>
      </c>
      <c r="AN565" s="234">
        <v>0</v>
      </c>
      <c r="AO565" s="234">
        <v>15</v>
      </c>
      <c r="AP565" s="234">
        <v>3</v>
      </c>
      <c r="AQ565" s="234">
        <v>3</v>
      </c>
      <c r="AR565" s="234">
        <v>0</v>
      </c>
      <c r="AS565" s="234">
        <v>0</v>
      </c>
      <c r="AT565" s="234">
        <v>0</v>
      </c>
      <c r="AU565" s="234">
        <v>0</v>
      </c>
      <c r="AV565" s="234">
        <v>15</v>
      </c>
      <c r="AW565" s="234">
        <v>3</v>
      </c>
      <c r="AX565" s="234">
        <v>3</v>
      </c>
      <c r="AY565" s="234">
        <v>0</v>
      </c>
      <c r="AZ565" s="234">
        <v>0</v>
      </c>
      <c r="BA565" s="234">
        <v>0</v>
      </c>
      <c r="BB565" s="234">
        <v>0</v>
      </c>
      <c r="BC565" s="234">
        <v>0</v>
      </c>
      <c r="BD565" s="234">
        <v>0</v>
      </c>
      <c r="BE565" s="234">
        <v>0</v>
      </c>
      <c r="BF565" s="234">
        <v>0</v>
      </c>
      <c r="BG565" s="234">
        <v>0</v>
      </c>
      <c r="BH565" s="234">
        <v>0</v>
      </c>
      <c r="BI565" s="234">
        <v>0</v>
      </c>
      <c r="BJ565" s="234">
        <v>0</v>
      </c>
      <c r="BK565" s="234">
        <v>0</v>
      </c>
      <c r="BL565" s="234">
        <v>0</v>
      </c>
      <c r="BM565" s="234">
        <v>0</v>
      </c>
      <c r="BN565" s="234">
        <v>0</v>
      </c>
      <c r="BO565" s="234">
        <v>0</v>
      </c>
      <c r="BP565" s="234"/>
      <c r="BQ565" s="234"/>
      <c r="BR565" s="237" t="s">
        <v>327</v>
      </c>
      <c r="BS565" s="238">
        <v>8</v>
      </c>
      <c r="BY565" s="239">
        <f>M565</f>
        <v>21</v>
      </c>
      <c r="CN565" s="238">
        <f t="shared" ref="CN565:CN628" si="61">SUM(BU565:BY565)</f>
        <v>21</v>
      </c>
      <c r="CO565" s="238">
        <f t="shared" ref="CO565:CO628" si="62">SUM(BU565:CD565)</f>
        <v>21</v>
      </c>
    </row>
    <row r="566" spans="1:93" ht="13.95" customHeight="1" x14ac:dyDescent="0.2">
      <c r="A566" s="231">
        <v>7069</v>
      </c>
      <c r="B566" s="232" t="s">
        <v>822</v>
      </c>
      <c r="C566" s="232" t="s">
        <v>1726</v>
      </c>
      <c r="D566" s="232" t="s">
        <v>1727</v>
      </c>
      <c r="E566" s="232" t="s">
        <v>317</v>
      </c>
      <c r="F566" s="231">
        <v>525885</v>
      </c>
      <c r="G566" s="231">
        <v>175045</v>
      </c>
      <c r="H566" s="232" t="s">
        <v>181</v>
      </c>
      <c r="I566" s="233"/>
      <c r="J566" s="231"/>
      <c r="K566" s="231">
        <v>0</v>
      </c>
      <c r="L566" s="231">
        <v>20</v>
      </c>
      <c r="M566" s="231">
        <v>20</v>
      </c>
      <c r="N566" s="231">
        <v>106</v>
      </c>
      <c r="O566" s="231">
        <v>105</v>
      </c>
      <c r="P566" s="234" t="s">
        <v>318</v>
      </c>
      <c r="Q566" s="232" t="s">
        <v>1728</v>
      </c>
      <c r="R566" s="234" t="s">
        <v>320</v>
      </c>
      <c r="S566" s="235">
        <v>43439</v>
      </c>
      <c r="T566" s="235">
        <v>44693</v>
      </c>
      <c r="U566" s="234" t="s">
        <v>318</v>
      </c>
      <c r="V566" s="232" t="s">
        <v>321</v>
      </c>
      <c r="W566" s="231"/>
      <c r="X566" s="232" t="s">
        <v>322</v>
      </c>
      <c r="Y566" s="232" t="s">
        <v>323</v>
      </c>
      <c r="Z566" s="232" t="s">
        <v>323</v>
      </c>
      <c r="AA566" s="232" t="s">
        <v>324</v>
      </c>
      <c r="AB566" s="236">
        <v>4.4999999999999998E-2</v>
      </c>
      <c r="AC566" s="235"/>
      <c r="AD566" s="234"/>
      <c r="AE566" s="234"/>
      <c r="AF566" s="232" t="s">
        <v>57</v>
      </c>
      <c r="AG566" s="232" t="s">
        <v>328</v>
      </c>
      <c r="AH566" s="234" t="s">
        <v>317</v>
      </c>
      <c r="AJ566" s="234">
        <v>0</v>
      </c>
      <c r="AK566" s="234">
        <v>0</v>
      </c>
      <c r="AL566" s="234">
        <v>0</v>
      </c>
      <c r="AM566" s="234">
        <v>11</v>
      </c>
      <c r="AN566" s="234">
        <v>0</v>
      </c>
      <c r="AO566" s="234">
        <v>5</v>
      </c>
      <c r="AP566" s="234">
        <v>10</v>
      </c>
      <c r="AQ566" s="234">
        <v>5</v>
      </c>
      <c r="AR566" s="234">
        <v>0</v>
      </c>
      <c r="AS566" s="234">
        <v>0</v>
      </c>
      <c r="AT566" s="234">
        <v>0</v>
      </c>
      <c r="AU566" s="234">
        <v>0</v>
      </c>
      <c r="AV566" s="234">
        <v>5</v>
      </c>
      <c r="AW566" s="234">
        <v>10</v>
      </c>
      <c r="AX566" s="234">
        <v>5</v>
      </c>
      <c r="AY566" s="234">
        <v>0</v>
      </c>
      <c r="AZ566" s="234">
        <v>0</v>
      </c>
      <c r="BA566" s="234">
        <v>0</v>
      </c>
      <c r="BB566" s="234">
        <v>0</v>
      </c>
      <c r="BC566" s="234">
        <v>0</v>
      </c>
      <c r="BD566" s="234">
        <v>0</v>
      </c>
      <c r="BE566" s="234">
        <v>0</v>
      </c>
      <c r="BF566" s="234">
        <v>0</v>
      </c>
      <c r="BG566" s="234">
        <v>0</v>
      </c>
      <c r="BH566" s="234">
        <v>0</v>
      </c>
      <c r="BI566" s="234">
        <v>0</v>
      </c>
      <c r="BJ566" s="234">
        <v>0</v>
      </c>
      <c r="BK566" s="234">
        <v>0</v>
      </c>
      <c r="BL566" s="234">
        <v>0</v>
      </c>
      <c r="BM566" s="234">
        <v>0</v>
      </c>
      <c r="BN566" s="234">
        <v>0</v>
      </c>
      <c r="BO566" s="234">
        <v>0</v>
      </c>
      <c r="BP566" s="234"/>
      <c r="BQ566" s="234"/>
      <c r="BR566" s="237" t="s">
        <v>327</v>
      </c>
      <c r="BS566" s="238">
        <v>8</v>
      </c>
      <c r="BY566" s="239">
        <f>M566</f>
        <v>20</v>
      </c>
      <c r="CN566" s="238">
        <f t="shared" si="61"/>
        <v>20</v>
      </c>
      <c r="CO566" s="238">
        <f t="shared" si="62"/>
        <v>20</v>
      </c>
    </row>
    <row r="567" spans="1:93" ht="13.95" customHeight="1" x14ac:dyDescent="0.2">
      <c r="A567" s="231">
        <v>2320</v>
      </c>
      <c r="B567" s="232" t="s">
        <v>822</v>
      </c>
      <c r="C567" s="232" t="s">
        <v>1729</v>
      </c>
      <c r="D567" s="232" t="s">
        <v>1730</v>
      </c>
      <c r="E567" s="232" t="s">
        <v>317</v>
      </c>
      <c r="F567" s="231">
        <v>527260</v>
      </c>
      <c r="G567" s="231">
        <v>177215</v>
      </c>
      <c r="H567" s="232" t="s">
        <v>163</v>
      </c>
      <c r="I567" s="233">
        <v>43190</v>
      </c>
      <c r="J567" s="231"/>
      <c r="K567" s="231">
        <v>0</v>
      </c>
      <c r="L567" s="231">
        <v>94</v>
      </c>
      <c r="M567" s="231">
        <v>94</v>
      </c>
      <c r="N567" s="231">
        <v>118</v>
      </c>
      <c r="O567" s="231">
        <v>118</v>
      </c>
      <c r="P567" s="234" t="s">
        <v>318</v>
      </c>
      <c r="Q567" s="232" t="s">
        <v>1731</v>
      </c>
      <c r="R567" s="234" t="s">
        <v>320</v>
      </c>
      <c r="S567" s="235">
        <v>41855</v>
      </c>
      <c r="T567" s="235">
        <v>42185</v>
      </c>
      <c r="U567" s="234"/>
      <c r="V567" s="232" t="s">
        <v>321</v>
      </c>
      <c r="W567" s="231"/>
      <c r="X567" s="232" t="s">
        <v>322</v>
      </c>
      <c r="Y567" s="232" t="s">
        <v>323</v>
      </c>
      <c r="Z567" s="232" t="s">
        <v>323</v>
      </c>
      <c r="AA567" s="232" t="s">
        <v>324</v>
      </c>
      <c r="AB567" s="236">
        <v>0.247</v>
      </c>
      <c r="AC567" s="235"/>
      <c r="AD567" s="234"/>
      <c r="AE567" s="234"/>
      <c r="AF567" s="232" t="s">
        <v>77</v>
      </c>
      <c r="AG567" s="232" t="s">
        <v>350</v>
      </c>
      <c r="AH567" s="234" t="s">
        <v>1732</v>
      </c>
      <c r="AJ567" s="234">
        <v>94</v>
      </c>
      <c r="AK567" s="224"/>
      <c r="AL567" s="234">
        <v>94</v>
      </c>
      <c r="AM567" s="224"/>
      <c r="AN567" s="234">
        <v>0</v>
      </c>
      <c r="AO567" s="234">
        <v>21</v>
      </c>
      <c r="AP567" s="234">
        <v>47</v>
      </c>
      <c r="AQ567" s="234">
        <v>23</v>
      </c>
      <c r="AR567" s="234">
        <v>3</v>
      </c>
      <c r="AS567" s="234">
        <v>0</v>
      </c>
      <c r="AT567" s="234">
        <v>0</v>
      </c>
      <c r="AU567" s="234">
        <v>0</v>
      </c>
      <c r="AV567" s="234">
        <v>21</v>
      </c>
      <c r="AW567" s="234">
        <v>47</v>
      </c>
      <c r="AX567" s="234">
        <v>23</v>
      </c>
      <c r="AY567" s="234">
        <v>3</v>
      </c>
      <c r="AZ567" s="234">
        <v>0</v>
      </c>
      <c r="BA567" s="234">
        <v>0</v>
      </c>
      <c r="BB567" s="234">
        <v>0</v>
      </c>
      <c r="BC567" s="234">
        <v>0</v>
      </c>
      <c r="BD567" s="234">
        <v>0</v>
      </c>
      <c r="BE567" s="234">
        <v>0</v>
      </c>
      <c r="BF567" s="234">
        <v>0</v>
      </c>
      <c r="BG567" s="234">
        <v>0</v>
      </c>
      <c r="BH567" s="234">
        <v>0</v>
      </c>
      <c r="BI567" s="234">
        <v>0</v>
      </c>
      <c r="BJ567" s="234">
        <v>0</v>
      </c>
      <c r="BK567" s="234">
        <v>0</v>
      </c>
      <c r="BL567" s="234">
        <v>0</v>
      </c>
      <c r="BM567" s="234">
        <v>0</v>
      </c>
      <c r="BN567" s="234">
        <v>0</v>
      </c>
      <c r="BO567" s="234">
        <v>0</v>
      </c>
      <c r="BP567" s="234"/>
      <c r="BQ567" s="234"/>
      <c r="BR567" s="237" t="s">
        <v>481</v>
      </c>
      <c r="BS567" s="238">
        <v>10</v>
      </c>
      <c r="BX567" s="239">
        <f>M567/3</f>
        <v>31.333333333333332</v>
      </c>
      <c r="BY567" s="239">
        <f>M567/3</f>
        <v>31.333333333333332</v>
      </c>
      <c r="BZ567" s="239">
        <f>M567/3</f>
        <v>31.333333333333332</v>
      </c>
      <c r="CN567" s="238">
        <f t="shared" si="61"/>
        <v>62.666666666666664</v>
      </c>
      <c r="CO567" s="238">
        <f t="shared" si="62"/>
        <v>94</v>
      </c>
    </row>
    <row r="568" spans="1:93" ht="13.95" customHeight="1" x14ac:dyDescent="0.2">
      <c r="A568" s="231">
        <v>2320</v>
      </c>
      <c r="B568" s="232" t="s">
        <v>822</v>
      </c>
      <c r="C568" s="232" t="s">
        <v>1729</v>
      </c>
      <c r="D568" s="232" t="s">
        <v>1730</v>
      </c>
      <c r="E568" s="232" t="s">
        <v>317</v>
      </c>
      <c r="F568" s="231">
        <v>527260</v>
      </c>
      <c r="G568" s="231">
        <v>177215</v>
      </c>
      <c r="H568" s="232" t="s">
        <v>163</v>
      </c>
      <c r="I568" s="233">
        <v>43190</v>
      </c>
      <c r="J568" s="231"/>
      <c r="K568" s="231">
        <v>0</v>
      </c>
      <c r="L568" s="231">
        <v>14</v>
      </c>
      <c r="M568" s="231">
        <v>14</v>
      </c>
      <c r="N568" s="231">
        <v>118</v>
      </c>
      <c r="O568" s="231">
        <v>118</v>
      </c>
      <c r="P568" s="234" t="s">
        <v>318</v>
      </c>
      <c r="Q568" s="232" t="s">
        <v>1731</v>
      </c>
      <c r="R568" s="234" t="s">
        <v>320</v>
      </c>
      <c r="S568" s="235">
        <v>41855</v>
      </c>
      <c r="T568" s="235">
        <v>42185</v>
      </c>
      <c r="U568" s="234"/>
      <c r="V568" s="232" t="s">
        <v>321</v>
      </c>
      <c r="W568" s="231"/>
      <c r="X568" s="232" t="s">
        <v>322</v>
      </c>
      <c r="Y568" s="232" t="s">
        <v>323</v>
      </c>
      <c r="Z568" s="232" t="s">
        <v>323</v>
      </c>
      <c r="AA568" s="232" t="s">
        <v>324</v>
      </c>
      <c r="AB568" s="236">
        <v>3.6999999999999998E-2</v>
      </c>
      <c r="AC568" s="235"/>
      <c r="AD568" s="234"/>
      <c r="AE568" s="234"/>
      <c r="AF568" s="232" t="s">
        <v>57</v>
      </c>
      <c r="AG568" s="232" t="s">
        <v>333</v>
      </c>
      <c r="AH568" s="234" t="s">
        <v>1732</v>
      </c>
      <c r="AJ568" s="234">
        <v>14</v>
      </c>
      <c r="AK568" s="224"/>
      <c r="AL568" s="234">
        <v>14</v>
      </c>
      <c r="AM568" s="224"/>
      <c r="AN568" s="234">
        <v>0</v>
      </c>
      <c r="AO568" s="234">
        <v>1</v>
      </c>
      <c r="AP568" s="234">
        <v>0</v>
      </c>
      <c r="AQ568" s="234">
        <v>13</v>
      </c>
      <c r="AR568" s="234">
        <v>0</v>
      </c>
      <c r="AS568" s="234">
        <v>0</v>
      </c>
      <c r="AT568" s="234">
        <v>0</v>
      </c>
      <c r="AU568" s="234">
        <v>0</v>
      </c>
      <c r="AV568" s="234">
        <v>1</v>
      </c>
      <c r="AW568" s="234">
        <v>0</v>
      </c>
      <c r="AX568" s="234">
        <v>13</v>
      </c>
      <c r="AY568" s="234">
        <v>0</v>
      </c>
      <c r="AZ568" s="234">
        <v>0</v>
      </c>
      <c r="BA568" s="234">
        <v>0</v>
      </c>
      <c r="BB568" s="234">
        <v>0</v>
      </c>
      <c r="BC568" s="234">
        <v>0</v>
      </c>
      <c r="BD568" s="234">
        <v>0</v>
      </c>
      <c r="BE568" s="234">
        <v>0</v>
      </c>
      <c r="BF568" s="234">
        <v>0</v>
      </c>
      <c r="BG568" s="234">
        <v>0</v>
      </c>
      <c r="BH568" s="234">
        <v>0</v>
      </c>
      <c r="BI568" s="234">
        <v>0</v>
      </c>
      <c r="BJ568" s="234">
        <v>0</v>
      </c>
      <c r="BK568" s="234">
        <v>0</v>
      </c>
      <c r="BL568" s="234">
        <v>0</v>
      </c>
      <c r="BM568" s="234">
        <v>0</v>
      </c>
      <c r="BN568" s="234">
        <v>0</v>
      </c>
      <c r="BO568" s="234">
        <v>0</v>
      </c>
      <c r="BP568" s="234"/>
      <c r="BQ568" s="234"/>
      <c r="BR568" s="237" t="s">
        <v>481</v>
      </c>
      <c r="BS568" s="238">
        <v>10</v>
      </c>
      <c r="BX568" s="239">
        <f>M568/3</f>
        <v>4.666666666666667</v>
      </c>
      <c r="BY568" s="239">
        <f>M568/3</f>
        <v>4.666666666666667</v>
      </c>
      <c r="BZ568" s="239">
        <f>M568/3</f>
        <v>4.666666666666667</v>
      </c>
      <c r="CN568" s="238">
        <f t="shared" si="61"/>
        <v>9.3333333333333339</v>
      </c>
      <c r="CO568" s="238">
        <f t="shared" si="62"/>
        <v>14</v>
      </c>
    </row>
    <row r="569" spans="1:93" ht="13.95" customHeight="1" x14ac:dyDescent="0.2">
      <c r="A569" s="231">
        <v>2320</v>
      </c>
      <c r="B569" s="232" t="s">
        <v>822</v>
      </c>
      <c r="C569" s="232" t="s">
        <v>1729</v>
      </c>
      <c r="D569" s="232" t="s">
        <v>1730</v>
      </c>
      <c r="E569" s="232" t="s">
        <v>317</v>
      </c>
      <c r="F569" s="231">
        <v>527260</v>
      </c>
      <c r="G569" s="231">
        <v>177215</v>
      </c>
      <c r="H569" s="232" t="s">
        <v>163</v>
      </c>
      <c r="I569" s="233">
        <v>43190</v>
      </c>
      <c r="J569" s="231"/>
      <c r="K569" s="231">
        <v>0</v>
      </c>
      <c r="L569" s="231">
        <v>10</v>
      </c>
      <c r="M569" s="231">
        <v>10</v>
      </c>
      <c r="N569" s="231">
        <v>118</v>
      </c>
      <c r="O569" s="231">
        <v>118</v>
      </c>
      <c r="P569" s="234" t="s">
        <v>318</v>
      </c>
      <c r="Q569" s="232" t="s">
        <v>1731</v>
      </c>
      <c r="R569" s="234" t="s">
        <v>320</v>
      </c>
      <c r="S569" s="235">
        <v>41855</v>
      </c>
      <c r="T569" s="235">
        <v>42185</v>
      </c>
      <c r="U569" s="234"/>
      <c r="V569" s="232" t="s">
        <v>321</v>
      </c>
      <c r="W569" s="231"/>
      <c r="X569" s="232" t="s">
        <v>322</v>
      </c>
      <c r="Y569" s="232" t="s">
        <v>323</v>
      </c>
      <c r="Z569" s="232" t="s">
        <v>323</v>
      </c>
      <c r="AA569" s="232" t="s">
        <v>324</v>
      </c>
      <c r="AB569" s="236">
        <v>2.5999999999999999E-2</v>
      </c>
      <c r="AC569" s="235"/>
      <c r="AD569" s="234"/>
      <c r="AE569" s="234"/>
      <c r="AF569" s="232" t="s">
        <v>56</v>
      </c>
      <c r="AG569" s="232" t="s">
        <v>345</v>
      </c>
      <c r="AH569" s="234" t="s">
        <v>1732</v>
      </c>
      <c r="AJ569" s="234">
        <v>10</v>
      </c>
      <c r="AK569" s="224"/>
      <c r="AL569" s="234">
        <v>10</v>
      </c>
      <c r="AM569" s="224"/>
      <c r="AN569" s="234">
        <v>0</v>
      </c>
      <c r="AO569" s="234">
        <v>6</v>
      </c>
      <c r="AP569" s="234">
        <v>2</v>
      </c>
      <c r="AQ569" s="234">
        <v>2</v>
      </c>
      <c r="AR569" s="234">
        <v>0</v>
      </c>
      <c r="AS569" s="234">
        <v>0</v>
      </c>
      <c r="AT569" s="234">
        <v>0</v>
      </c>
      <c r="AU569" s="234">
        <v>0</v>
      </c>
      <c r="AV569" s="234">
        <v>6</v>
      </c>
      <c r="AW569" s="234">
        <v>2</v>
      </c>
      <c r="AX569" s="234">
        <v>2</v>
      </c>
      <c r="AY569" s="234">
        <v>0</v>
      </c>
      <c r="AZ569" s="234">
        <v>0</v>
      </c>
      <c r="BA569" s="234">
        <v>0</v>
      </c>
      <c r="BB569" s="234">
        <v>0</v>
      </c>
      <c r="BC569" s="234">
        <v>0</v>
      </c>
      <c r="BD569" s="234">
        <v>0</v>
      </c>
      <c r="BE569" s="234">
        <v>0</v>
      </c>
      <c r="BF569" s="234">
        <v>0</v>
      </c>
      <c r="BG569" s="234">
        <v>0</v>
      </c>
      <c r="BH569" s="234">
        <v>0</v>
      </c>
      <c r="BI569" s="234">
        <v>0</v>
      </c>
      <c r="BJ569" s="234">
        <v>0</v>
      </c>
      <c r="BK569" s="234">
        <v>0</v>
      </c>
      <c r="BL569" s="234">
        <v>0</v>
      </c>
      <c r="BM569" s="234">
        <v>0</v>
      </c>
      <c r="BN569" s="234">
        <v>0</v>
      </c>
      <c r="BO569" s="234">
        <v>0</v>
      </c>
      <c r="BP569" s="234"/>
      <c r="BQ569" s="234"/>
      <c r="BR569" s="237" t="s">
        <v>481</v>
      </c>
      <c r="BS569" s="238">
        <v>10</v>
      </c>
      <c r="BX569" s="239">
        <f>M569/3</f>
        <v>3.3333333333333335</v>
      </c>
      <c r="BY569" s="239">
        <f>M569/3</f>
        <v>3.3333333333333335</v>
      </c>
      <c r="BZ569" s="239">
        <f>M569/3</f>
        <v>3.3333333333333335</v>
      </c>
      <c r="CN569" s="238">
        <f t="shared" si="61"/>
        <v>6.666666666666667</v>
      </c>
      <c r="CO569" s="238">
        <f t="shared" si="62"/>
        <v>10</v>
      </c>
    </row>
    <row r="570" spans="1:93" ht="13.95" customHeight="1" x14ac:dyDescent="0.2">
      <c r="A570" s="231">
        <v>6847</v>
      </c>
      <c r="B570" s="232" t="s">
        <v>822</v>
      </c>
      <c r="C570" s="232" t="s">
        <v>1733</v>
      </c>
      <c r="D570" s="232" t="s">
        <v>1734</v>
      </c>
      <c r="E570" s="232" t="s">
        <v>317</v>
      </c>
      <c r="F570" s="231">
        <v>527092</v>
      </c>
      <c r="G570" s="231">
        <v>177253</v>
      </c>
      <c r="H570" s="232" t="s">
        <v>163</v>
      </c>
      <c r="I570" s="233"/>
      <c r="J570" s="231"/>
      <c r="K570" s="231">
        <v>0</v>
      </c>
      <c r="L570" s="231">
        <v>28</v>
      </c>
      <c r="M570" s="231">
        <v>28</v>
      </c>
      <c r="N570" s="231">
        <v>28</v>
      </c>
      <c r="O570" s="231">
        <v>28</v>
      </c>
      <c r="P570" s="234" t="s">
        <v>318</v>
      </c>
      <c r="Q570" s="232" t="s">
        <v>1735</v>
      </c>
      <c r="R570" s="234" t="s">
        <v>629</v>
      </c>
      <c r="S570" s="235">
        <v>43180</v>
      </c>
      <c r="T570" s="235">
        <v>43223</v>
      </c>
      <c r="U570" s="234"/>
      <c r="V570" s="232" t="s">
        <v>321</v>
      </c>
      <c r="W570" s="231"/>
      <c r="X570" s="232" t="s">
        <v>322</v>
      </c>
      <c r="Y570" s="232" t="s">
        <v>378</v>
      </c>
      <c r="Z570" s="232" t="s">
        <v>879</v>
      </c>
      <c r="AA570" s="232" t="s">
        <v>324</v>
      </c>
      <c r="AB570" s="236">
        <v>9.1999999999999998E-2</v>
      </c>
      <c r="AC570" s="235"/>
      <c r="AD570" s="234"/>
      <c r="AE570" s="234"/>
      <c r="AF570" s="232" t="s">
        <v>77</v>
      </c>
      <c r="AG570" s="232" t="s">
        <v>350</v>
      </c>
      <c r="AH570" s="234" t="s">
        <v>317</v>
      </c>
      <c r="AJ570" s="234">
        <v>0</v>
      </c>
      <c r="AK570" s="224"/>
      <c r="AL570" s="234">
        <v>0</v>
      </c>
      <c r="AM570" s="224"/>
      <c r="AN570" s="234">
        <v>0</v>
      </c>
      <c r="AO570" s="234">
        <v>13</v>
      </c>
      <c r="AP570" s="234">
        <v>14</v>
      </c>
      <c r="AQ570" s="234">
        <v>1</v>
      </c>
      <c r="AR570" s="234">
        <v>0</v>
      </c>
      <c r="AS570" s="234">
        <v>0</v>
      </c>
      <c r="AT570" s="234">
        <v>0</v>
      </c>
      <c r="AU570" s="234">
        <v>0</v>
      </c>
      <c r="AV570" s="234">
        <v>13</v>
      </c>
      <c r="AW570" s="234">
        <v>14</v>
      </c>
      <c r="AX570" s="234">
        <v>1</v>
      </c>
      <c r="AY570" s="234">
        <v>0</v>
      </c>
      <c r="AZ570" s="234">
        <v>0</v>
      </c>
      <c r="BA570" s="234">
        <v>0</v>
      </c>
      <c r="BB570" s="234">
        <v>0</v>
      </c>
      <c r="BC570" s="234">
        <v>0</v>
      </c>
      <c r="BD570" s="234">
        <v>0</v>
      </c>
      <c r="BE570" s="234">
        <v>0</v>
      </c>
      <c r="BF570" s="234">
        <v>0</v>
      </c>
      <c r="BG570" s="234">
        <v>0</v>
      </c>
      <c r="BH570" s="234">
        <v>0</v>
      </c>
      <c r="BI570" s="234">
        <v>0</v>
      </c>
      <c r="BJ570" s="234">
        <v>0</v>
      </c>
      <c r="BK570" s="234">
        <v>0</v>
      </c>
      <c r="BL570" s="234">
        <v>0</v>
      </c>
      <c r="BM570" s="234">
        <v>0</v>
      </c>
      <c r="BN570" s="234">
        <v>0</v>
      </c>
      <c r="BO570" s="234">
        <v>0</v>
      </c>
      <c r="BP570" s="234"/>
      <c r="BQ570" s="234"/>
      <c r="BR570" s="237" t="s">
        <v>481</v>
      </c>
      <c r="BS570" s="238">
        <v>17</v>
      </c>
      <c r="BZ570" s="239">
        <f>M570/4</f>
        <v>7</v>
      </c>
      <c r="CA570" s="239">
        <f>M570/4</f>
        <v>7</v>
      </c>
      <c r="CB570" s="239">
        <f>M570/4</f>
        <v>7</v>
      </c>
      <c r="CC570" s="239">
        <f>M570/4</f>
        <v>7</v>
      </c>
      <c r="CN570" s="238">
        <f t="shared" si="61"/>
        <v>0</v>
      </c>
      <c r="CO570" s="238">
        <f t="shared" si="62"/>
        <v>28</v>
      </c>
    </row>
    <row r="571" spans="1:93" ht="13.95" customHeight="1" x14ac:dyDescent="0.2">
      <c r="A571" s="231">
        <v>4326</v>
      </c>
      <c r="B571" s="232" t="s">
        <v>822</v>
      </c>
      <c r="C571" s="232" t="s">
        <v>1736</v>
      </c>
      <c r="D571" s="232" t="s">
        <v>1737</v>
      </c>
      <c r="E571" s="232" t="s">
        <v>317</v>
      </c>
      <c r="F571" s="231">
        <v>526105</v>
      </c>
      <c r="G571" s="231">
        <v>172589</v>
      </c>
      <c r="H571" s="232" t="s">
        <v>180</v>
      </c>
      <c r="I571" s="233"/>
      <c r="J571" s="231"/>
      <c r="K571" s="231">
        <v>1</v>
      </c>
      <c r="L571" s="231">
        <v>3</v>
      </c>
      <c r="M571" s="231">
        <v>2</v>
      </c>
      <c r="N571" s="231">
        <v>3</v>
      </c>
      <c r="O571" s="231">
        <v>2</v>
      </c>
      <c r="P571" s="234"/>
      <c r="Q571" s="232" t="s">
        <v>1738</v>
      </c>
      <c r="R571" s="234" t="s">
        <v>332</v>
      </c>
      <c r="S571" s="235">
        <v>44224</v>
      </c>
      <c r="T571" s="235">
        <v>44385</v>
      </c>
      <c r="U571" s="234"/>
      <c r="V571" s="232" t="s">
        <v>321</v>
      </c>
      <c r="W571" s="231"/>
      <c r="X571" s="232" t="s">
        <v>322</v>
      </c>
      <c r="Y571" s="232" t="s">
        <v>378</v>
      </c>
      <c r="Z571" s="232" t="s">
        <v>324</v>
      </c>
      <c r="AA571" s="232" t="s">
        <v>31</v>
      </c>
      <c r="AB571" s="236">
        <v>1.2999999999999999E-2</v>
      </c>
      <c r="AC571" s="235"/>
      <c r="AD571" s="234"/>
      <c r="AE571" s="234"/>
      <c r="AF571" s="232" t="s">
        <v>77</v>
      </c>
      <c r="AG571" s="232" t="s">
        <v>350</v>
      </c>
      <c r="AH571" s="234" t="s">
        <v>317</v>
      </c>
      <c r="AJ571" s="234">
        <v>0</v>
      </c>
      <c r="AK571" s="224"/>
      <c r="AL571" s="234">
        <v>0</v>
      </c>
      <c r="AM571" s="224"/>
      <c r="AN571" s="234">
        <v>0</v>
      </c>
      <c r="AO571" s="234">
        <v>0</v>
      </c>
      <c r="AP571" s="234">
        <v>2</v>
      </c>
      <c r="AQ571" s="234">
        <v>0</v>
      </c>
      <c r="AR571" s="234">
        <v>0</v>
      </c>
      <c r="AS571" s="234">
        <v>0</v>
      </c>
      <c r="AT571" s="234">
        <v>0</v>
      </c>
      <c r="AU571" s="234">
        <v>0</v>
      </c>
      <c r="AV571" s="234">
        <v>0</v>
      </c>
      <c r="AW571" s="234">
        <v>2</v>
      </c>
      <c r="AX571" s="234">
        <v>0</v>
      </c>
      <c r="AY571" s="234">
        <v>0</v>
      </c>
      <c r="AZ571" s="234">
        <v>0</v>
      </c>
      <c r="BA571" s="234">
        <v>0</v>
      </c>
      <c r="BB571" s="234">
        <v>0</v>
      </c>
      <c r="BC571" s="234">
        <v>0</v>
      </c>
      <c r="BD571" s="234">
        <v>0</v>
      </c>
      <c r="BE571" s="234">
        <v>0</v>
      </c>
      <c r="BF571" s="234">
        <v>0</v>
      </c>
      <c r="BG571" s="234">
        <v>0</v>
      </c>
      <c r="BH571" s="234">
        <v>0</v>
      </c>
      <c r="BI571" s="234">
        <v>0</v>
      </c>
      <c r="BJ571" s="234">
        <v>0</v>
      </c>
      <c r="BK571" s="234">
        <v>0</v>
      </c>
      <c r="BL571" s="234">
        <v>0</v>
      </c>
      <c r="BM571" s="234">
        <v>0</v>
      </c>
      <c r="BN571" s="234">
        <v>0</v>
      </c>
      <c r="BO571" s="234">
        <v>0</v>
      </c>
      <c r="BP571" s="234"/>
      <c r="BQ571" s="234"/>
      <c r="BR571" s="237" t="s">
        <v>154</v>
      </c>
      <c r="BS571" s="238">
        <v>15</v>
      </c>
      <c r="BU571" s="239">
        <f t="shared" ref="BU571:BU578" si="63">M571/4</f>
        <v>0.5</v>
      </c>
      <c r="BV571" s="239">
        <f t="shared" ref="BV571:BV580" si="64">M571/4</f>
        <v>0.5</v>
      </c>
      <c r="BW571" s="239">
        <f t="shared" ref="BW571:BW580" si="65">M571/4</f>
        <v>0.5</v>
      </c>
      <c r="BX571" s="239">
        <f t="shared" ref="BX571:BX580" si="66">M571/4</f>
        <v>0.5</v>
      </c>
      <c r="CN571" s="238">
        <f t="shared" si="61"/>
        <v>2</v>
      </c>
      <c r="CO571" s="238">
        <f t="shared" si="62"/>
        <v>2</v>
      </c>
    </row>
    <row r="572" spans="1:93" ht="13.95" customHeight="1" x14ac:dyDescent="0.2">
      <c r="A572" s="231">
        <v>5333</v>
      </c>
      <c r="B572" s="232" t="s">
        <v>822</v>
      </c>
      <c r="C572" s="232" t="s">
        <v>1739</v>
      </c>
      <c r="D572" s="232" t="s">
        <v>1740</v>
      </c>
      <c r="E572" s="232" t="s">
        <v>317</v>
      </c>
      <c r="F572" s="231">
        <v>527255</v>
      </c>
      <c r="G572" s="231">
        <v>171509</v>
      </c>
      <c r="H572" s="232" t="s">
        <v>177</v>
      </c>
      <c r="I572" s="233"/>
      <c r="J572" s="231"/>
      <c r="K572" s="231">
        <v>2</v>
      </c>
      <c r="L572" s="231">
        <v>4</v>
      </c>
      <c r="M572" s="231">
        <v>2</v>
      </c>
      <c r="N572" s="231">
        <v>4</v>
      </c>
      <c r="O572" s="231">
        <v>2</v>
      </c>
      <c r="P572" s="234"/>
      <c r="Q572" s="232" t="s">
        <v>1741</v>
      </c>
      <c r="R572" s="234" t="s">
        <v>332</v>
      </c>
      <c r="S572" s="235">
        <v>44266</v>
      </c>
      <c r="T572" s="235">
        <v>44357</v>
      </c>
      <c r="U572" s="234"/>
      <c r="V572" s="232" t="s">
        <v>321</v>
      </c>
      <c r="W572" s="231"/>
      <c r="X572" s="232" t="s">
        <v>322</v>
      </c>
      <c r="Y572" s="232" t="s">
        <v>365</v>
      </c>
      <c r="Z572" s="232" t="s">
        <v>324</v>
      </c>
      <c r="AA572" s="232" t="s">
        <v>411</v>
      </c>
      <c r="AB572" s="236">
        <v>1.4E-2</v>
      </c>
      <c r="AC572" s="235"/>
      <c r="AD572" s="234"/>
      <c r="AE572" s="234"/>
      <c r="AF572" s="232" t="s">
        <v>77</v>
      </c>
      <c r="AG572" s="232" t="s">
        <v>350</v>
      </c>
      <c r="AH572" s="234" t="s">
        <v>317</v>
      </c>
      <c r="AJ572" s="234">
        <v>0</v>
      </c>
      <c r="AK572" s="224"/>
      <c r="AL572" s="234">
        <v>0</v>
      </c>
      <c r="AM572" s="224"/>
      <c r="AN572" s="234">
        <v>0</v>
      </c>
      <c r="AO572" s="234">
        <v>2</v>
      </c>
      <c r="AP572" s="234">
        <v>0</v>
      </c>
      <c r="AQ572" s="234">
        <v>0</v>
      </c>
      <c r="AR572" s="234">
        <v>0</v>
      </c>
      <c r="AS572" s="234">
        <v>0</v>
      </c>
      <c r="AT572" s="234">
        <v>0</v>
      </c>
      <c r="AU572" s="234">
        <v>0</v>
      </c>
      <c r="AV572" s="234">
        <v>2</v>
      </c>
      <c r="AW572" s="234">
        <v>0</v>
      </c>
      <c r="AX572" s="234">
        <v>0</v>
      </c>
      <c r="AY572" s="234">
        <v>0</v>
      </c>
      <c r="AZ572" s="234">
        <v>0</v>
      </c>
      <c r="BA572" s="234">
        <v>0</v>
      </c>
      <c r="BB572" s="234">
        <v>0</v>
      </c>
      <c r="BC572" s="234">
        <v>0</v>
      </c>
      <c r="BD572" s="234">
        <v>0</v>
      </c>
      <c r="BE572" s="234">
        <v>0</v>
      </c>
      <c r="BF572" s="234">
        <v>0</v>
      </c>
      <c r="BG572" s="234">
        <v>0</v>
      </c>
      <c r="BH572" s="234">
        <v>0</v>
      </c>
      <c r="BI572" s="234">
        <v>0</v>
      </c>
      <c r="BJ572" s="234">
        <v>0</v>
      </c>
      <c r="BK572" s="234">
        <v>0</v>
      </c>
      <c r="BL572" s="234">
        <v>0</v>
      </c>
      <c r="BM572" s="234">
        <v>0</v>
      </c>
      <c r="BN572" s="234">
        <v>0</v>
      </c>
      <c r="BO572" s="234">
        <v>0</v>
      </c>
      <c r="BP572" s="234"/>
      <c r="BQ572" s="234"/>
      <c r="BR572" s="237" t="s">
        <v>144</v>
      </c>
      <c r="BS572" s="238">
        <v>15</v>
      </c>
      <c r="BU572" s="239">
        <f t="shared" si="63"/>
        <v>0.5</v>
      </c>
      <c r="BV572" s="239">
        <f t="shared" si="64"/>
        <v>0.5</v>
      </c>
      <c r="BW572" s="239">
        <f t="shared" si="65"/>
        <v>0.5</v>
      </c>
      <c r="BX572" s="239">
        <f t="shared" si="66"/>
        <v>0.5</v>
      </c>
      <c r="CN572" s="238">
        <f t="shared" si="61"/>
        <v>2</v>
      </c>
      <c r="CO572" s="238">
        <f t="shared" si="62"/>
        <v>2</v>
      </c>
    </row>
    <row r="573" spans="1:93" ht="13.95" customHeight="1" x14ac:dyDescent="0.2">
      <c r="A573" s="231">
        <v>5767</v>
      </c>
      <c r="B573" s="232" t="s">
        <v>822</v>
      </c>
      <c r="C573" s="232" t="s">
        <v>1742</v>
      </c>
      <c r="D573" s="232" t="s">
        <v>1743</v>
      </c>
      <c r="E573" s="232" t="s">
        <v>317</v>
      </c>
      <c r="F573" s="231">
        <v>526797</v>
      </c>
      <c r="G573" s="231">
        <v>176325</v>
      </c>
      <c r="H573" s="232" t="s">
        <v>174</v>
      </c>
      <c r="I573" s="233"/>
      <c r="J573" s="231"/>
      <c r="K573" s="231">
        <v>0</v>
      </c>
      <c r="L573" s="231">
        <v>2</v>
      </c>
      <c r="M573" s="231">
        <v>2</v>
      </c>
      <c r="N573" s="231">
        <v>2</v>
      </c>
      <c r="O573" s="231">
        <v>2</v>
      </c>
      <c r="P573" s="234"/>
      <c r="Q573" s="232" t="s">
        <v>1744</v>
      </c>
      <c r="R573" s="234" t="s">
        <v>320</v>
      </c>
      <c r="S573" s="235">
        <v>44858</v>
      </c>
      <c r="T573" s="235">
        <v>44993</v>
      </c>
      <c r="U573" s="234" t="s">
        <v>318</v>
      </c>
      <c r="V573" s="232" t="s">
        <v>321</v>
      </c>
      <c r="W573" s="231"/>
      <c r="X573" s="232" t="s">
        <v>322</v>
      </c>
      <c r="Y573" s="232" t="s">
        <v>378</v>
      </c>
      <c r="Z573" s="232" t="s">
        <v>324</v>
      </c>
      <c r="AA573" s="232" t="s">
        <v>25</v>
      </c>
      <c r="AB573" s="236">
        <v>0.01</v>
      </c>
      <c r="AC573" s="235"/>
      <c r="AD573" s="234"/>
      <c r="AE573" s="234"/>
      <c r="AF573" s="232" t="s">
        <v>77</v>
      </c>
      <c r="AG573" s="232" t="s">
        <v>350</v>
      </c>
      <c r="AH573" s="234" t="s">
        <v>317</v>
      </c>
      <c r="AJ573" s="234">
        <v>0</v>
      </c>
      <c r="AK573" s="224"/>
      <c r="AL573" s="234">
        <v>0</v>
      </c>
      <c r="AM573" s="224"/>
      <c r="AN573" s="234">
        <v>0</v>
      </c>
      <c r="AO573" s="234">
        <v>2</v>
      </c>
      <c r="AP573" s="234">
        <v>0</v>
      </c>
      <c r="AQ573" s="234">
        <v>0</v>
      </c>
      <c r="AR573" s="234">
        <v>0</v>
      </c>
      <c r="AS573" s="234">
        <v>0</v>
      </c>
      <c r="AT573" s="234">
        <v>0</v>
      </c>
      <c r="AU573" s="234">
        <v>0</v>
      </c>
      <c r="AV573" s="234">
        <v>2</v>
      </c>
      <c r="AW573" s="234">
        <v>0</v>
      </c>
      <c r="AX573" s="234">
        <v>0</v>
      </c>
      <c r="AY573" s="234">
        <v>0</v>
      </c>
      <c r="AZ573" s="234">
        <v>0</v>
      </c>
      <c r="BA573" s="234">
        <v>0</v>
      </c>
      <c r="BB573" s="234">
        <v>0</v>
      </c>
      <c r="BC573" s="234">
        <v>0</v>
      </c>
      <c r="BD573" s="234">
        <v>0</v>
      </c>
      <c r="BE573" s="234">
        <v>0</v>
      </c>
      <c r="BF573" s="234">
        <v>0</v>
      </c>
      <c r="BG573" s="234">
        <v>0</v>
      </c>
      <c r="BH573" s="234">
        <v>0</v>
      </c>
      <c r="BI573" s="234">
        <v>0</v>
      </c>
      <c r="BJ573" s="234">
        <v>0</v>
      </c>
      <c r="BK573" s="234">
        <v>0</v>
      </c>
      <c r="BL573" s="234">
        <v>0</v>
      </c>
      <c r="BM573" s="234">
        <v>0</v>
      </c>
      <c r="BN573" s="234">
        <v>0</v>
      </c>
      <c r="BO573" s="234">
        <v>0</v>
      </c>
      <c r="BP573" s="234"/>
      <c r="BQ573" s="234"/>
      <c r="BR573" s="237" t="s">
        <v>481</v>
      </c>
      <c r="BS573" s="238">
        <v>15</v>
      </c>
      <c r="BU573" s="239">
        <f t="shared" si="63"/>
        <v>0.5</v>
      </c>
      <c r="BV573" s="239">
        <f t="shared" si="64"/>
        <v>0.5</v>
      </c>
      <c r="BW573" s="239">
        <f t="shared" si="65"/>
        <v>0.5</v>
      </c>
      <c r="BX573" s="239">
        <f t="shared" si="66"/>
        <v>0.5</v>
      </c>
      <c r="CN573" s="238">
        <f t="shared" si="61"/>
        <v>2</v>
      </c>
      <c r="CO573" s="238">
        <f t="shared" si="62"/>
        <v>2</v>
      </c>
    </row>
    <row r="574" spans="1:93" ht="13.95" customHeight="1" x14ac:dyDescent="0.2">
      <c r="A574" s="231">
        <v>7245</v>
      </c>
      <c r="B574" s="232" t="s">
        <v>822</v>
      </c>
      <c r="C574" s="232" t="s">
        <v>1745</v>
      </c>
      <c r="D574" s="232" t="s">
        <v>1746</v>
      </c>
      <c r="E574" s="232" t="s">
        <v>317</v>
      </c>
      <c r="F574" s="231">
        <v>528090</v>
      </c>
      <c r="G574" s="231">
        <v>173486</v>
      </c>
      <c r="H574" s="232" t="s">
        <v>141</v>
      </c>
      <c r="I574" s="233"/>
      <c r="J574" s="231"/>
      <c r="K574" s="231">
        <v>0</v>
      </c>
      <c r="L574" s="231">
        <v>2</v>
      </c>
      <c r="M574" s="231">
        <v>2</v>
      </c>
      <c r="N574" s="231">
        <v>2</v>
      </c>
      <c r="O574" s="231">
        <v>2</v>
      </c>
      <c r="P574" s="234"/>
      <c r="Q574" s="232" t="s">
        <v>1747</v>
      </c>
      <c r="R574" s="234" t="s">
        <v>428</v>
      </c>
      <c r="S574" s="235">
        <v>43720</v>
      </c>
      <c r="T574" s="235">
        <v>43773</v>
      </c>
      <c r="U574" s="234"/>
      <c r="V574" s="232" t="s">
        <v>321</v>
      </c>
      <c r="W574" s="231"/>
      <c r="X574" s="232" t="s">
        <v>322</v>
      </c>
      <c r="Y574" s="232" t="s">
        <v>378</v>
      </c>
      <c r="Z574" s="232" t="s">
        <v>324</v>
      </c>
      <c r="AA574" s="232" t="s">
        <v>25</v>
      </c>
      <c r="AB574" s="236">
        <v>7.0000000000000001E-3</v>
      </c>
      <c r="AC574" s="235"/>
      <c r="AD574" s="234"/>
      <c r="AE574" s="234"/>
      <c r="AF574" s="232" t="s">
        <v>77</v>
      </c>
      <c r="AG574" s="232" t="s">
        <v>350</v>
      </c>
      <c r="AH574" s="234" t="s">
        <v>317</v>
      </c>
      <c r="AJ574" s="234">
        <v>0</v>
      </c>
      <c r="AK574" s="224"/>
      <c r="AL574" s="234">
        <v>0</v>
      </c>
      <c r="AM574" s="224"/>
      <c r="AN574" s="234">
        <v>2</v>
      </c>
      <c r="AO574" s="234">
        <v>0</v>
      </c>
      <c r="AP574" s="234">
        <v>0</v>
      </c>
      <c r="AQ574" s="234">
        <v>0</v>
      </c>
      <c r="AR574" s="234">
        <v>0</v>
      </c>
      <c r="AS574" s="234">
        <v>0</v>
      </c>
      <c r="AT574" s="234">
        <v>0</v>
      </c>
      <c r="AU574" s="234">
        <v>2</v>
      </c>
      <c r="AV574" s="234">
        <v>0</v>
      </c>
      <c r="AW574" s="234">
        <v>0</v>
      </c>
      <c r="AX574" s="234">
        <v>0</v>
      </c>
      <c r="AY574" s="234">
        <v>0</v>
      </c>
      <c r="AZ574" s="234">
        <v>0</v>
      </c>
      <c r="BA574" s="234">
        <v>0</v>
      </c>
      <c r="BB574" s="234">
        <v>0</v>
      </c>
      <c r="BC574" s="234">
        <v>0</v>
      </c>
      <c r="BD574" s="234">
        <v>0</v>
      </c>
      <c r="BE574" s="234">
        <v>0</v>
      </c>
      <c r="BF574" s="234">
        <v>0</v>
      </c>
      <c r="BG574" s="234">
        <v>0</v>
      </c>
      <c r="BH574" s="234">
        <v>0</v>
      </c>
      <c r="BI574" s="234">
        <v>0</v>
      </c>
      <c r="BJ574" s="234">
        <v>0</v>
      </c>
      <c r="BK574" s="234">
        <v>0</v>
      </c>
      <c r="BL574" s="234">
        <v>0</v>
      </c>
      <c r="BM574" s="234">
        <v>0</v>
      </c>
      <c r="BN574" s="234">
        <v>0</v>
      </c>
      <c r="BO574" s="234">
        <v>0</v>
      </c>
      <c r="BP574" s="234"/>
      <c r="BQ574" s="234"/>
      <c r="BR574" s="237" t="s">
        <v>334</v>
      </c>
      <c r="BS574" s="238">
        <v>15</v>
      </c>
      <c r="BU574" s="239">
        <f t="shared" si="63"/>
        <v>0.5</v>
      </c>
      <c r="BV574" s="239">
        <f t="shared" si="64"/>
        <v>0.5</v>
      </c>
      <c r="BW574" s="239">
        <f t="shared" si="65"/>
        <v>0.5</v>
      </c>
      <c r="BX574" s="239">
        <f t="shared" si="66"/>
        <v>0.5</v>
      </c>
      <c r="CN574" s="238">
        <f t="shared" si="61"/>
        <v>2</v>
      </c>
      <c r="CO574" s="238">
        <f t="shared" si="62"/>
        <v>2</v>
      </c>
    </row>
    <row r="575" spans="1:93" ht="13.95" customHeight="1" x14ac:dyDescent="0.2">
      <c r="A575" s="231">
        <v>7870</v>
      </c>
      <c r="B575" s="232" t="s">
        <v>822</v>
      </c>
      <c r="C575" s="232" t="s">
        <v>1748</v>
      </c>
      <c r="D575" s="232" t="s">
        <v>671</v>
      </c>
      <c r="E575" s="232" t="s">
        <v>317</v>
      </c>
      <c r="F575" s="231">
        <v>528923</v>
      </c>
      <c r="G575" s="231">
        <v>173012</v>
      </c>
      <c r="H575" s="232" t="s">
        <v>172</v>
      </c>
      <c r="I575" s="233"/>
      <c r="J575" s="231"/>
      <c r="K575" s="231">
        <v>1</v>
      </c>
      <c r="L575" s="231">
        <v>3</v>
      </c>
      <c r="M575" s="231">
        <v>2</v>
      </c>
      <c r="N575" s="231">
        <v>3</v>
      </c>
      <c r="O575" s="231">
        <v>2</v>
      </c>
      <c r="P575" s="234"/>
      <c r="Q575" s="232" t="s">
        <v>1749</v>
      </c>
      <c r="R575" s="234" t="s">
        <v>332</v>
      </c>
      <c r="S575" s="235">
        <v>44824</v>
      </c>
      <c r="T575" s="235">
        <v>44897</v>
      </c>
      <c r="U575" s="234" t="s">
        <v>318</v>
      </c>
      <c r="V575" s="232" t="s">
        <v>321</v>
      </c>
      <c r="W575" s="231"/>
      <c r="X575" s="232" t="s">
        <v>322</v>
      </c>
      <c r="Y575" s="232" t="s">
        <v>365</v>
      </c>
      <c r="Z575" s="232" t="s">
        <v>324</v>
      </c>
      <c r="AA575" s="232" t="s">
        <v>15</v>
      </c>
      <c r="AB575" s="236">
        <v>8.0000000000000002E-3</v>
      </c>
      <c r="AC575" s="235"/>
      <c r="AD575" s="234"/>
      <c r="AE575" s="234"/>
      <c r="AF575" s="232" t="s">
        <v>77</v>
      </c>
      <c r="AG575" s="232" t="s">
        <v>350</v>
      </c>
      <c r="AH575" s="234" t="s">
        <v>317</v>
      </c>
      <c r="AJ575" s="234">
        <v>0</v>
      </c>
      <c r="AK575" s="224"/>
      <c r="AL575" s="234">
        <v>0</v>
      </c>
      <c r="AM575" s="224"/>
      <c r="AN575" s="234">
        <v>0</v>
      </c>
      <c r="AO575" s="234">
        <v>0</v>
      </c>
      <c r="AP575" s="234">
        <v>2</v>
      </c>
      <c r="AQ575" s="234">
        <v>1</v>
      </c>
      <c r="AR575" s="234">
        <v>0</v>
      </c>
      <c r="AS575" s="234">
        <v>-1</v>
      </c>
      <c r="AT575" s="234">
        <v>0</v>
      </c>
      <c r="AU575" s="234">
        <v>0</v>
      </c>
      <c r="AV575" s="234">
        <v>0</v>
      </c>
      <c r="AW575" s="234">
        <v>2</v>
      </c>
      <c r="AX575" s="234">
        <v>1</v>
      </c>
      <c r="AY575" s="234">
        <v>0</v>
      </c>
      <c r="AZ575" s="234">
        <v>0</v>
      </c>
      <c r="BA575" s="234">
        <v>0</v>
      </c>
      <c r="BB575" s="234">
        <v>0</v>
      </c>
      <c r="BC575" s="234">
        <v>0</v>
      </c>
      <c r="BD575" s="234">
        <v>0</v>
      </c>
      <c r="BE575" s="234">
        <v>0</v>
      </c>
      <c r="BF575" s="234">
        <v>0</v>
      </c>
      <c r="BG575" s="234">
        <v>-1</v>
      </c>
      <c r="BH575" s="234">
        <v>0</v>
      </c>
      <c r="BI575" s="234">
        <v>0</v>
      </c>
      <c r="BJ575" s="234">
        <v>0</v>
      </c>
      <c r="BK575" s="234">
        <v>0</v>
      </c>
      <c r="BL575" s="234">
        <v>0</v>
      </c>
      <c r="BM575" s="234">
        <v>0</v>
      </c>
      <c r="BN575" s="234">
        <v>0</v>
      </c>
      <c r="BO575" s="234">
        <v>0</v>
      </c>
      <c r="BP575" s="234"/>
      <c r="BQ575" s="234"/>
      <c r="BR575" s="237" t="s">
        <v>334</v>
      </c>
      <c r="BS575" s="238">
        <v>15</v>
      </c>
      <c r="BU575" s="239">
        <f t="shared" si="63"/>
        <v>0.5</v>
      </c>
      <c r="BV575" s="239">
        <f t="shared" si="64"/>
        <v>0.5</v>
      </c>
      <c r="BW575" s="239">
        <f t="shared" si="65"/>
        <v>0.5</v>
      </c>
      <c r="BX575" s="239">
        <f t="shared" si="66"/>
        <v>0.5</v>
      </c>
      <c r="CN575" s="238">
        <f t="shared" si="61"/>
        <v>2</v>
      </c>
      <c r="CO575" s="238">
        <f t="shared" si="62"/>
        <v>2</v>
      </c>
    </row>
    <row r="576" spans="1:93" ht="13.95" customHeight="1" x14ac:dyDescent="0.2">
      <c r="A576" s="231">
        <v>3577</v>
      </c>
      <c r="B576" s="232" t="s">
        <v>822</v>
      </c>
      <c r="C576" s="232" t="s">
        <v>1750</v>
      </c>
      <c r="D576" s="232" t="s">
        <v>1751</v>
      </c>
      <c r="E576" s="232" t="s">
        <v>317</v>
      </c>
      <c r="F576" s="231">
        <v>529035</v>
      </c>
      <c r="G576" s="231">
        <v>176328</v>
      </c>
      <c r="H576" s="232" t="s">
        <v>171</v>
      </c>
      <c r="I576" s="233"/>
      <c r="J576" s="231"/>
      <c r="K576" s="231">
        <v>0</v>
      </c>
      <c r="L576" s="231">
        <v>2</v>
      </c>
      <c r="M576" s="231">
        <v>2</v>
      </c>
      <c r="N576" s="231">
        <v>2</v>
      </c>
      <c r="O576" s="231">
        <v>2</v>
      </c>
      <c r="P576" s="234"/>
      <c r="Q576" s="232" t="s">
        <v>1752</v>
      </c>
      <c r="R576" s="234" t="s">
        <v>332</v>
      </c>
      <c r="S576" s="235">
        <v>44007</v>
      </c>
      <c r="T576" s="235">
        <v>44097</v>
      </c>
      <c r="U576" s="234"/>
      <c r="V576" s="232" t="s">
        <v>321</v>
      </c>
      <c r="W576" s="231"/>
      <c r="X576" s="232" t="s">
        <v>322</v>
      </c>
      <c r="Y576" s="232" t="s">
        <v>378</v>
      </c>
      <c r="Z576" s="232" t="s">
        <v>324</v>
      </c>
      <c r="AA576" s="232" t="s">
        <v>25</v>
      </c>
      <c r="AB576" s="236">
        <v>1.7000000000000001E-2</v>
      </c>
      <c r="AC576" s="235"/>
      <c r="AD576" s="234"/>
      <c r="AE576" s="234"/>
      <c r="AF576" s="232" t="s">
        <v>77</v>
      </c>
      <c r="AG576" s="232" t="s">
        <v>350</v>
      </c>
      <c r="AH576" s="234" t="s">
        <v>317</v>
      </c>
      <c r="AJ576" s="234">
        <v>0</v>
      </c>
      <c r="AK576" s="224"/>
      <c r="AL576" s="234">
        <v>0</v>
      </c>
      <c r="AM576" s="224"/>
      <c r="AN576" s="234">
        <v>0</v>
      </c>
      <c r="AO576" s="234">
        <v>2</v>
      </c>
      <c r="AP576" s="234">
        <v>0</v>
      </c>
      <c r="AQ576" s="234">
        <v>0</v>
      </c>
      <c r="AR576" s="234">
        <v>0</v>
      </c>
      <c r="AS576" s="234">
        <v>0</v>
      </c>
      <c r="AT576" s="234">
        <v>0</v>
      </c>
      <c r="AU576" s="234">
        <v>0</v>
      </c>
      <c r="AV576" s="234">
        <v>2</v>
      </c>
      <c r="AW576" s="234">
        <v>0</v>
      </c>
      <c r="AX576" s="234">
        <v>0</v>
      </c>
      <c r="AY576" s="234">
        <v>0</v>
      </c>
      <c r="AZ576" s="234">
        <v>0</v>
      </c>
      <c r="BA576" s="234">
        <v>0</v>
      </c>
      <c r="BB576" s="234">
        <v>0</v>
      </c>
      <c r="BC576" s="234">
        <v>0</v>
      </c>
      <c r="BD576" s="234">
        <v>0</v>
      </c>
      <c r="BE576" s="234">
        <v>0</v>
      </c>
      <c r="BF576" s="234">
        <v>0</v>
      </c>
      <c r="BG576" s="234">
        <v>0</v>
      </c>
      <c r="BH576" s="234">
        <v>0</v>
      </c>
      <c r="BI576" s="234">
        <v>0</v>
      </c>
      <c r="BJ576" s="234">
        <v>0</v>
      </c>
      <c r="BK576" s="234">
        <v>0</v>
      </c>
      <c r="BL576" s="234">
        <v>0</v>
      </c>
      <c r="BM576" s="234">
        <v>0</v>
      </c>
      <c r="BN576" s="234">
        <v>0</v>
      </c>
      <c r="BO576" s="234">
        <v>0</v>
      </c>
      <c r="BP576" s="234"/>
      <c r="BQ576" s="234" t="s">
        <v>318</v>
      </c>
      <c r="BR576" s="237" t="s">
        <v>151</v>
      </c>
      <c r="BS576" s="238">
        <v>15</v>
      </c>
      <c r="BU576" s="239">
        <f t="shared" si="63"/>
        <v>0.5</v>
      </c>
      <c r="BV576" s="239">
        <f t="shared" si="64"/>
        <v>0.5</v>
      </c>
      <c r="BW576" s="239">
        <f t="shared" si="65"/>
        <v>0.5</v>
      </c>
      <c r="BX576" s="239">
        <f t="shared" si="66"/>
        <v>0.5</v>
      </c>
      <c r="CN576" s="238">
        <f t="shared" si="61"/>
        <v>2</v>
      </c>
      <c r="CO576" s="238">
        <f t="shared" si="62"/>
        <v>2</v>
      </c>
    </row>
    <row r="577" spans="1:93" ht="13.95" customHeight="1" x14ac:dyDescent="0.2">
      <c r="A577" s="231">
        <v>340</v>
      </c>
      <c r="B577" s="232" t="s">
        <v>822</v>
      </c>
      <c r="C577" s="232" t="s">
        <v>1753</v>
      </c>
      <c r="D577" s="232" t="s">
        <v>1754</v>
      </c>
      <c r="E577" s="232" t="s">
        <v>317</v>
      </c>
      <c r="F577" s="231">
        <v>528898</v>
      </c>
      <c r="G577" s="231">
        <v>171088</v>
      </c>
      <c r="H577" s="232" t="s">
        <v>166</v>
      </c>
      <c r="I577" s="233"/>
      <c r="J577" s="231"/>
      <c r="K577" s="231">
        <v>0</v>
      </c>
      <c r="L577" s="231">
        <v>2</v>
      </c>
      <c r="M577" s="231">
        <v>2</v>
      </c>
      <c r="N577" s="231">
        <v>2</v>
      </c>
      <c r="O577" s="231">
        <v>2</v>
      </c>
      <c r="P577" s="234"/>
      <c r="Q577" s="232" t="s">
        <v>1755</v>
      </c>
      <c r="R577" s="234" t="s">
        <v>629</v>
      </c>
      <c r="S577" s="235">
        <v>43651</v>
      </c>
      <c r="T577" s="235">
        <v>43693</v>
      </c>
      <c r="U577" s="234"/>
      <c r="V577" s="232" t="s">
        <v>321</v>
      </c>
      <c r="W577" s="231"/>
      <c r="X577" s="232" t="s">
        <v>322</v>
      </c>
      <c r="Y577" s="232" t="s">
        <v>378</v>
      </c>
      <c r="Z577" s="232" t="s">
        <v>324</v>
      </c>
      <c r="AA577" s="232" t="s">
        <v>28</v>
      </c>
      <c r="AB577" s="236">
        <v>5.0000000000000001E-3</v>
      </c>
      <c r="AC577" s="235"/>
      <c r="AD577" s="234"/>
      <c r="AE577" s="234"/>
      <c r="AF577" s="232" t="s">
        <v>77</v>
      </c>
      <c r="AG577" s="232" t="s">
        <v>350</v>
      </c>
      <c r="AH577" s="234" t="s">
        <v>317</v>
      </c>
      <c r="AJ577" s="234">
        <v>0</v>
      </c>
      <c r="AK577" s="224"/>
      <c r="AL577" s="234">
        <v>0</v>
      </c>
      <c r="AM577" s="224"/>
      <c r="AN577" s="234">
        <v>0</v>
      </c>
      <c r="AO577" s="234">
        <v>2</v>
      </c>
      <c r="AP577" s="234">
        <v>0</v>
      </c>
      <c r="AQ577" s="234">
        <v>0</v>
      </c>
      <c r="AR577" s="234">
        <v>0</v>
      </c>
      <c r="AS577" s="234">
        <v>0</v>
      </c>
      <c r="AT577" s="234">
        <v>0</v>
      </c>
      <c r="AU577" s="234">
        <v>0</v>
      </c>
      <c r="AV577" s="234">
        <v>2</v>
      </c>
      <c r="AW577" s="234">
        <v>0</v>
      </c>
      <c r="AX577" s="234">
        <v>0</v>
      </c>
      <c r="AY577" s="234">
        <v>0</v>
      </c>
      <c r="AZ577" s="234">
        <v>0</v>
      </c>
      <c r="BA577" s="234">
        <v>0</v>
      </c>
      <c r="BB577" s="234">
        <v>0</v>
      </c>
      <c r="BC577" s="234">
        <v>0</v>
      </c>
      <c r="BD577" s="234">
        <v>0</v>
      </c>
      <c r="BE577" s="234">
        <v>0</v>
      </c>
      <c r="BF577" s="234">
        <v>0</v>
      </c>
      <c r="BG577" s="234">
        <v>0</v>
      </c>
      <c r="BH577" s="234">
        <v>0</v>
      </c>
      <c r="BI577" s="234">
        <v>0</v>
      </c>
      <c r="BJ577" s="234">
        <v>0</v>
      </c>
      <c r="BK577" s="234">
        <v>0</v>
      </c>
      <c r="BL577" s="234">
        <v>0</v>
      </c>
      <c r="BM577" s="234">
        <v>0</v>
      </c>
      <c r="BN577" s="234">
        <v>0</v>
      </c>
      <c r="BO577" s="234">
        <v>0</v>
      </c>
      <c r="BP577" s="234"/>
      <c r="BQ577" s="234"/>
      <c r="BR577" s="237" t="s">
        <v>334</v>
      </c>
      <c r="BS577" s="238">
        <v>15</v>
      </c>
      <c r="BU577" s="239">
        <f t="shared" si="63"/>
        <v>0.5</v>
      </c>
      <c r="BV577" s="239">
        <f t="shared" si="64"/>
        <v>0.5</v>
      </c>
      <c r="BW577" s="239">
        <f t="shared" si="65"/>
        <v>0.5</v>
      </c>
      <c r="BX577" s="239">
        <f t="shared" si="66"/>
        <v>0.5</v>
      </c>
      <c r="CN577" s="238">
        <f t="shared" si="61"/>
        <v>2</v>
      </c>
      <c r="CO577" s="238">
        <f t="shared" si="62"/>
        <v>2</v>
      </c>
    </row>
    <row r="578" spans="1:93" ht="13.95" customHeight="1" x14ac:dyDescent="0.2">
      <c r="A578" s="231">
        <v>7416</v>
      </c>
      <c r="B578" s="232" t="s">
        <v>822</v>
      </c>
      <c r="C578" s="232" t="s">
        <v>1756</v>
      </c>
      <c r="D578" s="232" t="s">
        <v>1757</v>
      </c>
      <c r="E578" s="232" t="s">
        <v>317</v>
      </c>
      <c r="F578" s="231">
        <v>526860</v>
      </c>
      <c r="G578" s="231">
        <v>171851</v>
      </c>
      <c r="H578" s="232" t="s">
        <v>177</v>
      </c>
      <c r="I578" s="233"/>
      <c r="J578" s="231"/>
      <c r="K578" s="231">
        <v>1</v>
      </c>
      <c r="L578" s="231">
        <v>3</v>
      </c>
      <c r="M578" s="231">
        <v>2</v>
      </c>
      <c r="N578" s="231">
        <v>3</v>
      </c>
      <c r="O578" s="231">
        <v>2</v>
      </c>
      <c r="P578" s="234"/>
      <c r="Q578" s="232" t="s">
        <v>1758</v>
      </c>
      <c r="R578" s="234" t="s">
        <v>332</v>
      </c>
      <c r="S578" s="235">
        <v>44890</v>
      </c>
      <c r="T578" s="235">
        <v>44952</v>
      </c>
      <c r="U578" s="234" t="s">
        <v>318</v>
      </c>
      <c r="V578" s="232" t="s">
        <v>321</v>
      </c>
      <c r="W578" s="231"/>
      <c r="X578" s="232" t="s">
        <v>322</v>
      </c>
      <c r="Y578" s="232" t="s">
        <v>365</v>
      </c>
      <c r="Z578" s="232" t="s">
        <v>324</v>
      </c>
      <c r="AA578" s="232" t="s">
        <v>354</v>
      </c>
      <c r="AB578" s="236">
        <v>6.3200000000000001E-3</v>
      </c>
      <c r="AC578" s="235"/>
      <c r="AD578" s="234"/>
      <c r="AE578" s="234"/>
      <c r="AF578" s="232" t="s">
        <v>77</v>
      </c>
      <c r="AG578" s="232" t="s">
        <v>350</v>
      </c>
      <c r="AH578" s="234" t="s">
        <v>317</v>
      </c>
      <c r="AJ578" s="234">
        <v>0</v>
      </c>
      <c r="AK578" s="224"/>
      <c r="AL578" s="234">
        <v>0</v>
      </c>
      <c r="AM578" s="224"/>
      <c r="AN578" s="234">
        <v>1</v>
      </c>
      <c r="AO578" s="234">
        <v>1</v>
      </c>
      <c r="AP578" s="234">
        <v>0</v>
      </c>
      <c r="AQ578" s="234">
        <v>0</v>
      </c>
      <c r="AR578" s="234">
        <v>0</v>
      </c>
      <c r="AS578" s="234">
        <v>0</v>
      </c>
      <c r="AT578" s="234">
        <v>0</v>
      </c>
      <c r="AU578" s="234">
        <v>1</v>
      </c>
      <c r="AV578" s="234">
        <v>1</v>
      </c>
      <c r="AW578" s="234">
        <v>0</v>
      </c>
      <c r="AX578" s="234">
        <v>0</v>
      </c>
      <c r="AY578" s="234">
        <v>0</v>
      </c>
      <c r="AZ578" s="234">
        <v>0</v>
      </c>
      <c r="BA578" s="234">
        <v>0</v>
      </c>
      <c r="BB578" s="234">
        <v>0</v>
      </c>
      <c r="BC578" s="234">
        <v>0</v>
      </c>
      <c r="BD578" s="234">
        <v>0</v>
      </c>
      <c r="BE578" s="234">
        <v>0</v>
      </c>
      <c r="BF578" s="234">
        <v>0</v>
      </c>
      <c r="BG578" s="234">
        <v>0</v>
      </c>
      <c r="BH578" s="234">
        <v>0</v>
      </c>
      <c r="BI578" s="234">
        <v>0</v>
      </c>
      <c r="BJ578" s="234">
        <v>0</v>
      </c>
      <c r="BK578" s="234">
        <v>0</v>
      </c>
      <c r="BL578" s="234">
        <v>0</v>
      </c>
      <c r="BM578" s="234">
        <v>0</v>
      </c>
      <c r="BN578" s="234">
        <v>0</v>
      </c>
      <c r="BO578" s="234">
        <v>0</v>
      </c>
      <c r="BP578" s="234"/>
      <c r="BQ578" s="234"/>
      <c r="BR578" s="237" t="s">
        <v>334</v>
      </c>
      <c r="BS578" s="238">
        <v>15</v>
      </c>
      <c r="BU578" s="239">
        <f t="shared" si="63"/>
        <v>0.5</v>
      </c>
      <c r="BV578" s="239">
        <f t="shared" si="64"/>
        <v>0.5</v>
      </c>
      <c r="BW578" s="239">
        <f t="shared" si="65"/>
        <v>0.5</v>
      </c>
      <c r="BX578" s="239">
        <f t="shared" si="66"/>
        <v>0.5</v>
      </c>
      <c r="CN578" s="238">
        <f t="shared" si="61"/>
        <v>2</v>
      </c>
      <c r="CO578" s="238">
        <f t="shared" si="62"/>
        <v>2</v>
      </c>
    </row>
    <row r="579" spans="1:93" ht="13.95" customHeight="1" x14ac:dyDescent="0.2">
      <c r="A579" s="231">
        <v>2641</v>
      </c>
      <c r="B579" s="232" t="s">
        <v>822</v>
      </c>
      <c r="C579" s="232" t="s">
        <v>1759</v>
      </c>
      <c r="D579" s="232" t="s">
        <v>1760</v>
      </c>
      <c r="E579" s="232" t="s">
        <v>317</v>
      </c>
      <c r="F579" s="231">
        <v>527902</v>
      </c>
      <c r="G579" s="231">
        <v>173411</v>
      </c>
      <c r="H579" s="232" t="s">
        <v>141</v>
      </c>
      <c r="I579" s="233"/>
      <c r="J579" s="231"/>
      <c r="K579" s="231">
        <v>0</v>
      </c>
      <c r="L579" s="231">
        <v>5</v>
      </c>
      <c r="M579" s="231">
        <v>5</v>
      </c>
      <c r="N579" s="231">
        <v>5</v>
      </c>
      <c r="O579" s="231">
        <v>5</v>
      </c>
      <c r="P579" s="234"/>
      <c r="Q579" s="232" t="s">
        <v>1761</v>
      </c>
      <c r="R579" s="234" t="s">
        <v>332</v>
      </c>
      <c r="S579" s="235">
        <v>44705</v>
      </c>
      <c r="T579" s="235">
        <v>44889</v>
      </c>
      <c r="U579" s="234" t="s">
        <v>318</v>
      </c>
      <c r="V579" s="232" t="s">
        <v>321</v>
      </c>
      <c r="W579" s="231"/>
      <c r="X579" s="232" t="s">
        <v>322</v>
      </c>
      <c r="Y579" s="232" t="s">
        <v>323</v>
      </c>
      <c r="Z579" s="232" t="s">
        <v>324</v>
      </c>
      <c r="AA579" s="232" t="s">
        <v>349</v>
      </c>
      <c r="AB579" s="236">
        <v>1.17333E-2</v>
      </c>
      <c r="AC579" s="235"/>
      <c r="AD579" s="234"/>
      <c r="AE579" s="234"/>
      <c r="AF579" s="232" t="s">
        <v>77</v>
      </c>
      <c r="AG579" s="232" t="s">
        <v>350</v>
      </c>
      <c r="AH579" s="234" t="s">
        <v>317</v>
      </c>
      <c r="AJ579" s="234">
        <v>0</v>
      </c>
      <c r="AK579" s="224"/>
      <c r="AL579" s="234">
        <v>0</v>
      </c>
      <c r="AM579" s="224"/>
      <c r="AN579" s="234">
        <v>0</v>
      </c>
      <c r="AO579" s="234">
        <v>2</v>
      </c>
      <c r="AP579" s="234">
        <v>2</v>
      </c>
      <c r="AQ579" s="234">
        <v>1</v>
      </c>
      <c r="AR579" s="234">
        <v>0</v>
      </c>
      <c r="AS579" s="234">
        <v>0</v>
      </c>
      <c r="AT579" s="234">
        <v>0</v>
      </c>
      <c r="AU579" s="234">
        <v>0</v>
      </c>
      <c r="AV579" s="234">
        <v>2</v>
      </c>
      <c r="AW579" s="234">
        <v>2</v>
      </c>
      <c r="AX579" s="234">
        <v>1</v>
      </c>
      <c r="AY579" s="234">
        <v>0</v>
      </c>
      <c r="AZ579" s="234">
        <v>0</v>
      </c>
      <c r="BA579" s="234">
        <v>0</v>
      </c>
      <c r="BB579" s="234">
        <v>0</v>
      </c>
      <c r="BC579" s="234">
        <v>0</v>
      </c>
      <c r="BD579" s="234">
        <v>0</v>
      </c>
      <c r="BE579" s="234">
        <v>0</v>
      </c>
      <c r="BF579" s="234">
        <v>0</v>
      </c>
      <c r="BG579" s="234">
        <v>0</v>
      </c>
      <c r="BH579" s="234">
        <v>0</v>
      </c>
      <c r="BI579" s="234">
        <v>0</v>
      </c>
      <c r="BJ579" s="234">
        <v>0</v>
      </c>
      <c r="BK579" s="234">
        <v>0</v>
      </c>
      <c r="BL579" s="234">
        <v>0</v>
      </c>
      <c r="BM579" s="234">
        <v>0</v>
      </c>
      <c r="BN579" s="234">
        <v>0</v>
      </c>
      <c r="BO579" s="234">
        <v>0</v>
      </c>
      <c r="BP579" s="234"/>
      <c r="BQ579" s="234"/>
      <c r="BR579" s="237" t="s">
        <v>334</v>
      </c>
      <c r="BS579" s="238">
        <v>7</v>
      </c>
      <c r="BV579" s="239">
        <f t="shared" si="64"/>
        <v>1.25</v>
      </c>
      <c r="BW579" s="239">
        <f t="shared" si="65"/>
        <v>1.25</v>
      </c>
      <c r="BX579" s="239">
        <f t="shared" si="66"/>
        <v>1.25</v>
      </c>
      <c r="BY579" s="239">
        <f>M579/4</f>
        <v>1.25</v>
      </c>
      <c r="CN579" s="238">
        <f t="shared" si="61"/>
        <v>5</v>
      </c>
      <c r="CO579" s="238">
        <f t="shared" si="62"/>
        <v>5</v>
      </c>
    </row>
    <row r="580" spans="1:93" ht="13.95" customHeight="1" x14ac:dyDescent="0.2">
      <c r="A580" s="231">
        <v>7845</v>
      </c>
      <c r="B580" s="232" t="s">
        <v>822</v>
      </c>
      <c r="C580" s="232" t="s">
        <v>1762</v>
      </c>
      <c r="D580" s="232" t="s">
        <v>1763</v>
      </c>
      <c r="E580" s="232" t="s">
        <v>317</v>
      </c>
      <c r="F580" s="231">
        <v>527616</v>
      </c>
      <c r="G580" s="231">
        <v>175185</v>
      </c>
      <c r="H580" s="232" t="s">
        <v>167</v>
      </c>
      <c r="I580" s="233"/>
      <c r="J580" s="231"/>
      <c r="K580" s="231">
        <v>1</v>
      </c>
      <c r="L580" s="231">
        <v>3</v>
      </c>
      <c r="M580" s="231">
        <v>2</v>
      </c>
      <c r="N580" s="231">
        <v>3</v>
      </c>
      <c r="O580" s="231">
        <v>2</v>
      </c>
      <c r="P580" s="234"/>
      <c r="Q580" s="232" t="s">
        <v>1764</v>
      </c>
      <c r="R580" s="234" t="s">
        <v>332</v>
      </c>
      <c r="S580" s="235">
        <v>44798</v>
      </c>
      <c r="T580" s="235">
        <v>44860</v>
      </c>
      <c r="U580" s="234" t="s">
        <v>318</v>
      </c>
      <c r="V580" s="232" t="s">
        <v>321</v>
      </c>
      <c r="W580" s="231"/>
      <c r="X580" s="232" t="s">
        <v>322</v>
      </c>
      <c r="Y580" s="232" t="s">
        <v>339</v>
      </c>
      <c r="Z580" s="232" t="s">
        <v>324</v>
      </c>
      <c r="AA580" s="232" t="s">
        <v>15</v>
      </c>
      <c r="AB580" s="236">
        <v>5.4250000000000001E-3</v>
      </c>
      <c r="AC580" s="235"/>
      <c r="AD580" s="234"/>
      <c r="AE580" s="234"/>
      <c r="AF580" s="232" t="s">
        <v>77</v>
      </c>
      <c r="AG580" s="232" t="s">
        <v>350</v>
      </c>
      <c r="AH580" s="234" t="s">
        <v>317</v>
      </c>
      <c r="AJ580" s="234">
        <v>0</v>
      </c>
      <c r="AK580" s="224"/>
      <c r="AL580" s="234">
        <v>0</v>
      </c>
      <c r="AM580" s="224"/>
      <c r="AN580" s="234">
        <v>0</v>
      </c>
      <c r="AO580" s="234">
        <v>1</v>
      </c>
      <c r="AP580" s="234">
        <v>1</v>
      </c>
      <c r="AQ580" s="234">
        <v>1</v>
      </c>
      <c r="AR580" s="234">
        <v>0</v>
      </c>
      <c r="AS580" s="234">
        <v>-1</v>
      </c>
      <c r="AT580" s="234">
        <v>0</v>
      </c>
      <c r="AU580" s="234">
        <v>0</v>
      </c>
      <c r="AV580" s="234">
        <v>1</v>
      </c>
      <c r="AW580" s="234">
        <v>1</v>
      </c>
      <c r="AX580" s="234">
        <v>1</v>
      </c>
      <c r="AY580" s="234">
        <v>0</v>
      </c>
      <c r="AZ580" s="234">
        <v>0</v>
      </c>
      <c r="BA580" s="234">
        <v>0</v>
      </c>
      <c r="BB580" s="234">
        <v>0</v>
      </c>
      <c r="BC580" s="234">
        <v>0</v>
      </c>
      <c r="BD580" s="234">
        <v>0</v>
      </c>
      <c r="BE580" s="234">
        <v>0</v>
      </c>
      <c r="BF580" s="234">
        <v>0</v>
      </c>
      <c r="BG580" s="234">
        <v>-1</v>
      </c>
      <c r="BH580" s="234">
        <v>0</v>
      </c>
      <c r="BI580" s="234">
        <v>0</v>
      </c>
      <c r="BJ580" s="234">
        <v>0</v>
      </c>
      <c r="BK580" s="234">
        <v>0</v>
      </c>
      <c r="BL580" s="234">
        <v>0</v>
      </c>
      <c r="BM580" s="234">
        <v>0</v>
      </c>
      <c r="BN580" s="234">
        <v>0</v>
      </c>
      <c r="BO580" s="234">
        <v>0</v>
      </c>
      <c r="BP580" s="234"/>
      <c r="BQ580" s="234"/>
      <c r="BR580" s="237" t="s">
        <v>150</v>
      </c>
      <c r="BS580" s="238">
        <v>15</v>
      </c>
      <c r="BU580" s="239">
        <f>M580/4</f>
        <v>0.5</v>
      </c>
      <c r="BV580" s="239">
        <f t="shared" si="64"/>
        <v>0.5</v>
      </c>
      <c r="BW580" s="239">
        <f t="shared" si="65"/>
        <v>0.5</v>
      </c>
      <c r="BX580" s="239">
        <f t="shared" si="66"/>
        <v>0.5</v>
      </c>
      <c r="CN580" s="238">
        <f t="shared" si="61"/>
        <v>2</v>
      </c>
      <c r="CO580" s="238">
        <f t="shared" si="62"/>
        <v>2</v>
      </c>
    </row>
    <row r="581" spans="1:93" ht="13.95" customHeight="1" x14ac:dyDescent="0.2">
      <c r="A581" s="231">
        <v>7479</v>
      </c>
      <c r="B581" s="232" t="s">
        <v>822</v>
      </c>
      <c r="C581" s="232" t="s">
        <v>1765</v>
      </c>
      <c r="D581" s="232" t="s">
        <v>1766</v>
      </c>
      <c r="E581" s="232" t="s">
        <v>317</v>
      </c>
      <c r="F581" s="231">
        <v>527606</v>
      </c>
      <c r="G581" s="231">
        <v>171102</v>
      </c>
      <c r="H581" s="232" t="s">
        <v>177</v>
      </c>
      <c r="I581" s="233">
        <v>44743</v>
      </c>
      <c r="J581" s="231"/>
      <c r="K581" s="231">
        <v>1</v>
      </c>
      <c r="L581" s="231">
        <v>9</v>
      </c>
      <c r="M581" s="231">
        <v>8</v>
      </c>
      <c r="N581" s="231">
        <v>9</v>
      </c>
      <c r="O581" s="231">
        <v>8</v>
      </c>
      <c r="P581" s="234"/>
      <c r="Q581" s="232" t="s">
        <v>1767</v>
      </c>
      <c r="R581" s="234" t="s">
        <v>332</v>
      </c>
      <c r="S581" s="235">
        <v>44001</v>
      </c>
      <c r="T581" s="235">
        <v>44132</v>
      </c>
      <c r="U581" s="234"/>
      <c r="V581" s="232" t="s">
        <v>321</v>
      </c>
      <c r="W581" s="231"/>
      <c r="X581" s="232" t="s">
        <v>322</v>
      </c>
      <c r="Y581" s="232" t="s">
        <v>323</v>
      </c>
      <c r="Z581" s="232" t="s">
        <v>324</v>
      </c>
      <c r="AA581" s="232" t="s">
        <v>349</v>
      </c>
      <c r="AB581" s="236">
        <v>2.5999999999999999E-2</v>
      </c>
      <c r="AC581" s="235"/>
      <c r="AD581" s="234"/>
      <c r="AE581" s="234"/>
      <c r="AF581" s="232" t="s">
        <v>77</v>
      </c>
      <c r="AG581" s="232" t="s">
        <v>350</v>
      </c>
      <c r="AH581" s="234" t="s">
        <v>317</v>
      </c>
      <c r="AJ581" s="234">
        <v>0</v>
      </c>
      <c r="AK581" s="224"/>
      <c r="AL581" s="234">
        <v>0</v>
      </c>
      <c r="AM581" s="224"/>
      <c r="AN581" s="234">
        <v>0</v>
      </c>
      <c r="AO581" s="234">
        <v>4</v>
      </c>
      <c r="AP581" s="234">
        <v>3</v>
      </c>
      <c r="AQ581" s="234">
        <v>2</v>
      </c>
      <c r="AR581" s="234">
        <v>-1</v>
      </c>
      <c r="AS581" s="234">
        <v>0</v>
      </c>
      <c r="AT581" s="234">
        <v>0</v>
      </c>
      <c r="AU581" s="234">
        <v>0</v>
      </c>
      <c r="AV581" s="234">
        <v>4</v>
      </c>
      <c r="AW581" s="234">
        <v>3</v>
      </c>
      <c r="AX581" s="234">
        <v>2</v>
      </c>
      <c r="AY581" s="234">
        <v>0</v>
      </c>
      <c r="AZ581" s="234">
        <v>0</v>
      </c>
      <c r="BA581" s="234">
        <v>0</v>
      </c>
      <c r="BB581" s="234">
        <v>0</v>
      </c>
      <c r="BC581" s="234">
        <v>0</v>
      </c>
      <c r="BD581" s="234">
        <v>0</v>
      </c>
      <c r="BE581" s="234">
        <v>0</v>
      </c>
      <c r="BF581" s="234">
        <v>-1</v>
      </c>
      <c r="BG581" s="234">
        <v>0</v>
      </c>
      <c r="BH581" s="234">
        <v>0</v>
      </c>
      <c r="BI581" s="234">
        <v>0</v>
      </c>
      <c r="BJ581" s="234">
        <v>0</v>
      </c>
      <c r="BK581" s="234">
        <v>0</v>
      </c>
      <c r="BL581" s="234">
        <v>0</v>
      </c>
      <c r="BM581" s="234">
        <v>0</v>
      </c>
      <c r="BN581" s="234">
        <v>0</v>
      </c>
      <c r="BO581" s="234">
        <v>0</v>
      </c>
      <c r="BP581" s="234"/>
      <c r="BQ581" s="234"/>
      <c r="BR581" s="237" t="s">
        <v>334</v>
      </c>
      <c r="BS581" s="238">
        <v>10</v>
      </c>
      <c r="BX581" s="239">
        <f>M581/3</f>
        <v>2.6666666666666665</v>
      </c>
      <c r="BY581" s="239">
        <f>M581/3</f>
        <v>2.6666666666666665</v>
      </c>
      <c r="BZ581" s="239">
        <f>M581/3</f>
        <v>2.6666666666666665</v>
      </c>
      <c r="CN581" s="238">
        <f t="shared" si="61"/>
        <v>5.333333333333333</v>
      </c>
      <c r="CO581" s="238">
        <f t="shared" si="62"/>
        <v>8</v>
      </c>
    </row>
    <row r="582" spans="1:93" ht="13.95" customHeight="1" x14ac:dyDescent="0.2">
      <c r="A582" s="231">
        <v>7937</v>
      </c>
      <c r="B582" s="232" t="s">
        <v>822</v>
      </c>
      <c r="C582" s="232" t="s">
        <v>1768</v>
      </c>
      <c r="D582" s="232" t="s">
        <v>1769</v>
      </c>
      <c r="E582" s="232" t="s">
        <v>317</v>
      </c>
      <c r="F582" s="231">
        <v>526929</v>
      </c>
      <c r="G582" s="231">
        <v>171778</v>
      </c>
      <c r="H582" s="232" t="s">
        <v>177</v>
      </c>
      <c r="I582" s="233"/>
      <c r="J582" s="231"/>
      <c r="K582" s="231">
        <v>1</v>
      </c>
      <c r="L582" s="231">
        <v>3</v>
      </c>
      <c r="M582" s="231">
        <v>2</v>
      </c>
      <c r="N582" s="231">
        <v>3</v>
      </c>
      <c r="O582" s="231">
        <v>2</v>
      </c>
      <c r="P582" s="234"/>
      <c r="Q582" s="232" t="s">
        <v>1770</v>
      </c>
      <c r="R582" s="234" t="s">
        <v>332</v>
      </c>
      <c r="S582" s="235">
        <v>44910</v>
      </c>
      <c r="T582" s="235">
        <v>44980</v>
      </c>
      <c r="U582" s="234" t="s">
        <v>318</v>
      </c>
      <c r="V582" s="232" t="s">
        <v>321</v>
      </c>
      <c r="W582" s="231"/>
      <c r="X582" s="232" t="s">
        <v>322</v>
      </c>
      <c r="Y582" s="232" t="s">
        <v>338</v>
      </c>
      <c r="Z582" s="232" t="s">
        <v>324</v>
      </c>
      <c r="AA582" s="232" t="s">
        <v>354</v>
      </c>
      <c r="AB582" s="236">
        <v>4.8566E-3</v>
      </c>
      <c r="AC582" s="235"/>
      <c r="AD582" s="234"/>
      <c r="AE582" s="234"/>
      <c r="AF582" s="232" t="s">
        <v>77</v>
      </c>
      <c r="AG582" s="232" t="s">
        <v>340</v>
      </c>
      <c r="AH582" s="234" t="s">
        <v>317</v>
      </c>
      <c r="AJ582" s="234">
        <v>0</v>
      </c>
      <c r="AK582" s="224"/>
      <c r="AL582" s="234">
        <v>0</v>
      </c>
      <c r="AM582" s="224"/>
      <c r="AN582" s="234">
        <v>1</v>
      </c>
      <c r="AO582" s="234">
        <v>1</v>
      </c>
      <c r="AP582" s="234">
        <v>1</v>
      </c>
      <c r="AQ582" s="234">
        <v>0</v>
      </c>
      <c r="AR582" s="234">
        <v>-1</v>
      </c>
      <c r="AS582" s="234">
        <v>0</v>
      </c>
      <c r="AT582" s="234">
        <v>0</v>
      </c>
      <c r="AU582" s="234">
        <v>1</v>
      </c>
      <c r="AV582" s="234">
        <v>1</v>
      </c>
      <c r="AW582" s="234">
        <v>1</v>
      </c>
      <c r="AX582" s="234">
        <v>0</v>
      </c>
      <c r="AY582" s="234">
        <v>-1</v>
      </c>
      <c r="AZ582" s="234">
        <v>0</v>
      </c>
      <c r="BA582" s="234">
        <v>0</v>
      </c>
      <c r="BB582" s="234">
        <v>0</v>
      </c>
      <c r="BC582" s="234">
        <v>0</v>
      </c>
      <c r="BD582" s="234">
        <v>0</v>
      </c>
      <c r="BE582" s="234">
        <v>0</v>
      </c>
      <c r="BF582" s="234">
        <v>0</v>
      </c>
      <c r="BG582" s="234">
        <v>0</v>
      </c>
      <c r="BH582" s="234">
        <v>0</v>
      </c>
      <c r="BI582" s="234">
        <v>0</v>
      </c>
      <c r="BJ582" s="234">
        <v>0</v>
      </c>
      <c r="BK582" s="234">
        <v>0</v>
      </c>
      <c r="BL582" s="234">
        <v>0</v>
      </c>
      <c r="BM582" s="234">
        <v>0</v>
      </c>
      <c r="BN582" s="234">
        <v>0</v>
      </c>
      <c r="BO582" s="234">
        <v>0</v>
      </c>
      <c r="BP582" s="234"/>
      <c r="BQ582" s="234"/>
      <c r="BR582" s="237" t="s">
        <v>334</v>
      </c>
      <c r="BS582" s="238">
        <v>15</v>
      </c>
      <c r="BU582" s="239">
        <f>M582/4</f>
        <v>0.5</v>
      </c>
      <c r="BV582" s="239">
        <f>M582/4</f>
        <v>0.5</v>
      </c>
      <c r="BW582" s="239">
        <f>M582/4</f>
        <v>0.5</v>
      </c>
      <c r="BX582" s="239">
        <f>M582/4</f>
        <v>0.5</v>
      </c>
      <c r="CN582" s="238">
        <f t="shared" si="61"/>
        <v>2</v>
      </c>
      <c r="CO582" s="238">
        <f t="shared" si="62"/>
        <v>2</v>
      </c>
    </row>
    <row r="583" spans="1:93" ht="13.95" customHeight="1" x14ac:dyDescent="0.2">
      <c r="A583" s="231">
        <v>6618</v>
      </c>
      <c r="B583" s="232" t="s">
        <v>822</v>
      </c>
      <c r="C583" s="232" t="s">
        <v>1771</v>
      </c>
      <c r="D583" s="232" t="s">
        <v>1772</v>
      </c>
      <c r="E583" s="232" t="s">
        <v>317</v>
      </c>
      <c r="F583" s="231">
        <v>529335</v>
      </c>
      <c r="G583" s="231">
        <v>171178</v>
      </c>
      <c r="H583" s="232" t="s">
        <v>166</v>
      </c>
      <c r="I583" s="233"/>
      <c r="J583" s="231"/>
      <c r="K583" s="231">
        <v>2</v>
      </c>
      <c r="L583" s="231">
        <v>8</v>
      </c>
      <c r="M583" s="231">
        <v>6</v>
      </c>
      <c r="N583" s="231">
        <v>8</v>
      </c>
      <c r="O583" s="231">
        <v>6</v>
      </c>
      <c r="P583" s="234"/>
      <c r="Q583" s="232" t="s">
        <v>1773</v>
      </c>
      <c r="R583" s="234" t="s">
        <v>864</v>
      </c>
      <c r="S583" s="235">
        <v>43381</v>
      </c>
      <c r="T583" s="235">
        <v>43546</v>
      </c>
      <c r="U583" s="234"/>
      <c r="V583" s="232" t="s">
        <v>865</v>
      </c>
      <c r="W583" s="233">
        <v>43796</v>
      </c>
      <c r="X583" s="232" t="s">
        <v>322</v>
      </c>
      <c r="Y583" s="232" t="s">
        <v>323</v>
      </c>
      <c r="Z583" s="232" t="s">
        <v>324</v>
      </c>
      <c r="AA583" s="232" t="s">
        <v>349</v>
      </c>
      <c r="AB583" s="236">
        <v>2.5999999999999999E-2</v>
      </c>
      <c r="AC583" s="235"/>
      <c r="AD583" s="234"/>
      <c r="AE583" s="234"/>
      <c r="AF583" s="232" t="s">
        <v>77</v>
      </c>
      <c r="AG583" s="232" t="s">
        <v>350</v>
      </c>
      <c r="AH583" s="234" t="s">
        <v>317</v>
      </c>
      <c r="AJ583" s="234">
        <v>0</v>
      </c>
      <c r="AK583" s="224"/>
      <c r="AL583" s="234">
        <v>0</v>
      </c>
      <c r="AM583" s="224"/>
      <c r="AN583" s="234">
        <v>0</v>
      </c>
      <c r="AO583" s="234">
        <v>2</v>
      </c>
      <c r="AP583" s="234">
        <v>6</v>
      </c>
      <c r="AQ583" s="234">
        <v>0</v>
      </c>
      <c r="AR583" s="234">
        <v>0</v>
      </c>
      <c r="AS583" s="234">
        <v>0</v>
      </c>
      <c r="AT583" s="234">
        <v>-2</v>
      </c>
      <c r="AU583" s="234">
        <v>0</v>
      </c>
      <c r="AV583" s="234">
        <v>2</v>
      </c>
      <c r="AW583" s="234">
        <v>6</v>
      </c>
      <c r="AX583" s="234">
        <v>0</v>
      </c>
      <c r="AY583" s="234">
        <v>0</v>
      </c>
      <c r="AZ583" s="234">
        <v>0</v>
      </c>
      <c r="BA583" s="234">
        <v>0</v>
      </c>
      <c r="BB583" s="234">
        <v>0</v>
      </c>
      <c r="BC583" s="234">
        <v>0</v>
      </c>
      <c r="BD583" s="234">
        <v>0</v>
      </c>
      <c r="BE583" s="234">
        <v>0</v>
      </c>
      <c r="BF583" s="234">
        <v>0</v>
      </c>
      <c r="BG583" s="234">
        <v>0</v>
      </c>
      <c r="BH583" s="234">
        <v>-2</v>
      </c>
      <c r="BI583" s="234">
        <v>0</v>
      </c>
      <c r="BJ583" s="234">
        <v>0</v>
      </c>
      <c r="BK583" s="234">
        <v>0</v>
      </c>
      <c r="BL583" s="234">
        <v>0</v>
      </c>
      <c r="BM583" s="234">
        <v>0</v>
      </c>
      <c r="BN583" s="234">
        <v>0</v>
      </c>
      <c r="BO583" s="234">
        <v>0</v>
      </c>
      <c r="BP583" s="234"/>
      <c r="BQ583" s="234"/>
      <c r="BR583" s="237" t="s">
        <v>334</v>
      </c>
      <c r="BS583" s="238">
        <v>10</v>
      </c>
      <c r="BX583" s="239">
        <f>M583/3</f>
        <v>2</v>
      </c>
      <c r="BY583" s="239">
        <f>M583/3</f>
        <v>2</v>
      </c>
      <c r="BZ583" s="239">
        <f>M583/3</f>
        <v>2</v>
      </c>
      <c r="CN583" s="238">
        <f t="shared" si="61"/>
        <v>4</v>
      </c>
      <c r="CO583" s="238">
        <f t="shared" si="62"/>
        <v>6</v>
      </c>
    </row>
    <row r="584" spans="1:93" ht="13.95" customHeight="1" x14ac:dyDescent="0.2">
      <c r="A584" s="231">
        <v>4327</v>
      </c>
      <c r="B584" s="232" t="s">
        <v>822</v>
      </c>
      <c r="C584" s="232" t="s">
        <v>1774</v>
      </c>
      <c r="D584" s="232" t="s">
        <v>1775</v>
      </c>
      <c r="E584" s="232" t="s">
        <v>317</v>
      </c>
      <c r="F584" s="231">
        <v>527751</v>
      </c>
      <c r="G584" s="231">
        <v>172127</v>
      </c>
      <c r="H584" s="232" t="s">
        <v>176</v>
      </c>
      <c r="I584" s="233"/>
      <c r="J584" s="231"/>
      <c r="K584" s="231">
        <v>0</v>
      </c>
      <c r="L584" s="231">
        <v>5</v>
      </c>
      <c r="M584" s="231">
        <v>5</v>
      </c>
      <c r="N584" s="231">
        <v>5</v>
      </c>
      <c r="O584" s="231">
        <v>5</v>
      </c>
      <c r="P584" s="234"/>
      <c r="Q584" s="232" t="s">
        <v>1776</v>
      </c>
      <c r="R584" s="234" t="s">
        <v>332</v>
      </c>
      <c r="S584" s="235">
        <v>44771</v>
      </c>
      <c r="T584" s="235">
        <v>44889</v>
      </c>
      <c r="U584" s="234" t="s">
        <v>318</v>
      </c>
      <c r="V584" s="232" t="s">
        <v>321</v>
      </c>
      <c r="W584" s="231"/>
      <c r="X584" s="232" t="s">
        <v>322</v>
      </c>
      <c r="Y584" s="232" t="s">
        <v>323</v>
      </c>
      <c r="Z584" s="232" t="s">
        <v>324</v>
      </c>
      <c r="AA584" s="232" t="s">
        <v>349</v>
      </c>
      <c r="AB584" s="236">
        <v>1.923333E-2</v>
      </c>
      <c r="AC584" s="235"/>
      <c r="AD584" s="234"/>
      <c r="AE584" s="234"/>
      <c r="AF584" s="232" t="s">
        <v>77</v>
      </c>
      <c r="AG584" s="232" t="s">
        <v>350</v>
      </c>
      <c r="AH584" s="234" t="s">
        <v>317</v>
      </c>
      <c r="AJ584" s="234">
        <v>0</v>
      </c>
      <c r="AK584" s="224"/>
      <c r="AL584" s="234">
        <v>0</v>
      </c>
      <c r="AM584" s="224"/>
      <c r="AN584" s="234">
        <v>0</v>
      </c>
      <c r="AO584" s="234">
        <v>0</v>
      </c>
      <c r="AP584" s="234">
        <v>0</v>
      </c>
      <c r="AQ584" s="234">
        <v>5</v>
      </c>
      <c r="AR584" s="234">
        <v>0</v>
      </c>
      <c r="AS584" s="234">
        <v>0</v>
      </c>
      <c r="AT584" s="234">
        <v>0</v>
      </c>
      <c r="AU584" s="234">
        <v>0</v>
      </c>
      <c r="AV584" s="234">
        <v>0</v>
      </c>
      <c r="AW584" s="234">
        <v>0</v>
      </c>
      <c r="AX584" s="234">
        <v>0</v>
      </c>
      <c r="AY584" s="234">
        <v>0</v>
      </c>
      <c r="AZ584" s="234">
        <v>0</v>
      </c>
      <c r="BA584" s="234">
        <v>0</v>
      </c>
      <c r="BB584" s="234">
        <v>0</v>
      </c>
      <c r="BC584" s="234">
        <v>0</v>
      </c>
      <c r="BD584" s="234">
        <v>0</v>
      </c>
      <c r="BE584" s="234">
        <v>5</v>
      </c>
      <c r="BF584" s="234">
        <v>0</v>
      </c>
      <c r="BG584" s="234">
        <v>0</v>
      </c>
      <c r="BH584" s="234">
        <v>0</v>
      </c>
      <c r="BI584" s="234">
        <v>0</v>
      </c>
      <c r="BJ584" s="234">
        <v>0</v>
      </c>
      <c r="BK584" s="234">
        <v>0</v>
      </c>
      <c r="BL584" s="234">
        <v>0</v>
      </c>
      <c r="BM584" s="234">
        <v>0</v>
      </c>
      <c r="BN584" s="234">
        <v>0</v>
      </c>
      <c r="BO584" s="234">
        <v>0</v>
      </c>
      <c r="BP584" s="234"/>
      <c r="BQ584" s="234"/>
      <c r="BR584" s="237" t="s">
        <v>334</v>
      </c>
      <c r="BS584" s="238">
        <v>7</v>
      </c>
      <c r="BV584" s="239">
        <f>M584/4</f>
        <v>1.25</v>
      </c>
      <c r="BW584" s="239">
        <f>M584/4</f>
        <v>1.25</v>
      </c>
      <c r="BX584" s="239">
        <f>M584/4</f>
        <v>1.25</v>
      </c>
      <c r="BY584" s="239">
        <f>M584/4</f>
        <v>1.25</v>
      </c>
      <c r="CN584" s="238">
        <f t="shared" si="61"/>
        <v>5</v>
      </c>
      <c r="CO584" s="238">
        <f t="shared" si="62"/>
        <v>5</v>
      </c>
    </row>
    <row r="585" spans="1:93" ht="13.95" customHeight="1" x14ac:dyDescent="0.2">
      <c r="A585" s="231">
        <v>7294</v>
      </c>
      <c r="B585" s="232" t="s">
        <v>822</v>
      </c>
      <c r="C585" s="232" t="s">
        <v>1777</v>
      </c>
      <c r="D585" s="232" t="s">
        <v>1778</v>
      </c>
      <c r="E585" s="232" t="s">
        <v>317</v>
      </c>
      <c r="F585" s="231">
        <v>525948</v>
      </c>
      <c r="G585" s="231">
        <v>173961</v>
      </c>
      <c r="H585" s="232" t="s">
        <v>179</v>
      </c>
      <c r="I585" s="233"/>
      <c r="J585" s="231"/>
      <c r="K585" s="231">
        <v>0</v>
      </c>
      <c r="L585" s="231">
        <v>2</v>
      </c>
      <c r="M585" s="231">
        <v>2</v>
      </c>
      <c r="N585" s="231">
        <v>2</v>
      </c>
      <c r="O585" s="231">
        <v>2</v>
      </c>
      <c r="P585" s="234"/>
      <c r="Q585" s="232" t="s">
        <v>1779</v>
      </c>
      <c r="R585" s="234" t="s">
        <v>332</v>
      </c>
      <c r="S585" s="235">
        <v>43763</v>
      </c>
      <c r="T585" s="235">
        <v>43882</v>
      </c>
      <c r="U585" s="234"/>
      <c r="V585" s="232" t="s">
        <v>321</v>
      </c>
      <c r="W585" s="231"/>
      <c r="X585" s="232" t="s">
        <v>322</v>
      </c>
      <c r="Y585" s="232" t="s">
        <v>339</v>
      </c>
      <c r="Z585" s="232" t="s">
        <v>324</v>
      </c>
      <c r="AA585" s="232" t="s">
        <v>354</v>
      </c>
      <c r="AB585" s="236">
        <v>4.0000000000000001E-3</v>
      </c>
      <c r="AC585" s="235"/>
      <c r="AD585" s="234"/>
      <c r="AE585" s="234"/>
      <c r="AF585" s="232" t="s">
        <v>77</v>
      </c>
      <c r="AG585" s="232" t="s">
        <v>350</v>
      </c>
      <c r="AH585" s="234" t="s">
        <v>317</v>
      </c>
      <c r="AJ585" s="234">
        <v>0</v>
      </c>
      <c r="AK585" s="224"/>
      <c r="AL585" s="234">
        <v>0</v>
      </c>
      <c r="AM585" s="224"/>
      <c r="AN585" s="234">
        <v>0</v>
      </c>
      <c r="AO585" s="234">
        <v>0</v>
      </c>
      <c r="AP585" s="234">
        <v>2</v>
      </c>
      <c r="AQ585" s="234">
        <v>0</v>
      </c>
      <c r="AR585" s="234">
        <v>0</v>
      </c>
      <c r="AS585" s="234">
        <v>0</v>
      </c>
      <c r="AT585" s="234">
        <v>0</v>
      </c>
      <c r="AU585" s="234">
        <v>0</v>
      </c>
      <c r="AV585" s="234">
        <v>0</v>
      </c>
      <c r="AW585" s="234">
        <v>2</v>
      </c>
      <c r="AX585" s="234">
        <v>0</v>
      </c>
      <c r="AY585" s="234">
        <v>0</v>
      </c>
      <c r="AZ585" s="234">
        <v>0</v>
      </c>
      <c r="BA585" s="234">
        <v>0</v>
      </c>
      <c r="BB585" s="234">
        <v>0</v>
      </c>
      <c r="BC585" s="234">
        <v>0</v>
      </c>
      <c r="BD585" s="234">
        <v>0</v>
      </c>
      <c r="BE585" s="234">
        <v>0</v>
      </c>
      <c r="BF585" s="234">
        <v>0</v>
      </c>
      <c r="BG585" s="234">
        <v>0</v>
      </c>
      <c r="BH585" s="234">
        <v>0</v>
      </c>
      <c r="BI585" s="234">
        <v>0</v>
      </c>
      <c r="BJ585" s="234">
        <v>0</v>
      </c>
      <c r="BK585" s="234">
        <v>0</v>
      </c>
      <c r="BL585" s="234">
        <v>0</v>
      </c>
      <c r="BM585" s="234">
        <v>0</v>
      </c>
      <c r="BN585" s="234">
        <v>0</v>
      </c>
      <c r="BO585" s="234">
        <v>0</v>
      </c>
      <c r="BP585" s="234"/>
      <c r="BQ585" s="234"/>
      <c r="BR585" s="237" t="s">
        <v>334</v>
      </c>
      <c r="BS585" s="238">
        <v>15</v>
      </c>
      <c r="BU585" s="239">
        <f>M585/4</f>
        <v>0.5</v>
      </c>
      <c r="BV585" s="239">
        <f>M585/4</f>
        <v>0.5</v>
      </c>
      <c r="BW585" s="239">
        <f>M585/4</f>
        <v>0.5</v>
      </c>
      <c r="BX585" s="239">
        <f>M585/4</f>
        <v>0.5</v>
      </c>
      <c r="CN585" s="238">
        <f t="shared" si="61"/>
        <v>2</v>
      </c>
      <c r="CO585" s="238">
        <f t="shared" si="62"/>
        <v>2</v>
      </c>
    </row>
    <row r="586" spans="1:93" ht="13.95" customHeight="1" x14ac:dyDescent="0.2">
      <c r="A586" s="231">
        <v>177</v>
      </c>
      <c r="B586" s="232" t="s">
        <v>822</v>
      </c>
      <c r="C586" s="232" t="s">
        <v>1780</v>
      </c>
      <c r="D586" s="232" t="s">
        <v>1781</v>
      </c>
      <c r="E586" s="232" t="s">
        <v>317</v>
      </c>
      <c r="F586" s="231">
        <v>527351</v>
      </c>
      <c r="G586" s="231">
        <v>177209</v>
      </c>
      <c r="H586" s="232" t="s">
        <v>163</v>
      </c>
      <c r="I586" s="233"/>
      <c r="J586" s="231"/>
      <c r="K586" s="231">
        <v>0</v>
      </c>
      <c r="L586" s="231">
        <v>2</v>
      </c>
      <c r="M586" s="231">
        <v>2</v>
      </c>
      <c r="N586" s="231">
        <v>2</v>
      </c>
      <c r="O586" s="231">
        <v>2</v>
      </c>
      <c r="P586" s="234"/>
      <c r="Q586" s="232" t="s">
        <v>1782</v>
      </c>
      <c r="R586" s="234" t="s">
        <v>332</v>
      </c>
      <c r="S586" s="235">
        <v>44798</v>
      </c>
      <c r="T586" s="235">
        <v>44865</v>
      </c>
      <c r="U586" s="234" t="s">
        <v>318</v>
      </c>
      <c r="V586" s="232" t="s">
        <v>321</v>
      </c>
      <c r="W586" s="231"/>
      <c r="X586" s="232" t="s">
        <v>322</v>
      </c>
      <c r="Y586" s="232" t="s">
        <v>378</v>
      </c>
      <c r="Z586" s="232" t="s">
        <v>324</v>
      </c>
      <c r="AA586" s="232" t="s">
        <v>28</v>
      </c>
      <c r="AB586" s="236">
        <v>3.2599999999999997E-2</v>
      </c>
      <c r="AC586" s="235"/>
      <c r="AD586" s="234"/>
      <c r="AE586" s="234"/>
      <c r="AF586" s="232" t="s">
        <v>77</v>
      </c>
      <c r="AG586" s="232" t="s">
        <v>350</v>
      </c>
      <c r="AH586" s="234" t="s">
        <v>317</v>
      </c>
      <c r="AJ586" s="234">
        <v>0</v>
      </c>
      <c r="AK586" s="224"/>
      <c r="AL586" s="234">
        <v>0</v>
      </c>
      <c r="AM586" s="224"/>
      <c r="AN586" s="234">
        <v>0</v>
      </c>
      <c r="AO586" s="234">
        <v>0</v>
      </c>
      <c r="AP586" s="234">
        <v>0</v>
      </c>
      <c r="AQ586" s="234">
        <v>2</v>
      </c>
      <c r="AR586" s="234">
        <v>0</v>
      </c>
      <c r="AS586" s="234">
        <v>0</v>
      </c>
      <c r="AT586" s="234">
        <v>0</v>
      </c>
      <c r="AU586" s="234">
        <v>0</v>
      </c>
      <c r="AV586" s="234">
        <v>0</v>
      </c>
      <c r="AW586" s="234">
        <v>0</v>
      </c>
      <c r="AX586" s="234">
        <v>2</v>
      </c>
      <c r="AY586" s="234">
        <v>0</v>
      </c>
      <c r="AZ586" s="234">
        <v>0</v>
      </c>
      <c r="BA586" s="234">
        <v>0</v>
      </c>
      <c r="BB586" s="234">
        <v>0</v>
      </c>
      <c r="BC586" s="234">
        <v>0</v>
      </c>
      <c r="BD586" s="234">
        <v>0</v>
      </c>
      <c r="BE586" s="234">
        <v>0</v>
      </c>
      <c r="BF586" s="234">
        <v>0</v>
      </c>
      <c r="BG586" s="234">
        <v>0</v>
      </c>
      <c r="BH586" s="234">
        <v>0</v>
      </c>
      <c r="BI586" s="234">
        <v>0</v>
      </c>
      <c r="BJ586" s="234">
        <v>0</v>
      </c>
      <c r="BK586" s="234">
        <v>0</v>
      </c>
      <c r="BL586" s="234">
        <v>0</v>
      </c>
      <c r="BM586" s="234">
        <v>0</v>
      </c>
      <c r="BN586" s="234">
        <v>0</v>
      </c>
      <c r="BO586" s="234">
        <v>0</v>
      </c>
      <c r="BP586" s="234"/>
      <c r="BQ586" s="234"/>
      <c r="BR586" s="237" t="s">
        <v>481</v>
      </c>
      <c r="BS586" s="238">
        <v>15</v>
      </c>
      <c r="BU586" s="239">
        <f>M586/4</f>
        <v>0.5</v>
      </c>
      <c r="BV586" s="239">
        <f>M586/4</f>
        <v>0.5</v>
      </c>
      <c r="BW586" s="239">
        <f>M586/4</f>
        <v>0.5</v>
      </c>
      <c r="BX586" s="239">
        <f>M586/4</f>
        <v>0.5</v>
      </c>
      <c r="CN586" s="238">
        <f t="shared" si="61"/>
        <v>2</v>
      </c>
      <c r="CO586" s="238">
        <f t="shared" si="62"/>
        <v>2</v>
      </c>
    </row>
    <row r="587" spans="1:93" ht="13.95" customHeight="1" x14ac:dyDescent="0.2">
      <c r="A587" s="231">
        <v>5197</v>
      </c>
      <c r="B587" s="232" t="s">
        <v>822</v>
      </c>
      <c r="C587" s="232" t="s">
        <v>1783</v>
      </c>
      <c r="D587" s="232" t="s">
        <v>1784</v>
      </c>
      <c r="E587" s="232" t="s">
        <v>317</v>
      </c>
      <c r="F587" s="231">
        <v>526177</v>
      </c>
      <c r="G587" s="231">
        <v>172334</v>
      </c>
      <c r="H587" s="232" t="s">
        <v>180</v>
      </c>
      <c r="I587" s="233"/>
      <c r="J587" s="231"/>
      <c r="K587" s="231">
        <v>0</v>
      </c>
      <c r="L587" s="231">
        <v>2</v>
      </c>
      <c r="M587" s="231">
        <v>2</v>
      </c>
      <c r="N587" s="231">
        <v>2</v>
      </c>
      <c r="O587" s="231">
        <v>2</v>
      </c>
      <c r="P587" s="234"/>
      <c r="Q587" s="232" t="s">
        <v>1785</v>
      </c>
      <c r="R587" s="234" t="s">
        <v>332</v>
      </c>
      <c r="S587" s="235">
        <v>44755</v>
      </c>
      <c r="T587" s="235">
        <v>44809</v>
      </c>
      <c r="U587" s="234" t="s">
        <v>318</v>
      </c>
      <c r="V587" s="232" t="s">
        <v>321</v>
      </c>
      <c r="W587" s="231"/>
      <c r="X587" s="232" t="s">
        <v>322</v>
      </c>
      <c r="Y587" s="232" t="s">
        <v>339</v>
      </c>
      <c r="Z587" s="232" t="s">
        <v>324</v>
      </c>
      <c r="AA587" s="232" t="s">
        <v>354</v>
      </c>
      <c r="AB587" s="236">
        <v>4.5500000000000002E-3</v>
      </c>
      <c r="AC587" s="235"/>
      <c r="AD587" s="234"/>
      <c r="AE587" s="234"/>
      <c r="AF587" s="232" t="s">
        <v>77</v>
      </c>
      <c r="AG587" s="232" t="s">
        <v>340</v>
      </c>
      <c r="AH587" s="234" t="s">
        <v>317</v>
      </c>
      <c r="AJ587" s="234">
        <v>0</v>
      </c>
      <c r="AK587" s="224"/>
      <c r="AL587" s="234">
        <v>0</v>
      </c>
      <c r="AM587" s="224"/>
      <c r="AN587" s="234">
        <v>1</v>
      </c>
      <c r="AO587" s="234">
        <v>1</v>
      </c>
      <c r="AP587" s="234">
        <v>0</v>
      </c>
      <c r="AQ587" s="234">
        <v>0</v>
      </c>
      <c r="AR587" s="234">
        <v>0</v>
      </c>
      <c r="AS587" s="234">
        <v>0</v>
      </c>
      <c r="AT587" s="234">
        <v>0</v>
      </c>
      <c r="AU587" s="234">
        <v>1</v>
      </c>
      <c r="AV587" s="234">
        <v>1</v>
      </c>
      <c r="AW587" s="234">
        <v>0</v>
      </c>
      <c r="AX587" s="234">
        <v>0</v>
      </c>
      <c r="AY587" s="234">
        <v>0</v>
      </c>
      <c r="AZ587" s="234">
        <v>0</v>
      </c>
      <c r="BA587" s="234">
        <v>0</v>
      </c>
      <c r="BB587" s="234">
        <v>0</v>
      </c>
      <c r="BC587" s="234">
        <v>0</v>
      </c>
      <c r="BD587" s="234">
        <v>0</v>
      </c>
      <c r="BE587" s="234">
        <v>0</v>
      </c>
      <c r="BF587" s="234">
        <v>0</v>
      </c>
      <c r="BG587" s="234">
        <v>0</v>
      </c>
      <c r="BH587" s="234">
        <v>0</v>
      </c>
      <c r="BI587" s="234">
        <v>0</v>
      </c>
      <c r="BJ587" s="234">
        <v>0</v>
      </c>
      <c r="BK587" s="234">
        <v>0</v>
      </c>
      <c r="BL587" s="234">
        <v>0</v>
      </c>
      <c r="BM587" s="234">
        <v>0</v>
      </c>
      <c r="BN587" s="234">
        <v>0</v>
      </c>
      <c r="BO587" s="234">
        <v>0</v>
      </c>
      <c r="BP587" s="234"/>
      <c r="BQ587" s="234"/>
      <c r="BR587" s="237" t="s">
        <v>154</v>
      </c>
      <c r="BS587" s="238">
        <v>15</v>
      </c>
      <c r="BU587" s="239">
        <f>M587/4</f>
        <v>0.5</v>
      </c>
      <c r="BV587" s="239">
        <f>M587/4</f>
        <v>0.5</v>
      </c>
      <c r="BW587" s="239">
        <f>M587/4</f>
        <v>0.5</v>
      </c>
      <c r="BX587" s="239">
        <f>M587/4</f>
        <v>0.5</v>
      </c>
      <c r="CN587" s="238">
        <f t="shared" si="61"/>
        <v>2</v>
      </c>
      <c r="CO587" s="238">
        <f t="shared" si="62"/>
        <v>2</v>
      </c>
    </row>
    <row r="588" spans="1:93" ht="13.95" customHeight="1" x14ac:dyDescent="0.2">
      <c r="A588" s="231">
        <v>4157</v>
      </c>
      <c r="B588" s="232" t="s">
        <v>822</v>
      </c>
      <c r="C588" s="232" t="s">
        <v>1786</v>
      </c>
      <c r="D588" s="232" t="s">
        <v>1787</v>
      </c>
      <c r="E588" s="232" t="s">
        <v>317</v>
      </c>
      <c r="F588" s="231">
        <v>527404</v>
      </c>
      <c r="G588" s="231">
        <v>175316</v>
      </c>
      <c r="H588" s="232" t="s">
        <v>167</v>
      </c>
      <c r="I588" s="233"/>
      <c r="J588" s="231"/>
      <c r="K588" s="231">
        <v>0</v>
      </c>
      <c r="L588" s="231">
        <v>6</v>
      </c>
      <c r="M588" s="231">
        <v>6</v>
      </c>
      <c r="N588" s="231">
        <v>6</v>
      </c>
      <c r="O588" s="231">
        <v>6</v>
      </c>
      <c r="P588" s="234"/>
      <c r="Q588" s="232" t="s">
        <v>1788</v>
      </c>
      <c r="R588" s="234" t="s">
        <v>332</v>
      </c>
      <c r="S588" s="235">
        <v>43311</v>
      </c>
      <c r="T588" s="235">
        <v>43864</v>
      </c>
      <c r="U588" s="234"/>
      <c r="V588" s="232" t="s">
        <v>321</v>
      </c>
      <c r="W588" s="231"/>
      <c r="X588" s="232" t="s">
        <v>322</v>
      </c>
      <c r="Y588" s="232" t="s">
        <v>323</v>
      </c>
      <c r="Z588" s="232" t="s">
        <v>324</v>
      </c>
      <c r="AA588" s="232" t="s">
        <v>349</v>
      </c>
      <c r="AB588" s="236">
        <v>1.2999999999999999E-2</v>
      </c>
      <c r="AC588" s="235"/>
      <c r="AD588" s="234"/>
      <c r="AE588" s="234"/>
      <c r="AF588" s="232" t="s">
        <v>77</v>
      </c>
      <c r="AG588" s="232" t="s">
        <v>350</v>
      </c>
      <c r="AH588" s="234" t="s">
        <v>317</v>
      </c>
      <c r="AJ588" s="234">
        <v>0</v>
      </c>
      <c r="AK588" s="224"/>
      <c r="AL588" s="234">
        <v>0</v>
      </c>
      <c r="AM588" s="224"/>
      <c r="AN588" s="234">
        <v>0</v>
      </c>
      <c r="AO588" s="234">
        <v>1</v>
      </c>
      <c r="AP588" s="234">
        <v>3</v>
      </c>
      <c r="AQ588" s="234">
        <v>2</v>
      </c>
      <c r="AR588" s="234">
        <v>0</v>
      </c>
      <c r="AS588" s="234">
        <v>0</v>
      </c>
      <c r="AT588" s="234">
        <v>0</v>
      </c>
      <c r="AU588" s="234">
        <v>0</v>
      </c>
      <c r="AV588" s="234">
        <v>1</v>
      </c>
      <c r="AW588" s="234">
        <v>3</v>
      </c>
      <c r="AX588" s="234">
        <v>2</v>
      </c>
      <c r="AY588" s="234">
        <v>0</v>
      </c>
      <c r="AZ588" s="234">
        <v>0</v>
      </c>
      <c r="BA588" s="234">
        <v>0</v>
      </c>
      <c r="BB588" s="234">
        <v>0</v>
      </c>
      <c r="BC588" s="234">
        <v>0</v>
      </c>
      <c r="BD588" s="234">
        <v>0</v>
      </c>
      <c r="BE588" s="234">
        <v>0</v>
      </c>
      <c r="BF588" s="234">
        <v>0</v>
      </c>
      <c r="BG588" s="234">
        <v>0</v>
      </c>
      <c r="BH588" s="234">
        <v>0</v>
      </c>
      <c r="BI588" s="234">
        <v>0</v>
      </c>
      <c r="BJ588" s="234">
        <v>0</v>
      </c>
      <c r="BK588" s="234">
        <v>0</v>
      </c>
      <c r="BL588" s="234">
        <v>0</v>
      </c>
      <c r="BM588" s="234">
        <v>0</v>
      </c>
      <c r="BN588" s="234">
        <v>0</v>
      </c>
      <c r="BO588" s="234">
        <v>0</v>
      </c>
      <c r="BP588" s="234" t="s">
        <v>142</v>
      </c>
      <c r="BQ588" s="234"/>
      <c r="BR588" s="237" t="s">
        <v>150</v>
      </c>
      <c r="BS588" s="238">
        <v>10</v>
      </c>
      <c r="BX588" s="239">
        <f>M588/3</f>
        <v>2</v>
      </c>
      <c r="BY588" s="239">
        <f>M588/3</f>
        <v>2</v>
      </c>
      <c r="BZ588" s="239">
        <f>M588/3</f>
        <v>2</v>
      </c>
      <c r="CN588" s="238">
        <f t="shared" si="61"/>
        <v>4</v>
      </c>
      <c r="CO588" s="238">
        <f t="shared" si="62"/>
        <v>6</v>
      </c>
    </row>
    <row r="589" spans="1:93" ht="13.95" customHeight="1" x14ac:dyDescent="0.2">
      <c r="A589" s="231">
        <v>7188</v>
      </c>
      <c r="B589" s="232" t="s">
        <v>822</v>
      </c>
      <c r="C589" s="232" t="s">
        <v>1789</v>
      </c>
      <c r="D589" s="232" t="s">
        <v>1790</v>
      </c>
      <c r="E589" s="232" t="s">
        <v>317</v>
      </c>
      <c r="F589" s="231">
        <v>528902</v>
      </c>
      <c r="G589" s="231">
        <v>172500</v>
      </c>
      <c r="H589" s="232" t="s">
        <v>172</v>
      </c>
      <c r="I589" s="233"/>
      <c r="J589" s="231"/>
      <c r="K589" s="231">
        <v>0</v>
      </c>
      <c r="L589" s="231">
        <v>2</v>
      </c>
      <c r="M589" s="231">
        <v>2</v>
      </c>
      <c r="N589" s="231">
        <v>2</v>
      </c>
      <c r="O589" s="231">
        <v>2</v>
      </c>
      <c r="P589" s="234"/>
      <c r="Q589" s="232" t="s">
        <v>1791</v>
      </c>
      <c r="R589" s="234" t="s">
        <v>332</v>
      </c>
      <c r="S589" s="235">
        <v>43633</v>
      </c>
      <c r="T589" s="235">
        <v>43707</v>
      </c>
      <c r="U589" s="234"/>
      <c r="V589" s="232" t="s">
        <v>321</v>
      </c>
      <c r="W589" s="231"/>
      <c r="X589" s="232" t="s">
        <v>322</v>
      </c>
      <c r="Y589" s="232" t="s">
        <v>339</v>
      </c>
      <c r="Z589" s="232" t="s">
        <v>324</v>
      </c>
      <c r="AA589" s="232" t="s">
        <v>354</v>
      </c>
      <c r="AB589" s="236">
        <v>1.2999999999999999E-2</v>
      </c>
      <c r="AC589" s="235"/>
      <c r="AD589" s="234"/>
      <c r="AE589" s="234"/>
      <c r="AF589" s="232" t="s">
        <v>77</v>
      </c>
      <c r="AG589" s="232" t="s">
        <v>350</v>
      </c>
      <c r="AH589" s="234" t="s">
        <v>317</v>
      </c>
      <c r="AJ589" s="234">
        <v>0</v>
      </c>
      <c r="AK589" s="224"/>
      <c r="AL589" s="234">
        <v>0</v>
      </c>
      <c r="AM589" s="224"/>
      <c r="AN589" s="234">
        <v>0</v>
      </c>
      <c r="AO589" s="234">
        <v>0</v>
      </c>
      <c r="AP589" s="234">
        <v>2</v>
      </c>
      <c r="AQ589" s="234">
        <v>0</v>
      </c>
      <c r="AR589" s="234">
        <v>0</v>
      </c>
      <c r="AS589" s="234">
        <v>0</v>
      </c>
      <c r="AT589" s="234">
        <v>0</v>
      </c>
      <c r="AU589" s="234">
        <v>0</v>
      </c>
      <c r="AV589" s="234">
        <v>0</v>
      </c>
      <c r="AW589" s="234">
        <v>2</v>
      </c>
      <c r="AX589" s="234">
        <v>0</v>
      </c>
      <c r="AY589" s="234">
        <v>0</v>
      </c>
      <c r="AZ589" s="234">
        <v>0</v>
      </c>
      <c r="BA589" s="234">
        <v>0</v>
      </c>
      <c r="BB589" s="234">
        <v>0</v>
      </c>
      <c r="BC589" s="234">
        <v>0</v>
      </c>
      <c r="BD589" s="234">
        <v>0</v>
      </c>
      <c r="BE589" s="234">
        <v>0</v>
      </c>
      <c r="BF589" s="234">
        <v>0</v>
      </c>
      <c r="BG589" s="234">
        <v>0</v>
      </c>
      <c r="BH589" s="234">
        <v>0</v>
      </c>
      <c r="BI589" s="234">
        <v>0</v>
      </c>
      <c r="BJ589" s="234">
        <v>0</v>
      </c>
      <c r="BK589" s="234">
        <v>0</v>
      </c>
      <c r="BL589" s="234">
        <v>0</v>
      </c>
      <c r="BM589" s="234">
        <v>0</v>
      </c>
      <c r="BN589" s="234">
        <v>0</v>
      </c>
      <c r="BO589" s="234">
        <v>0</v>
      </c>
      <c r="BP589" s="234"/>
      <c r="BQ589" s="234"/>
      <c r="BR589" s="237" t="s">
        <v>334</v>
      </c>
      <c r="BS589" s="238">
        <v>15</v>
      </c>
      <c r="BU589" s="239">
        <f>M589/4</f>
        <v>0.5</v>
      </c>
      <c r="BV589" s="239">
        <f>M589/4</f>
        <v>0.5</v>
      </c>
      <c r="BW589" s="239">
        <f>M589/4</f>
        <v>0.5</v>
      </c>
      <c r="BX589" s="239">
        <f>M589/4</f>
        <v>0.5</v>
      </c>
      <c r="CN589" s="238">
        <f t="shared" si="61"/>
        <v>2</v>
      </c>
      <c r="CO589" s="238">
        <f t="shared" si="62"/>
        <v>2</v>
      </c>
    </row>
    <row r="590" spans="1:93" ht="13.95" customHeight="1" x14ac:dyDescent="0.2">
      <c r="A590" s="231">
        <v>6563</v>
      </c>
      <c r="B590" s="232" t="s">
        <v>822</v>
      </c>
      <c r="C590" s="232" t="s">
        <v>1792</v>
      </c>
      <c r="D590" s="232" t="s">
        <v>1793</v>
      </c>
      <c r="E590" s="232" t="s">
        <v>317</v>
      </c>
      <c r="F590" s="231">
        <v>526668</v>
      </c>
      <c r="G590" s="231">
        <v>176335</v>
      </c>
      <c r="H590" s="232" t="s">
        <v>174</v>
      </c>
      <c r="I590" s="233"/>
      <c r="J590" s="231"/>
      <c r="K590" s="231">
        <v>0</v>
      </c>
      <c r="L590" s="231">
        <v>9</v>
      </c>
      <c r="M590" s="231">
        <v>9</v>
      </c>
      <c r="N590" s="231">
        <v>9</v>
      </c>
      <c r="O590" s="231">
        <v>9</v>
      </c>
      <c r="P590" s="234"/>
      <c r="Q590" s="232" t="s">
        <v>1794</v>
      </c>
      <c r="R590" s="234" t="s">
        <v>629</v>
      </c>
      <c r="S590" s="235">
        <v>44776</v>
      </c>
      <c r="T590" s="235">
        <v>44844</v>
      </c>
      <c r="U590" s="234" t="s">
        <v>318</v>
      </c>
      <c r="V590" s="232" t="s">
        <v>321</v>
      </c>
      <c r="W590" s="231"/>
      <c r="X590" s="232" t="s">
        <v>322</v>
      </c>
      <c r="Y590" s="232" t="s">
        <v>365</v>
      </c>
      <c r="Z590" s="232" t="s">
        <v>324</v>
      </c>
      <c r="AA590" s="232" t="s">
        <v>28</v>
      </c>
      <c r="AB590" s="236">
        <v>7.4999999999999997E-2</v>
      </c>
      <c r="AC590" s="235"/>
      <c r="AD590" s="234"/>
      <c r="AE590" s="234"/>
      <c r="AF590" s="232" t="s">
        <v>77</v>
      </c>
      <c r="AG590" s="232" t="s">
        <v>350</v>
      </c>
      <c r="AH590" s="234" t="s">
        <v>317</v>
      </c>
      <c r="AJ590" s="234">
        <v>0</v>
      </c>
      <c r="AK590" s="224"/>
      <c r="AL590" s="234">
        <v>0</v>
      </c>
      <c r="AM590" s="224"/>
      <c r="AN590" s="234">
        <v>0</v>
      </c>
      <c r="AO590" s="234">
        <v>3</v>
      </c>
      <c r="AP590" s="234">
        <v>3</v>
      </c>
      <c r="AQ590" s="234">
        <v>3</v>
      </c>
      <c r="AR590" s="234">
        <v>0</v>
      </c>
      <c r="AS590" s="234">
        <v>0</v>
      </c>
      <c r="AT590" s="234">
        <v>0</v>
      </c>
      <c r="AU590" s="234">
        <v>0</v>
      </c>
      <c r="AV590" s="234">
        <v>3</v>
      </c>
      <c r="AW590" s="234">
        <v>3</v>
      </c>
      <c r="AX590" s="234">
        <v>3</v>
      </c>
      <c r="AY590" s="234">
        <v>0</v>
      </c>
      <c r="AZ590" s="234">
        <v>0</v>
      </c>
      <c r="BA590" s="234">
        <v>0</v>
      </c>
      <c r="BB590" s="234">
        <v>0</v>
      </c>
      <c r="BC590" s="234">
        <v>0</v>
      </c>
      <c r="BD590" s="234">
        <v>0</v>
      </c>
      <c r="BE590" s="234">
        <v>0</v>
      </c>
      <c r="BF590" s="234">
        <v>0</v>
      </c>
      <c r="BG590" s="234">
        <v>0</v>
      </c>
      <c r="BH590" s="234">
        <v>0</v>
      </c>
      <c r="BI590" s="234">
        <v>0</v>
      </c>
      <c r="BJ590" s="234">
        <v>0</v>
      </c>
      <c r="BK590" s="234">
        <v>0</v>
      </c>
      <c r="BL590" s="234">
        <v>0</v>
      </c>
      <c r="BM590" s="234">
        <v>0</v>
      </c>
      <c r="BN590" s="234">
        <v>0</v>
      </c>
      <c r="BO590" s="234">
        <v>0</v>
      </c>
      <c r="BP590" s="234"/>
      <c r="BQ590" s="234"/>
      <c r="BR590" s="237" t="s">
        <v>481</v>
      </c>
      <c r="BS590" s="238">
        <v>16</v>
      </c>
      <c r="BW590" s="239">
        <f>M590</f>
        <v>9</v>
      </c>
      <c r="CN590" s="238">
        <f t="shared" si="61"/>
        <v>9</v>
      </c>
      <c r="CO590" s="238">
        <f t="shared" si="62"/>
        <v>9</v>
      </c>
    </row>
    <row r="591" spans="1:93" ht="13.95" customHeight="1" x14ac:dyDescent="0.2">
      <c r="A591" s="231">
        <v>2039</v>
      </c>
      <c r="B591" s="232" t="s">
        <v>822</v>
      </c>
      <c r="C591" s="232" t="s">
        <v>1795</v>
      </c>
      <c r="D591" s="232" t="s">
        <v>1796</v>
      </c>
      <c r="E591" s="232" t="s">
        <v>317</v>
      </c>
      <c r="F591" s="231">
        <v>523242</v>
      </c>
      <c r="G591" s="231">
        <v>175897</v>
      </c>
      <c r="H591" s="232" t="s">
        <v>175</v>
      </c>
      <c r="I591" s="233"/>
      <c r="J591" s="231"/>
      <c r="K591" s="231">
        <v>0</v>
      </c>
      <c r="L591" s="231">
        <v>2</v>
      </c>
      <c r="M591" s="231">
        <v>2</v>
      </c>
      <c r="N591" s="231">
        <v>2</v>
      </c>
      <c r="O591" s="231">
        <v>2</v>
      </c>
      <c r="P591" s="234"/>
      <c r="Q591" s="232" t="s">
        <v>1797</v>
      </c>
      <c r="R591" s="234" t="s">
        <v>332</v>
      </c>
      <c r="S591" s="235">
        <v>44189</v>
      </c>
      <c r="T591" s="235">
        <v>44270</v>
      </c>
      <c r="U591" s="234"/>
      <c r="V591" s="232" t="s">
        <v>321</v>
      </c>
      <c r="W591" s="231"/>
      <c r="X591" s="232" t="s">
        <v>322</v>
      </c>
      <c r="Y591" s="232" t="s">
        <v>378</v>
      </c>
      <c r="Z591" s="232" t="s">
        <v>324</v>
      </c>
      <c r="AA591" s="232" t="s">
        <v>25</v>
      </c>
      <c r="AB591" s="236">
        <v>2.1700000000000001E-2</v>
      </c>
      <c r="AC591" s="235"/>
      <c r="AD591" s="234"/>
      <c r="AE591" s="234"/>
      <c r="AF591" s="232" t="s">
        <v>77</v>
      </c>
      <c r="AG591" s="232" t="s">
        <v>350</v>
      </c>
      <c r="AH591" s="234" t="s">
        <v>317</v>
      </c>
      <c r="AJ591" s="234">
        <v>0</v>
      </c>
      <c r="AK591" s="224"/>
      <c r="AL591" s="234">
        <v>0</v>
      </c>
      <c r="AM591" s="224"/>
      <c r="AN591" s="234">
        <v>0</v>
      </c>
      <c r="AO591" s="234">
        <v>0</v>
      </c>
      <c r="AP591" s="234">
        <v>2</v>
      </c>
      <c r="AQ591" s="234">
        <v>0</v>
      </c>
      <c r="AR591" s="234">
        <v>0</v>
      </c>
      <c r="AS591" s="234">
        <v>0</v>
      </c>
      <c r="AT591" s="234">
        <v>0</v>
      </c>
      <c r="AU591" s="234">
        <v>0</v>
      </c>
      <c r="AV591" s="234">
        <v>0</v>
      </c>
      <c r="AW591" s="234">
        <v>2</v>
      </c>
      <c r="AX591" s="234">
        <v>0</v>
      </c>
      <c r="AY591" s="234">
        <v>0</v>
      </c>
      <c r="AZ591" s="234">
        <v>0</v>
      </c>
      <c r="BA591" s="234">
        <v>0</v>
      </c>
      <c r="BB591" s="234">
        <v>0</v>
      </c>
      <c r="BC591" s="234">
        <v>0</v>
      </c>
      <c r="BD591" s="234">
        <v>0</v>
      </c>
      <c r="BE591" s="234">
        <v>0</v>
      </c>
      <c r="BF591" s="234">
        <v>0</v>
      </c>
      <c r="BG591" s="234">
        <v>0</v>
      </c>
      <c r="BH591" s="234">
        <v>0</v>
      </c>
      <c r="BI591" s="234">
        <v>0</v>
      </c>
      <c r="BJ591" s="234">
        <v>0</v>
      </c>
      <c r="BK591" s="234">
        <v>0</v>
      </c>
      <c r="BL591" s="234">
        <v>0</v>
      </c>
      <c r="BM591" s="234">
        <v>0</v>
      </c>
      <c r="BN591" s="234">
        <v>0</v>
      </c>
      <c r="BO591" s="234">
        <v>0</v>
      </c>
      <c r="BP591" s="234"/>
      <c r="BQ591" s="234"/>
      <c r="BR591" s="237" t="s">
        <v>334</v>
      </c>
      <c r="BS591" s="238">
        <v>15</v>
      </c>
      <c r="BU591" s="239">
        <f>M591/4</f>
        <v>0.5</v>
      </c>
      <c r="BV591" s="239">
        <f t="shared" ref="BV591:BV596" si="67">M591/4</f>
        <v>0.5</v>
      </c>
      <c r="BW591" s="239">
        <f t="shared" ref="BW591:BW596" si="68">M591/4</f>
        <v>0.5</v>
      </c>
      <c r="BX591" s="239">
        <f t="shared" ref="BX591:BX596" si="69">M591/4</f>
        <v>0.5</v>
      </c>
      <c r="CN591" s="238">
        <f t="shared" si="61"/>
        <v>2</v>
      </c>
      <c r="CO591" s="238">
        <f t="shared" si="62"/>
        <v>2</v>
      </c>
    </row>
    <row r="592" spans="1:93" ht="13.95" customHeight="1" x14ac:dyDescent="0.2">
      <c r="A592" s="231">
        <v>6823</v>
      </c>
      <c r="B592" s="232" t="s">
        <v>822</v>
      </c>
      <c r="C592" s="232" t="s">
        <v>1798</v>
      </c>
      <c r="D592" s="232" t="s">
        <v>1799</v>
      </c>
      <c r="E592" s="232" t="s">
        <v>317</v>
      </c>
      <c r="F592" s="231">
        <v>527310</v>
      </c>
      <c r="G592" s="231">
        <v>177159</v>
      </c>
      <c r="H592" s="232" t="s">
        <v>163</v>
      </c>
      <c r="I592" s="233"/>
      <c r="J592" s="231"/>
      <c r="K592" s="231">
        <v>0</v>
      </c>
      <c r="L592" s="231">
        <v>2</v>
      </c>
      <c r="M592" s="231">
        <v>2</v>
      </c>
      <c r="N592" s="231">
        <v>2</v>
      </c>
      <c r="O592" s="231">
        <v>2</v>
      </c>
      <c r="P592" s="234"/>
      <c r="Q592" s="232" t="s">
        <v>1800</v>
      </c>
      <c r="R592" s="234" t="s">
        <v>629</v>
      </c>
      <c r="S592" s="235">
        <v>43188</v>
      </c>
      <c r="T592" s="235">
        <v>43234</v>
      </c>
      <c r="U592" s="234"/>
      <c r="V592" s="232" t="s">
        <v>321</v>
      </c>
      <c r="W592" s="231"/>
      <c r="X592" s="232" t="s">
        <v>322</v>
      </c>
      <c r="Y592" s="232" t="s">
        <v>378</v>
      </c>
      <c r="Z592" s="232" t="s">
        <v>324</v>
      </c>
      <c r="AA592" s="232" t="s">
        <v>28</v>
      </c>
      <c r="AB592" s="236">
        <v>1.2999999999999999E-2</v>
      </c>
      <c r="AC592" s="235"/>
      <c r="AD592" s="234"/>
      <c r="AE592" s="234"/>
      <c r="AF592" s="232" t="s">
        <v>77</v>
      </c>
      <c r="AG592" s="232" t="s">
        <v>350</v>
      </c>
      <c r="AH592" s="234" t="s">
        <v>317</v>
      </c>
      <c r="AJ592" s="234">
        <v>0</v>
      </c>
      <c r="AK592" s="224"/>
      <c r="AL592" s="234">
        <v>0</v>
      </c>
      <c r="AM592" s="224"/>
      <c r="AN592" s="234">
        <v>0</v>
      </c>
      <c r="AO592" s="234">
        <v>2</v>
      </c>
      <c r="AP592" s="234">
        <v>0</v>
      </c>
      <c r="AQ592" s="234">
        <v>0</v>
      </c>
      <c r="AR592" s="234">
        <v>0</v>
      </c>
      <c r="AS592" s="234">
        <v>0</v>
      </c>
      <c r="AT592" s="234">
        <v>0</v>
      </c>
      <c r="AU592" s="234">
        <v>0</v>
      </c>
      <c r="AV592" s="234">
        <v>2</v>
      </c>
      <c r="AW592" s="234">
        <v>0</v>
      </c>
      <c r="AX592" s="234">
        <v>0</v>
      </c>
      <c r="AY592" s="234">
        <v>0</v>
      </c>
      <c r="AZ592" s="234">
        <v>0</v>
      </c>
      <c r="BA592" s="234">
        <v>0</v>
      </c>
      <c r="BB592" s="234">
        <v>0</v>
      </c>
      <c r="BC592" s="234">
        <v>0</v>
      </c>
      <c r="BD592" s="234">
        <v>0</v>
      </c>
      <c r="BE592" s="234">
        <v>0</v>
      </c>
      <c r="BF592" s="234">
        <v>0</v>
      </c>
      <c r="BG592" s="234">
        <v>0</v>
      </c>
      <c r="BH592" s="234">
        <v>0</v>
      </c>
      <c r="BI592" s="234">
        <v>0</v>
      </c>
      <c r="BJ592" s="234">
        <v>0</v>
      </c>
      <c r="BK592" s="234">
        <v>0</v>
      </c>
      <c r="BL592" s="234">
        <v>0</v>
      </c>
      <c r="BM592" s="234">
        <v>0</v>
      </c>
      <c r="BN592" s="234">
        <v>0</v>
      </c>
      <c r="BO592" s="234">
        <v>0</v>
      </c>
      <c r="BP592" s="234"/>
      <c r="BQ592" s="234"/>
      <c r="BR592" s="237" t="s">
        <v>481</v>
      </c>
      <c r="BS592" s="238">
        <v>15</v>
      </c>
      <c r="BU592" s="239">
        <f>M592/4</f>
        <v>0.5</v>
      </c>
      <c r="BV592" s="239">
        <f t="shared" si="67"/>
        <v>0.5</v>
      </c>
      <c r="BW592" s="239">
        <f t="shared" si="68"/>
        <v>0.5</v>
      </c>
      <c r="BX592" s="239">
        <f t="shared" si="69"/>
        <v>0.5</v>
      </c>
      <c r="CN592" s="238">
        <f t="shared" si="61"/>
        <v>2</v>
      </c>
      <c r="CO592" s="238">
        <f t="shared" si="62"/>
        <v>2</v>
      </c>
    </row>
    <row r="593" spans="1:93" ht="13.95" customHeight="1" x14ac:dyDescent="0.2">
      <c r="A593" s="231">
        <v>7927</v>
      </c>
      <c r="B593" s="232" t="s">
        <v>822</v>
      </c>
      <c r="C593" s="232" t="s">
        <v>1801</v>
      </c>
      <c r="D593" s="232" t="s">
        <v>1802</v>
      </c>
      <c r="E593" s="232" t="s">
        <v>317</v>
      </c>
      <c r="F593" s="231">
        <v>528410</v>
      </c>
      <c r="G593" s="231">
        <v>175764</v>
      </c>
      <c r="H593" s="232" t="s">
        <v>171</v>
      </c>
      <c r="I593" s="233"/>
      <c r="J593" s="231"/>
      <c r="K593" s="231">
        <v>1</v>
      </c>
      <c r="L593" s="231">
        <v>3</v>
      </c>
      <c r="M593" s="231">
        <v>2</v>
      </c>
      <c r="N593" s="231">
        <v>3</v>
      </c>
      <c r="O593" s="231">
        <v>2</v>
      </c>
      <c r="P593" s="234"/>
      <c r="Q593" s="232" t="s">
        <v>1803</v>
      </c>
      <c r="R593" s="234" t="s">
        <v>332</v>
      </c>
      <c r="S593" s="235">
        <v>44916</v>
      </c>
      <c r="T593" s="235">
        <v>44995</v>
      </c>
      <c r="U593" s="234" t="s">
        <v>318</v>
      </c>
      <c r="V593" s="232" t="s">
        <v>321</v>
      </c>
      <c r="W593" s="231"/>
      <c r="X593" s="232" t="s">
        <v>322</v>
      </c>
      <c r="Y593" s="232" t="s">
        <v>365</v>
      </c>
      <c r="Z593" s="232" t="s">
        <v>324</v>
      </c>
      <c r="AA593" s="232" t="s">
        <v>354</v>
      </c>
      <c r="AB593" s="236">
        <v>3.9E-2</v>
      </c>
      <c r="AC593" s="235"/>
      <c r="AD593" s="234"/>
      <c r="AE593" s="234"/>
      <c r="AF593" s="232" t="s">
        <v>77</v>
      </c>
      <c r="AG593" s="232" t="s">
        <v>350</v>
      </c>
      <c r="AH593" s="234" t="s">
        <v>317</v>
      </c>
      <c r="AJ593" s="234">
        <v>0</v>
      </c>
      <c r="AK593" s="224"/>
      <c r="AL593" s="234">
        <v>0</v>
      </c>
      <c r="AM593" s="224"/>
      <c r="AN593" s="234">
        <v>0</v>
      </c>
      <c r="AO593" s="234">
        <v>3</v>
      </c>
      <c r="AP593" s="234">
        <v>0</v>
      </c>
      <c r="AQ593" s="234">
        <v>-1</v>
      </c>
      <c r="AR593" s="234">
        <v>0</v>
      </c>
      <c r="AS593" s="234">
        <v>0</v>
      </c>
      <c r="AT593" s="234">
        <v>0</v>
      </c>
      <c r="AU593" s="234">
        <v>0</v>
      </c>
      <c r="AV593" s="234">
        <v>3</v>
      </c>
      <c r="AW593" s="234">
        <v>0</v>
      </c>
      <c r="AX593" s="234">
        <v>-1</v>
      </c>
      <c r="AY593" s="234">
        <v>0</v>
      </c>
      <c r="AZ593" s="234">
        <v>0</v>
      </c>
      <c r="BA593" s="234">
        <v>0</v>
      </c>
      <c r="BB593" s="234">
        <v>0</v>
      </c>
      <c r="BC593" s="234">
        <v>0</v>
      </c>
      <c r="BD593" s="234">
        <v>0</v>
      </c>
      <c r="BE593" s="234">
        <v>0</v>
      </c>
      <c r="BF593" s="234">
        <v>0</v>
      </c>
      <c r="BG593" s="234">
        <v>0</v>
      </c>
      <c r="BH593" s="234">
        <v>0</v>
      </c>
      <c r="BI593" s="234">
        <v>0</v>
      </c>
      <c r="BJ593" s="234">
        <v>0</v>
      </c>
      <c r="BK593" s="234">
        <v>0</v>
      </c>
      <c r="BL593" s="234">
        <v>0</v>
      </c>
      <c r="BM593" s="234">
        <v>0</v>
      </c>
      <c r="BN593" s="234">
        <v>0</v>
      </c>
      <c r="BO593" s="234">
        <v>0</v>
      </c>
      <c r="BP593" s="234"/>
      <c r="BQ593" s="234"/>
      <c r="BR593" s="237" t="s">
        <v>334</v>
      </c>
      <c r="BS593" s="238">
        <v>15</v>
      </c>
      <c r="BU593" s="239">
        <f>M593/4</f>
        <v>0.5</v>
      </c>
      <c r="BV593" s="239">
        <f t="shared" si="67"/>
        <v>0.5</v>
      </c>
      <c r="BW593" s="239">
        <f t="shared" si="68"/>
        <v>0.5</v>
      </c>
      <c r="BX593" s="239">
        <f t="shared" si="69"/>
        <v>0.5</v>
      </c>
      <c r="CN593" s="238">
        <f t="shared" si="61"/>
        <v>2</v>
      </c>
      <c r="CO593" s="238">
        <f t="shared" si="62"/>
        <v>2</v>
      </c>
    </row>
    <row r="594" spans="1:93" ht="13.95" customHeight="1" x14ac:dyDescent="0.2">
      <c r="A594" s="231">
        <v>2566</v>
      </c>
      <c r="B594" s="232" t="s">
        <v>822</v>
      </c>
      <c r="C594" s="232" t="s">
        <v>1804</v>
      </c>
      <c r="D594" s="232" t="s">
        <v>1805</v>
      </c>
      <c r="E594" s="232" t="s">
        <v>317</v>
      </c>
      <c r="F594" s="231">
        <v>527216</v>
      </c>
      <c r="G594" s="231">
        <v>175354</v>
      </c>
      <c r="H594" s="232" t="s">
        <v>167</v>
      </c>
      <c r="I594" s="233"/>
      <c r="J594" s="231"/>
      <c r="K594" s="231">
        <v>0</v>
      </c>
      <c r="L594" s="231">
        <v>2</v>
      </c>
      <c r="M594" s="231">
        <v>2</v>
      </c>
      <c r="N594" s="231">
        <v>2</v>
      </c>
      <c r="O594" s="231">
        <v>2</v>
      </c>
      <c r="P594" s="234"/>
      <c r="Q594" s="232" t="s">
        <v>1806</v>
      </c>
      <c r="R594" s="234" t="s">
        <v>332</v>
      </c>
      <c r="S594" s="235">
        <v>44203</v>
      </c>
      <c r="T594" s="235">
        <v>44259</v>
      </c>
      <c r="U594" s="234"/>
      <c r="V594" s="232" t="s">
        <v>321</v>
      </c>
      <c r="W594" s="231"/>
      <c r="X594" s="232" t="s">
        <v>322</v>
      </c>
      <c r="Y594" s="232" t="s">
        <v>338</v>
      </c>
      <c r="Z594" s="232" t="s">
        <v>324</v>
      </c>
      <c r="AA594" s="232" t="s">
        <v>354</v>
      </c>
      <c r="AB594" s="236">
        <v>1.2E-2</v>
      </c>
      <c r="AC594" s="235"/>
      <c r="AD594" s="234"/>
      <c r="AE594" s="234"/>
      <c r="AF594" s="232" t="s">
        <v>77</v>
      </c>
      <c r="AG594" s="232" t="s">
        <v>350</v>
      </c>
      <c r="AH594" s="234" t="s">
        <v>317</v>
      </c>
      <c r="AJ594" s="234">
        <v>0</v>
      </c>
      <c r="AK594" s="224"/>
      <c r="AL594" s="234">
        <v>0</v>
      </c>
      <c r="AM594" s="224"/>
      <c r="AN594" s="234">
        <v>0</v>
      </c>
      <c r="AO594" s="234">
        <v>0</v>
      </c>
      <c r="AP594" s="234">
        <v>2</v>
      </c>
      <c r="AQ594" s="234">
        <v>0</v>
      </c>
      <c r="AR594" s="234">
        <v>0</v>
      </c>
      <c r="AS594" s="234">
        <v>0</v>
      </c>
      <c r="AT594" s="234">
        <v>0</v>
      </c>
      <c r="AU594" s="234">
        <v>0</v>
      </c>
      <c r="AV594" s="234">
        <v>0</v>
      </c>
      <c r="AW594" s="234">
        <v>2</v>
      </c>
      <c r="AX594" s="234">
        <v>0</v>
      </c>
      <c r="AY594" s="234">
        <v>0</v>
      </c>
      <c r="AZ594" s="234">
        <v>0</v>
      </c>
      <c r="BA594" s="234">
        <v>0</v>
      </c>
      <c r="BB594" s="234">
        <v>0</v>
      </c>
      <c r="BC594" s="234">
        <v>0</v>
      </c>
      <c r="BD594" s="234">
        <v>0</v>
      </c>
      <c r="BE594" s="234">
        <v>0</v>
      </c>
      <c r="BF594" s="234">
        <v>0</v>
      </c>
      <c r="BG594" s="234">
        <v>0</v>
      </c>
      <c r="BH594" s="234">
        <v>0</v>
      </c>
      <c r="BI594" s="234">
        <v>0</v>
      </c>
      <c r="BJ594" s="234">
        <v>0</v>
      </c>
      <c r="BK594" s="234">
        <v>0</v>
      </c>
      <c r="BL594" s="234">
        <v>0</v>
      </c>
      <c r="BM594" s="234">
        <v>0</v>
      </c>
      <c r="BN594" s="234">
        <v>0</v>
      </c>
      <c r="BO594" s="234">
        <v>0</v>
      </c>
      <c r="BP594" s="234" t="s">
        <v>142</v>
      </c>
      <c r="BQ594" s="234"/>
      <c r="BR594" s="237" t="s">
        <v>150</v>
      </c>
      <c r="BS594" s="238">
        <v>15</v>
      </c>
      <c r="BU594" s="239">
        <f>M594/4</f>
        <v>0.5</v>
      </c>
      <c r="BV594" s="239">
        <f t="shared" si="67"/>
        <v>0.5</v>
      </c>
      <c r="BW594" s="239">
        <f t="shared" si="68"/>
        <v>0.5</v>
      </c>
      <c r="BX594" s="239">
        <f t="shared" si="69"/>
        <v>0.5</v>
      </c>
      <c r="CN594" s="238">
        <f t="shared" si="61"/>
        <v>2</v>
      </c>
      <c r="CO594" s="238">
        <f t="shared" si="62"/>
        <v>2</v>
      </c>
    </row>
    <row r="595" spans="1:93" ht="13.95" customHeight="1" x14ac:dyDescent="0.2">
      <c r="A595" s="231">
        <v>7832</v>
      </c>
      <c r="B595" s="232" t="s">
        <v>822</v>
      </c>
      <c r="C595" s="232" t="s">
        <v>1807</v>
      </c>
      <c r="D595" s="232" t="s">
        <v>1808</v>
      </c>
      <c r="E595" s="232" t="s">
        <v>317</v>
      </c>
      <c r="F595" s="231">
        <v>526498</v>
      </c>
      <c r="G595" s="231">
        <v>174597</v>
      </c>
      <c r="H595" s="232" t="s">
        <v>181</v>
      </c>
      <c r="I595" s="233"/>
      <c r="J595" s="231"/>
      <c r="K595" s="231">
        <v>1</v>
      </c>
      <c r="L595" s="231">
        <v>3</v>
      </c>
      <c r="M595" s="231">
        <v>2</v>
      </c>
      <c r="N595" s="231">
        <v>3</v>
      </c>
      <c r="O595" s="231">
        <v>2</v>
      </c>
      <c r="P595" s="234"/>
      <c r="Q595" s="232" t="s">
        <v>1809</v>
      </c>
      <c r="R595" s="234" t="s">
        <v>332</v>
      </c>
      <c r="S595" s="235">
        <v>44686</v>
      </c>
      <c r="T595" s="235">
        <v>44750</v>
      </c>
      <c r="U595" s="234" t="s">
        <v>318</v>
      </c>
      <c r="V595" s="232" t="s">
        <v>321</v>
      </c>
      <c r="W595" s="231"/>
      <c r="X595" s="232" t="s">
        <v>322</v>
      </c>
      <c r="Y595" s="232" t="s">
        <v>365</v>
      </c>
      <c r="Z595" s="232" t="s">
        <v>324</v>
      </c>
      <c r="AA595" s="232" t="s">
        <v>553</v>
      </c>
      <c r="AB595" s="236">
        <v>5.6166599999999999E-3</v>
      </c>
      <c r="AC595" s="235"/>
      <c r="AD595" s="234"/>
      <c r="AE595" s="234"/>
      <c r="AF595" s="232" t="s">
        <v>77</v>
      </c>
      <c r="AG595" s="232" t="s">
        <v>340</v>
      </c>
      <c r="AH595" s="234" t="s">
        <v>317</v>
      </c>
      <c r="AJ595" s="234">
        <v>0</v>
      </c>
      <c r="AK595" s="224"/>
      <c r="AL595" s="234">
        <v>0</v>
      </c>
      <c r="AM595" s="224"/>
      <c r="AN595" s="234">
        <v>0</v>
      </c>
      <c r="AO595" s="234">
        <v>2</v>
      </c>
      <c r="AP595" s="234">
        <v>0</v>
      </c>
      <c r="AQ595" s="234">
        <v>1</v>
      </c>
      <c r="AR595" s="234">
        <v>0</v>
      </c>
      <c r="AS595" s="234">
        <v>-1</v>
      </c>
      <c r="AT595" s="234">
        <v>0</v>
      </c>
      <c r="AU595" s="234">
        <v>0</v>
      </c>
      <c r="AV595" s="234">
        <v>2</v>
      </c>
      <c r="AW595" s="234">
        <v>0</v>
      </c>
      <c r="AX595" s="234">
        <v>1</v>
      </c>
      <c r="AY595" s="234">
        <v>0</v>
      </c>
      <c r="AZ595" s="234">
        <v>-1</v>
      </c>
      <c r="BA595" s="234">
        <v>0</v>
      </c>
      <c r="BB595" s="234">
        <v>0</v>
      </c>
      <c r="BC595" s="234">
        <v>0</v>
      </c>
      <c r="BD595" s="234">
        <v>0</v>
      </c>
      <c r="BE595" s="234">
        <v>0</v>
      </c>
      <c r="BF595" s="234">
        <v>0</v>
      </c>
      <c r="BG595" s="234">
        <v>0</v>
      </c>
      <c r="BH595" s="234">
        <v>0</v>
      </c>
      <c r="BI595" s="234">
        <v>0</v>
      </c>
      <c r="BJ595" s="234">
        <v>0</v>
      </c>
      <c r="BK595" s="234">
        <v>0</v>
      </c>
      <c r="BL595" s="234">
        <v>0</v>
      </c>
      <c r="BM595" s="234">
        <v>0</v>
      </c>
      <c r="BN595" s="234">
        <v>0</v>
      </c>
      <c r="BO595" s="234">
        <v>0</v>
      </c>
      <c r="BP595" s="234"/>
      <c r="BQ595" s="234"/>
      <c r="BR595" s="237" t="s">
        <v>334</v>
      </c>
      <c r="BS595" s="238">
        <v>15</v>
      </c>
      <c r="BU595" s="239">
        <f>M595/4</f>
        <v>0.5</v>
      </c>
      <c r="BV595" s="239">
        <f t="shared" si="67"/>
        <v>0.5</v>
      </c>
      <c r="BW595" s="239">
        <f t="shared" si="68"/>
        <v>0.5</v>
      </c>
      <c r="BX595" s="239">
        <f t="shared" si="69"/>
        <v>0.5</v>
      </c>
      <c r="CN595" s="238">
        <f t="shared" si="61"/>
        <v>2</v>
      </c>
      <c r="CO595" s="238">
        <f t="shared" si="62"/>
        <v>2</v>
      </c>
    </row>
    <row r="596" spans="1:93" ht="13.95" customHeight="1" x14ac:dyDescent="0.2">
      <c r="A596" s="231">
        <v>3348</v>
      </c>
      <c r="B596" s="232" t="s">
        <v>822</v>
      </c>
      <c r="C596" s="232" t="s">
        <v>1810</v>
      </c>
      <c r="D596" s="232" t="s">
        <v>1811</v>
      </c>
      <c r="E596" s="232" t="s">
        <v>317</v>
      </c>
      <c r="F596" s="231">
        <v>529063</v>
      </c>
      <c r="G596" s="231">
        <v>171530</v>
      </c>
      <c r="H596" s="232" t="s">
        <v>166</v>
      </c>
      <c r="I596" s="233"/>
      <c r="J596" s="231"/>
      <c r="K596" s="231">
        <v>0</v>
      </c>
      <c r="L596" s="231">
        <v>1</v>
      </c>
      <c r="M596" s="231">
        <v>1</v>
      </c>
      <c r="N596" s="231">
        <v>1</v>
      </c>
      <c r="O596" s="231">
        <v>1</v>
      </c>
      <c r="P596" s="234"/>
      <c r="Q596" s="232" t="s">
        <v>1812</v>
      </c>
      <c r="R596" s="234" t="s">
        <v>332</v>
      </c>
      <c r="S596" s="235">
        <v>44788</v>
      </c>
      <c r="T596" s="235">
        <v>44889</v>
      </c>
      <c r="U596" s="234" t="s">
        <v>318</v>
      </c>
      <c r="V596" s="232" t="s">
        <v>321</v>
      </c>
      <c r="W596" s="231"/>
      <c r="X596" s="232" t="s">
        <v>418</v>
      </c>
      <c r="Y596" s="232" t="s">
        <v>323</v>
      </c>
      <c r="Z596" s="232" t="s">
        <v>324</v>
      </c>
      <c r="AA596" s="232" t="s">
        <v>349</v>
      </c>
      <c r="AB596" s="236">
        <v>4.0000000000000001E-3</v>
      </c>
      <c r="AC596" s="235"/>
      <c r="AD596" s="234"/>
      <c r="AE596" s="234"/>
      <c r="AF596" s="232" t="s">
        <v>77</v>
      </c>
      <c r="AG596" s="232" t="s">
        <v>350</v>
      </c>
      <c r="AH596" s="234" t="s">
        <v>317</v>
      </c>
      <c r="AJ596" s="234">
        <v>0</v>
      </c>
      <c r="AK596" s="224"/>
      <c r="AL596" s="234">
        <v>0</v>
      </c>
      <c r="AM596" s="224"/>
      <c r="AN596" s="234">
        <v>0</v>
      </c>
      <c r="AO596" s="234">
        <v>0</v>
      </c>
      <c r="AP596" s="234">
        <v>1</v>
      </c>
      <c r="AQ596" s="234">
        <v>0</v>
      </c>
      <c r="AR596" s="234">
        <v>0</v>
      </c>
      <c r="AS596" s="234">
        <v>0</v>
      </c>
      <c r="AT596" s="234">
        <v>0</v>
      </c>
      <c r="AU596" s="234">
        <v>0</v>
      </c>
      <c r="AV596" s="234">
        <v>0</v>
      </c>
      <c r="AW596" s="234">
        <v>0</v>
      </c>
      <c r="AX596" s="234">
        <v>0</v>
      </c>
      <c r="AY596" s="234">
        <v>0</v>
      </c>
      <c r="AZ596" s="234">
        <v>0</v>
      </c>
      <c r="BA596" s="234">
        <v>0</v>
      </c>
      <c r="BB596" s="234">
        <v>0</v>
      </c>
      <c r="BC596" s="234">
        <v>0</v>
      </c>
      <c r="BD596" s="234">
        <v>1</v>
      </c>
      <c r="BE596" s="234">
        <v>0</v>
      </c>
      <c r="BF596" s="234">
        <v>0</v>
      </c>
      <c r="BG596" s="234">
        <v>0</v>
      </c>
      <c r="BH596" s="234">
        <v>0</v>
      </c>
      <c r="BI596" s="234">
        <v>0</v>
      </c>
      <c r="BJ596" s="234">
        <v>0</v>
      </c>
      <c r="BK596" s="234">
        <v>0</v>
      </c>
      <c r="BL596" s="234">
        <v>0</v>
      </c>
      <c r="BM596" s="234">
        <v>0</v>
      </c>
      <c r="BN596" s="234">
        <v>0</v>
      </c>
      <c r="BO596" s="234">
        <v>0</v>
      </c>
      <c r="BP596" s="234"/>
      <c r="BQ596" s="234"/>
      <c r="BR596" s="237" t="s">
        <v>334</v>
      </c>
      <c r="BS596" s="238">
        <v>7</v>
      </c>
      <c r="BV596" s="239">
        <f t="shared" si="67"/>
        <v>0.25</v>
      </c>
      <c r="BW596" s="239">
        <f t="shared" si="68"/>
        <v>0.25</v>
      </c>
      <c r="BX596" s="239">
        <f t="shared" si="69"/>
        <v>0.25</v>
      </c>
      <c r="BY596" s="239">
        <f>M596/4</f>
        <v>0.25</v>
      </c>
      <c r="CN596" s="238">
        <f t="shared" si="61"/>
        <v>1</v>
      </c>
      <c r="CO596" s="238">
        <f t="shared" si="62"/>
        <v>1</v>
      </c>
    </row>
    <row r="597" spans="1:93" ht="13.95" customHeight="1" x14ac:dyDescent="0.2">
      <c r="A597" s="231">
        <v>7513</v>
      </c>
      <c r="B597" s="232" t="s">
        <v>822</v>
      </c>
      <c r="C597" s="232" t="s">
        <v>1813</v>
      </c>
      <c r="D597" s="232" t="s">
        <v>1814</v>
      </c>
      <c r="E597" s="232" t="s">
        <v>317</v>
      </c>
      <c r="F597" s="231">
        <v>523758</v>
      </c>
      <c r="G597" s="231">
        <v>173893</v>
      </c>
      <c r="H597" s="232" t="s">
        <v>164</v>
      </c>
      <c r="I597" s="233"/>
      <c r="J597" s="231"/>
      <c r="K597" s="231">
        <v>0</v>
      </c>
      <c r="L597" s="231">
        <v>6</v>
      </c>
      <c r="M597" s="231">
        <v>6</v>
      </c>
      <c r="N597" s="231">
        <v>6</v>
      </c>
      <c r="O597" s="231">
        <v>6</v>
      </c>
      <c r="P597" s="234"/>
      <c r="Q597" s="232" t="s">
        <v>1815</v>
      </c>
      <c r="R597" s="234" t="s">
        <v>332</v>
      </c>
      <c r="S597" s="235">
        <v>44490</v>
      </c>
      <c r="T597" s="235">
        <v>44644</v>
      </c>
      <c r="U597" s="234"/>
      <c r="V597" s="232" t="s">
        <v>321</v>
      </c>
      <c r="W597" s="231"/>
      <c r="X597" s="232" t="s">
        <v>322</v>
      </c>
      <c r="Y597" s="232" t="s">
        <v>339</v>
      </c>
      <c r="Z597" s="232" t="s">
        <v>324</v>
      </c>
      <c r="AA597" s="232" t="s">
        <v>354</v>
      </c>
      <c r="AB597" s="236">
        <v>0.04</v>
      </c>
      <c r="AC597" s="235"/>
      <c r="AD597" s="234"/>
      <c r="AE597" s="234"/>
      <c r="AF597" s="232" t="s">
        <v>77</v>
      </c>
      <c r="AG597" s="232" t="s">
        <v>350</v>
      </c>
      <c r="AH597" s="234" t="s">
        <v>317</v>
      </c>
      <c r="AJ597" s="234">
        <v>0</v>
      </c>
      <c r="AK597" s="224"/>
      <c r="AL597" s="234">
        <v>0</v>
      </c>
      <c r="AM597" s="224"/>
      <c r="AN597" s="234">
        <v>0</v>
      </c>
      <c r="AO597" s="234">
        <v>2</v>
      </c>
      <c r="AP597" s="234">
        <v>2</v>
      </c>
      <c r="AQ597" s="234">
        <v>2</v>
      </c>
      <c r="AR597" s="234">
        <v>0</v>
      </c>
      <c r="AS597" s="234">
        <v>0</v>
      </c>
      <c r="AT597" s="234">
        <v>0</v>
      </c>
      <c r="AU597" s="234">
        <v>0</v>
      </c>
      <c r="AV597" s="234">
        <v>2</v>
      </c>
      <c r="AW597" s="234">
        <v>2</v>
      </c>
      <c r="AX597" s="234">
        <v>2</v>
      </c>
      <c r="AY597" s="234">
        <v>0</v>
      </c>
      <c r="AZ597" s="234">
        <v>0</v>
      </c>
      <c r="BA597" s="234">
        <v>0</v>
      </c>
      <c r="BB597" s="234">
        <v>0</v>
      </c>
      <c r="BC597" s="234">
        <v>0</v>
      </c>
      <c r="BD597" s="234">
        <v>0</v>
      </c>
      <c r="BE597" s="234">
        <v>0</v>
      </c>
      <c r="BF597" s="234">
        <v>0</v>
      </c>
      <c r="BG597" s="234">
        <v>0</v>
      </c>
      <c r="BH597" s="234">
        <v>0</v>
      </c>
      <c r="BI597" s="234">
        <v>0</v>
      </c>
      <c r="BJ597" s="234">
        <v>0</v>
      </c>
      <c r="BK597" s="234">
        <v>0</v>
      </c>
      <c r="BL597" s="234">
        <v>0</v>
      </c>
      <c r="BM597" s="234">
        <v>0</v>
      </c>
      <c r="BN597" s="234">
        <v>0</v>
      </c>
      <c r="BO597" s="234">
        <v>0</v>
      </c>
      <c r="BP597" s="234"/>
      <c r="BQ597" s="234"/>
      <c r="BR597" s="237" t="s">
        <v>334</v>
      </c>
      <c r="BS597" s="238">
        <v>16</v>
      </c>
      <c r="BW597" s="239">
        <f>M597</f>
        <v>6</v>
      </c>
      <c r="CN597" s="238">
        <f t="shared" si="61"/>
        <v>6</v>
      </c>
      <c r="CO597" s="238">
        <f t="shared" si="62"/>
        <v>6</v>
      </c>
    </row>
    <row r="598" spans="1:93" ht="13.95" customHeight="1" x14ac:dyDescent="0.2">
      <c r="A598" s="231">
        <v>5801</v>
      </c>
      <c r="B598" s="232" t="s">
        <v>822</v>
      </c>
      <c r="C598" s="232" t="s">
        <v>1816</v>
      </c>
      <c r="D598" s="232" t="s">
        <v>1817</v>
      </c>
      <c r="E598" s="232" t="s">
        <v>317</v>
      </c>
      <c r="F598" s="231">
        <v>526534</v>
      </c>
      <c r="G598" s="231">
        <v>175822</v>
      </c>
      <c r="H598" s="232" t="s">
        <v>174</v>
      </c>
      <c r="I598" s="233"/>
      <c r="J598" s="231"/>
      <c r="K598" s="231">
        <v>0</v>
      </c>
      <c r="L598" s="231">
        <v>1</v>
      </c>
      <c r="M598" s="231">
        <v>1</v>
      </c>
      <c r="N598" s="231">
        <v>1</v>
      </c>
      <c r="O598" s="231">
        <v>1</v>
      </c>
      <c r="P598" s="234"/>
      <c r="Q598" s="232" t="s">
        <v>1818</v>
      </c>
      <c r="R598" s="234" t="s">
        <v>629</v>
      </c>
      <c r="S598" s="235">
        <v>43892</v>
      </c>
      <c r="T598" s="235">
        <v>43938</v>
      </c>
      <c r="U598" s="234"/>
      <c r="V598" s="232" t="s">
        <v>321</v>
      </c>
      <c r="W598" s="231"/>
      <c r="X598" s="232" t="s">
        <v>322</v>
      </c>
      <c r="Y598" s="232" t="s">
        <v>378</v>
      </c>
      <c r="Z598" s="232" t="s">
        <v>324</v>
      </c>
      <c r="AA598" s="232" t="s">
        <v>28</v>
      </c>
      <c r="AB598" s="236">
        <v>4.0000000000000001E-3</v>
      </c>
      <c r="AC598" s="235"/>
      <c r="AD598" s="234"/>
      <c r="AE598" s="234"/>
      <c r="AF598" s="232" t="s">
        <v>56</v>
      </c>
      <c r="AG598" s="232" t="s">
        <v>1355</v>
      </c>
      <c r="AH598" s="234" t="s">
        <v>1513</v>
      </c>
      <c r="AJ598" s="234">
        <v>0</v>
      </c>
      <c r="AK598" s="224"/>
      <c r="AL598" s="234">
        <v>0</v>
      </c>
      <c r="AM598" s="224"/>
      <c r="AN598" s="234">
        <v>0</v>
      </c>
      <c r="AO598" s="234">
        <v>1</v>
      </c>
      <c r="AP598" s="234">
        <v>0</v>
      </c>
      <c r="AQ598" s="234">
        <v>0</v>
      </c>
      <c r="AR598" s="234">
        <v>0</v>
      </c>
      <c r="AS598" s="234">
        <v>0</v>
      </c>
      <c r="AT598" s="234">
        <v>0</v>
      </c>
      <c r="AU598" s="234">
        <v>0</v>
      </c>
      <c r="AV598" s="234">
        <v>1</v>
      </c>
      <c r="AW598" s="234">
        <v>0</v>
      </c>
      <c r="AX598" s="234">
        <v>0</v>
      </c>
      <c r="AY598" s="234">
        <v>0</v>
      </c>
      <c r="AZ598" s="234">
        <v>0</v>
      </c>
      <c r="BA598" s="234">
        <v>0</v>
      </c>
      <c r="BB598" s="234">
        <v>0</v>
      </c>
      <c r="BC598" s="234">
        <v>0</v>
      </c>
      <c r="BD598" s="234">
        <v>0</v>
      </c>
      <c r="BE598" s="234">
        <v>0</v>
      </c>
      <c r="BF598" s="234">
        <v>0</v>
      </c>
      <c r="BG598" s="234">
        <v>0</v>
      </c>
      <c r="BH598" s="234">
        <v>0</v>
      </c>
      <c r="BI598" s="234">
        <v>0</v>
      </c>
      <c r="BJ598" s="234">
        <v>0</v>
      </c>
      <c r="BK598" s="234">
        <v>0</v>
      </c>
      <c r="BL598" s="234">
        <v>0</v>
      </c>
      <c r="BM598" s="234">
        <v>0</v>
      </c>
      <c r="BN598" s="234">
        <v>0</v>
      </c>
      <c r="BO598" s="234">
        <v>0</v>
      </c>
      <c r="BP598" s="234"/>
      <c r="BQ598" s="234"/>
      <c r="BR598" s="237" t="s">
        <v>481</v>
      </c>
      <c r="BS598" s="238">
        <v>15</v>
      </c>
      <c r="BU598" s="239">
        <f>M598/4</f>
        <v>0.25</v>
      </c>
      <c r="BV598" s="239">
        <f t="shared" ref="BV598:BV661" si="70">M598/4</f>
        <v>0.25</v>
      </c>
      <c r="BW598" s="239">
        <f t="shared" ref="BW598:BW661" si="71">M598/4</f>
        <v>0.25</v>
      </c>
      <c r="BX598" s="239">
        <f t="shared" ref="BX598:BX661" si="72">M598/4</f>
        <v>0.25</v>
      </c>
      <c r="CN598" s="238">
        <f t="shared" si="61"/>
        <v>1</v>
      </c>
      <c r="CO598" s="238">
        <f t="shared" si="62"/>
        <v>1</v>
      </c>
    </row>
    <row r="599" spans="1:93" ht="13.95" customHeight="1" x14ac:dyDescent="0.2">
      <c r="A599" s="231">
        <v>5143</v>
      </c>
      <c r="B599" s="232" t="s">
        <v>822</v>
      </c>
      <c r="C599" s="232" t="s">
        <v>1819</v>
      </c>
      <c r="D599" s="232" t="s">
        <v>1820</v>
      </c>
      <c r="E599" s="232" t="s">
        <v>317</v>
      </c>
      <c r="F599" s="231">
        <v>523713</v>
      </c>
      <c r="G599" s="231">
        <v>174783</v>
      </c>
      <c r="H599" s="232" t="s">
        <v>183</v>
      </c>
      <c r="I599" s="233"/>
      <c r="J599" s="231"/>
      <c r="K599" s="231">
        <v>0</v>
      </c>
      <c r="L599" s="231">
        <v>1</v>
      </c>
      <c r="M599" s="231">
        <v>1</v>
      </c>
      <c r="N599" s="231">
        <v>1</v>
      </c>
      <c r="O599" s="231">
        <v>1</v>
      </c>
      <c r="P599" s="234"/>
      <c r="Q599" s="232" t="s">
        <v>1821</v>
      </c>
      <c r="R599" s="234" t="s">
        <v>332</v>
      </c>
      <c r="S599" s="235">
        <v>43874</v>
      </c>
      <c r="T599" s="235">
        <v>43963</v>
      </c>
      <c r="U599" s="234"/>
      <c r="V599" s="232" t="s">
        <v>321</v>
      </c>
      <c r="W599" s="231"/>
      <c r="X599" s="232" t="s">
        <v>322</v>
      </c>
      <c r="Y599" s="232" t="s">
        <v>339</v>
      </c>
      <c r="Z599" s="232" t="s">
        <v>324</v>
      </c>
      <c r="AA599" s="232" t="s">
        <v>354</v>
      </c>
      <c r="AB599" s="236">
        <v>4.0000000000000001E-3</v>
      </c>
      <c r="AC599" s="235"/>
      <c r="AD599" s="234"/>
      <c r="AE599" s="234"/>
      <c r="AF599" s="232" t="s">
        <v>77</v>
      </c>
      <c r="AG599" s="232" t="s">
        <v>350</v>
      </c>
      <c r="AH599" s="234" t="s">
        <v>317</v>
      </c>
      <c r="AJ599" s="234">
        <v>0</v>
      </c>
      <c r="AK599" s="224"/>
      <c r="AL599" s="234">
        <v>0</v>
      </c>
      <c r="AM599" s="224"/>
      <c r="AN599" s="234">
        <v>1</v>
      </c>
      <c r="AO599" s="234">
        <v>0</v>
      </c>
      <c r="AP599" s="234">
        <v>0</v>
      </c>
      <c r="AQ599" s="234">
        <v>0</v>
      </c>
      <c r="AR599" s="234">
        <v>0</v>
      </c>
      <c r="AS599" s="234">
        <v>0</v>
      </c>
      <c r="AT599" s="234">
        <v>0</v>
      </c>
      <c r="AU599" s="234">
        <v>1</v>
      </c>
      <c r="AV599" s="234">
        <v>0</v>
      </c>
      <c r="AW599" s="234">
        <v>0</v>
      </c>
      <c r="AX599" s="234">
        <v>0</v>
      </c>
      <c r="AY599" s="234">
        <v>0</v>
      </c>
      <c r="AZ599" s="234">
        <v>0</v>
      </c>
      <c r="BA599" s="234">
        <v>0</v>
      </c>
      <c r="BB599" s="234">
        <v>0</v>
      </c>
      <c r="BC599" s="234">
        <v>0</v>
      </c>
      <c r="BD599" s="234">
        <v>0</v>
      </c>
      <c r="BE599" s="234">
        <v>0</v>
      </c>
      <c r="BF599" s="234">
        <v>0</v>
      </c>
      <c r="BG599" s="234">
        <v>0</v>
      </c>
      <c r="BH599" s="234">
        <v>0</v>
      </c>
      <c r="BI599" s="234">
        <v>0</v>
      </c>
      <c r="BJ599" s="234">
        <v>0</v>
      </c>
      <c r="BK599" s="234">
        <v>0</v>
      </c>
      <c r="BL599" s="234">
        <v>0</v>
      </c>
      <c r="BM599" s="234">
        <v>0</v>
      </c>
      <c r="BN599" s="234">
        <v>0</v>
      </c>
      <c r="BO599" s="234">
        <v>0</v>
      </c>
      <c r="BP599" s="234"/>
      <c r="BQ599" s="234"/>
      <c r="BR599" s="237" t="s">
        <v>334</v>
      </c>
      <c r="BS599" s="238">
        <v>15</v>
      </c>
      <c r="BU599" s="239">
        <f>M599/4</f>
        <v>0.25</v>
      </c>
      <c r="BV599" s="239">
        <f t="shared" si="70"/>
        <v>0.25</v>
      </c>
      <c r="BW599" s="239">
        <f t="shared" si="71"/>
        <v>0.25</v>
      </c>
      <c r="BX599" s="239">
        <f t="shared" si="72"/>
        <v>0.25</v>
      </c>
      <c r="CN599" s="238">
        <f t="shared" si="61"/>
        <v>1</v>
      </c>
      <c r="CO599" s="238">
        <f t="shared" si="62"/>
        <v>1</v>
      </c>
    </row>
    <row r="600" spans="1:93" ht="13.95" customHeight="1" x14ac:dyDescent="0.2">
      <c r="A600" s="231">
        <v>7900</v>
      </c>
      <c r="B600" s="232" t="s">
        <v>822</v>
      </c>
      <c r="C600" s="232" t="s">
        <v>1822</v>
      </c>
      <c r="D600" s="232" t="s">
        <v>1823</v>
      </c>
      <c r="E600" s="232" t="s">
        <v>317</v>
      </c>
      <c r="F600" s="231">
        <v>528537</v>
      </c>
      <c r="G600" s="231">
        <v>170778</v>
      </c>
      <c r="H600" s="232" t="s">
        <v>166</v>
      </c>
      <c r="I600" s="233"/>
      <c r="J600" s="231"/>
      <c r="K600" s="231">
        <v>0</v>
      </c>
      <c r="L600" s="231">
        <v>1</v>
      </c>
      <c r="M600" s="231">
        <v>1</v>
      </c>
      <c r="N600" s="231">
        <v>1</v>
      </c>
      <c r="O600" s="231">
        <v>1</v>
      </c>
      <c r="P600" s="234"/>
      <c r="Q600" s="232" t="s">
        <v>1824</v>
      </c>
      <c r="R600" s="234" t="s">
        <v>332</v>
      </c>
      <c r="S600" s="235">
        <v>44831</v>
      </c>
      <c r="T600" s="235">
        <v>44889</v>
      </c>
      <c r="U600" s="234" t="s">
        <v>318</v>
      </c>
      <c r="V600" s="232" t="s">
        <v>321</v>
      </c>
      <c r="W600" s="231"/>
      <c r="X600" s="232" t="s">
        <v>418</v>
      </c>
      <c r="Y600" s="232" t="s">
        <v>323</v>
      </c>
      <c r="Z600" s="232" t="s">
        <v>324</v>
      </c>
      <c r="AA600" s="232" t="s">
        <v>349</v>
      </c>
      <c r="AB600" s="236">
        <v>2.9250000000000001E-3</v>
      </c>
      <c r="AC600" s="235"/>
      <c r="AD600" s="234"/>
      <c r="AE600" s="234"/>
      <c r="AF600" s="232" t="s">
        <v>77</v>
      </c>
      <c r="AG600" s="232" t="s">
        <v>350</v>
      </c>
      <c r="AH600" s="234" t="s">
        <v>317</v>
      </c>
      <c r="AJ600" s="234">
        <v>0</v>
      </c>
      <c r="AK600" s="224"/>
      <c r="AL600" s="234">
        <v>0</v>
      </c>
      <c r="AM600" s="224"/>
      <c r="AN600" s="234">
        <v>0</v>
      </c>
      <c r="AO600" s="234">
        <v>1</v>
      </c>
      <c r="AP600" s="234">
        <v>0</v>
      </c>
      <c r="AQ600" s="234">
        <v>0</v>
      </c>
      <c r="AR600" s="234">
        <v>0</v>
      </c>
      <c r="AS600" s="234">
        <v>0</v>
      </c>
      <c r="AT600" s="234">
        <v>0</v>
      </c>
      <c r="AU600" s="234">
        <v>0</v>
      </c>
      <c r="AV600" s="234">
        <v>0</v>
      </c>
      <c r="AW600" s="234">
        <v>0</v>
      </c>
      <c r="AX600" s="234">
        <v>0</v>
      </c>
      <c r="AY600" s="234">
        <v>0</v>
      </c>
      <c r="AZ600" s="234">
        <v>0</v>
      </c>
      <c r="BA600" s="234">
        <v>0</v>
      </c>
      <c r="BB600" s="234">
        <v>0</v>
      </c>
      <c r="BC600" s="234">
        <v>1</v>
      </c>
      <c r="BD600" s="234">
        <v>0</v>
      </c>
      <c r="BE600" s="234">
        <v>0</v>
      </c>
      <c r="BF600" s="234">
        <v>0</v>
      </c>
      <c r="BG600" s="234">
        <v>0</v>
      </c>
      <c r="BH600" s="234">
        <v>0</v>
      </c>
      <c r="BI600" s="234">
        <v>0</v>
      </c>
      <c r="BJ600" s="234">
        <v>0</v>
      </c>
      <c r="BK600" s="234">
        <v>0</v>
      </c>
      <c r="BL600" s="234">
        <v>0</v>
      </c>
      <c r="BM600" s="234">
        <v>0</v>
      </c>
      <c r="BN600" s="234">
        <v>0</v>
      </c>
      <c r="BO600" s="234">
        <v>0</v>
      </c>
      <c r="BP600" s="234"/>
      <c r="BQ600" s="234"/>
      <c r="BR600" s="237" t="s">
        <v>334</v>
      </c>
      <c r="BS600" s="238">
        <v>7</v>
      </c>
      <c r="BV600" s="239">
        <f t="shared" si="70"/>
        <v>0.25</v>
      </c>
      <c r="BW600" s="239">
        <f t="shared" si="71"/>
        <v>0.25</v>
      </c>
      <c r="BX600" s="239">
        <f t="shared" si="72"/>
        <v>0.25</v>
      </c>
      <c r="BY600" s="239">
        <f>M600/4</f>
        <v>0.25</v>
      </c>
      <c r="CN600" s="238">
        <f t="shared" si="61"/>
        <v>1</v>
      </c>
      <c r="CO600" s="238">
        <f t="shared" si="62"/>
        <v>1</v>
      </c>
    </row>
    <row r="601" spans="1:93" ht="13.95" customHeight="1" x14ac:dyDescent="0.2">
      <c r="A601" s="231">
        <v>7750</v>
      </c>
      <c r="B601" s="232" t="s">
        <v>822</v>
      </c>
      <c r="C601" s="232" t="s">
        <v>1825</v>
      </c>
      <c r="D601" s="232" t="s">
        <v>1826</v>
      </c>
      <c r="E601" s="232" t="s">
        <v>317</v>
      </c>
      <c r="F601" s="231">
        <v>528671</v>
      </c>
      <c r="G601" s="231">
        <v>176005</v>
      </c>
      <c r="H601" s="232" t="s">
        <v>171</v>
      </c>
      <c r="I601" s="233"/>
      <c r="J601" s="231"/>
      <c r="K601" s="231">
        <v>0</v>
      </c>
      <c r="L601" s="231">
        <v>1</v>
      </c>
      <c r="M601" s="231">
        <v>1</v>
      </c>
      <c r="N601" s="231">
        <v>1</v>
      </c>
      <c r="O601" s="231">
        <v>1</v>
      </c>
      <c r="P601" s="234"/>
      <c r="Q601" s="232" t="s">
        <v>1827</v>
      </c>
      <c r="R601" s="234" t="s">
        <v>332</v>
      </c>
      <c r="S601" s="235">
        <v>44788</v>
      </c>
      <c r="T601" s="235">
        <v>44858</v>
      </c>
      <c r="U601" s="234" t="s">
        <v>318</v>
      </c>
      <c r="V601" s="232" t="s">
        <v>321</v>
      </c>
      <c r="W601" s="231"/>
      <c r="X601" s="232" t="s">
        <v>322</v>
      </c>
      <c r="Y601" s="232" t="s">
        <v>323</v>
      </c>
      <c r="Z601" s="232" t="s">
        <v>324</v>
      </c>
      <c r="AA601" s="232" t="s">
        <v>349</v>
      </c>
      <c r="AB601" s="236">
        <v>5.45E-3</v>
      </c>
      <c r="AC601" s="235"/>
      <c r="AD601" s="234"/>
      <c r="AE601" s="234"/>
      <c r="AF601" s="232" t="s">
        <v>77</v>
      </c>
      <c r="AG601" s="232" t="s">
        <v>350</v>
      </c>
      <c r="AH601" s="234" t="s">
        <v>317</v>
      </c>
      <c r="AJ601" s="234">
        <v>0</v>
      </c>
      <c r="AK601" s="224"/>
      <c r="AL601" s="234">
        <v>0</v>
      </c>
      <c r="AM601" s="224"/>
      <c r="AN601" s="234">
        <v>0</v>
      </c>
      <c r="AO601" s="234">
        <v>0</v>
      </c>
      <c r="AP601" s="234">
        <v>0</v>
      </c>
      <c r="AQ601" s="234">
        <v>1</v>
      </c>
      <c r="AR601" s="234">
        <v>0</v>
      </c>
      <c r="AS601" s="234">
        <v>0</v>
      </c>
      <c r="AT601" s="234">
        <v>0</v>
      </c>
      <c r="AU601" s="234">
        <v>0</v>
      </c>
      <c r="AV601" s="234">
        <v>0</v>
      </c>
      <c r="AW601" s="234">
        <v>0</v>
      </c>
      <c r="AX601" s="234">
        <v>0</v>
      </c>
      <c r="AY601" s="234">
        <v>0</v>
      </c>
      <c r="AZ601" s="234">
        <v>0</v>
      </c>
      <c r="BA601" s="234">
        <v>0</v>
      </c>
      <c r="BB601" s="234">
        <v>0</v>
      </c>
      <c r="BC601" s="234">
        <v>0</v>
      </c>
      <c r="BD601" s="234">
        <v>0</v>
      </c>
      <c r="BE601" s="234">
        <v>1</v>
      </c>
      <c r="BF601" s="234">
        <v>0</v>
      </c>
      <c r="BG601" s="234">
        <v>0</v>
      </c>
      <c r="BH601" s="234">
        <v>0</v>
      </c>
      <c r="BI601" s="234">
        <v>0</v>
      </c>
      <c r="BJ601" s="234">
        <v>0</v>
      </c>
      <c r="BK601" s="234">
        <v>0</v>
      </c>
      <c r="BL601" s="234">
        <v>0</v>
      </c>
      <c r="BM601" s="234">
        <v>0</v>
      </c>
      <c r="BN601" s="234">
        <v>0</v>
      </c>
      <c r="BO601" s="234">
        <v>0</v>
      </c>
      <c r="BP601" s="234"/>
      <c r="BQ601" s="234"/>
      <c r="BR601" s="237" t="s">
        <v>334</v>
      </c>
      <c r="BS601" s="238">
        <v>7</v>
      </c>
      <c r="BV601" s="239">
        <f t="shared" si="70"/>
        <v>0.25</v>
      </c>
      <c r="BW601" s="239">
        <f t="shared" si="71"/>
        <v>0.25</v>
      </c>
      <c r="BX601" s="239">
        <f t="shared" si="72"/>
        <v>0.25</v>
      </c>
      <c r="BY601" s="239">
        <f>M601/4</f>
        <v>0.25</v>
      </c>
      <c r="CN601" s="238">
        <f t="shared" si="61"/>
        <v>1</v>
      </c>
      <c r="CO601" s="238">
        <f t="shared" si="62"/>
        <v>1</v>
      </c>
    </row>
    <row r="602" spans="1:93" ht="13.95" customHeight="1" x14ac:dyDescent="0.2">
      <c r="A602" s="231">
        <v>7908</v>
      </c>
      <c r="B602" s="232" t="s">
        <v>822</v>
      </c>
      <c r="C602" s="232" t="s">
        <v>1828</v>
      </c>
      <c r="D602" s="232" t="s">
        <v>1829</v>
      </c>
      <c r="E602" s="232" t="s">
        <v>317</v>
      </c>
      <c r="F602" s="231">
        <v>529032</v>
      </c>
      <c r="G602" s="231">
        <v>173104</v>
      </c>
      <c r="H602" s="232" t="s">
        <v>141</v>
      </c>
      <c r="I602" s="233"/>
      <c r="J602" s="231"/>
      <c r="K602" s="231">
        <v>2</v>
      </c>
      <c r="L602" s="231">
        <v>3</v>
      </c>
      <c r="M602" s="231">
        <v>1</v>
      </c>
      <c r="N602" s="231">
        <v>3</v>
      </c>
      <c r="O602" s="231">
        <v>1</v>
      </c>
      <c r="P602" s="234"/>
      <c r="Q602" s="232" t="s">
        <v>1830</v>
      </c>
      <c r="R602" s="234" t="s">
        <v>332</v>
      </c>
      <c r="S602" s="235">
        <v>44848</v>
      </c>
      <c r="T602" s="235">
        <v>44929</v>
      </c>
      <c r="U602" s="234" t="s">
        <v>318</v>
      </c>
      <c r="V602" s="232" t="s">
        <v>321</v>
      </c>
      <c r="W602" s="231"/>
      <c r="X602" s="232" t="s">
        <v>322</v>
      </c>
      <c r="Y602" s="232" t="s">
        <v>365</v>
      </c>
      <c r="Z602" s="232" t="s">
        <v>324</v>
      </c>
      <c r="AA602" s="232" t="s">
        <v>354</v>
      </c>
      <c r="AB602" s="236">
        <v>7.566667E-3</v>
      </c>
      <c r="AC602" s="235"/>
      <c r="AD602" s="234"/>
      <c r="AE602" s="234"/>
      <c r="AF602" s="232" t="s">
        <v>77</v>
      </c>
      <c r="AG602" s="232" t="s">
        <v>350</v>
      </c>
      <c r="AH602" s="234" t="s">
        <v>317</v>
      </c>
      <c r="AJ602" s="234">
        <v>0</v>
      </c>
      <c r="AK602" s="224"/>
      <c r="AL602" s="234">
        <v>0</v>
      </c>
      <c r="AM602" s="224"/>
      <c r="AN602" s="234">
        <v>0</v>
      </c>
      <c r="AO602" s="234">
        <v>0</v>
      </c>
      <c r="AP602" s="234">
        <v>0</v>
      </c>
      <c r="AQ602" s="234">
        <v>1</v>
      </c>
      <c r="AR602" s="234">
        <v>0</v>
      </c>
      <c r="AS602" s="234">
        <v>0</v>
      </c>
      <c r="AT602" s="234">
        <v>0</v>
      </c>
      <c r="AU602" s="234">
        <v>0</v>
      </c>
      <c r="AV602" s="234">
        <v>0</v>
      </c>
      <c r="AW602" s="234">
        <v>0</v>
      </c>
      <c r="AX602" s="234">
        <v>1</v>
      </c>
      <c r="AY602" s="234">
        <v>0</v>
      </c>
      <c r="AZ602" s="234">
        <v>0</v>
      </c>
      <c r="BA602" s="234">
        <v>0</v>
      </c>
      <c r="BB602" s="234">
        <v>0</v>
      </c>
      <c r="BC602" s="234">
        <v>0</v>
      </c>
      <c r="BD602" s="234">
        <v>0</v>
      </c>
      <c r="BE602" s="234">
        <v>0</v>
      </c>
      <c r="BF602" s="234">
        <v>0</v>
      </c>
      <c r="BG602" s="234">
        <v>0</v>
      </c>
      <c r="BH602" s="234">
        <v>0</v>
      </c>
      <c r="BI602" s="234">
        <v>0</v>
      </c>
      <c r="BJ602" s="234">
        <v>0</v>
      </c>
      <c r="BK602" s="234">
        <v>0</v>
      </c>
      <c r="BL602" s="234">
        <v>0</v>
      </c>
      <c r="BM602" s="234">
        <v>0</v>
      </c>
      <c r="BN602" s="234">
        <v>0</v>
      </c>
      <c r="BO602" s="234">
        <v>0</v>
      </c>
      <c r="BP602" s="234"/>
      <c r="BQ602" s="234"/>
      <c r="BR602" s="237" t="s">
        <v>334</v>
      </c>
      <c r="BS602" s="238">
        <v>15</v>
      </c>
      <c r="BU602" s="239">
        <f t="shared" ref="BU602:BU611" si="73">M602/4</f>
        <v>0.25</v>
      </c>
      <c r="BV602" s="239">
        <f t="shared" si="70"/>
        <v>0.25</v>
      </c>
      <c r="BW602" s="239">
        <f t="shared" si="71"/>
        <v>0.25</v>
      </c>
      <c r="BX602" s="239">
        <f t="shared" si="72"/>
        <v>0.25</v>
      </c>
      <c r="CN602" s="238">
        <f t="shared" si="61"/>
        <v>1</v>
      </c>
      <c r="CO602" s="238">
        <f t="shared" si="62"/>
        <v>1</v>
      </c>
    </row>
    <row r="603" spans="1:93" ht="13.95" customHeight="1" x14ac:dyDescent="0.2">
      <c r="A603" s="231">
        <v>4243</v>
      </c>
      <c r="B603" s="232" t="s">
        <v>822</v>
      </c>
      <c r="C603" s="232" t="s">
        <v>1831</v>
      </c>
      <c r="D603" s="232" t="s">
        <v>1832</v>
      </c>
      <c r="E603" s="232" t="s">
        <v>317</v>
      </c>
      <c r="F603" s="231">
        <v>527437</v>
      </c>
      <c r="G603" s="231">
        <v>171526</v>
      </c>
      <c r="H603" s="232" t="s">
        <v>177</v>
      </c>
      <c r="I603" s="233"/>
      <c r="J603" s="231"/>
      <c r="K603" s="231">
        <v>0</v>
      </c>
      <c r="L603" s="231">
        <v>1</v>
      </c>
      <c r="M603" s="231">
        <v>1</v>
      </c>
      <c r="N603" s="231">
        <v>1</v>
      </c>
      <c r="O603" s="231">
        <v>1</v>
      </c>
      <c r="P603" s="234"/>
      <c r="Q603" s="232" t="s">
        <v>1833</v>
      </c>
      <c r="R603" s="234" t="s">
        <v>332</v>
      </c>
      <c r="S603" s="235">
        <v>44622</v>
      </c>
      <c r="T603" s="235">
        <v>44678</v>
      </c>
      <c r="U603" s="234" t="s">
        <v>318</v>
      </c>
      <c r="V603" s="232" t="s">
        <v>321</v>
      </c>
      <c r="W603" s="231"/>
      <c r="X603" s="232" t="s">
        <v>322</v>
      </c>
      <c r="Y603" s="232" t="s">
        <v>365</v>
      </c>
      <c r="Z603" s="232" t="s">
        <v>324</v>
      </c>
      <c r="AA603" s="232" t="s">
        <v>28</v>
      </c>
      <c r="AB603" s="236">
        <v>5.0000000000000001E-3</v>
      </c>
      <c r="AC603" s="235"/>
      <c r="AD603" s="234"/>
      <c r="AE603" s="234"/>
      <c r="AF603" s="232" t="s">
        <v>77</v>
      </c>
      <c r="AG603" s="232" t="s">
        <v>350</v>
      </c>
      <c r="AH603" s="234" t="s">
        <v>317</v>
      </c>
      <c r="AJ603" s="234">
        <v>0</v>
      </c>
      <c r="AK603" s="224"/>
      <c r="AL603" s="234">
        <v>0</v>
      </c>
      <c r="AM603" s="224"/>
      <c r="AN603" s="234">
        <v>0</v>
      </c>
      <c r="AO603" s="234">
        <v>1</v>
      </c>
      <c r="AP603" s="234">
        <v>0</v>
      </c>
      <c r="AQ603" s="234">
        <v>0</v>
      </c>
      <c r="AR603" s="234">
        <v>0</v>
      </c>
      <c r="AS603" s="234">
        <v>0</v>
      </c>
      <c r="AT603" s="234">
        <v>0</v>
      </c>
      <c r="AU603" s="234">
        <v>0</v>
      </c>
      <c r="AV603" s="234">
        <v>1</v>
      </c>
      <c r="AW603" s="234">
        <v>0</v>
      </c>
      <c r="AX603" s="234">
        <v>0</v>
      </c>
      <c r="AY603" s="234">
        <v>0</v>
      </c>
      <c r="AZ603" s="234">
        <v>0</v>
      </c>
      <c r="BA603" s="234">
        <v>0</v>
      </c>
      <c r="BB603" s="234">
        <v>0</v>
      </c>
      <c r="BC603" s="234">
        <v>0</v>
      </c>
      <c r="BD603" s="234">
        <v>0</v>
      </c>
      <c r="BE603" s="234">
        <v>0</v>
      </c>
      <c r="BF603" s="234">
        <v>0</v>
      </c>
      <c r="BG603" s="234">
        <v>0</v>
      </c>
      <c r="BH603" s="234">
        <v>0</v>
      </c>
      <c r="BI603" s="234">
        <v>0</v>
      </c>
      <c r="BJ603" s="234">
        <v>0</v>
      </c>
      <c r="BK603" s="234">
        <v>0</v>
      </c>
      <c r="BL603" s="234">
        <v>0</v>
      </c>
      <c r="BM603" s="234">
        <v>0</v>
      </c>
      <c r="BN603" s="234">
        <v>0</v>
      </c>
      <c r="BO603" s="234">
        <v>0</v>
      </c>
      <c r="BP603" s="234" t="s">
        <v>144</v>
      </c>
      <c r="BQ603" s="234"/>
      <c r="BR603" s="237" t="s">
        <v>144</v>
      </c>
      <c r="BS603" s="238">
        <v>15</v>
      </c>
      <c r="BU603" s="239">
        <f t="shared" si="73"/>
        <v>0.25</v>
      </c>
      <c r="BV603" s="239">
        <f t="shared" si="70"/>
        <v>0.25</v>
      </c>
      <c r="BW603" s="239">
        <f t="shared" si="71"/>
        <v>0.25</v>
      </c>
      <c r="BX603" s="239">
        <f t="shared" si="72"/>
        <v>0.25</v>
      </c>
      <c r="CN603" s="238">
        <f t="shared" si="61"/>
        <v>1</v>
      </c>
      <c r="CO603" s="238">
        <f t="shared" si="62"/>
        <v>1</v>
      </c>
    </row>
    <row r="604" spans="1:93" ht="13.95" customHeight="1" x14ac:dyDescent="0.2">
      <c r="A604" s="231">
        <v>7866</v>
      </c>
      <c r="B604" s="232" t="s">
        <v>822</v>
      </c>
      <c r="C604" s="232" t="s">
        <v>1834</v>
      </c>
      <c r="D604" s="232" t="s">
        <v>1835</v>
      </c>
      <c r="E604" s="232" t="s">
        <v>317</v>
      </c>
      <c r="F604" s="231">
        <v>527553</v>
      </c>
      <c r="G604" s="231">
        <v>174743</v>
      </c>
      <c r="H604" s="232" t="s">
        <v>169</v>
      </c>
      <c r="I604" s="233">
        <v>45016</v>
      </c>
      <c r="J604" s="231"/>
      <c r="K604" s="231">
        <v>1</v>
      </c>
      <c r="L604" s="231">
        <v>2</v>
      </c>
      <c r="M604" s="231">
        <v>1</v>
      </c>
      <c r="N604" s="231">
        <v>2</v>
      </c>
      <c r="O604" s="231">
        <v>1</v>
      </c>
      <c r="P604" s="234"/>
      <c r="Q604" s="232" t="s">
        <v>1836</v>
      </c>
      <c r="R604" s="234" t="s">
        <v>332</v>
      </c>
      <c r="S604" s="235">
        <v>44782</v>
      </c>
      <c r="T604" s="235">
        <v>44873</v>
      </c>
      <c r="U604" s="234" t="s">
        <v>318</v>
      </c>
      <c r="V604" s="232" t="s">
        <v>321</v>
      </c>
      <c r="W604" s="231"/>
      <c r="X604" s="232" t="s">
        <v>322</v>
      </c>
      <c r="Y604" s="232" t="s">
        <v>365</v>
      </c>
      <c r="Z604" s="232" t="s">
        <v>324</v>
      </c>
      <c r="AA604" s="232" t="s">
        <v>15</v>
      </c>
      <c r="AB604" s="236">
        <v>7.1599999999999997E-3</v>
      </c>
      <c r="AC604" s="235"/>
      <c r="AD604" s="234"/>
      <c r="AE604" s="234"/>
      <c r="AF604" s="232" t="s">
        <v>77</v>
      </c>
      <c r="AG604" s="232" t="s">
        <v>340</v>
      </c>
      <c r="AH604" s="234" t="s">
        <v>317</v>
      </c>
      <c r="AJ604" s="234">
        <v>0</v>
      </c>
      <c r="AK604" s="224"/>
      <c r="AL604" s="234">
        <v>0</v>
      </c>
      <c r="AM604" s="224"/>
      <c r="AN604" s="234">
        <v>0</v>
      </c>
      <c r="AO604" s="234">
        <v>0</v>
      </c>
      <c r="AP604" s="234">
        <v>1</v>
      </c>
      <c r="AQ604" s="234">
        <v>1</v>
      </c>
      <c r="AR604" s="234">
        <v>-1</v>
      </c>
      <c r="AS604" s="234">
        <v>0</v>
      </c>
      <c r="AT604" s="234">
        <v>0</v>
      </c>
      <c r="AU604" s="234">
        <v>0</v>
      </c>
      <c r="AV604" s="234">
        <v>0</v>
      </c>
      <c r="AW604" s="234">
        <v>1</v>
      </c>
      <c r="AX604" s="234">
        <v>1</v>
      </c>
      <c r="AY604" s="234">
        <v>0</v>
      </c>
      <c r="AZ604" s="234">
        <v>0</v>
      </c>
      <c r="BA604" s="234">
        <v>0</v>
      </c>
      <c r="BB604" s="234">
        <v>0</v>
      </c>
      <c r="BC604" s="234">
        <v>0</v>
      </c>
      <c r="BD604" s="234">
        <v>0</v>
      </c>
      <c r="BE604" s="234">
        <v>0</v>
      </c>
      <c r="BF604" s="234">
        <v>-1</v>
      </c>
      <c r="BG604" s="234">
        <v>0</v>
      </c>
      <c r="BH604" s="234">
        <v>0</v>
      </c>
      <c r="BI604" s="234">
        <v>0</v>
      </c>
      <c r="BJ604" s="234">
        <v>0</v>
      </c>
      <c r="BK604" s="234">
        <v>0</v>
      </c>
      <c r="BL604" s="234">
        <v>0</v>
      </c>
      <c r="BM604" s="234">
        <v>0</v>
      </c>
      <c r="BN604" s="234">
        <v>0</v>
      </c>
      <c r="BO604" s="234">
        <v>0</v>
      </c>
      <c r="BP604" s="234"/>
      <c r="BQ604" s="234"/>
      <c r="BR604" s="237" t="s">
        <v>150</v>
      </c>
      <c r="BS604" s="238">
        <v>15</v>
      </c>
      <c r="BU604" s="239">
        <f t="shared" si="73"/>
        <v>0.25</v>
      </c>
      <c r="BV604" s="239">
        <f t="shared" si="70"/>
        <v>0.25</v>
      </c>
      <c r="BW604" s="239">
        <f t="shared" si="71"/>
        <v>0.25</v>
      </c>
      <c r="BX604" s="239">
        <f t="shared" si="72"/>
        <v>0.25</v>
      </c>
      <c r="CN604" s="238">
        <f t="shared" si="61"/>
        <v>1</v>
      </c>
      <c r="CO604" s="238">
        <f t="shared" si="62"/>
        <v>1</v>
      </c>
    </row>
    <row r="605" spans="1:93" ht="13.95" customHeight="1" x14ac:dyDescent="0.2">
      <c r="A605" s="231">
        <v>7167</v>
      </c>
      <c r="B605" s="232" t="s">
        <v>822</v>
      </c>
      <c r="C605" s="232" t="s">
        <v>1837</v>
      </c>
      <c r="D605" s="232" t="s">
        <v>1838</v>
      </c>
      <c r="E605" s="232" t="s">
        <v>317</v>
      </c>
      <c r="F605" s="231">
        <v>526267</v>
      </c>
      <c r="G605" s="231">
        <v>174208</v>
      </c>
      <c r="H605" s="232" t="s">
        <v>179</v>
      </c>
      <c r="I605" s="233"/>
      <c r="J605" s="231"/>
      <c r="K605" s="231">
        <v>0</v>
      </c>
      <c r="L605" s="231">
        <v>1</v>
      </c>
      <c r="M605" s="231">
        <v>1</v>
      </c>
      <c r="N605" s="231">
        <v>1</v>
      </c>
      <c r="O605" s="231">
        <v>1</v>
      </c>
      <c r="P605" s="234"/>
      <c r="Q605" s="232" t="s">
        <v>1839</v>
      </c>
      <c r="R605" s="234" t="s">
        <v>332</v>
      </c>
      <c r="S605" s="235">
        <v>43595</v>
      </c>
      <c r="T605" s="235">
        <v>43741</v>
      </c>
      <c r="U605" s="234"/>
      <c r="V605" s="232" t="s">
        <v>321</v>
      </c>
      <c r="W605" s="231"/>
      <c r="X605" s="232" t="s">
        <v>322</v>
      </c>
      <c r="Y605" s="232" t="s">
        <v>338</v>
      </c>
      <c r="Z605" s="232" t="s">
        <v>324</v>
      </c>
      <c r="AA605" s="232" t="s">
        <v>28</v>
      </c>
      <c r="AB605" s="236">
        <v>5.0000000000000001E-3</v>
      </c>
      <c r="AC605" s="235"/>
      <c r="AD605" s="234"/>
      <c r="AE605" s="234"/>
      <c r="AF605" s="232" t="s">
        <v>77</v>
      </c>
      <c r="AG605" s="232" t="s">
        <v>350</v>
      </c>
      <c r="AH605" s="234" t="s">
        <v>317</v>
      </c>
      <c r="AJ605" s="234">
        <v>0</v>
      </c>
      <c r="AK605" s="224"/>
      <c r="AL605" s="234">
        <v>0</v>
      </c>
      <c r="AM605" s="224"/>
      <c r="AN605" s="234">
        <v>0</v>
      </c>
      <c r="AO605" s="234">
        <v>0</v>
      </c>
      <c r="AP605" s="234">
        <v>1</v>
      </c>
      <c r="AQ605" s="234">
        <v>0</v>
      </c>
      <c r="AR605" s="234">
        <v>0</v>
      </c>
      <c r="AS605" s="234">
        <v>0</v>
      </c>
      <c r="AT605" s="234">
        <v>0</v>
      </c>
      <c r="AU605" s="234">
        <v>0</v>
      </c>
      <c r="AV605" s="234">
        <v>0</v>
      </c>
      <c r="AW605" s="234">
        <v>1</v>
      </c>
      <c r="AX605" s="234">
        <v>0</v>
      </c>
      <c r="AY605" s="234">
        <v>0</v>
      </c>
      <c r="AZ605" s="234">
        <v>0</v>
      </c>
      <c r="BA605" s="234">
        <v>0</v>
      </c>
      <c r="BB605" s="234">
        <v>0</v>
      </c>
      <c r="BC605" s="234">
        <v>0</v>
      </c>
      <c r="BD605" s="234">
        <v>0</v>
      </c>
      <c r="BE605" s="234">
        <v>0</v>
      </c>
      <c r="BF605" s="234">
        <v>0</v>
      </c>
      <c r="BG605" s="234">
        <v>0</v>
      </c>
      <c r="BH605" s="234">
        <v>0</v>
      </c>
      <c r="BI605" s="234">
        <v>0</v>
      </c>
      <c r="BJ605" s="234">
        <v>0</v>
      </c>
      <c r="BK605" s="234">
        <v>0</v>
      </c>
      <c r="BL605" s="234">
        <v>0</v>
      </c>
      <c r="BM605" s="234">
        <v>0</v>
      </c>
      <c r="BN605" s="234">
        <v>0</v>
      </c>
      <c r="BO605" s="234">
        <v>0</v>
      </c>
      <c r="BP605" s="234"/>
      <c r="BQ605" s="234"/>
      <c r="BR605" s="237" t="s">
        <v>334</v>
      </c>
      <c r="BS605" s="238">
        <v>15</v>
      </c>
      <c r="BU605" s="239">
        <f t="shared" si="73"/>
        <v>0.25</v>
      </c>
      <c r="BV605" s="239">
        <f t="shared" si="70"/>
        <v>0.25</v>
      </c>
      <c r="BW605" s="239">
        <f t="shared" si="71"/>
        <v>0.25</v>
      </c>
      <c r="BX605" s="239">
        <f t="shared" si="72"/>
        <v>0.25</v>
      </c>
      <c r="CN605" s="238">
        <f t="shared" si="61"/>
        <v>1</v>
      </c>
      <c r="CO605" s="238">
        <f t="shared" si="62"/>
        <v>1</v>
      </c>
    </row>
    <row r="606" spans="1:93" ht="13.95" customHeight="1" x14ac:dyDescent="0.2">
      <c r="A606" s="231">
        <v>6088</v>
      </c>
      <c r="B606" s="232" t="s">
        <v>822</v>
      </c>
      <c r="C606" s="232" t="s">
        <v>1840</v>
      </c>
      <c r="D606" s="232" t="s">
        <v>1841</v>
      </c>
      <c r="E606" s="232" t="s">
        <v>317</v>
      </c>
      <c r="F606" s="231">
        <v>527736</v>
      </c>
      <c r="G606" s="231">
        <v>172067</v>
      </c>
      <c r="H606" s="232" t="s">
        <v>176</v>
      </c>
      <c r="I606" s="233"/>
      <c r="J606" s="231"/>
      <c r="K606" s="231">
        <v>0</v>
      </c>
      <c r="L606" s="231">
        <v>1</v>
      </c>
      <c r="M606" s="231">
        <v>1</v>
      </c>
      <c r="N606" s="231">
        <v>1</v>
      </c>
      <c r="O606" s="231">
        <v>1</v>
      </c>
      <c r="P606" s="234"/>
      <c r="Q606" s="232" t="s">
        <v>1842</v>
      </c>
      <c r="R606" s="234" t="s">
        <v>332</v>
      </c>
      <c r="S606" s="235">
        <v>43600</v>
      </c>
      <c r="T606" s="235">
        <v>43788</v>
      </c>
      <c r="U606" s="234"/>
      <c r="V606" s="232" t="s">
        <v>321</v>
      </c>
      <c r="W606" s="231"/>
      <c r="X606" s="232" t="s">
        <v>322</v>
      </c>
      <c r="Y606" s="232" t="s">
        <v>378</v>
      </c>
      <c r="Z606" s="232" t="s">
        <v>324</v>
      </c>
      <c r="AA606" s="232" t="s">
        <v>25</v>
      </c>
      <c r="AB606" s="236">
        <v>3.0000000000000001E-3</v>
      </c>
      <c r="AC606" s="235"/>
      <c r="AD606" s="234"/>
      <c r="AE606" s="234"/>
      <c r="AF606" s="232" t="s">
        <v>77</v>
      </c>
      <c r="AG606" s="232" t="s">
        <v>350</v>
      </c>
      <c r="AH606" s="234" t="s">
        <v>317</v>
      </c>
      <c r="AJ606" s="234">
        <v>0</v>
      </c>
      <c r="AK606" s="224"/>
      <c r="AL606" s="234">
        <v>0</v>
      </c>
      <c r="AM606" s="224"/>
      <c r="AN606" s="234">
        <v>1</v>
      </c>
      <c r="AO606" s="234">
        <v>0</v>
      </c>
      <c r="AP606" s="234">
        <v>0</v>
      </c>
      <c r="AQ606" s="234">
        <v>0</v>
      </c>
      <c r="AR606" s="234">
        <v>0</v>
      </c>
      <c r="AS606" s="234">
        <v>0</v>
      </c>
      <c r="AT606" s="234">
        <v>0</v>
      </c>
      <c r="AU606" s="234">
        <v>1</v>
      </c>
      <c r="AV606" s="234">
        <v>0</v>
      </c>
      <c r="AW606" s="234">
        <v>0</v>
      </c>
      <c r="AX606" s="234">
        <v>0</v>
      </c>
      <c r="AY606" s="234">
        <v>0</v>
      </c>
      <c r="AZ606" s="234">
        <v>0</v>
      </c>
      <c r="BA606" s="234">
        <v>0</v>
      </c>
      <c r="BB606" s="234">
        <v>0</v>
      </c>
      <c r="BC606" s="234">
        <v>0</v>
      </c>
      <c r="BD606" s="234">
        <v>0</v>
      </c>
      <c r="BE606" s="234">
        <v>0</v>
      </c>
      <c r="BF606" s="234">
        <v>0</v>
      </c>
      <c r="BG606" s="234">
        <v>0</v>
      </c>
      <c r="BH606" s="234">
        <v>0</v>
      </c>
      <c r="BI606" s="234">
        <v>0</v>
      </c>
      <c r="BJ606" s="234">
        <v>0</v>
      </c>
      <c r="BK606" s="234">
        <v>0</v>
      </c>
      <c r="BL606" s="234">
        <v>0</v>
      </c>
      <c r="BM606" s="234">
        <v>0</v>
      </c>
      <c r="BN606" s="234">
        <v>0</v>
      </c>
      <c r="BO606" s="234">
        <v>0</v>
      </c>
      <c r="BP606" s="234"/>
      <c r="BQ606" s="234"/>
      <c r="BR606" s="237" t="s">
        <v>334</v>
      </c>
      <c r="BS606" s="238">
        <v>15</v>
      </c>
      <c r="BU606" s="239">
        <f t="shared" si="73"/>
        <v>0.25</v>
      </c>
      <c r="BV606" s="239">
        <f t="shared" si="70"/>
        <v>0.25</v>
      </c>
      <c r="BW606" s="239">
        <f t="shared" si="71"/>
        <v>0.25</v>
      </c>
      <c r="BX606" s="239">
        <f t="shared" si="72"/>
        <v>0.25</v>
      </c>
      <c r="CN606" s="238">
        <f t="shared" si="61"/>
        <v>1</v>
      </c>
      <c r="CO606" s="238">
        <f t="shared" si="62"/>
        <v>1</v>
      </c>
    </row>
    <row r="607" spans="1:93" ht="13.95" customHeight="1" x14ac:dyDescent="0.2">
      <c r="A607" s="231">
        <v>7514</v>
      </c>
      <c r="B607" s="232" t="s">
        <v>822</v>
      </c>
      <c r="C607" s="232" t="s">
        <v>1843</v>
      </c>
      <c r="D607" s="232" t="s">
        <v>1844</v>
      </c>
      <c r="E607" s="232" t="s">
        <v>317</v>
      </c>
      <c r="F607" s="231">
        <v>526762</v>
      </c>
      <c r="G607" s="231">
        <v>175172</v>
      </c>
      <c r="H607" s="232" t="s">
        <v>181</v>
      </c>
      <c r="I607" s="233"/>
      <c r="J607" s="231"/>
      <c r="K607" s="231">
        <v>0</v>
      </c>
      <c r="L607" s="231">
        <v>1</v>
      </c>
      <c r="M607" s="231">
        <v>1</v>
      </c>
      <c r="N607" s="231">
        <v>1</v>
      </c>
      <c r="O607" s="231">
        <v>1</v>
      </c>
      <c r="P607" s="234"/>
      <c r="Q607" s="232" t="s">
        <v>1845</v>
      </c>
      <c r="R607" s="234" t="s">
        <v>332</v>
      </c>
      <c r="S607" s="235">
        <v>44351</v>
      </c>
      <c r="T607" s="235">
        <v>44411</v>
      </c>
      <c r="U607" s="234"/>
      <c r="V607" s="232" t="s">
        <v>321</v>
      </c>
      <c r="W607" s="231"/>
      <c r="X607" s="232" t="s">
        <v>322</v>
      </c>
      <c r="Y607" s="232" t="s">
        <v>339</v>
      </c>
      <c r="Z607" s="232" t="s">
        <v>324</v>
      </c>
      <c r="AA607" s="232" t="s">
        <v>354</v>
      </c>
      <c r="AB607" s="236">
        <v>6.0000000000000001E-3</v>
      </c>
      <c r="AC607" s="235"/>
      <c r="AD607" s="234"/>
      <c r="AE607" s="234"/>
      <c r="AF607" s="232" t="s">
        <v>77</v>
      </c>
      <c r="AG607" s="232" t="s">
        <v>350</v>
      </c>
      <c r="AH607" s="234" t="s">
        <v>317</v>
      </c>
      <c r="AJ607" s="234">
        <v>0</v>
      </c>
      <c r="AK607" s="224"/>
      <c r="AL607" s="234">
        <v>0</v>
      </c>
      <c r="AM607" s="224"/>
      <c r="AN607" s="234">
        <v>0</v>
      </c>
      <c r="AO607" s="234">
        <v>1</v>
      </c>
      <c r="AP607" s="234">
        <v>0</v>
      </c>
      <c r="AQ607" s="234">
        <v>0</v>
      </c>
      <c r="AR607" s="234">
        <v>0</v>
      </c>
      <c r="AS607" s="234">
        <v>0</v>
      </c>
      <c r="AT607" s="234">
        <v>0</v>
      </c>
      <c r="AU607" s="234">
        <v>0</v>
      </c>
      <c r="AV607" s="234">
        <v>1</v>
      </c>
      <c r="AW607" s="234">
        <v>0</v>
      </c>
      <c r="AX607" s="234">
        <v>0</v>
      </c>
      <c r="AY607" s="234">
        <v>0</v>
      </c>
      <c r="AZ607" s="234">
        <v>0</v>
      </c>
      <c r="BA607" s="234">
        <v>0</v>
      </c>
      <c r="BB607" s="234">
        <v>0</v>
      </c>
      <c r="BC607" s="234">
        <v>0</v>
      </c>
      <c r="BD607" s="234">
        <v>0</v>
      </c>
      <c r="BE607" s="234">
        <v>0</v>
      </c>
      <c r="BF607" s="234">
        <v>0</v>
      </c>
      <c r="BG607" s="234">
        <v>0</v>
      </c>
      <c r="BH607" s="234">
        <v>0</v>
      </c>
      <c r="BI607" s="234">
        <v>0</v>
      </c>
      <c r="BJ607" s="234">
        <v>0</v>
      </c>
      <c r="BK607" s="234">
        <v>0</v>
      </c>
      <c r="BL607" s="234">
        <v>0</v>
      </c>
      <c r="BM607" s="234">
        <v>0</v>
      </c>
      <c r="BN607" s="234">
        <v>0</v>
      </c>
      <c r="BO607" s="234">
        <v>0</v>
      </c>
      <c r="BP607" s="234"/>
      <c r="BQ607" s="234"/>
      <c r="BR607" s="237" t="s">
        <v>334</v>
      </c>
      <c r="BS607" s="238">
        <v>15</v>
      </c>
      <c r="BU607" s="239">
        <f t="shared" si="73"/>
        <v>0.25</v>
      </c>
      <c r="BV607" s="239">
        <f t="shared" si="70"/>
        <v>0.25</v>
      </c>
      <c r="BW607" s="239">
        <f t="shared" si="71"/>
        <v>0.25</v>
      </c>
      <c r="BX607" s="239">
        <f t="shared" si="72"/>
        <v>0.25</v>
      </c>
      <c r="CN607" s="238">
        <f t="shared" si="61"/>
        <v>1</v>
      </c>
      <c r="CO607" s="238">
        <f t="shared" si="62"/>
        <v>1</v>
      </c>
    </row>
    <row r="608" spans="1:93" ht="13.95" customHeight="1" x14ac:dyDescent="0.2">
      <c r="A608" s="231">
        <v>6612</v>
      </c>
      <c r="B608" s="232" t="s">
        <v>822</v>
      </c>
      <c r="C608" s="232" t="s">
        <v>1846</v>
      </c>
      <c r="D608" s="232" t="s">
        <v>1847</v>
      </c>
      <c r="E608" s="232" t="s">
        <v>317</v>
      </c>
      <c r="F608" s="231">
        <v>524304</v>
      </c>
      <c r="G608" s="231">
        <v>174961</v>
      </c>
      <c r="H608" s="232" t="s">
        <v>164</v>
      </c>
      <c r="I608" s="233"/>
      <c r="J608" s="231"/>
      <c r="K608" s="231">
        <v>1</v>
      </c>
      <c r="L608" s="231">
        <v>2</v>
      </c>
      <c r="M608" s="231">
        <v>1</v>
      </c>
      <c r="N608" s="231">
        <v>2</v>
      </c>
      <c r="O608" s="231">
        <v>1</v>
      </c>
      <c r="P608" s="234"/>
      <c r="Q608" s="232" t="s">
        <v>1848</v>
      </c>
      <c r="R608" s="234" t="s">
        <v>332</v>
      </c>
      <c r="S608" s="235">
        <v>44221</v>
      </c>
      <c r="T608" s="235">
        <v>44277</v>
      </c>
      <c r="U608" s="234"/>
      <c r="V608" s="232" t="s">
        <v>321</v>
      </c>
      <c r="W608" s="231"/>
      <c r="X608" s="232" t="s">
        <v>322</v>
      </c>
      <c r="Y608" s="232" t="s">
        <v>365</v>
      </c>
      <c r="Z608" s="232" t="s">
        <v>324</v>
      </c>
      <c r="AA608" s="232" t="s">
        <v>411</v>
      </c>
      <c r="AB608" s="236">
        <v>1.0999999999999999E-2</v>
      </c>
      <c r="AC608" s="235"/>
      <c r="AD608" s="234"/>
      <c r="AE608" s="234"/>
      <c r="AF608" s="232" t="s">
        <v>77</v>
      </c>
      <c r="AG608" s="232" t="s">
        <v>350</v>
      </c>
      <c r="AH608" s="234" t="s">
        <v>317</v>
      </c>
      <c r="AJ608" s="234">
        <v>0</v>
      </c>
      <c r="AK608" s="224"/>
      <c r="AL608" s="234">
        <v>0</v>
      </c>
      <c r="AM608" s="224"/>
      <c r="AN608" s="234">
        <v>0</v>
      </c>
      <c r="AO608" s="234">
        <v>1</v>
      </c>
      <c r="AP608" s="234">
        <v>1</v>
      </c>
      <c r="AQ608" s="234">
        <v>0</v>
      </c>
      <c r="AR608" s="234">
        <v>-1</v>
      </c>
      <c r="AS608" s="234">
        <v>0</v>
      </c>
      <c r="AT608" s="234">
        <v>0</v>
      </c>
      <c r="AU608" s="234">
        <v>0</v>
      </c>
      <c r="AV608" s="234">
        <v>1</v>
      </c>
      <c r="AW608" s="234">
        <v>1</v>
      </c>
      <c r="AX608" s="234">
        <v>0</v>
      </c>
      <c r="AY608" s="234">
        <v>-1</v>
      </c>
      <c r="AZ608" s="234">
        <v>0</v>
      </c>
      <c r="BA608" s="234">
        <v>0</v>
      </c>
      <c r="BB608" s="234">
        <v>0</v>
      </c>
      <c r="BC608" s="234">
        <v>0</v>
      </c>
      <c r="BD608" s="234">
        <v>0</v>
      </c>
      <c r="BE608" s="234">
        <v>0</v>
      </c>
      <c r="BF608" s="234">
        <v>0</v>
      </c>
      <c r="BG608" s="234">
        <v>0</v>
      </c>
      <c r="BH608" s="234">
        <v>0</v>
      </c>
      <c r="BI608" s="234">
        <v>0</v>
      </c>
      <c r="BJ608" s="234">
        <v>0</v>
      </c>
      <c r="BK608" s="234">
        <v>0</v>
      </c>
      <c r="BL608" s="234">
        <v>0</v>
      </c>
      <c r="BM608" s="234">
        <v>0</v>
      </c>
      <c r="BN608" s="234">
        <v>0</v>
      </c>
      <c r="BO608" s="234">
        <v>0</v>
      </c>
      <c r="BP608" s="234" t="s">
        <v>143</v>
      </c>
      <c r="BQ608" s="234"/>
      <c r="BR608" s="237" t="s">
        <v>152</v>
      </c>
      <c r="BS608" s="238">
        <v>15</v>
      </c>
      <c r="BU608" s="239">
        <f t="shared" si="73"/>
        <v>0.25</v>
      </c>
      <c r="BV608" s="239">
        <f t="shared" si="70"/>
        <v>0.25</v>
      </c>
      <c r="BW608" s="239">
        <f t="shared" si="71"/>
        <v>0.25</v>
      </c>
      <c r="BX608" s="239">
        <f t="shared" si="72"/>
        <v>0.25</v>
      </c>
      <c r="CN608" s="238">
        <f t="shared" si="61"/>
        <v>1</v>
      </c>
      <c r="CO608" s="238">
        <f t="shared" si="62"/>
        <v>1</v>
      </c>
    </row>
    <row r="609" spans="1:93" ht="13.95" customHeight="1" x14ac:dyDescent="0.2">
      <c r="A609" s="231">
        <v>7637</v>
      </c>
      <c r="B609" s="232" t="s">
        <v>822</v>
      </c>
      <c r="C609" s="232" t="s">
        <v>1849</v>
      </c>
      <c r="D609" s="232" t="s">
        <v>1850</v>
      </c>
      <c r="E609" s="232" t="s">
        <v>317</v>
      </c>
      <c r="F609" s="231">
        <v>527560</v>
      </c>
      <c r="G609" s="231">
        <v>174587</v>
      </c>
      <c r="H609" s="232" t="s">
        <v>169</v>
      </c>
      <c r="I609" s="233"/>
      <c r="J609" s="231"/>
      <c r="K609" s="231">
        <v>1</v>
      </c>
      <c r="L609" s="231">
        <v>2</v>
      </c>
      <c r="M609" s="231">
        <v>1</v>
      </c>
      <c r="N609" s="231">
        <v>2</v>
      </c>
      <c r="O609" s="231">
        <v>1</v>
      </c>
      <c r="P609" s="234"/>
      <c r="Q609" s="232" t="s">
        <v>1851</v>
      </c>
      <c r="R609" s="234" t="s">
        <v>332</v>
      </c>
      <c r="S609" s="235">
        <v>44272</v>
      </c>
      <c r="T609" s="235">
        <v>44379</v>
      </c>
      <c r="U609" s="234"/>
      <c r="V609" s="232" t="s">
        <v>321</v>
      </c>
      <c r="W609" s="231"/>
      <c r="X609" s="232" t="s">
        <v>322</v>
      </c>
      <c r="Y609" s="232" t="s">
        <v>338</v>
      </c>
      <c r="Z609" s="232" t="s">
        <v>324</v>
      </c>
      <c r="AA609" s="232" t="s">
        <v>15</v>
      </c>
      <c r="AB609" s="236">
        <v>5.0000000000000001E-3</v>
      </c>
      <c r="AC609" s="235"/>
      <c r="AD609" s="234"/>
      <c r="AE609" s="234"/>
      <c r="AF609" s="232" t="s">
        <v>77</v>
      </c>
      <c r="AG609" s="232" t="s">
        <v>350</v>
      </c>
      <c r="AH609" s="234" t="s">
        <v>317</v>
      </c>
      <c r="AJ609" s="234">
        <v>0</v>
      </c>
      <c r="AK609" s="224"/>
      <c r="AL609" s="234">
        <v>0</v>
      </c>
      <c r="AM609" s="224"/>
      <c r="AN609" s="234">
        <v>0</v>
      </c>
      <c r="AO609" s="234">
        <v>1</v>
      </c>
      <c r="AP609" s="234">
        <v>1</v>
      </c>
      <c r="AQ609" s="234">
        <v>0</v>
      </c>
      <c r="AR609" s="234">
        <v>-1</v>
      </c>
      <c r="AS609" s="234">
        <v>0</v>
      </c>
      <c r="AT609" s="234">
        <v>0</v>
      </c>
      <c r="AU609" s="234">
        <v>0</v>
      </c>
      <c r="AV609" s="234">
        <v>1</v>
      </c>
      <c r="AW609" s="234">
        <v>1</v>
      </c>
      <c r="AX609" s="234">
        <v>0</v>
      </c>
      <c r="AY609" s="234">
        <v>0</v>
      </c>
      <c r="AZ609" s="234">
        <v>0</v>
      </c>
      <c r="BA609" s="234">
        <v>0</v>
      </c>
      <c r="BB609" s="234">
        <v>0</v>
      </c>
      <c r="BC609" s="234">
        <v>0</v>
      </c>
      <c r="BD609" s="234">
        <v>0</v>
      </c>
      <c r="BE609" s="234">
        <v>0</v>
      </c>
      <c r="BF609" s="234">
        <v>-1</v>
      </c>
      <c r="BG609" s="234">
        <v>0</v>
      </c>
      <c r="BH609" s="234">
        <v>0</v>
      </c>
      <c r="BI609" s="234">
        <v>0</v>
      </c>
      <c r="BJ609" s="234">
        <v>0</v>
      </c>
      <c r="BK609" s="234">
        <v>0</v>
      </c>
      <c r="BL609" s="234">
        <v>0</v>
      </c>
      <c r="BM609" s="234">
        <v>0</v>
      </c>
      <c r="BN609" s="234">
        <v>0</v>
      </c>
      <c r="BO609" s="234">
        <v>0</v>
      </c>
      <c r="BP609" s="234"/>
      <c r="BQ609" s="234"/>
      <c r="BR609" s="237" t="s">
        <v>334</v>
      </c>
      <c r="BS609" s="238">
        <v>15</v>
      </c>
      <c r="BU609" s="239">
        <f t="shared" si="73"/>
        <v>0.25</v>
      </c>
      <c r="BV609" s="239">
        <f t="shared" si="70"/>
        <v>0.25</v>
      </c>
      <c r="BW609" s="239">
        <f t="shared" si="71"/>
        <v>0.25</v>
      </c>
      <c r="BX609" s="239">
        <f t="shared" si="72"/>
        <v>0.25</v>
      </c>
      <c r="CN609" s="238">
        <f t="shared" si="61"/>
        <v>1</v>
      </c>
      <c r="CO609" s="238">
        <f t="shared" si="62"/>
        <v>1</v>
      </c>
    </row>
    <row r="610" spans="1:93" ht="13.95" customHeight="1" x14ac:dyDescent="0.2">
      <c r="A610" s="231">
        <v>6277</v>
      </c>
      <c r="B610" s="232" t="s">
        <v>822</v>
      </c>
      <c r="C610" s="232" t="s">
        <v>1658</v>
      </c>
      <c r="D610" s="232" t="s">
        <v>1659</v>
      </c>
      <c r="E610" s="232" t="s">
        <v>317</v>
      </c>
      <c r="F610" s="231">
        <v>527645</v>
      </c>
      <c r="G610" s="231">
        <v>170659</v>
      </c>
      <c r="H610" s="232" t="s">
        <v>177</v>
      </c>
      <c r="I610" s="233"/>
      <c r="J610" s="231"/>
      <c r="K610" s="231">
        <v>0</v>
      </c>
      <c r="L610" s="231">
        <v>1</v>
      </c>
      <c r="M610" s="231">
        <v>1</v>
      </c>
      <c r="N610" s="231">
        <v>4</v>
      </c>
      <c r="O610" s="231">
        <v>3</v>
      </c>
      <c r="P610" s="234"/>
      <c r="Q610" s="232" t="s">
        <v>1660</v>
      </c>
      <c r="R610" s="234" t="s">
        <v>332</v>
      </c>
      <c r="S610" s="235">
        <v>44063</v>
      </c>
      <c r="T610" s="235">
        <v>44187</v>
      </c>
      <c r="U610" s="234"/>
      <c r="V610" s="232" t="s">
        <v>321</v>
      </c>
      <c r="W610" s="231"/>
      <c r="X610" s="232" t="s">
        <v>322</v>
      </c>
      <c r="Y610" s="232" t="s">
        <v>338</v>
      </c>
      <c r="Z610" s="232" t="s">
        <v>324</v>
      </c>
      <c r="AA610" s="232" t="s">
        <v>354</v>
      </c>
      <c r="AB610" s="236">
        <v>2.7E-2</v>
      </c>
      <c r="AC610" s="235"/>
      <c r="AD610" s="234"/>
      <c r="AE610" s="234"/>
      <c r="AF610" s="232" t="s">
        <v>77</v>
      </c>
      <c r="AG610" s="232" t="s">
        <v>350</v>
      </c>
      <c r="AH610" s="234" t="s">
        <v>317</v>
      </c>
      <c r="AJ610" s="234">
        <v>0</v>
      </c>
      <c r="AK610" s="224"/>
      <c r="AL610" s="234">
        <v>0</v>
      </c>
      <c r="AM610" s="224"/>
      <c r="AN610" s="234">
        <v>1</v>
      </c>
      <c r="AO610" s="234">
        <v>0</v>
      </c>
      <c r="AP610" s="234">
        <v>0</v>
      </c>
      <c r="AQ610" s="234">
        <v>0</v>
      </c>
      <c r="AR610" s="234">
        <v>0</v>
      </c>
      <c r="AS610" s="234">
        <v>0</v>
      </c>
      <c r="AT610" s="234">
        <v>0</v>
      </c>
      <c r="AU610" s="234">
        <v>1</v>
      </c>
      <c r="AV610" s="234">
        <v>0</v>
      </c>
      <c r="AW610" s="234">
        <v>0</v>
      </c>
      <c r="AX610" s="234">
        <v>0</v>
      </c>
      <c r="AY610" s="234">
        <v>0</v>
      </c>
      <c r="AZ610" s="234">
        <v>0</v>
      </c>
      <c r="BA610" s="234">
        <v>0</v>
      </c>
      <c r="BB610" s="234">
        <v>0</v>
      </c>
      <c r="BC610" s="234">
        <v>0</v>
      </c>
      <c r="BD610" s="234">
        <v>0</v>
      </c>
      <c r="BE610" s="234">
        <v>0</v>
      </c>
      <c r="BF610" s="234">
        <v>0</v>
      </c>
      <c r="BG610" s="234">
        <v>0</v>
      </c>
      <c r="BH610" s="234">
        <v>0</v>
      </c>
      <c r="BI610" s="234">
        <v>0</v>
      </c>
      <c r="BJ610" s="234">
        <v>0</v>
      </c>
      <c r="BK610" s="234">
        <v>0</v>
      </c>
      <c r="BL610" s="234">
        <v>0</v>
      </c>
      <c r="BM610" s="234">
        <v>0</v>
      </c>
      <c r="BN610" s="234">
        <v>0</v>
      </c>
      <c r="BO610" s="234">
        <v>0</v>
      </c>
      <c r="BP610" s="234"/>
      <c r="BQ610" s="234"/>
      <c r="BR610" s="237" t="s">
        <v>334</v>
      </c>
      <c r="BS610" s="238">
        <v>15</v>
      </c>
      <c r="BU610" s="239">
        <f t="shared" si="73"/>
        <v>0.25</v>
      </c>
      <c r="BV610" s="239">
        <f t="shared" si="70"/>
        <v>0.25</v>
      </c>
      <c r="BW610" s="239">
        <f t="shared" si="71"/>
        <v>0.25</v>
      </c>
      <c r="BX610" s="239">
        <f t="shared" si="72"/>
        <v>0.25</v>
      </c>
      <c r="CN610" s="238">
        <f t="shared" si="61"/>
        <v>1</v>
      </c>
      <c r="CO610" s="238">
        <f t="shared" si="62"/>
        <v>1</v>
      </c>
    </row>
    <row r="611" spans="1:93" ht="13.95" customHeight="1" x14ac:dyDescent="0.2">
      <c r="A611" s="231">
        <v>7884</v>
      </c>
      <c r="B611" s="232" t="s">
        <v>822</v>
      </c>
      <c r="C611" s="232" t="s">
        <v>1852</v>
      </c>
      <c r="D611" s="232" t="s">
        <v>1853</v>
      </c>
      <c r="E611" s="232" t="s">
        <v>317</v>
      </c>
      <c r="F611" s="231">
        <v>527886</v>
      </c>
      <c r="G611" s="231">
        <v>172990</v>
      </c>
      <c r="H611" s="232" t="s">
        <v>178</v>
      </c>
      <c r="I611" s="233"/>
      <c r="J611" s="231"/>
      <c r="K611" s="231">
        <v>0</v>
      </c>
      <c r="L611" s="231">
        <v>1</v>
      </c>
      <c r="M611" s="231">
        <v>1</v>
      </c>
      <c r="N611" s="231">
        <v>1</v>
      </c>
      <c r="O611" s="231">
        <v>1</v>
      </c>
      <c r="P611" s="234"/>
      <c r="Q611" s="232" t="s">
        <v>1854</v>
      </c>
      <c r="R611" s="234" t="s">
        <v>332</v>
      </c>
      <c r="S611" s="235">
        <v>44790</v>
      </c>
      <c r="T611" s="235">
        <v>44859</v>
      </c>
      <c r="U611" s="234" t="s">
        <v>318</v>
      </c>
      <c r="V611" s="232" t="s">
        <v>321</v>
      </c>
      <c r="W611" s="231"/>
      <c r="X611" s="232" t="s">
        <v>322</v>
      </c>
      <c r="Y611" s="232" t="s">
        <v>339</v>
      </c>
      <c r="Z611" s="232" t="s">
        <v>324</v>
      </c>
      <c r="AA611" s="232" t="s">
        <v>354</v>
      </c>
      <c r="AB611" s="236">
        <v>3.8999999999999998E-3</v>
      </c>
      <c r="AC611" s="235"/>
      <c r="AD611" s="234"/>
      <c r="AE611" s="234"/>
      <c r="AF611" s="232" t="s">
        <v>77</v>
      </c>
      <c r="AG611" s="232" t="s">
        <v>350</v>
      </c>
      <c r="AH611" s="234" t="s">
        <v>317</v>
      </c>
      <c r="AJ611" s="234">
        <v>0</v>
      </c>
      <c r="AK611" s="224"/>
      <c r="AL611" s="234">
        <v>0</v>
      </c>
      <c r="AM611" s="224"/>
      <c r="AN611" s="234">
        <v>0</v>
      </c>
      <c r="AO611" s="234">
        <v>1</v>
      </c>
      <c r="AP611" s="234">
        <v>0</v>
      </c>
      <c r="AQ611" s="234">
        <v>0</v>
      </c>
      <c r="AR611" s="234">
        <v>0</v>
      </c>
      <c r="AS611" s="234">
        <v>0</v>
      </c>
      <c r="AT611" s="234">
        <v>0</v>
      </c>
      <c r="AU611" s="234">
        <v>0</v>
      </c>
      <c r="AV611" s="234">
        <v>1</v>
      </c>
      <c r="AW611" s="234">
        <v>0</v>
      </c>
      <c r="AX611" s="234">
        <v>0</v>
      </c>
      <c r="AY611" s="234">
        <v>0</v>
      </c>
      <c r="AZ611" s="234">
        <v>0</v>
      </c>
      <c r="BA611" s="234">
        <v>0</v>
      </c>
      <c r="BB611" s="234">
        <v>0</v>
      </c>
      <c r="BC611" s="234">
        <v>0</v>
      </c>
      <c r="BD611" s="234">
        <v>0</v>
      </c>
      <c r="BE611" s="234">
        <v>0</v>
      </c>
      <c r="BF611" s="234">
        <v>0</v>
      </c>
      <c r="BG611" s="234">
        <v>0</v>
      </c>
      <c r="BH611" s="234">
        <v>0</v>
      </c>
      <c r="BI611" s="234">
        <v>0</v>
      </c>
      <c r="BJ611" s="234">
        <v>0</v>
      </c>
      <c r="BK611" s="234">
        <v>0</v>
      </c>
      <c r="BL611" s="234">
        <v>0</v>
      </c>
      <c r="BM611" s="234">
        <v>0</v>
      </c>
      <c r="BN611" s="234">
        <v>0</v>
      </c>
      <c r="BO611" s="234">
        <v>0</v>
      </c>
      <c r="BP611" s="234"/>
      <c r="BQ611" s="234"/>
      <c r="BR611" s="237" t="s">
        <v>334</v>
      </c>
      <c r="BS611" s="238">
        <v>15</v>
      </c>
      <c r="BU611" s="239">
        <f t="shared" si="73"/>
        <v>0.25</v>
      </c>
      <c r="BV611" s="239">
        <f t="shared" si="70"/>
        <v>0.25</v>
      </c>
      <c r="BW611" s="239">
        <f t="shared" si="71"/>
        <v>0.25</v>
      </c>
      <c r="BX611" s="239">
        <f t="shared" si="72"/>
        <v>0.25</v>
      </c>
      <c r="CN611" s="238">
        <f t="shared" si="61"/>
        <v>1</v>
      </c>
      <c r="CO611" s="238">
        <f t="shared" si="62"/>
        <v>1</v>
      </c>
    </row>
    <row r="612" spans="1:93" ht="13.95" customHeight="1" x14ac:dyDescent="0.2">
      <c r="A612" s="231">
        <v>6839</v>
      </c>
      <c r="B612" s="232" t="s">
        <v>822</v>
      </c>
      <c r="C612" s="232" t="s">
        <v>1855</v>
      </c>
      <c r="D612" s="232" t="s">
        <v>1856</v>
      </c>
      <c r="E612" s="232" t="s">
        <v>317</v>
      </c>
      <c r="F612" s="231">
        <v>525097</v>
      </c>
      <c r="G612" s="231">
        <v>175034</v>
      </c>
      <c r="H612" s="232" t="s">
        <v>175</v>
      </c>
      <c r="I612" s="233">
        <v>44294</v>
      </c>
      <c r="J612" s="231"/>
      <c r="K612" s="231">
        <v>0</v>
      </c>
      <c r="L612" s="231">
        <v>5</v>
      </c>
      <c r="M612" s="231">
        <v>5</v>
      </c>
      <c r="N612" s="231">
        <v>5</v>
      </c>
      <c r="O612" s="231">
        <v>5</v>
      </c>
      <c r="P612" s="234"/>
      <c r="Q612" s="232" t="s">
        <v>1857</v>
      </c>
      <c r="R612" s="234" t="s">
        <v>332</v>
      </c>
      <c r="S612" s="235">
        <v>43168</v>
      </c>
      <c r="T612" s="235">
        <v>43245</v>
      </c>
      <c r="U612" s="234"/>
      <c r="V612" s="232" t="s">
        <v>321</v>
      </c>
      <c r="W612" s="231"/>
      <c r="X612" s="232" t="s">
        <v>322</v>
      </c>
      <c r="Y612" s="232" t="s">
        <v>323</v>
      </c>
      <c r="Z612" s="232" t="s">
        <v>324</v>
      </c>
      <c r="AA612" s="232" t="s">
        <v>349</v>
      </c>
      <c r="AB612" s="236">
        <v>7.0000000000000001E-3</v>
      </c>
      <c r="AC612" s="235"/>
      <c r="AD612" s="234"/>
      <c r="AE612" s="234"/>
      <c r="AF612" s="232" t="s">
        <v>77</v>
      </c>
      <c r="AG612" s="232" t="s">
        <v>350</v>
      </c>
      <c r="AH612" s="234" t="s">
        <v>317</v>
      </c>
      <c r="AJ612" s="234">
        <v>0</v>
      </c>
      <c r="AK612" s="234">
        <v>5</v>
      </c>
      <c r="AL612" s="234">
        <v>0</v>
      </c>
      <c r="AM612" s="224"/>
      <c r="AN612" s="234">
        <v>5</v>
      </c>
      <c r="AO612" s="234">
        <v>0</v>
      </c>
      <c r="AP612" s="234">
        <v>0</v>
      </c>
      <c r="AQ612" s="234">
        <v>0</v>
      </c>
      <c r="AR612" s="234">
        <v>0</v>
      </c>
      <c r="AS612" s="234">
        <v>0</v>
      </c>
      <c r="AT612" s="234">
        <v>0</v>
      </c>
      <c r="AU612" s="234">
        <v>5</v>
      </c>
      <c r="AV612" s="234">
        <v>0</v>
      </c>
      <c r="AW612" s="234">
        <v>0</v>
      </c>
      <c r="AX612" s="234">
        <v>0</v>
      </c>
      <c r="AY612" s="234">
        <v>0</v>
      </c>
      <c r="AZ612" s="234">
        <v>0</v>
      </c>
      <c r="BA612" s="234">
        <v>0</v>
      </c>
      <c r="BB612" s="234">
        <v>0</v>
      </c>
      <c r="BC612" s="234">
        <v>0</v>
      </c>
      <c r="BD612" s="234">
        <v>0</v>
      </c>
      <c r="BE612" s="234">
        <v>0</v>
      </c>
      <c r="BF612" s="234">
        <v>0</v>
      </c>
      <c r="BG612" s="234">
        <v>0</v>
      </c>
      <c r="BH612" s="234">
        <v>0</v>
      </c>
      <c r="BI612" s="234">
        <v>0</v>
      </c>
      <c r="BJ612" s="234">
        <v>0</v>
      </c>
      <c r="BK612" s="234">
        <v>0</v>
      </c>
      <c r="BL612" s="234">
        <v>0</v>
      </c>
      <c r="BM612" s="234">
        <v>0</v>
      </c>
      <c r="BN612" s="234">
        <v>0</v>
      </c>
      <c r="BO612" s="234">
        <v>0</v>
      </c>
      <c r="BP612" s="234"/>
      <c r="BQ612" s="234"/>
      <c r="BR612" s="237" t="s">
        <v>327</v>
      </c>
      <c r="BS612" s="238">
        <v>7</v>
      </c>
      <c r="BV612" s="239">
        <f t="shared" si="70"/>
        <v>1.25</v>
      </c>
      <c r="BW612" s="239">
        <f t="shared" si="71"/>
        <v>1.25</v>
      </c>
      <c r="BX612" s="239">
        <f t="shared" si="72"/>
        <v>1.25</v>
      </c>
      <c r="BY612" s="239">
        <f>M612/4</f>
        <v>1.25</v>
      </c>
      <c r="CN612" s="238">
        <f t="shared" si="61"/>
        <v>5</v>
      </c>
      <c r="CO612" s="238">
        <f t="shared" si="62"/>
        <v>5</v>
      </c>
    </row>
    <row r="613" spans="1:93" ht="13.95" customHeight="1" x14ac:dyDescent="0.2">
      <c r="A613" s="231">
        <v>3810</v>
      </c>
      <c r="B613" s="232" t="s">
        <v>822</v>
      </c>
      <c r="C613" s="232" t="s">
        <v>1858</v>
      </c>
      <c r="D613" s="232" t="s">
        <v>1859</v>
      </c>
      <c r="E613" s="232" t="s">
        <v>317</v>
      </c>
      <c r="F613" s="231">
        <v>528194</v>
      </c>
      <c r="G613" s="231">
        <v>176681</v>
      </c>
      <c r="H613" s="232" t="s">
        <v>163</v>
      </c>
      <c r="I613" s="233"/>
      <c r="J613" s="231"/>
      <c r="K613" s="231">
        <v>1</v>
      </c>
      <c r="L613" s="231">
        <v>2</v>
      </c>
      <c r="M613" s="231">
        <v>1</v>
      </c>
      <c r="N613" s="231">
        <v>2</v>
      </c>
      <c r="O613" s="231">
        <v>1</v>
      </c>
      <c r="P613" s="234"/>
      <c r="Q613" s="232" t="s">
        <v>1860</v>
      </c>
      <c r="R613" s="234" t="s">
        <v>332</v>
      </c>
      <c r="S613" s="235">
        <v>44467</v>
      </c>
      <c r="T613" s="235">
        <v>44580</v>
      </c>
      <c r="U613" s="234"/>
      <c r="V613" s="232" t="s">
        <v>321</v>
      </c>
      <c r="W613" s="231"/>
      <c r="X613" s="232" t="s">
        <v>322</v>
      </c>
      <c r="Y613" s="232" t="s">
        <v>338</v>
      </c>
      <c r="Z613" s="232" t="s">
        <v>324</v>
      </c>
      <c r="AA613" s="232" t="s">
        <v>411</v>
      </c>
      <c r="AB613" s="236">
        <v>3.1375000000000001E-3</v>
      </c>
      <c r="AC613" s="235"/>
      <c r="AD613" s="234"/>
      <c r="AE613" s="234"/>
      <c r="AF613" s="232" t="s">
        <v>77</v>
      </c>
      <c r="AG613" s="232" t="s">
        <v>350</v>
      </c>
      <c r="AH613" s="234" t="s">
        <v>317</v>
      </c>
      <c r="AJ613" s="234">
        <v>0</v>
      </c>
      <c r="AK613" s="224"/>
      <c r="AL613" s="234">
        <v>0</v>
      </c>
      <c r="AM613" s="224"/>
      <c r="AN613" s="234">
        <v>0</v>
      </c>
      <c r="AO613" s="234">
        <v>2</v>
      </c>
      <c r="AP613" s="234">
        <v>0</v>
      </c>
      <c r="AQ613" s="234">
        <v>-1</v>
      </c>
      <c r="AR613" s="234">
        <v>0</v>
      </c>
      <c r="AS613" s="234">
        <v>0</v>
      </c>
      <c r="AT613" s="234">
        <v>0</v>
      </c>
      <c r="AU613" s="234">
        <v>0</v>
      </c>
      <c r="AV613" s="234">
        <v>2</v>
      </c>
      <c r="AW613" s="234">
        <v>0</v>
      </c>
      <c r="AX613" s="234">
        <v>-1</v>
      </c>
      <c r="AY613" s="234">
        <v>0</v>
      </c>
      <c r="AZ613" s="234">
        <v>0</v>
      </c>
      <c r="BA613" s="234">
        <v>0</v>
      </c>
      <c r="BB613" s="234">
        <v>0</v>
      </c>
      <c r="BC613" s="234">
        <v>0</v>
      </c>
      <c r="BD613" s="234">
        <v>0</v>
      </c>
      <c r="BE613" s="234">
        <v>0</v>
      </c>
      <c r="BF613" s="234">
        <v>0</v>
      </c>
      <c r="BG613" s="234">
        <v>0</v>
      </c>
      <c r="BH613" s="234">
        <v>0</v>
      </c>
      <c r="BI613" s="234">
        <v>0</v>
      </c>
      <c r="BJ613" s="234">
        <v>0</v>
      </c>
      <c r="BK613" s="234">
        <v>0</v>
      </c>
      <c r="BL613" s="234">
        <v>0</v>
      </c>
      <c r="BM613" s="234">
        <v>0</v>
      </c>
      <c r="BN613" s="234">
        <v>0</v>
      </c>
      <c r="BO613" s="234">
        <v>0</v>
      </c>
      <c r="BP613" s="234"/>
      <c r="BQ613" s="234"/>
      <c r="BR613" s="237" t="s">
        <v>334</v>
      </c>
      <c r="BS613" s="238">
        <v>15</v>
      </c>
      <c r="BU613" s="239">
        <f>M613/4</f>
        <v>0.25</v>
      </c>
      <c r="BV613" s="239">
        <f t="shared" si="70"/>
        <v>0.25</v>
      </c>
      <c r="BW613" s="239">
        <f t="shared" si="71"/>
        <v>0.25</v>
      </c>
      <c r="BX613" s="239">
        <f t="shared" si="72"/>
        <v>0.25</v>
      </c>
      <c r="CN613" s="238">
        <f t="shared" si="61"/>
        <v>1</v>
      </c>
      <c r="CO613" s="238">
        <f t="shared" si="62"/>
        <v>1</v>
      </c>
    </row>
    <row r="614" spans="1:93" ht="13.95" customHeight="1" x14ac:dyDescent="0.2">
      <c r="A614" s="231">
        <v>5734</v>
      </c>
      <c r="B614" s="232" t="s">
        <v>822</v>
      </c>
      <c r="C614" s="232" t="s">
        <v>1861</v>
      </c>
      <c r="D614" s="232" t="s">
        <v>1862</v>
      </c>
      <c r="E614" s="232" t="s">
        <v>317</v>
      </c>
      <c r="F614" s="231">
        <v>527231</v>
      </c>
      <c r="G614" s="231">
        <v>171411</v>
      </c>
      <c r="H614" s="232" t="s">
        <v>177</v>
      </c>
      <c r="I614" s="233"/>
      <c r="J614" s="231"/>
      <c r="K614" s="231">
        <v>2</v>
      </c>
      <c r="L614" s="231">
        <v>5</v>
      </c>
      <c r="M614" s="231">
        <v>3</v>
      </c>
      <c r="N614" s="231">
        <v>5</v>
      </c>
      <c r="O614" s="231">
        <v>3</v>
      </c>
      <c r="P614" s="234"/>
      <c r="Q614" s="232" t="s">
        <v>1863</v>
      </c>
      <c r="R614" s="234" t="s">
        <v>332</v>
      </c>
      <c r="S614" s="235">
        <v>43234</v>
      </c>
      <c r="T614" s="235">
        <v>43285</v>
      </c>
      <c r="U614" s="234"/>
      <c r="V614" s="232" t="s">
        <v>321</v>
      </c>
      <c r="W614" s="231"/>
      <c r="X614" s="232" t="s">
        <v>322</v>
      </c>
      <c r="Y614" s="232" t="s">
        <v>323</v>
      </c>
      <c r="Z614" s="232" t="s">
        <v>324</v>
      </c>
      <c r="AA614" s="232" t="s">
        <v>349</v>
      </c>
      <c r="AB614" s="236">
        <v>2.4E-2</v>
      </c>
      <c r="AC614" s="235"/>
      <c r="AD614" s="234"/>
      <c r="AE614" s="234"/>
      <c r="AF614" s="232" t="s">
        <v>77</v>
      </c>
      <c r="AG614" s="232" t="s">
        <v>350</v>
      </c>
      <c r="AH614" s="234" t="s">
        <v>317</v>
      </c>
      <c r="AJ614" s="234">
        <v>0</v>
      </c>
      <c r="AK614" s="224"/>
      <c r="AL614" s="234">
        <v>0</v>
      </c>
      <c r="AM614" s="224"/>
      <c r="AN614" s="234">
        <v>0</v>
      </c>
      <c r="AO614" s="234">
        <v>0</v>
      </c>
      <c r="AP614" s="234">
        <v>2</v>
      </c>
      <c r="AQ614" s="234">
        <v>1</v>
      </c>
      <c r="AR614" s="234">
        <v>0</v>
      </c>
      <c r="AS614" s="234">
        <v>0</v>
      </c>
      <c r="AT614" s="234">
        <v>0</v>
      </c>
      <c r="AU614" s="234">
        <v>0</v>
      </c>
      <c r="AV614" s="234">
        <v>0</v>
      </c>
      <c r="AW614" s="234">
        <v>2</v>
      </c>
      <c r="AX614" s="234">
        <v>1</v>
      </c>
      <c r="AY614" s="234">
        <v>0</v>
      </c>
      <c r="AZ614" s="234">
        <v>0</v>
      </c>
      <c r="BA614" s="234">
        <v>0</v>
      </c>
      <c r="BB614" s="234">
        <v>0</v>
      </c>
      <c r="BC614" s="234">
        <v>0</v>
      </c>
      <c r="BD614" s="234">
        <v>0</v>
      </c>
      <c r="BE614" s="234">
        <v>0</v>
      </c>
      <c r="BF614" s="234">
        <v>0</v>
      </c>
      <c r="BG614" s="234">
        <v>0</v>
      </c>
      <c r="BH614" s="234">
        <v>0</v>
      </c>
      <c r="BI614" s="234">
        <v>0</v>
      </c>
      <c r="BJ614" s="234">
        <v>0</v>
      </c>
      <c r="BK614" s="234">
        <v>0</v>
      </c>
      <c r="BL614" s="234">
        <v>0</v>
      </c>
      <c r="BM614" s="234">
        <v>0</v>
      </c>
      <c r="BN614" s="234">
        <v>0</v>
      </c>
      <c r="BO614" s="234">
        <v>0</v>
      </c>
      <c r="BP614" s="234"/>
      <c r="BQ614" s="234"/>
      <c r="BR614" s="237" t="s">
        <v>144</v>
      </c>
      <c r="BS614" s="238">
        <v>7</v>
      </c>
      <c r="BV614" s="239">
        <f t="shared" si="70"/>
        <v>0.75</v>
      </c>
      <c r="BW614" s="239">
        <f t="shared" si="71"/>
        <v>0.75</v>
      </c>
      <c r="BX614" s="239">
        <f t="shared" si="72"/>
        <v>0.75</v>
      </c>
      <c r="BY614" s="239">
        <f>M614/4</f>
        <v>0.75</v>
      </c>
      <c r="CN614" s="238">
        <f t="shared" si="61"/>
        <v>3</v>
      </c>
      <c r="CO614" s="238">
        <f t="shared" si="62"/>
        <v>3</v>
      </c>
    </row>
    <row r="615" spans="1:93" ht="13.95" customHeight="1" x14ac:dyDescent="0.2">
      <c r="A615" s="231">
        <v>2552</v>
      </c>
      <c r="B615" s="232" t="s">
        <v>822</v>
      </c>
      <c r="C615" s="232" t="s">
        <v>1864</v>
      </c>
      <c r="D615" s="232" t="s">
        <v>1865</v>
      </c>
      <c r="E615" s="232" t="s">
        <v>317</v>
      </c>
      <c r="F615" s="231">
        <v>527504</v>
      </c>
      <c r="G615" s="231">
        <v>171615</v>
      </c>
      <c r="H615" s="232" t="s">
        <v>177</v>
      </c>
      <c r="I615" s="233"/>
      <c r="J615" s="231"/>
      <c r="K615" s="231">
        <v>0</v>
      </c>
      <c r="L615" s="231">
        <v>1</v>
      </c>
      <c r="M615" s="231">
        <v>1</v>
      </c>
      <c r="N615" s="231">
        <v>1</v>
      </c>
      <c r="O615" s="231">
        <v>1</v>
      </c>
      <c r="P615" s="234"/>
      <c r="Q615" s="232" t="s">
        <v>1866</v>
      </c>
      <c r="R615" s="234" t="s">
        <v>332</v>
      </c>
      <c r="S615" s="235">
        <v>43881</v>
      </c>
      <c r="T615" s="235">
        <v>43934</v>
      </c>
      <c r="U615" s="234"/>
      <c r="V615" s="232" t="s">
        <v>321</v>
      </c>
      <c r="W615" s="231"/>
      <c r="X615" s="232" t="s">
        <v>322</v>
      </c>
      <c r="Y615" s="232" t="s">
        <v>339</v>
      </c>
      <c r="Z615" s="232" t="s">
        <v>324</v>
      </c>
      <c r="AA615" s="232" t="s">
        <v>354</v>
      </c>
      <c r="AB615" s="236">
        <v>1E-3</v>
      </c>
      <c r="AC615" s="235"/>
      <c r="AD615" s="234"/>
      <c r="AE615" s="234"/>
      <c r="AF615" s="232" t="s">
        <v>77</v>
      </c>
      <c r="AG615" s="232" t="s">
        <v>350</v>
      </c>
      <c r="AH615" s="234" t="s">
        <v>317</v>
      </c>
      <c r="AJ615" s="234">
        <v>0</v>
      </c>
      <c r="AK615" s="224"/>
      <c r="AL615" s="234">
        <v>0</v>
      </c>
      <c r="AM615" s="224"/>
      <c r="AN615" s="234">
        <v>1</v>
      </c>
      <c r="AO615" s="234">
        <v>0</v>
      </c>
      <c r="AP615" s="234">
        <v>0</v>
      </c>
      <c r="AQ615" s="234">
        <v>0</v>
      </c>
      <c r="AR615" s="234">
        <v>0</v>
      </c>
      <c r="AS615" s="234">
        <v>0</v>
      </c>
      <c r="AT615" s="234">
        <v>0</v>
      </c>
      <c r="AU615" s="234">
        <v>1</v>
      </c>
      <c r="AV615" s="234">
        <v>0</v>
      </c>
      <c r="AW615" s="234">
        <v>0</v>
      </c>
      <c r="AX615" s="234">
        <v>0</v>
      </c>
      <c r="AY615" s="234">
        <v>0</v>
      </c>
      <c r="AZ615" s="234">
        <v>0</v>
      </c>
      <c r="BA615" s="234">
        <v>0</v>
      </c>
      <c r="BB615" s="234">
        <v>0</v>
      </c>
      <c r="BC615" s="234">
        <v>0</v>
      </c>
      <c r="BD615" s="234">
        <v>0</v>
      </c>
      <c r="BE615" s="234">
        <v>0</v>
      </c>
      <c r="BF615" s="234">
        <v>0</v>
      </c>
      <c r="BG615" s="234">
        <v>0</v>
      </c>
      <c r="BH615" s="234">
        <v>0</v>
      </c>
      <c r="BI615" s="234">
        <v>0</v>
      </c>
      <c r="BJ615" s="234">
        <v>0</v>
      </c>
      <c r="BK615" s="234">
        <v>0</v>
      </c>
      <c r="BL615" s="234">
        <v>0</v>
      </c>
      <c r="BM615" s="234">
        <v>0</v>
      </c>
      <c r="BN615" s="234">
        <v>0</v>
      </c>
      <c r="BO615" s="234">
        <v>0</v>
      </c>
      <c r="BP615" s="234" t="s">
        <v>144</v>
      </c>
      <c r="BQ615" s="234"/>
      <c r="BR615" s="237" t="s">
        <v>144</v>
      </c>
      <c r="BS615" s="238">
        <v>15</v>
      </c>
      <c r="BU615" s="239">
        <f>M615/4</f>
        <v>0.25</v>
      </c>
      <c r="BV615" s="239">
        <f t="shared" si="70"/>
        <v>0.25</v>
      </c>
      <c r="BW615" s="239">
        <f t="shared" si="71"/>
        <v>0.25</v>
      </c>
      <c r="BX615" s="239">
        <f t="shared" si="72"/>
        <v>0.25</v>
      </c>
      <c r="CN615" s="238">
        <f t="shared" si="61"/>
        <v>1</v>
      </c>
      <c r="CO615" s="238">
        <f t="shared" si="62"/>
        <v>1</v>
      </c>
    </row>
    <row r="616" spans="1:93" ht="13.95" customHeight="1" x14ac:dyDescent="0.2">
      <c r="A616" s="231">
        <v>1469</v>
      </c>
      <c r="B616" s="232" t="s">
        <v>822</v>
      </c>
      <c r="C616" s="232" t="s">
        <v>1867</v>
      </c>
      <c r="D616" s="232" t="s">
        <v>1868</v>
      </c>
      <c r="E616" s="232" t="s">
        <v>317</v>
      </c>
      <c r="F616" s="231">
        <v>525271</v>
      </c>
      <c r="G616" s="231">
        <v>174673</v>
      </c>
      <c r="H616" s="232" t="s">
        <v>164</v>
      </c>
      <c r="I616" s="233"/>
      <c r="J616" s="231"/>
      <c r="K616" s="231">
        <v>0</v>
      </c>
      <c r="L616" s="231">
        <v>1</v>
      </c>
      <c r="M616" s="231">
        <v>1</v>
      </c>
      <c r="N616" s="231">
        <v>1</v>
      </c>
      <c r="O616" s="231">
        <v>1</v>
      </c>
      <c r="P616" s="234"/>
      <c r="Q616" s="232" t="s">
        <v>1869</v>
      </c>
      <c r="R616" s="234" t="s">
        <v>332</v>
      </c>
      <c r="S616" s="235">
        <v>44900</v>
      </c>
      <c r="T616" s="235">
        <v>44984</v>
      </c>
      <c r="U616" s="234" t="s">
        <v>318</v>
      </c>
      <c r="V616" s="232" t="s">
        <v>321</v>
      </c>
      <c r="W616" s="231"/>
      <c r="X616" s="232" t="s">
        <v>322</v>
      </c>
      <c r="Y616" s="232" t="s">
        <v>378</v>
      </c>
      <c r="Z616" s="232" t="s">
        <v>324</v>
      </c>
      <c r="AA616" s="232" t="s">
        <v>25</v>
      </c>
      <c r="AB616" s="236">
        <v>4.1999999999999997E-3</v>
      </c>
      <c r="AC616" s="235"/>
      <c r="AD616" s="234"/>
      <c r="AE616" s="234"/>
      <c r="AF616" s="232" t="s">
        <v>77</v>
      </c>
      <c r="AG616" s="232" t="s">
        <v>340</v>
      </c>
      <c r="AH616" s="234" t="s">
        <v>317</v>
      </c>
      <c r="AJ616" s="234">
        <v>0</v>
      </c>
      <c r="AK616" s="224"/>
      <c r="AL616" s="234">
        <v>0</v>
      </c>
      <c r="AM616" s="224"/>
      <c r="AN616" s="234">
        <v>1</v>
      </c>
      <c r="AO616" s="234">
        <v>0</v>
      </c>
      <c r="AP616" s="234">
        <v>0</v>
      </c>
      <c r="AQ616" s="234">
        <v>0</v>
      </c>
      <c r="AR616" s="234">
        <v>0</v>
      </c>
      <c r="AS616" s="234">
        <v>0</v>
      </c>
      <c r="AT616" s="234">
        <v>0</v>
      </c>
      <c r="AU616" s="234">
        <v>1</v>
      </c>
      <c r="AV616" s="234">
        <v>0</v>
      </c>
      <c r="AW616" s="234">
        <v>0</v>
      </c>
      <c r="AX616" s="234">
        <v>0</v>
      </c>
      <c r="AY616" s="234">
        <v>0</v>
      </c>
      <c r="AZ616" s="234">
        <v>0</v>
      </c>
      <c r="BA616" s="234">
        <v>0</v>
      </c>
      <c r="BB616" s="234">
        <v>0</v>
      </c>
      <c r="BC616" s="234">
        <v>0</v>
      </c>
      <c r="BD616" s="234">
        <v>0</v>
      </c>
      <c r="BE616" s="234">
        <v>0</v>
      </c>
      <c r="BF616" s="234">
        <v>0</v>
      </c>
      <c r="BG616" s="234">
        <v>0</v>
      </c>
      <c r="BH616" s="234">
        <v>0</v>
      </c>
      <c r="BI616" s="234">
        <v>0</v>
      </c>
      <c r="BJ616" s="234">
        <v>0</v>
      </c>
      <c r="BK616" s="234">
        <v>0</v>
      </c>
      <c r="BL616" s="234">
        <v>0</v>
      </c>
      <c r="BM616" s="234">
        <v>0</v>
      </c>
      <c r="BN616" s="234">
        <v>0</v>
      </c>
      <c r="BO616" s="234">
        <v>0</v>
      </c>
      <c r="BP616" s="234"/>
      <c r="BQ616" s="234"/>
      <c r="BR616" s="237" t="s">
        <v>327</v>
      </c>
      <c r="BS616" s="238">
        <v>15</v>
      </c>
      <c r="BU616" s="239">
        <f>M616/4</f>
        <v>0.25</v>
      </c>
      <c r="BV616" s="239">
        <f t="shared" si="70"/>
        <v>0.25</v>
      </c>
      <c r="BW616" s="239">
        <f t="shared" si="71"/>
        <v>0.25</v>
      </c>
      <c r="BX616" s="239">
        <f t="shared" si="72"/>
        <v>0.25</v>
      </c>
      <c r="CN616" s="238">
        <f t="shared" si="61"/>
        <v>1</v>
      </c>
      <c r="CO616" s="238">
        <f t="shared" si="62"/>
        <v>1</v>
      </c>
    </row>
    <row r="617" spans="1:93" ht="13.95" customHeight="1" x14ac:dyDescent="0.2">
      <c r="A617" s="231">
        <v>7163</v>
      </c>
      <c r="B617" s="232" t="s">
        <v>822</v>
      </c>
      <c r="C617" s="232" t="s">
        <v>1870</v>
      </c>
      <c r="D617" s="232" t="s">
        <v>1871</v>
      </c>
      <c r="E617" s="232" t="s">
        <v>317</v>
      </c>
      <c r="F617" s="231">
        <v>526291</v>
      </c>
      <c r="G617" s="231">
        <v>173671</v>
      </c>
      <c r="H617" s="232" t="s">
        <v>179</v>
      </c>
      <c r="I617" s="233"/>
      <c r="J617" s="231"/>
      <c r="K617" s="231">
        <v>0</v>
      </c>
      <c r="L617" s="231">
        <v>1</v>
      </c>
      <c r="M617" s="231">
        <v>1</v>
      </c>
      <c r="N617" s="231">
        <v>1</v>
      </c>
      <c r="O617" s="231">
        <v>1</v>
      </c>
      <c r="P617" s="234"/>
      <c r="Q617" s="232" t="s">
        <v>1872</v>
      </c>
      <c r="R617" s="234" t="s">
        <v>332</v>
      </c>
      <c r="S617" s="235">
        <v>43571</v>
      </c>
      <c r="T617" s="235">
        <v>43662</v>
      </c>
      <c r="U617" s="234"/>
      <c r="V617" s="232" t="s">
        <v>321</v>
      </c>
      <c r="W617" s="231"/>
      <c r="X617" s="232" t="s">
        <v>322</v>
      </c>
      <c r="Y617" s="232" t="s">
        <v>339</v>
      </c>
      <c r="Z617" s="232" t="s">
        <v>324</v>
      </c>
      <c r="AA617" s="232" t="s">
        <v>354</v>
      </c>
      <c r="AB617" s="236">
        <v>5.0000000000000001E-3</v>
      </c>
      <c r="AC617" s="235"/>
      <c r="AD617" s="234"/>
      <c r="AE617" s="234"/>
      <c r="AF617" s="232" t="s">
        <v>77</v>
      </c>
      <c r="AG617" s="232" t="s">
        <v>350</v>
      </c>
      <c r="AH617" s="234" t="s">
        <v>317</v>
      </c>
      <c r="AJ617" s="234">
        <v>0</v>
      </c>
      <c r="AK617" s="224"/>
      <c r="AL617" s="234">
        <v>0</v>
      </c>
      <c r="AM617" s="224"/>
      <c r="AN617" s="234">
        <v>0</v>
      </c>
      <c r="AO617" s="234">
        <v>1</v>
      </c>
      <c r="AP617" s="234">
        <v>0</v>
      </c>
      <c r="AQ617" s="234">
        <v>0</v>
      </c>
      <c r="AR617" s="234">
        <v>0</v>
      </c>
      <c r="AS617" s="234">
        <v>0</v>
      </c>
      <c r="AT617" s="234">
        <v>0</v>
      </c>
      <c r="AU617" s="234">
        <v>0</v>
      </c>
      <c r="AV617" s="234">
        <v>1</v>
      </c>
      <c r="AW617" s="234">
        <v>0</v>
      </c>
      <c r="AX617" s="234">
        <v>0</v>
      </c>
      <c r="AY617" s="234">
        <v>0</v>
      </c>
      <c r="AZ617" s="234">
        <v>0</v>
      </c>
      <c r="BA617" s="234">
        <v>0</v>
      </c>
      <c r="BB617" s="234">
        <v>0</v>
      </c>
      <c r="BC617" s="234">
        <v>0</v>
      </c>
      <c r="BD617" s="234">
        <v>0</v>
      </c>
      <c r="BE617" s="234">
        <v>0</v>
      </c>
      <c r="BF617" s="234">
        <v>0</v>
      </c>
      <c r="BG617" s="234">
        <v>0</v>
      </c>
      <c r="BH617" s="234">
        <v>0</v>
      </c>
      <c r="BI617" s="234">
        <v>0</v>
      </c>
      <c r="BJ617" s="234">
        <v>0</v>
      </c>
      <c r="BK617" s="234">
        <v>0</v>
      </c>
      <c r="BL617" s="234">
        <v>0</v>
      </c>
      <c r="BM617" s="234">
        <v>0</v>
      </c>
      <c r="BN617" s="234">
        <v>0</v>
      </c>
      <c r="BO617" s="234">
        <v>0</v>
      </c>
      <c r="BP617" s="234"/>
      <c r="BQ617" s="234"/>
      <c r="BR617" s="237" t="s">
        <v>334</v>
      </c>
      <c r="BS617" s="238">
        <v>15</v>
      </c>
      <c r="BU617" s="239">
        <f>M617/4</f>
        <v>0.25</v>
      </c>
      <c r="BV617" s="239">
        <f t="shared" si="70"/>
        <v>0.25</v>
      </c>
      <c r="BW617" s="239">
        <f t="shared" si="71"/>
        <v>0.25</v>
      </c>
      <c r="BX617" s="239">
        <f t="shared" si="72"/>
        <v>0.25</v>
      </c>
      <c r="CN617" s="238">
        <f t="shared" si="61"/>
        <v>1</v>
      </c>
      <c r="CO617" s="238">
        <f t="shared" si="62"/>
        <v>1</v>
      </c>
    </row>
    <row r="618" spans="1:93" ht="13.95" customHeight="1" x14ac:dyDescent="0.2">
      <c r="A618" s="231">
        <v>7472</v>
      </c>
      <c r="B618" s="232" t="s">
        <v>822</v>
      </c>
      <c r="C618" s="232" t="s">
        <v>1873</v>
      </c>
      <c r="D618" s="232" t="s">
        <v>1874</v>
      </c>
      <c r="E618" s="232" t="s">
        <v>317</v>
      </c>
      <c r="F618" s="231">
        <v>528038</v>
      </c>
      <c r="G618" s="231">
        <v>175601</v>
      </c>
      <c r="H618" s="232" t="s">
        <v>167</v>
      </c>
      <c r="I618" s="233"/>
      <c r="J618" s="231"/>
      <c r="K618" s="231">
        <v>0</v>
      </c>
      <c r="L618" s="231">
        <v>1</v>
      </c>
      <c r="M618" s="231">
        <v>1</v>
      </c>
      <c r="N618" s="231">
        <v>1</v>
      </c>
      <c r="O618" s="231">
        <v>1</v>
      </c>
      <c r="P618" s="234"/>
      <c r="Q618" s="232" t="s">
        <v>1875</v>
      </c>
      <c r="R618" s="234" t="s">
        <v>332</v>
      </c>
      <c r="S618" s="235">
        <v>44081</v>
      </c>
      <c r="T618" s="235">
        <v>44137</v>
      </c>
      <c r="U618" s="234"/>
      <c r="V618" s="232" t="s">
        <v>321</v>
      </c>
      <c r="W618" s="231"/>
      <c r="X618" s="232" t="s">
        <v>322</v>
      </c>
      <c r="Y618" s="232" t="s">
        <v>339</v>
      </c>
      <c r="Z618" s="232" t="s">
        <v>324</v>
      </c>
      <c r="AA618" s="232" t="s">
        <v>354</v>
      </c>
      <c r="AB618" s="236">
        <v>4.0000000000000001E-3</v>
      </c>
      <c r="AC618" s="235"/>
      <c r="AD618" s="234"/>
      <c r="AE618" s="234"/>
      <c r="AF618" s="232" t="s">
        <v>77</v>
      </c>
      <c r="AG618" s="232" t="s">
        <v>350</v>
      </c>
      <c r="AH618" s="234" t="s">
        <v>317</v>
      </c>
      <c r="AJ618" s="234">
        <v>0</v>
      </c>
      <c r="AK618" s="224"/>
      <c r="AL618" s="234">
        <v>0</v>
      </c>
      <c r="AM618" s="224"/>
      <c r="AN618" s="234">
        <v>0</v>
      </c>
      <c r="AO618" s="234">
        <v>1</v>
      </c>
      <c r="AP618" s="234">
        <v>0</v>
      </c>
      <c r="AQ618" s="234">
        <v>0</v>
      </c>
      <c r="AR618" s="234">
        <v>0</v>
      </c>
      <c r="AS618" s="234">
        <v>0</v>
      </c>
      <c r="AT618" s="234">
        <v>0</v>
      </c>
      <c r="AU618" s="234">
        <v>0</v>
      </c>
      <c r="AV618" s="234">
        <v>1</v>
      </c>
      <c r="AW618" s="234">
        <v>0</v>
      </c>
      <c r="AX618" s="234">
        <v>0</v>
      </c>
      <c r="AY618" s="234">
        <v>0</v>
      </c>
      <c r="AZ618" s="234">
        <v>0</v>
      </c>
      <c r="BA618" s="234">
        <v>0</v>
      </c>
      <c r="BB618" s="234">
        <v>0</v>
      </c>
      <c r="BC618" s="234">
        <v>0</v>
      </c>
      <c r="BD618" s="234">
        <v>0</v>
      </c>
      <c r="BE618" s="234">
        <v>0</v>
      </c>
      <c r="BF618" s="234">
        <v>0</v>
      </c>
      <c r="BG618" s="234">
        <v>0</v>
      </c>
      <c r="BH618" s="234">
        <v>0</v>
      </c>
      <c r="BI618" s="234">
        <v>0</v>
      </c>
      <c r="BJ618" s="234">
        <v>0</v>
      </c>
      <c r="BK618" s="234">
        <v>0</v>
      </c>
      <c r="BL618" s="234">
        <v>0</v>
      </c>
      <c r="BM618" s="234">
        <v>0</v>
      </c>
      <c r="BN618" s="234">
        <v>0</v>
      </c>
      <c r="BO618" s="234">
        <v>0</v>
      </c>
      <c r="BP618" s="234"/>
      <c r="BQ618" s="234"/>
      <c r="BR618" s="237" t="s">
        <v>334</v>
      </c>
      <c r="BS618" s="238">
        <v>15</v>
      </c>
      <c r="BU618" s="239">
        <f>M618/4</f>
        <v>0.25</v>
      </c>
      <c r="BV618" s="239">
        <f t="shared" si="70"/>
        <v>0.25</v>
      </c>
      <c r="BW618" s="239">
        <f t="shared" si="71"/>
        <v>0.25</v>
      </c>
      <c r="BX618" s="239">
        <f t="shared" si="72"/>
        <v>0.25</v>
      </c>
      <c r="CN618" s="238">
        <f t="shared" si="61"/>
        <v>1</v>
      </c>
      <c r="CO618" s="238">
        <f t="shared" si="62"/>
        <v>1</v>
      </c>
    </row>
    <row r="619" spans="1:93" ht="13.95" customHeight="1" x14ac:dyDescent="0.2">
      <c r="A619" s="231">
        <v>6990</v>
      </c>
      <c r="B619" s="232" t="s">
        <v>822</v>
      </c>
      <c r="C619" s="232" t="s">
        <v>1876</v>
      </c>
      <c r="D619" s="232" t="s">
        <v>1877</v>
      </c>
      <c r="E619" s="232" t="s">
        <v>317</v>
      </c>
      <c r="F619" s="231">
        <v>526243</v>
      </c>
      <c r="G619" s="231">
        <v>174114</v>
      </c>
      <c r="H619" s="232" t="s">
        <v>179</v>
      </c>
      <c r="I619" s="233"/>
      <c r="J619" s="231"/>
      <c r="K619" s="231">
        <v>1</v>
      </c>
      <c r="L619" s="231">
        <v>1</v>
      </c>
      <c r="M619" s="231">
        <v>0</v>
      </c>
      <c r="N619" s="231">
        <v>1</v>
      </c>
      <c r="O619" s="231">
        <v>0</v>
      </c>
      <c r="P619" s="234"/>
      <c r="Q619" s="232" t="s">
        <v>1878</v>
      </c>
      <c r="R619" s="234" t="s">
        <v>332</v>
      </c>
      <c r="S619" s="235">
        <v>44727</v>
      </c>
      <c r="T619" s="235">
        <v>44819</v>
      </c>
      <c r="U619" s="234" t="s">
        <v>318</v>
      </c>
      <c r="V619" s="232" t="s">
        <v>321</v>
      </c>
      <c r="W619" s="231"/>
      <c r="X619" s="232" t="s">
        <v>322</v>
      </c>
      <c r="Y619" s="232" t="s">
        <v>323</v>
      </c>
      <c r="Z619" s="232" t="s">
        <v>324</v>
      </c>
      <c r="AA619" s="232" t="s">
        <v>349</v>
      </c>
      <c r="AB619" s="236">
        <v>4.7499999999999999E-3</v>
      </c>
      <c r="AC619" s="235"/>
      <c r="AD619" s="234"/>
      <c r="AE619" s="234"/>
      <c r="AF619" s="232" t="s">
        <v>77</v>
      </c>
      <c r="AG619" s="232" t="s">
        <v>350</v>
      </c>
      <c r="AH619" s="234" t="s">
        <v>317</v>
      </c>
      <c r="AJ619" s="234">
        <v>0</v>
      </c>
      <c r="AK619" s="224"/>
      <c r="AL619" s="234">
        <v>0</v>
      </c>
      <c r="AM619" s="224"/>
      <c r="AN619" s="234">
        <v>0</v>
      </c>
      <c r="AO619" s="234">
        <v>-1</v>
      </c>
      <c r="AP619" s="234">
        <v>0</v>
      </c>
      <c r="AQ619" s="234">
        <v>1</v>
      </c>
      <c r="AR619" s="234">
        <v>0</v>
      </c>
      <c r="AS619" s="234">
        <v>0</v>
      </c>
      <c r="AT619" s="234">
        <v>0</v>
      </c>
      <c r="AU619" s="234">
        <v>0</v>
      </c>
      <c r="AV619" s="234">
        <v>0</v>
      </c>
      <c r="AW619" s="234">
        <v>0</v>
      </c>
      <c r="AX619" s="234">
        <v>0</v>
      </c>
      <c r="AY619" s="234">
        <v>0</v>
      </c>
      <c r="AZ619" s="234">
        <v>0</v>
      </c>
      <c r="BA619" s="234">
        <v>0</v>
      </c>
      <c r="BB619" s="234">
        <v>0</v>
      </c>
      <c r="BC619" s="234">
        <v>-1</v>
      </c>
      <c r="BD619" s="234">
        <v>0</v>
      </c>
      <c r="BE619" s="234">
        <v>1</v>
      </c>
      <c r="BF619" s="234">
        <v>0</v>
      </c>
      <c r="BG619" s="234">
        <v>0</v>
      </c>
      <c r="BH619" s="234">
        <v>0</v>
      </c>
      <c r="BI619" s="234">
        <v>0</v>
      </c>
      <c r="BJ619" s="234">
        <v>0</v>
      </c>
      <c r="BK619" s="234">
        <v>0</v>
      </c>
      <c r="BL619" s="234">
        <v>0</v>
      </c>
      <c r="BM619" s="234">
        <v>0</v>
      </c>
      <c r="BN619" s="234">
        <v>0</v>
      </c>
      <c r="BO619" s="234">
        <v>0</v>
      </c>
      <c r="BP619" s="234"/>
      <c r="BQ619" s="234"/>
      <c r="BR619" s="237" t="s">
        <v>334</v>
      </c>
      <c r="BS619" s="238">
        <v>7</v>
      </c>
      <c r="BV619" s="239">
        <f t="shared" si="70"/>
        <v>0</v>
      </c>
      <c r="BW619" s="239">
        <f t="shared" si="71"/>
        <v>0</v>
      </c>
      <c r="BX619" s="239">
        <f t="shared" si="72"/>
        <v>0</v>
      </c>
      <c r="BY619" s="239">
        <f>M619/4</f>
        <v>0</v>
      </c>
      <c r="CN619" s="238">
        <f t="shared" si="61"/>
        <v>0</v>
      </c>
      <c r="CO619" s="238">
        <f t="shared" si="62"/>
        <v>0</v>
      </c>
    </row>
    <row r="620" spans="1:93" ht="13.95" customHeight="1" x14ac:dyDescent="0.2">
      <c r="A620" s="231">
        <v>7897</v>
      </c>
      <c r="B620" s="232" t="s">
        <v>822</v>
      </c>
      <c r="C620" s="232" t="s">
        <v>1879</v>
      </c>
      <c r="D620" s="232" t="s">
        <v>1880</v>
      </c>
      <c r="E620" s="232" t="s">
        <v>317</v>
      </c>
      <c r="F620" s="231">
        <v>528647</v>
      </c>
      <c r="G620" s="231">
        <v>173103</v>
      </c>
      <c r="H620" s="232" t="s">
        <v>172</v>
      </c>
      <c r="I620" s="233"/>
      <c r="J620" s="231"/>
      <c r="K620" s="231">
        <v>0</v>
      </c>
      <c r="L620" s="231">
        <v>1</v>
      </c>
      <c r="M620" s="231">
        <v>1</v>
      </c>
      <c r="N620" s="231">
        <v>1</v>
      </c>
      <c r="O620" s="231">
        <v>1</v>
      </c>
      <c r="P620" s="234"/>
      <c r="Q620" s="232" t="s">
        <v>1881</v>
      </c>
      <c r="R620" s="234" t="s">
        <v>332</v>
      </c>
      <c r="S620" s="235">
        <v>44830</v>
      </c>
      <c r="T620" s="235">
        <v>44910</v>
      </c>
      <c r="U620" s="234" t="s">
        <v>318</v>
      </c>
      <c r="V620" s="232" t="s">
        <v>321</v>
      </c>
      <c r="W620" s="231"/>
      <c r="X620" s="232" t="s">
        <v>322</v>
      </c>
      <c r="Y620" s="232" t="s">
        <v>339</v>
      </c>
      <c r="Z620" s="232" t="s">
        <v>324</v>
      </c>
      <c r="AA620" s="232" t="s">
        <v>354</v>
      </c>
      <c r="AB620" s="236">
        <v>5.1700000000000001E-3</v>
      </c>
      <c r="AC620" s="235"/>
      <c r="AD620" s="234"/>
      <c r="AE620" s="234"/>
      <c r="AF620" s="232" t="s">
        <v>77</v>
      </c>
      <c r="AG620" s="232" t="s">
        <v>340</v>
      </c>
      <c r="AH620" s="234" t="s">
        <v>317</v>
      </c>
      <c r="AJ620" s="234">
        <v>0</v>
      </c>
      <c r="AK620" s="224"/>
      <c r="AL620" s="234">
        <v>0</v>
      </c>
      <c r="AM620" s="224"/>
      <c r="AN620" s="234">
        <v>0</v>
      </c>
      <c r="AO620" s="234">
        <v>1</v>
      </c>
      <c r="AP620" s="234">
        <v>0</v>
      </c>
      <c r="AQ620" s="234">
        <v>0</v>
      </c>
      <c r="AR620" s="234">
        <v>0</v>
      </c>
      <c r="AS620" s="234">
        <v>0</v>
      </c>
      <c r="AT620" s="234">
        <v>0</v>
      </c>
      <c r="AU620" s="234">
        <v>0</v>
      </c>
      <c r="AV620" s="234">
        <v>1</v>
      </c>
      <c r="AW620" s="234">
        <v>0</v>
      </c>
      <c r="AX620" s="234">
        <v>0</v>
      </c>
      <c r="AY620" s="234">
        <v>0</v>
      </c>
      <c r="AZ620" s="234">
        <v>0</v>
      </c>
      <c r="BA620" s="234">
        <v>0</v>
      </c>
      <c r="BB620" s="234">
        <v>0</v>
      </c>
      <c r="BC620" s="234">
        <v>0</v>
      </c>
      <c r="BD620" s="234">
        <v>0</v>
      </c>
      <c r="BE620" s="234">
        <v>0</v>
      </c>
      <c r="BF620" s="234">
        <v>0</v>
      </c>
      <c r="BG620" s="234">
        <v>0</v>
      </c>
      <c r="BH620" s="234">
        <v>0</v>
      </c>
      <c r="BI620" s="234">
        <v>0</v>
      </c>
      <c r="BJ620" s="234">
        <v>0</v>
      </c>
      <c r="BK620" s="234">
        <v>0</v>
      </c>
      <c r="BL620" s="234">
        <v>0</v>
      </c>
      <c r="BM620" s="234">
        <v>0</v>
      </c>
      <c r="BN620" s="234">
        <v>0</v>
      </c>
      <c r="BO620" s="234">
        <v>0</v>
      </c>
      <c r="BP620" s="234"/>
      <c r="BQ620" s="234"/>
      <c r="BR620" s="237" t="s">
        <v>141</v>
      </c>
      <c r="BS620" s="238">
        <v>15</v>
      </c>
      <c r="BU620" s="239">
        <f>M620/4</f>
        <v>0.25</v>
      </c>
      <c r="BV620" s="239">
        <f t="shared" si="70"/>
        <v>0.25</v>
      </c>
      <c r="BW620" s="239">
        <f t="shared" si="71"/>
        <v>0.25</v>
      </c>
      <c r="BX620" s="239">
        <f t="shared" si="72"/>
        <v>0.25</v>
      </c>
      <c r="CN620" s="238">
        <f t="shared" si="61"/>
        <v>1</v>
      </c>
      <c r="CO620" s="238">
        <f t="shared" si="62"/>
        <v>1</v>
      </c>
    </row>
    <row r="621" spans="1:93" ht="13.95" customHeight="1" x14ac:dyDescent="0.2">
      <c r="A621" s="231">
        <v>7691</v>
      </c>
      <c r="B621" s="232" t="s">
        <v>822</v>
      </c>
      <c r="C621" s="232" t="s">
        <v>1882</v>
      </c>
      <c r="D621" s="232" t="s">
        <v>1883</v>
      </c>
      <c r="E621" s="232" t="s">
        <v>317</v>
      </c>
      <c r="F621" s="231">
        <v>526952</v>
      </c>
      <c r="G621" s="231">
        <v>171670</v>
      </c>
      <c r="H621" s="232" t="s">
        <v>177</v>
      </c>
      <c r="I621" s="233"/>
      <c r="J621" s="231"/>
      <c r="K621" s="231">
        <v>1</v>
      </c>
      <c r="L621" s="231">
        <v>2</v>
      </c>
      <c r="M621" s="231">
        <v>1</v>
      </c>
      <c r="N621" s="231">
        <v>2</v>
      </c>
      <c r="O621" s="231">
        <v>1</v>
      </c>
      <c r="P621" s="234"/>
      <c r="Q621" s="232" t="s">
        <v>1884</v>
      </c>
      <c r="R621" s="234" t="s">
        <v>332</v>
      </c>
      <c r="S621" s="235">
        <v>44498</v>
      </c>
      <c r="T621" s="235">
        <v>44552</v>
      </c>
      <c r="U621" s="234"/>
      <c r="V621" s="232" t="s">
        <v>321</v>
      </c>
      <c r="W621" s="231"/>
      <c r="X621" s="232" t="s">
        <v>322</v>
      </c>
      <c r="Y621" s="232" t="s">
        <v>339</v>
      </c>
      <c r="Z621" s="232" t="s">
        <v>324</v>
      </c>
      <c r="AA621" s="232" t="s">
        <v>354</v>
      </c>
      <c r="AB621" s="236">
        <v>6.0000000000000001E-3</v>
      </c>
      <c r="AC621" s="235"/>
      <c r="AD621" s="234"/>
      <c r="AE621" s="234"/>
      <c r="AF621" s="232" t="s">
        <v>77</v>
      </c>
      <c r="AG621" s="232" t="s">
        <v>350</v>
      </c>
      <c r="AH621" s="234" t="s">
        <v>317</v>
      </c>
      <c r="AJ621" s="234">
        <v>0</v>
      </c>
      <c r="AK621" s="224"/>
      <c r="AL621" s="234">
        <v>0</v>
      </c>
      <c r="AM621" s="224"/>
      <c r="AN621" s="234">
        <v>0</v>
      </c>
      <c r="AO621" s="234">
        <v>1</v>
      </c>
      <c r="AP621" s="234">
        <v>0</v>
      </c>
      <c r="AQ621" s="234">
        <v>0</v>
      </c>
      <c r="AR621" s="234">
        <v>0</v>
      </c>
      <c r="AS621" s="234">
        <v>0</v>
      </c>
      <c r="AT621" s="234">
        <v>0</v>
      </c>
      <c r="AU621" s="234">
        <v>0</v>
      </c>
      <c r="AV621" s="234">
        <v>1</v>
      </c>
      <c r="AW621" s="234">
        <v>0</v>
      </c>
      <c r="AX621" s="234">
        <v>0</v>
      </c>
      <c r="AY621" s="234">
        <v>0</v>
      </c>
      <c r="AZ621" s="234">
        <v>0</v>
      </c>
      <c r="BA621" s="234">
        <v>0</v>
      </c>
      <c r="BB621" s="234">
        <v>0</v>
      </c>
      <c r="BC621" s="234">
        <v>0</v>
      </c>
      <c r="BD621" s="234">
        <v>0</v>
      </c>
      <c r="BE621" s="234">
        <v>0</v>
      </c>
      <c r="BF621" s="234">
        <v>0</v>
      </c>
      <c r="BG621" s="234">
        <v>0</v>
      </c>
      <c r="BH621" s="234">
        <v>0</v>
      </c>
      <c r="BI621" s="234">
        <v>0</v>
      </c>
      <c r="BJ621" s="234">
        <v>0</v>
      </c>
      <c r="BK621" s="234">
        <v>0</v>
      </c>
      <c r="BL621" s="234">
        <v>0</v>
      </c>
      <c r="BM621" s="234">
        <v>0</v>
      </c>
      <c r="BN621" s="234">
        <v>0</v>
      </c>
      <c r="BO621" s="234">
        <v>0</v>
      </c>
      <c r="BP621" s="234"/>
      <c r="BQ621" s="234"/>
      <c r="BR621" s="237" t="s">
        <v>334</v>
      </c>
      <c r="BS621" s="238">
        <v>15</v>
      </c>
      <c r="BU621" s="239">
        <f>M621/4</f>
        <v>0.25</v>
      </c>
      <c r="BV621" s="239">
        <f t="shared" si="70"/>
        <v>0.25</v>
      </c>
      <c r="BW621" s="239">
        <f t="shared" si="71"/>
        <v>0.25</v>
      </c>
      <c r="BX621" s="239">
        <f t="shared" si="72"/>
        <v>0.25</v>
      </c>
      <c r="CN621" s="238">
        <f t="shared" si="61"/>
        <v>1</v>
      </c>
      <c r="CO621" s="238">
        <f t="shared" si="62"/>
        <v>1</v>
      </c>
    </row>
    <row r="622" spans="1:93" ht="13.95" customHeight="1" x14ac:dyDescent="0.2">
      <c r="A622" s="231">
        <v>3652</v>
      </c>
      <c r="B622" s="232" t="s">
        <v>822</v>
      </c>
      <c r="C622" s="232" t="s">
        <v>1885</v>
      </c>
      <c r="D622" s="232" t="s">
        <v>1886</v>
      </c>
      <c r="E622" s="232" t="s">
        <v>317</v>
      </c>
      <c r="F622" s="231">
        <v>527224</v>
      </c>
      <c r="G622" s="231">
        <v>177200</v>
      </c>
      <c r="H622" s="232" t="s">
        <v>163</v>
      </c>
      <c r="I622" s="233">
        <v>43571</v>
      </c>
      <c r="J622" s="231"/>
      <c r="K622" s="231">
        <v>0</v>
      </c>
      <c r="L622" s="231">
        <v>4</v>
      </c>
      <c r="M622" s="231">
        <v>4</v>
      </c>
      <c r="N622" s="231">
        <v>4</v>
      </c>
      <c r="O622" s="231">
        <v>4</v>
      </c>
      <c r="P622" s="234"/>
      <c r="Q622" s="232" t="s">
        <v>1887</v>
      </c>
      <c r="R622" s="234" t="s">
        <v>332</v>
      </c>
      <c r="S622" s="235">
        <v>42412</v>
      </c>
      <c r="T622" s="235">
        <v>42517</v>
      </c>
      <c r="U622" s="234"/>
      <c r="V622" s="232" t="s">
        <v>321</v>
      </c>
      <c r="W622" s="231"/>
      <c r="X622" s="232" t="s">
        <v>322</v>
      </c>
      <c r="Y622" s="232" t="s">
        <v>323</v>
      </c>
      <c r="Z622" s="232" t="s">
        <v>324</v>
      </c>
      <c r="AA622" s="232" t="s">
        <v>349</v>
      </c>
      <c r="AB622" s="236">
        <v>4.2000000000000003E-2</v>
      </c>
      <c r="AC622" s="235"/>
      <c r="AD622" s="234"/>
      <c r="AE622" s="234"/>
      <c r="AF622" s="232" t="s">
        <v>77</v>
      </c>
      <c r="AG622" s="232" t="s">
        <v>350</v>
      </c>
      <c r="AH622" s="234" t="s">
        <v>317</v>
      </c>
      <c r="AJ622" s="234">
        <v>0</v>
      </c>
      <c r="AK622" s="224"/>
      <c r="AL622" s="234">
        <v>0</v>
      </c>
      <c r="AM622" s="224"/>
      <c r="AN622" s="234">
        <v>0</v>
      </c>
      <c r="AO622" s="234">
        <v>0</v>
      </c>
      <c r="AP622" s="234">
        <v>4</v>
      </c>
      <c r="AQ622" s="234">
        <v>0</v>
      </c>
      <c r="AR622" s="234">
        <v>0</v>
      </c>
      <c r="AS622" s="234">
        <v>0</v>
      </c>
      <c r="AT622" s="234">
        <v>0</v>
      </c>
      <c r="AU622" s="234">
        <v>0</v>
      </c>
      <c r="AV622" s="234">
        <v>0</v>
      </c>
      <c r="AW622" s="234">
        <v>4</v>
      </c>
      <c r="AX622" s="234">
        <v>0</v>
      </c>
      <c r="AY622" s="234">
        <v>0</v>
      </c>
      <c r="AZ622" s="234">
        <v>0</v>
      </c>
      <c r="BA622" s="234">
        <v>0</v>
      </c>
      <c r="BB622" s="234">
        <v>0</v>
      </c>
      <c r="BC622" s="234">
        <v>0</v>
      </c>
      <c r="BD622" s="234">
        <v>0</v>
      </c>
      <c r="BE622" s="234">
        <v>0</v>
      </c>
      <c r="BF622" s="234">
        <v>0</v>
      </c>
      <c r="BG622" s="234">
        <v>0</v>
      </c>
      <c r="BH622" s="234">
        <v>0</v>
      </c>
      <c r="BI622" s="234">
        <v>0</v>
      </c>
      <c r="BJ622" s="234">
        <v>0</v>
      </c>
      <c r="BK622" s="234">
        <v>0</v>
      </c>
      <c r="BL622" s="234">
        <v>0</v>
      </c>
      <c r="BM622" s="234">
        <v>0</v>
      </c>
      <c r="BN622" s="234">
        <v>0</v>
      </c>
      <c r="BO622" s="234">
        <v>0</v>
      </c>
      <c r="BP622" s="234"/>
      <c r="BQ622" s="234"/>
      <c r="BR622" s="237" t="s">
        <v>481</v>
      </c>
      <c r="BS622" s="238">
        <v>7</v>
      </c>
      <c r="BV622" s="239">
        <f t="shared" si="70"/>
        <v>1</v>
      </c>
      <c r="BW622" s="239">
        <f t="shared" si="71"/>
        <v>1</v>
      </c>
      <c r="BX622" s="239">
        <f t="shared" si="72"/>
        <v>1</v>
      </c>
      <c r="BY622" s="239">
        <f>M622/4</f>
        <v>1</v>
      </c>
      <c r="CN622" s="238">
        <f t="shared" si="61"/>
        <v>4</v>
      </c>
      <c r="CO622" s="238">
        <f t="shared" si="62"/>
        <v>4</v>
      </c>
    </row>
    <row r="623" spans="1:93" ht="13.95" customHeight="1" x14ac:dyDescent="0.2">
      <c r="A623" s="231">
        <v>3246</v>
      </c>
      <c r="B623" s="232" t="s">
        <v>822</v>
      </c>
      <c r="C623" s="232" t="s">
        <v>1888</v>
      </c>
      <c r="D623" s="232" t="s">
        <v>1889</v>
      </c>
      <c r="E623" s="232" t="s">
        <v>317</v>
      </c>
      <c r="F623" s="231">
        <v>523446</v>
      </c>
      <c r="G623" s="231">
        <v>175860</v>
      </c>
      <c r="H623" s="232" t="s">
        <v>175</v>
      </c>
      <c r="I623" s="233"/>
      <c r="J623" s="231"/>
      <c r="K623" s="231">
        <v>0</v>
      </c>
      <c r="L623" s="231">
        <v>1</v>
      </c>
      <c r="M623" s="231">
        <v>1</v>
      </c>
      <c r="N623" s="231">
        <v>2</v>
      </c>
      <c r="O623" s="231">
        <v>1</v>
      </c>
      <c r="P623" s="234"/>
      <c r="Q623" s="232" t="s">
        <v>1890</v>
      </c>
      <c r="R623" s="234" t="s">
        <v>332</v>
      </c>
      <c r="S623" s="235">
        <v>43928</v>
      </c>
      <c r="T623" s="235">
        <v>43983</v>
      </c>
      <c r="U623" s="234"/>
      <c r="V623" s="232" t="s">
        <v>321</v>
      </c>
      <c r="W623" s="231"/>
      <c r="X623" s="232" t="s">
        <v>322</v>
      </c>
      <c r="Y623" s="232" t="s">
        <v>338</v>
      </c>
      <c r="Z623" s="232" t="s">
        <v>324</v>
      </c>
      <c r="AA623" s="232" t="s">
        <v>354</v>
      </c>
      <c r="AB623" s="236">
        <v>5.0000000000000001E-3</v>
      </c>
      <c r="AC623" s="235"/>
      <c r="AD623" s="234"/>
      <c r="AE623" s="234"/>
      <c r="AF623" s="232" t="s">
        <v>77</v>
      </c>
      <c r="AG623" s="232" t="s">
        <v>350</v>
      </c>
      <c r="AH623" s="234" t="s">
        <v>317</v>
      </c>
      <c r="AJ623" s="234">
        <v>0</v>
      </c>
      <c r="AK623" s="224"/>
      <c r="AL623" s="234">
        <v>0</v>
      </c>
      <c r="AM623" s="224"/>
      <c r="AN623" s="234">
        <v>0</v>
      </c>
      <c r="AO623" s="234">
        <v>1</v>
      </c>
      <c r="AP623" s="234">
        <v>0</v>
      </c>
      <c r="AQ623" s="234">
        <v>0</v>
      </c>
      <c r="AR623" s="234">
        <v>0</v>
      </c>
      <c r="AS623" s="234">
        <v>0</v>
      </c>
      <c r="AT623" s="234">
        <v>0</v>
      </c>
      <c r="AU623" s="234">
        <v>0</v>
      </c>
      <c r="AV623" s="234">
        <v>1</v>
      </c>
      <c r="AW623" s="234">
        <v>0</v>
      </c>
      <c r="AX623" s="234">
        <v>0</v>
      </c>
      <c r="AY623" s="234">
        <v>0</v>
      </c>
      <c r="AZ623" s="234">
        <v>0</v>
      </c>
      <c r="BA623" s="234">
        <v>0</v>
      </c>
      <c r="BB623" s="234">
        <v>0</v>
      </c>
      <c r="BC623" s="234">
        <v>0</v>
      </c>
      <c r="BD623" s="234">
        <v>0</v>
      </c>
      <c r="BE623" s="234">
        <v>0</v>
      </c>
      <c r="BF623" s="234">
        <v>0</v>
      </c>
      <c r="BG623" s="234">
        <v>0</v>
      </c>
      <c r="BH623" s="234">
        <v>0</v>
      </c>
      <c r="BI623" s="234">
        <v>0</v>
      </c>
      <c r="BJ623" s="234">
        <v>0</v>
      </c>
      <c r="BK623" s="234">
        <v>0</v>
      </c>
      <c r="BL623" s="234">
        <v>0</v>
      </c>
      <c r="BM623" s="234">
        <v>0</v>
      </c>
      <c r="BN623" s="234">
        <v>0</v>
      </c>
      <c r="BO623" s="234">
        <v>0</v>
      </c>
      <c r="BP623" s="234"/>
      <c r="BQ623" s="234"/>
      <c r="BR623" s="237" t="s">
        <v>334</v>
      </c>
      <c r="BS623" s="238">
        <v>15</v>
      </c>
      <c r="BU623" s="239">
        <f>M623/4</f>
        <v>0.25</v>
      </c>
      <c r="BV623" s="239">
        <f t="shared" si="70"/>
        <v>0.25</v>
      </c>
      <c r="BW623" s="239">
        <f t="shared" si="71"/>
        <v>0.25</v>
      </c>
      <c r="BX623" s="239">
        <f t="shared" si="72"/>
        <v>0.25</v>
      </c>
      <c r="CN623" s="238">
        <f t="shared" si="61"/>
        <v>1</v>
      </c>
      <c r="CO623" s="238">
        <f t="shared" si="62"/>
        <v>1</v>
      </c>
    </row>
    <row r="624" spans="1:93" ht="13.95" customHeight="1" x14ac:dyDescent="0.2">
      <c r="A624" s="231">
        <v>7682</v>
      </c>
      <c r="B624" s="232" t="s">
        <v>822</v>
      </c>
      <c r="C624" s="232" t="s">
        <v>1891</v>
      </c>
      <c r="D624" s="232" t="s">
        <v>1892</v>
      </c>
      <c r="E624" s="232" t="s">
        <v>317</v>
      </c>
      <c r="F624" s="231">
        <v>528225</v>
      </c>
      <c r="G624" s="231">
        <v>171618</v>
      </c>
      <c r="H624" s="232" t="s">
        <v>176</v>
      </c>
      <c r="I624" s="233"/>
      <c r="J624" s="231"/>
      <c r="K624" s="231">
        <v>2</v>
      </c>
      <c r="L624" s="231">
        <v>3</v>
      </c>
      <c r="M624" s="231">
        <v>1</v>
      </c>
      <c r="N624" s="231">
        <v>3</v>
      </c>
      <c r="O624" s="231">
        <v>1</v>
      </c>
      <c r="P624" s="234"/>
      <c r="Q624" s="232" t="s">
        <v>1893</v>
      </c>
      <c r="R624" s="234" t="s">
        <v>332</v>
      </c>
      <c r="S624" s="235">
        <v>44459</v>
      </c>
      <c r="T624" s="235">
        <v>44515</v>
      </c>
      <c r="U624" s="234"/>
      <c r="V624" s="232" t="s">
        <v>321</v>
      </c>
      <c r="W624" s="231"/>
      <c r="X624" s="232" t="s">
        <v>322</v>
      </c>
      <c r="Y624" s="232" t="s">
        <v>339</v>
      </c>
      <c r="Z624" s="232" t="s">
        <v>324</v>
      </c>
      <c r="AA624" s="232" t="s">
        <v>354</v>
      </c>
      <c r="AB624" s="236">
        <v>8.0000000000000002E-3</v>
      </c>
      <c r="AC624" s="235"/>
      <c r="AD624" s="234"/>
      <c r="AE624" s="234"/>
      <c r="AF624" s="232" t="s">
        <v>77</v>
      </c>
      <c r="AG624" s="232" t="s">
        <v>350</v>
      </c>
      <c r="AH624" s="234" t="s">
        <v>317</v>
      </c>
      <c r="AJ624" s="234">
        <v>0</v>
      </c>
      <c r="AK624" s="224"/>
      <c r="AL624" s="234">
        <v>0</v>
      </c>
      <c r="AM624" s="224"/>
      <c r="AN624" s="234">
        <v>1</v>
      </c>
      <c r="AO624" s="234">
        <v>0</v>
      </c>
      <c r="AP624" s="234">
        <v>0</v>
      </c>
      <c r="AQ624" s="234">
        <v>0</v>
      </c>
      <c r="AR624" s="234">
        <v>0</v>
      </c>
      <c r="AS624" s="234">
        <v>0</v>
      </c>
      <c r="AT624" s="234">
        <v>0</v>
      </c>
      <c r="AU624" s="234">
        <v>1</v>
      </c>
      <c r="AV624" s="234">
        <v>0</v>
      </c>
      <c r="AW624" s="234">
        <v>0</v>
      </c>
      <c r="AX624" s="234">
        <v>0</v>
      </c>
      <c r="AY624" s="234">
        <v>0</v>
      </c>
      <c r="AZ624" s="234">
        <v>0</v>
      </c>
      <c r="BA624" s="234">
        <v>0</v>
      </c>
      <c r="BB624" s="234">
        <v>0</v>
      </c>
      <c r="BC624" s="234">
        <v>0</v>
      </c>
      <c r="BD624" s="234">
        <v>0</v>
      </c>
      <c r="BE624" s="234">
        <v>0</v>
      </c>
      <c r="BF624" s="234">
        <v>0</v>
      </c>
      <c r="BG624" s="234">
        <v>0</v>
      </c>
      <c r="BH624" s="234">
        <v>0</v>
      </c>
      <c r="BI624" s="234">
        <v>0</v>
      </c>
      <c r="BJ624" s="234">
        <v>0</v>
      </c>
      <c r="BK624" s="234">
        <v>0</v>
      </c>
      <c r="BL624" s="234">
        <v>0</v>
      </c>
      <c r="BM624" s="234">
        <v>0</v>
      </c>
      <c r="BN624" s="234">
        <v>0</v>
      </c>
      <c r="BO624" s="234">
        <v>0</v>
      </c>
      <c r="BP624" s="234"/>
      <c r="BQ624" s="234"/>
      <c r="BR624" s="237" t="s">
        <v>334</v>
      </c>
      <c r="BS624" s="238">
        <v>15</v>
      </c>
      <c r="BU624" s="239">
        <f>M624/4</f>
        <v>0.25</v>
      </c>
      <c r="BV624" s="239">
        <f t="shared" si="70"/>
        <v>0.25</v>
      </c>
      <c r="BW624" s="239">
        <f t="shared" si="71"/>
        <v>0.25</v>
      </c>
      <c r="BX624" s="239">
        <f t="shared" si="72"/>
        <v>0.25</v>
      </c>
      <c r="CN624" s="238">
        <f t="shared" si="61"/>
        <v>1</v>
      </c>
      <c r="CO624" s="238">
        <f t="shared" si="62"/>
        <v>1</v>
      </c>
    </row>
    <row r="625" spans="1:93" ht="13.95" customHeight="1" x14ac:dyDescent="0.2">
      <c r="A625" s="231">
        <v>7396</v>
      </c>
      <c r="B625" s="232" t="s">
        <v>822</v>
      </c>
      <c r="C625" s="232" t="s">
        <v>1894</v>
      </c>
      <c r="D625" s="232" t="s">
        <v>1895</v>
      </c>
      <c r="E625" s="232" t="s">
        <v>317</v>
      </c>
      <c r="F625" s="231">
        <v>527053</v>
      </c>
      <c r="G625" s="231">
        <v>176220</v>
      </c>
      <c r="H625" s="232" t="s">
        <v>174</v>
      </c>
      <c r="I625" s="233"/>
      <c r="J625" s="231"/>
      <c r="K625" s="231">
        <v>0</v>
      </c>
      <c r="L625" s="231">
        <v>1</v>
      </c>
      <c r="M625" s="231">
        <v>1</v>
      </c>
      <c r="N625" s="231">
        <v>1</v>
      </c>
      <c r="O625" s="231">
        <v>1</v>
      </c>
      <c r="P625" s="234"/>
      <c r="Q625" s="232" t="s">
        <v>1896</v>
      </c>
      <c r="R625" s="234" t="s">
        <v>332</v>
      </c>
      <c r="S625" s="235">
        <v>43990</v>
      </c>
      <c r="T625" s="235">
        <v>44042</v>
      </c>
      <c r="U625" s="234"/>
      <c r="V625" s="232" t="s">
        <v>321</v>
      </c>
      <c r="W625" s="231"/>
      <c r="X625" s="232" t="s">
        <v>322</v>
      </c>
      <c r="Y625" s="232" t="s">
        <v>339</v>
      </c>
      <c r="Z625" s="232" t="s">
        <v>324</v>
      </c>
      <c r="AA625" s="232" t="s">
        <v>354</v>
      </c>
      <c r="AB625" s="236">
        <v>5.0000000000000001E-3</v>
      </c>
      <c r="AC625" s="235"/>
      <c r="AD625" s="234"/>
      <c r="AE625" s="234"/>
      <c r="AF625" s="232" t="s">
        <v>77</v>
      </c>
      <c r="AG625" s="232" t="s">
        <v>350</v>
      </c>
      <c r="AH625" s="234" t="s">
        <v>317</v>
      </c>
      <c r="AJ625" s="234">
        <v>0</v>
      </c>
      <c r="AK625" s="224"/>
      <c r="AL625" s="234">
        <v>0</v>
      </c>
      <c r="AM625" s="224"/>
      <c r="AN625" s="234">
        <v>0</v>
      </c>
      <c r="AO625" s="234">
        <v>1</v>
      </c>
      <c r="AP625" s="234">
        <v>0</v>
      </c>
      <c r="AQ625" s="234">
        <v>0</v>
      </c>
      <c r="AR625" s="234">
        <v>0</v>
      </c>
      <c r="AS625" s="234">
        <v>0</v>
      </c>
      <c r="AT625" s="234">
        <v>0</v>
      </c>
      <c r="AU625" s="234">
        <v>0</v>
      </c>
      <c r="AV625" s="234">
        <v>1</v>
      </c>
      <c r="AW625" s="234">
        <v>0</v>
      </c>
      <c r="AX625" s="234">
        <v>0</v>
      </c>
      <c r="AY625" s="234">
        <v>0</v>
      </c>
      <c r="AZ625" s="234">
        <v>0</v>
      </c>
      <c r="BA625" s="234">
        <v>0</v>
      </c>
      <c r="BB625" s="234">
        <v>0</v>
      </c>
      <c r="BC625" s="234">
        <v>0</v>
      </c>
      <c r="BD625" s="234">
        <v>0</v>
      </c>
      <c r="BE625" s="234">
        <v>0</v>
      </c>
      <c r="BF625" s="234">
        <v>0</v>
      </c>
      <c r="BG625" s="234">
        <v>0</v>
      </c>
      <c r="BH625" s="234">
        <v>0</v>
      </c>
      <c r="BI625" s="234">
        <v>0</v>
      </c>
      <c r="BJ625" s="234">
        <v>0</v>
      </c>
      <c r="BK625" s="234">
        <v>0</v>
      </c>
      <c r="BL625" s="234">
        <v>0</v>
      </c>
      <c r="BM625" s="234">
        <v>0</v>
      </c>
      <c r="BN625" s="234">
        <v>0</v>
      </c>
      <c r="BO625" s="234">
        <v>0</v>
      </c>
      <c r="BP625" s="234"/>
      <c r="BQ625" s="234"/>
      <c r="BR625" s="237" t="s">
        <v>334</v>
      </c>
      <c r="BS625" s="238">
        <v>15</v>
      </c>
      <c r="BU625" s="239">
        <f>M625/4</f>
        <v>0.25</v>
      </c>
      <c r="BV625" s="239">
        <f t="shared" si="70"/>
        <v>0.25</v>
      </c>
      <c r="BW625" s="239">
        <f t="shared" si="71"/>
        <v>0.25</v>
      </c>
      <c r="BX625" s="239">
        <f t="shared" si="72"/>
        <v>0.25</v>
      </c>
      <c r="CN625" s="238">
        <f t="shared" si="61"/>
        <v>1</v>
      </c>
      <c r="CO625" s="238">
        <f t="shared" si="62"/>
        <v>1</v>
      </c>
    </row>
    <row r="626" spans="1:93" ht="13.95" customHeight="1" x14ac:dyDescent="0.2">
      <c r="A626" s="231">
        <v>4705</v>
      </c>
      <c r="B626" s="232" t="s">
        <v>822</v>
      </c>
      <c r="C626" s="232" t="s">
        <v>1897</v>
      </c>
      <c r="D626" s="232" t="s">
        <v>1898</v>
      </c>
      <c r="E626" s="232" t="s">
        <v>317</v>
      </c>
      <c r="F626" s="231">
        <v>527104</v>
      </c>
      <c r="G626" s="231">
        <v>174977</v>
      </c>
      <c r="H626" s="232" t="s">
        <v>167</v>
      </c>
      <c r="I626" s="233"/>
      <c r="J626" s="231"/>
      <c r="K626" s="231">
        <v>0</v>
      </c>
      <c r="L626" s="231">
        <v>1</v>
      </c>
      <c r="M626" s="231">
        <v>1</v>
      </c>
      <c r="N626" s="231">
        <v>1</v>
      </c>
      <c r="O626" s="231">
        <v>1</v>
      </c>
      <c r="P626" s="234"/>
      <c r="Q626" s="232" t="s">
        <v>1899</v>
      </c>
      <c r="R626" s="234" t="s">
        <v>629</v>
      </c>
      <c r="S626" s="235">
        <v>44817</v>
      </c>
      <c r="T626" s="235">
        <v>44869</v>
      </c>
      <c r="U626" s="234" t="s">
        <v>318</v>
      </c>
      <c r="V626" s="232" t="s">
        <v>321</v>
      </c>
      <c r="W626" s="231"/>
      <c r="X626" s="232" t="s">
        <v>322</v>
      </c>
      <c r="Y626" s="232" t="s">
        <v>378</v>
      </c>
      <c r="Z626" s="232" t="s">
        <v>324</v>
      </c>
      <c r="AA626" s="232" t="s">
        <v>28</v>
      </c>
      <c r="AB626" s="236">
        <v>4.3E-3</v>
      </c>
      <c r="AC626" s="235"/>
      <c r="AD626" s="234"/>
      <c r="AE626" s="234"/>
      <c r="AF626" s="232" t="s">
        <v>77</v>
      </c>
      <c r="AG626" s="232" t="s">
        <v>350</v>
      </c>
      <c r="AH626" s="234" t="s">
        <v>317</v>
      </c>
      <c r="AJ626" s="234">
        <v>0</v>
      </c>
      <c r="AK626" s="224"/>
      <c r="AL626" s="234">
        <v>0</v>
      </c>
      <c r="AM626" s="224"/>
      <c r="AN626" s="234">
        <v>1</v>
      </c>
      <c r="AO626" s="234">
        <v>0</v>
      </c>
      <c r="AP626" s="234">
        <v>0</v>
      </c>
      <c r="AQ626" s="234">
        <v>0</v>
      </c>
      <c r="AR626" s="234">
        <v>0</v>
      </c>
      <c r="AS626" s="234">
        <v>0</v>
      </c>
      <c r="AT626" s="234">
        <v>0</v>
      </c>
      <c r="AU626" s="234">
        <v>1</v>
      </c>
      <c r="AV626" s="234">
        <v>0</v>
      </c>
      <c r="AW626" s="234">
        <v>0</v>
      </c>
      <c r="AX626" s="234">
        <v>0</v>
      </c>
      <c r="AY626" s="234">
        <v>0</v>
      </c>
      <c r="AZ626" s="234">
        <v>0</v>
      </c>
      <c r="BA626" s="234">
        <v>0</v>
      </c>
      <c r="BB626" s="234">
        <v>0</v>
      </c>
      <c r="BC626" s="234">
        <v>0</v>
      </c>
      <c r="BD626" s="234">
        <v>0</v>
      </c>
      <c r="BE626" s="234">
        <v>0</v>
      </c>
      <c r="BF626" s="234">
        <v>0</v>
      </c>
      <c r="BG626" s="234">
        <v>0</v>
      </c>
      <c r="BH626" s="234">
        <v>0</v>
      </c>
      <c r="BI626" s="234">
        <v>0</v>
      </c>
      <c r="BJ626" s="234">
        <v>0</v>
      </c>
      <c r="BK626" s="234">
        <v>0</v>
      </c>
      <c r="BL626" s="234">
        <v>0</v>
      </c>
      <c r="BM626" s="234">
        <v>0</v>
      </c>
      <c r="BN626" s="234">
        <v>0</v>
      </c>
      <c r="BO626" s="234">
        <v>0</v>
      </c>
      <c r="BP626" s="234"/>
      <c r="BQ626" s="234"/>
      <c r="BR626" s="237" t="s">
        <v>334</v>
      </c>
      <c r="BS626" s="238">
        <v>15</v>
      </c>
      <c r="BU626" s="239">
        <f>M626/4</f>
        <v>0.25</v>
      </c>
      <c r="BV626" s="239">
        <f t="shared" si="70"/>
        <v>0.25</v>
      </c>
      <c r="BW626" s="239">
        <f t="shared" si="71"/>
        <v>0.25</v>
      </c>
      <c r="BX626" s="239">
        <f t="shared" si="72"/>
        <v>0.25</v>
      </c>
      <c r="CN626" s="238">
        <f t="shared" si="61"/>
        <v>1</v>
      </c>
      <c r="CO626" s="238">
        <f t="shared" si="62"/>
        <v>1</v>
      </c>
    </row>
    <row r="627" spans="1:93" ht="13.95" customHeight="1" x14ac:dyDescent="0.2">
      <c r="A627" s="231">
        <v>7168</v>
      </c>
      <c r="B627" s="232" t="s">
        <v>822</v>
      </c>
      <c r="C627" s="232" t="s">
        <v>1900</v>
      </c>
      <c r="D627" s="232" t="s">
        <v>1901</v>
      </c>
      <c r="E627" s="232" t="s">
        <v>317</v>
      </c>
      <c r="F627" s="231">
        <v>528231</v>
      </c>
      <c r="G627" s="231">
        <v>173208</v>
      </c>
      <c r="H627" s="232" t="s">
        <v>178</v>
      </c>
      <c r="I627" s="233"/>
      <c r="J627" s="231"/>
      <c r="K627" s="231">
        <v>0</v>
      </c>
      <c r="L627" s="231">
        <v>4</v>
      </c>
      <c r="M627" s="231">
        <v>4</v>
      </c>
      <c r="N627" s="231">
        <v>4</v>
      </c>
      <c r="O627" s="231">
        <v>4</v>
      </c>
      <c r="P627" s="234"/>
      <c r="Q627" s="232" t="s">
        <v>1902</v>
      </c>
      <c r="R627" s="234" t="s">
        <v>332</v>
      </c>
      <c r="S627" s="235">
        <v>43599</v>
      </c>
      <c r="T627" s="235">
        <v>44096</v>
      </c>
      <c r="U627" s="234"/>
      <c r="V627" s="232" t="s">
        <v>321</v>
      </c>
      <c r="W627" s="231"/>
      <c r="X627" s="232" t="s">
        <v>322</v>
      </c>
      <c r="Y627" s="232" t="s">
        <v>323</v>
      </c>
      <c r="Z627" s="232" t="s">
        <v>324</v>
      </c>
      <c r="AA627" s="232" t="s">
        <v>349</v>
      </c>
      <c r="AB627" s="236">
        <v>1.6E-2</v>
      </c>
      <c r="AC627" s="235"/>
      <c r="AD627" s="234"/>
      <c r="AE627" s="234"/>
      <c r="AF627" s="232" t="s">
        <v>77</v>
      </c>
      <c r="AG627" s="232" t="s">
        <v>350</v>
      </c>
      <c r="AH627" s="234" t="s">
        <v>317</v>
      </c>
      <c r="AJ627" s="234">
        <v>0</v>
      </c>
      <c r="AK627" s="224"/>
      <c r="AL627" s="234">
        <v>0</v>
      </c>
      <c r="AM627" s="224"/>
      <c r="AN627" s="234">
        <v>0</v>
      </c>
      <c r="AO627" s="234">
        <v>2</v>
      </c>
      <c r="AP627" s="234">
        <v>2</v>
      </c>
      <c r="AQ627" s="234">
        <v>0</v>
      </c>
      <c r="AR627" s="234">
        <v>0</v>
      </c>
      <c r="AS627" s="234">
        <v>0</v>
      </c>
      <c r="AT627" s="234">
        <v>0</v>
      </c>
      <c r="AU627" s="234">
        <v>0</v>
      </c>
      <c r="AV627" s="234">
        <v>2</v>
      </c>
      <c r="AW627" s="234">
        <v>2</v>
      </c>
      <c r="AX627" s="234">
        <v>0</v>
      </c>
      <c r="AY627" s="234">
        <v>0</v>
      </c>
      <c r="AZ627" s="234">
        <v>0</v>
      </c>
      <c r="BA627" s="234">
        <v>0</v>
      </c>
      <c r="BB627" s="234">
        <v>0</v>
      </c>
      <c r="BC627" s="234">
        <v>0</v>
      </c>
      <c r="BD627" s="234">
        <v>0</v>
      </c>
      <c r="BE627" s="234">
        <v>0</v>
      </c>
      <c r="BF627" s="234">
        <v>0</v>
      </c>
      <c r="BG627" s="234">
        <v>0</v>
      </c>
      <c r="BH627" s="234">
        <v>0</v>
      </c>
      <c r="BI627" s="234">
        <v>0</v>
      </c>
      <c r="BJ627" s="234">
        <v>0</v>
      </c>
      <c r="BK627" s="234">
        <v>0</v>
      </c>
      <c r="BL627" s="234">
        <v>0</v>
      </c>
      <c r="BM627" s="234">
        <v>0</v>
      </c>
      <c r="BN627" s="234">
        <v>0</v>
      </c>
      <c r="BO627" s="234">
        <v>0</v>
      </c>
      <c r="BP627" s="234"/>
      <c r="BQ627" s="234"/>
      <c r="BR627" s="237" t="s">
        <v>334</v>
      </c>
      <c r="BS627" s="238">
        <v>7</v>
      </c>
      <c r="BV627" s="239">
        <f t="shared" si="70"/>
        <v>1</v>
      </c>
      <c r="BW627" s="239">
        <f t="shared" si="71"/>
        <v>1</v>
      </c>
      <c r="BX627" s="239">
        <f t="shared" si="72"/>
        <v>1</v>
      </c>
      <c r="BY627" s="239">
        <f>M627/4</f>
        <v>1</v>
      </c>
      <c r="CN627" s="238">
        <f t="shared" si="61"/>
        <v>4</v>
      </c>
      <c r="CO627" s="238">
        <f t="shared" si="62"/>
        <v>4</v>
      </c>
    </row>
    <row r="628" spans="1:93" ht="13.95" customHeight="1" x14ac:dyDescent="0.2">
      <c r="A628" s="231">
        <v>7471</v>
      </c>
      <c r="B628" s="232" t="s">
        <v>822</v>
      </c>
      <c r="C628" s="232" t="s">
        <v>1903</v>
      </c>
      <c r="D628" s="232" t="s">
        <v>1904</v>
      </c>
      <c r="E628" s="232" t="s">
        <v>317</v>
      </c>
      <c r="F628" s="231">
        <v>527285</v>
      </c>
      <c r="G628" s="231">
        <v>171122</v>
      </c>
      <c r="H628" s="232" t="s">
        <v>177</v>
      </c>
      <c r="I628" s="233"/>
      <c r="J628" s="231"/>
      <c r="K628" s="231">
        <v>0</v>
      </c>
      <c r="L628" s="231">
        <v>1</v>
      </c>
      <c r="M628" s="231">
        <v>1</v>
      </c>
      <c r="N628" s="231">
        <v>1</v>
      </c>
      <c r="O628" s="231">
        <v>1</v>
      </c>
      <c r="P628" s="234"/>
      <c r="Q628" s="232" t="s">
        <v>1905</v>
      </c>
      <c r="R628" s="234" t="s">
        <v>332</v>
      </c>
      <c r="S628" s="235">
        <v>44085</v>
      </c>
      <c r="T628" s="235">
        <v>44141</v>
      </c>
      <c r="U628" s="234"/>
      <c r="V628" s="232" t="s">
        <v>321</v>
      </c>
      <c r="W628" s="231"/>
      <c r="X628" s="232" t="s">
        <v>322</v>
      </c>
      <c r="Y628" s="232" t="s">
        <v>378</v>
      </c>
      <c r="Z628" s="232" t="s">
        <v>324</v>
      </c>
      <c r="AA628" s="232" t="s">
        <v>25</v>
      </c>
      <c r="AB628" s="236">
        <v>4.0000000000000001E-3</v>
      </c>
      <c r="AC628" s="235"/>
      <c r="AD628" s="234"/>
      <c r="AE628" s="234"/>
      <c r="AF628" s="232" t="s">
        <v>77</v>
      </c>
      <c r="AG628" s="232" t="s">
        <v>350</v>
      </c>
      <c r="AH628" s="234" t="s">
        <v>317</v>
      </c>
      <c r="AJ628" s="234">
        <v>0</v>
      </c>
      <c r="AK628" s="224"/>
      <c r="AL628" s="234">
        <v>0</v>
      </c>
      <c r="AM628" s="224"/>
      <c r="AN628" s="234">
        <v>1</v>
      </c>
      <c r="AO628" s="234">
        <v>0</v>
      </c>
      <c r="AP628" s="234">
        <v>0</v>
      </c>
      <c r="AQ628" s="234">
        <v>0</v>
      </c>
      <c r="AR628" s="234">
        <v>0</v>
      </c>
      <c r="AS628" s="234">
        <v>0</v>
      </c>
      <c r="AT628" s="234">
        <v>0</v>
      </c>
      <c r="AU628" s="234">
        <v>1</v>
      </c>
      <c r="AV628" s="234">
        <v>0</v>
      </c>
      <c r="AW628" s="234">
        <v>0</v>
      </c>
      <c r="AX628" s="234">
        <v>0</v>
      </c>
      <c r="AY628" s="234">
        <v>0</v>
      </c>
      <c r="AZ628" s="234">
        <v>0</v>
      </c>
      <c r="BA628" s="234">
        <v>0</v>
      </c>
      <c r="BB628" s="234">
        <v>0</v>
      </c>
      <c r="BC628" s="234">
        <v>0</v>
      </c>
      <c r="BD628" s="234">
        <v>0</v>
      </c>
      <c r="BE628" s="234">
        <v>0</v>
      </c>
      <c r="BF628" s="234">
        <v>0</v>
      </c>
      <c r="BG628" s="234">
        <v>0</v>
      </c>
      <c r="BH628" s="234">
        <v>0</v>
      </c>
      <c r="BI628" s="234">
        <v>0</v>
      </c>
      <c r="BJ628" s="234">
        <v>0</v>
      </c>
      <c r="BK628" s="234">
        <v>0</v>
      </c>
      <c r="BL628" s="234">
        <v>0</v>
      </c>
      <c r="BM628" s="234">
        <v>0</v>
      </c>
      <c r="BN628" s="234">
        <v>0</v>
      </c>
      <c r="BO628" s="234">
        <v>0</v>
      </c>
      <c r="BP628" s="234"/>
      <c r="BQ628" s="234"/>
      <c r="BR628" s="237" t="s">
        <v>144</v>
      </c>
      <c r="BS628" s="238">
        <v>15</v>
      </c>
      <c r="BU628" s="239">
        <f>M628/4</f>
        <v>0.25</v>
      </c>
      <c r="BV628" s="239">
        <f t="shared" si="70"/>
        <v>0.25</v>
      </c>
      <c r="BW628" s="239">
        <f t="shared" si="71"/>
        <v>0.25</v>
      </c>
      <c r="BX628" s="239">
        <f t="shared" si="72"/>
        <v>0.25</v>
      </c>
      <c r="CN628" s="238">
        <f t="shared" si="61"/>
        <v>1</v>
      </c>
      <c r="CO628" s="238">
        <f t="shared" si="62"/>
        <v>1</v>
      </c>
    </row>
    <row r="629" spans="1:93" ht="13.95" customHeight="1" x14ac:dyDescent="0.2">
      <c r="A629" s="231">
        <v>7128</v>
      </c>
      <c r="B629" s="232" t="s">
        <v>822</v>
      </c>
      <c r="C629" s="232" t="s">
        <v>1906</v>
      </c>
      <c r="D629" s="232" t="s">
        <v>1907</v>
      </c>
      <c r="E629" s="232" t="s">
        <v>317</v>
      </c>
      <c r="F629" s="231">
        <v>528017</v>
      </c>
      <c r="G629" s="231">
        <v>172376</v>
      </c>
      <c r="H629" s="232" t="s">
        <v>178</v>
      </c>
      <c r="I629" s="233"/>
      <c r="J629" s="231"/>
      <c r="K629" s="231">
        <v>1</v>
      </c>
      <c r="L629" s="231">
        <v>4</v>
      </c>
      <c r="M629" s="231">
        <v>3</v>
      </c>
      <c r="N629" s="231">
        <v>4</v>
      </c>
      <c r="O629" s="231">
        <v>3</v>
      </c>
      <c r="P629" s="234"/>
      <c r="Q629" s="232" t="s">
        <v>1908</v>
      </c>
      <c r="R629" s="234" t="s">
        <v>332</v>
      </c>
      <c r="S629" s="235">
        <v>43923</v>
      </c>
      <c r="T629" s="235">
        <v>44034</v>
      </c>
      <c r="U629" s="234"/>
      <c r="V629" s="232" t="s">
        <v>321</v>
      </c>
      <c r="W629" s="231"/>
      <c r="X629" s="232" t="s">
        <v>322</v>
      </c>
      <c r="Y629" s="232" t="s">
        <v>323</v>
      </c>
      <c r="Z629" s="232" t="s">
        <v>324</v>
      </c>
      <c r="AA629" s="232" t="s">
        <v>349</v>
      </c>
      <c r="AB629" s="236">
        <v>1.4999999999999999E-2</v>
      </c>
      <c r="AC629" s="235"/>
      <c r="AD629" s="234"/>
      <c r="AE629" s="234"/>
      <c r="AF629" s="232" t="s">
        <v>77</v>
      </c>
      <c r="AG629" s="232" t="s">
        <v>350</v>
      </c>
      <c r="AH629" s="234" t="s">
        <v>317</v>
      </c>
      <c r="AJ629" s="234">
        <v>0</v>
      </c>
      <c r="AK629" s="224"/>
      <c r="AL629" s="234">
        <v>0</v>
      </c>
      <c r="AM629" s="224"/>
      <c r="AN629" s="234">
        <v>0</v>
      </c>
      <c r="AO629" s="234">
        <v>0</v>
      </c>
      <c r="AP629" s="234">
        <v>4</v>
      </c>
      <c r="AQ629" s="234">
        <v>-1</v>
      </c>
      <c r="AR629" s="234">
        <v>0</v>
      </c>
      <c r="AS629" s="234">
        <v>0</v>
      </c>
      <c r="AT629" s="234">
        <v>0</v>
      </c>
      <c r="AU629" s="234">
        <v>0</v>
      </c>
      <c r="AV629" s="234">
        <v>0</v>
      </c>
      <c r="AW629" s="234">
        <v>4</v>
      </c>
      <c r="AX629" s="234">
        <v>-1</v>
      </c>
      <c r="AY629" s="234">
        <v>0</v>
      </c>
      <c r="AZ629" s="234">
        <v>0</v>
      </c>
      <c r="BA629" s="234">
        <v>0</v>
      </c>
      <c r="BB629" s="234">
        <v>0</v>
      </c>
      <c r="BC629" s="234">
        <v>0</v>
      </c>
      <c r="BD629" s="234">
        <v>0</v>
      </c>
      <c r="BE629" s="234">
        <v>0</v>
      </c>
      <c r="BF629" s="234">
        <v>0</v>
      </c>
      <c r="BG629" s="234">
        <v>0</v>
      </c>
      <c r="BH629" s="234">
        <v>0</v>
      </c>
      <c r="BI629" s="234">
        <v>0</v>
      </c>
      <c r="BJ629" s="234">
        <v>0</v>
      </c>
      <c r="BK629" s="234">
        <v>0</v>
      </c>
      <c r="BL629" s="234">
        <v>0</v>
      </c>
      <c r="BM629" s="234">
        <v>0</v>
      </c>
      <c r="BN629" s="234">
        <v>0</v>
      </c>
      <c r="BO629" s="234">
        <v>0</v>
      </c>
      <c r="BP629" s="234"/>
      <c r="BQ629" s="234"/>
      <c r="BR629" s="237" t="s">
        <v>334</v>
      </c>
      <c r="BS629" s="238">
        <v>7</v>
      </c>
      <c r="BV629" s="239">
        <f t="shared" si="70"/>
        <v>0.75</v>
      </c>
      <c r="BW629" s="239">
        <f t="shared" si="71"/>
        <v>0.75</v>
      </c>
      <c r="BX629" s="239">
        <f t="shared" si="72"/>
        <v>0.75</v>
      </c>
      <c r="BY629" s="239">
        <f>M629/4</f>
        <v>0.75</v>
      </c>
      <c r="CN629" s="238">
        <f t="shared" ref="CN629:CN692" si="74">SUM(BU629:BY629)</f>
        <v>3</v>
      </c>
      <c r="CO629" s="238">
        <f t="shared" ref="CO629:CO692" si="75">SUM(BU629:CD629)</f>
        <v>3</v>
      </c>
    </row>
    <row r="630" spans="1:93" ht="13.95" customHeight="1" x14ac:dyDescent="0.2">
      <c r="A630" s="231">
        <v>7863</v>
      </c>
      <c r="B630" s="232" t="s">
        <v>822</v>
      </c>
      <c r="C630" s="232" t="s">
        <v>1909</v>
      </c>
      <c r="D630" s="232" t="s">
        <v>1910</v>
      </c>
      <c r="E630" s="232" t="s">
        <v>317</v>
      </c>
      <c r="F630" s="231">
        <v>527882</v>
      </c>
      <c r="G630" s="231">
        <v>170985</v>
      </c>
      <c r="H630" s="232" t="s">
        <v>177</v>
      </c>
      <c r="I630" s="233"/>
      <c r="J630" s="231"/>
      <c r="K630" s="231">
        <v>2</v>
      </c>
      <c r="L630" s="231">
        <v>3</v>
      </c>
      <c r="M630" s="231">
        <v>1</v>
      </c>
      <c r="N630" s="231">
        <v>4</v>
      </c>
      <c r="O630" s="231">
        <v>2</v>
      </c>
      <c r="P630" s="234"/>
      <c r="Q630" s="232" t="s">
        <v>1911</v>
      </c>
      <c r="R630" s="234" t="s">
        <v>332</v>
      </c>
      <c r="S630" s="235">
        <v>44728</v>
      </c>
      <c r="T630" s="235">
        <v>44847</v>
      </c>
      <c r="U630" s="234" t="s">
        <v>318</v>
      </c>
      <c r="V630" s="232" t="s">
        <v>321</v>
      </c>
      <c r="W630" s="231"/>
      <c r="X630" s="232" t="s">
        <v>322</v>
      </c>
      <c r="Y630" s="232" t="s">
        <v>338</v>
      </c>
      <c r="Z630" s="232" t="s">
        <v>324</v>
      </c>
      <c r="AA630" s="232" t="s">
        <v>411</v>
      </c>
      <c r="AB630" s="236">
        <v>9.8300000000000002E-3</v>
      </c>
      <c r="AC630" s="235"/>
      <c r="AD630" s="234"/>
      <c r="AE630" s="234"/>
      <c r="AF630" s="232" t="s">
        <v>77</v>
      </c>
      <c r="AG630" s="232" t="s">
        <v>340</v>
      </c>
      <c r="AH630" s="234" t="s">
        <v>317</v>
      </c>
      <c r="AJ630" s="234">
        <v>0</v>
      </c>
      <c r="AK630" s="224"/>
      <c r="AL630" s="234">
        <v>0</v>
      </c>
      <c r="AM630" s="224"/>
      <c r="AN630" s="234">
        <v>-1</v>
      </c>
      <c r="AO630" s="234">
        <v>1</v>
      </c>
      <c r="AP630" s="234">
        <v>2</v>
      </c>
      <c r="AQ630" s="234">
        <v>0</v>
      </c>
      <c r="AR630" s="234">
        <v>-1</v>
      </c>
      <c r="AS630" s="234">
        <v>0</v>
      </c>
      <c r="AT630" s="234">
        <v>0</v>
      </c>
      <c r="AU630" s="234">
        <v>-1</v>
      </c>
      <c r="AV630" s="234">
        <v>1</v>
      </c>
      <c r="AW630" s="234">
        <v>2</v>
      </c>
      <c r="AX630" s="234">
        <v>0</v>
      </c>
      <c r="AY630" s="234">
        <v>-1</v>
      </c>
      <c r="AZ630" s="234">
        <v>0</v>
      </c>
      <c r="BA630" s="234">
        <v>0</v>
      </c>
      <c r="BB630" s="234">
        <v>0</v>
      </c>
      <c r="BC630" s="234">
        <v>0</v>
      </c>
      <c r="BD630" s="234">
        <v>0</v>
      </c>
      <c r="BE630" s="234">
        <v>0</v>
      </c>
      <c r="BF630" s="234">
        <v>0</v>
      </c>
      <c r="BG630" s="234">
        <v>0</v>
      </c>
      <c r="BH630" s="234">
        <v>0</v>
      </c>
      <c r="BI630" s="234">
        <v>0</v>
      </c>
      <c r="BJ630" s="234">
        <v>0</v>
      </c>
      <c r="BK630" s="234">
        <v>0</v>
      </c>
      <c r="BL630" s="234">
        <v>0</v>
      </c>
      <c r="BM630" s="234">
        <v>0</v>
      </c>
      <c r="BN630" s="234">
        <v>0</v>
      </c>
      <c r="BO630" s="234">
        <v>0</v>
      </c>
      <c r="BP630" s="234"/>
      <c r="BQ630" s="234"/>
      <c r="BR630" s="237" t="s">
        <v>144</v>
      </c>
      <c r="BS630" s="238">
        <v>15</v>
      </c>
      <c r="BU630" s="239">
        <f>M630/4</f>
        <v>0.25</v>
      </c>
      <c r="BV630" s="239">
        <f t="shared" si="70"/>
        <v>0.25</v>
      </c>
      <c r="BW630" s="239">
        <f t="shared" si="71"/>
        <v>0.25</v>
      </c>
      <c r="BX630" s="239">
        <f t="shared" si="72"/>
        <v>0.25</v>
      </c>
      <c r="CN630" s="238">
        <f t="shared" si="74"/>
        <v>1</v>
      </c>
      <c r="CO630" s="238">
        <f t="shared" si="75"/>
        <v>1</v>
      </c>
    </row>
    <row r="631" spans="1:93" ht="13.95" customHeight="1" x14ac:dyDescent="0.2">
      <c r="A631" s="231">
        <v>4043</v>
      </c>
      <c r="B631" s="232" t="s">
        <v>822</v>
      </c>
      <c r="C631" s="232" t="s">
        <v>1912</v>
      </c>
      <c r="D631" s="232" t="s">
        <v>1913</v>
      </c>
      <c r="E631" s="232" t="s">
        <v>317</v>
      </c>
      <c r="F631" s="231">
        <v>527663</v>
      </c>
      <c r="G631" s="231">
        <v>174334</v>
      </c>
      <c r="H631" s="232" t="s">
        <v>169</v>
      </c>
      <c r="I631" s="233"/>
      <c r="J631" s="231"/>
      <c r="K631" s="231">
        <v>0</v>
      </c>
      <c r="L631" s="231">
        <v>1</v>
      </c>
      <c r="M631" s="231">
        <v>1</v>
      </c>
      <c r="N631" s="231">
        <v>1</v>
      </c>
      <c r="O631" s="231">
        <v>1</v>
      </c>
      <c r="P631" s="234"/>
      <c r="Q631" s="232" t="s">
        <v>1914</v>
      </c>
      <c r="R631" s="234" t="s">
        <v>428</v>
      </c>
      <c r="S631" s="235">
        <v>43887</v>
      </c>
      <c r="T631" s="235">
        <v>43930</v>
      </c>
      <c r="U631" s="234"/>
      <c r="V631" s="232" t="s">
        <v>321</v>
      </c>
      <c r="W631" s="231"/>
      <c r="X631" s="232" t="s">
        <v>322</v>
      </c>
      <c r="Y631" s="232" t="s">
        <v>378</v>
      </c>
      <c r="Z631" s="232" t="s">
        <v>324</v>
      </c>
      <c r="AA631" s="232" t="s">
        <v>25</v>
      </c>
      <c r="AB631" s="236">
        <v>4.0000000000000001E-3</v>
      </c>
      <c r="AC631" s="235"/>
      <c r="AD631" s="234"/>
      <c r="AE631" s="234"/>
      <c r="AF631" s="232" t="s">
        <v>77</v>
      </c>
      <c r="AG631" s="232" t="s">
        <v>350</v>
      </c>
      <c r="AH631" s="234" t="s">
        <v>317</v>
      </c>
      <c r="AJ631" s="234">
        <v>0</v>
      </c>
      <c r="AK631" s="224"/>
      <c r="AL631" s="234">
        <v>0</v>
      </c>
      <c r="AM631" s="224"/>
      <c r="AN631" s="234">
        <v>0</v>
      </c>
      <c r="AO631" s="234">
        <v>0</v>
      </c>
      <c r="AP631" s="234">
        <v>1</v>
      </c>
      <c r="AQ631" s="234">
        <v>0</v>
      </c>
      <c r="AR631" s="234">
        <v>0</v>
      </c>
      <c r="AS631" s="234">
        <v>0</v>
      </c>
      <c r="AT631" s="234">
        <v>0</v>
      </c>
      <c r="AU631" s="234">
        <v>0</v>
      </c>
      <c r="AV631" s="234">
        <v>0</v>
      </c>
      <c r="AW631" s="234">
        <v>1</v>
      </c>
      <c r="AX631" s="234">
        <v>0</v>
      </c>
      <c r="AY631" s="234">
        <v>0</v>
      </c>
      <c r="AZ631" s="234">
        <v>0</v>
      </c>
      <c r="BA631" s="234">
        <v>0</v>
      </c>
      <c r="BB631" s="234">
        <v>0</v>
      </c>
      <c r="BC631" s="234">
        <v>0</v>
      </c>
      <c r="BD631" s="234">
        <v>0</v>
      </c>
      <c r="BE631" s="234">
        <v>0</v>
      </c>
      <c r="BF631" s="234">
        <v>0</v>
      </c>
      <c r="BG631" s="234">
        <v>0</v>
      </c>
      <c r="BH631" s="234">
        <v>0</v>
      </c>
      <c r="BI631" s="234">
        <v>0</v>
      </c>
      <c r="BJ631" s="234">
        <v>0</v>
      </c>
      <c r="BK631" s="234">
        <v>0</v>
      </c>
      <c r="BL631" s="234">
        <v>0</v>
      </c>
      <c r="BM631" s="234">
        <v>0</v>
      </c>
      <c r="BN631" s="234">
        <v>0</v>
      </c>
      <c r="BO631" s="234">
        <v>0</v>
      </c>
      <c r="BP631" s="234"/>
      <c r="BQ631" s="234"/>
      <c r="BR631" s="237" t="s">
        <v>334</v>
      </c>
      <c r="BS631" s="238">
        <v>15</v>
      </c>
      <c r="BU631" s="239">
        <f>M631/4</f>
        <v>0.25</v>
      </c>
      <c r="BV631" s="239">
        <f t="shared" si="70"/>
        <v>0.25</v>
      </c>
      <c r="BW631" s="239">
        <f t="shared" si="71"/>
        <v>0.25</v>
      </c>
      <c r="BX631" s="239">
        <f t="shared" si="72"/>
        <v>0.25</v>
      </c>
      <c r="CN631" s="238">
        <f t="shared" si="74"/>
        <v>1</v>
      </c>
      <c r="CO631" s="238">
        <f t="shared" si="75"/>
        <v>1</v>
      </c>
    </row>
    <row r="632" spans="1:93" ht="13.95" customHeight="1" x14ac:dyDescent="0.2">
      <c r="A632" s="231">
        <v>7674</v>
      </c>
      <c r="B632" s="232" t="s">
        <v>822</v>
      </c>
      <c r="C632" s="232" t="s">
        <v>1915</v>
      </c>
      <c r="D632" s="232" t="s">
        <v>1916</v>
      </c>
      <c r="E632" s="232" t="s">
        <v>317</v>
      </c>
      <c r="F632" s="231">
        <v>523951</v>
      </c>
      <c r="G632" s="231">
        <v>175632</v>
      </c>
      <c r="H632" s="232" t="s">
        <v>175</v>
      </c>
      <c r="I632" s="233"/>
      <c r="J632" s="231"/>
      <c r="K632" s="231">
        <v>0</v>
      </c>
      <c r="L632" s="231">
        <v>4</v>
      </c>
      <c r="M632" s="231">
        <v>4</v>
      </c>
      <c r="N632" s="231">
        <v>4</v>
      </c>
      <c r="O632" s="231">
        <v>4</v>
      </c>
      <c r="P632" s="234"/>
      <c r="Q632" s="232" t="s">
        <v>1917</v>
      </c>
      <c r="R632" s="234" t="s">
        <v>332</v>
      </c>
      <c r="S632" s="235">
        <v>44371</v>
      </c>
      <c r="T632" s="235">
        <v>44550</v>
      </c>
      <c r="U632" s="234"/>
      <c r="V632" s="232" t="s">
        <v>321</v>
      </c>
      <c r="W632" s="231"/>
      <c r="X632" s="232" t="s">
        <v>322</v>
      </c>
      <c r="Y632" s="232" t="s">
        <v>323</v>
      </c>
      <c r="Z632" s="232" t="s">
        <v>324</v>
      </c>
      <c r="AA632" s="232" t="s">
        <v>349</v>
      </c>
      <c r="AB632" s="236">
        <v>1.2E-2</v>
      </c>
      <c r="AC632" s="235"/>
      <c r="AD632" s="234"/>
      <c r="AE632" s="234"/>
      <c r="AF632" s="232" t="s">
        <v>77</v>
      </c>
      <c r="AG632" s="232" t="s">
        <v>350</v>
      </c>
      <c r="AH632" s="234" t="s">
        <v>317</v>
      </c>
      <c r="AJ632" s="234">
        <v>0</v>
      </c>
      <c r="AK632" s="224"/>
      <c r="AL632" s="234">
        <v>0</v>
      </c>
      <c r="AM632" s="224"/>
      <c r="AN632" s="234">
        <v>0</v>
      </c>
      <c r="AO632" s="234">
        <v>2</v>
      </c>
      <c r="AP632" s="234">
        <v>2</v>
      </c>
      <c r="AQ632" s="234">
        <v>0</v>
      </c>
      <c r="AR632" s="234">
        <v>0</v>
      </c>
      <c r="AS632" s="234">
        <v>0</v>
      </c>
      <c r="AT632" s="234">
        <v>0</v>
      </c>
      <c r="AU632" s="234">
        <v>0</v>
      </c>
      <c r="AV632" s="234">
        <v>2</v>
      </c>
      <c r="AW632" s="234">
        <v>2</v>
      </c>
      <c r="AX632" s="234">
        <v>0</v>
      </c>
      <c r="AY632" s="234">
        <v>0</v>
      </c>
      <c r="AZ632" s="234">
        <v>0</v>
      </c>
      <c r="BA632" s="234">
        <v>0</v>
      </c>
      <c r="BB632" s="234">
        <v>0</v>
      </c>
      <c r="BC632" s="234">
        <v>0</v>
      </c>
      <c r="BD632" s="234">
        <v>0</v>
      </c>
      <c r="BE632" s="234">
        <v>0</v>
      </c>
      <c r="BF632" s="234">
        <v>0</v>
      </c>
      <c r="BG632" s="234">
        <v>0</v>
      </c>
      <c r="BH632" s="234">
        <v>0</v>
      </c>
      <c r="BI632" s="234">
        <v>0</v>
      </c>
      <c r="BJ632" s="234">
        <v>0</v>
      </c>
      <c r="BK632" s="234">
        <v>0</v>
      </c>
      <c r="BL632" s="234">
        <v>0</v>
      </c>
      <c r="BM632" s="234">
        <v>0</v>
      </c>
      <c r="BN632" s="234">
        <v>0</v>
      </c>
      <c r="BO632" s="234">
        <v>0</v>
      </c>
      <c r="BP632" s="234"/>
      <c r="BQ632" s="234"/>
      <c r="BR632" s="237" t="s">
        <v>334</v>
      </c>
      <c r="BS632" s="238">
        <v>7</v>
      </c>
      <c r="BV632" s="239">
        <f t="shared" si="70"/>
        <v>1</v>
      </c>
      <c r="BW632" s="239">
        <f t="shared" si="71"/>
        <v>1</v>
      </c>
      <c r="BX632" s="239">
        <f t="shared" si="72"/>
        <v>1</v>
      </c>
      <c r="BY632" s="239">
        <f>M632/4</f>
        <v>1</v>
      </c>
      <c r="CN632" s="238">
        <f t="shared" si="74"/>
        <v>4</v>
      </c>
      <c r="CO632" s="238">
        <f t="shared" si="75"/>
        <v>4</v>
      </c>
    </row>
    <row r="633" spans="1:93" ht="13.95" customHeight="1" x14ac:dyDescent="0.2">
      <c r="A633" s="231">
        <v>7802</v>
      </c>
      <c r="B633" s="232" t="s">
        <v>822</v>
      </c>
      <c r="C633" s="232" t="s">
        <v>1918</v>
      </c>
      <c r="D633" s="232" t="s">
        <v>1919</v>
      </c>
      <c r="E633" s="232" t="s">
        <v>317</v>
      </c>
      <c r="F633" s="231">
        <v>525309</v>
      </c>
      <c r="G633" s="231">
        <v>174646</v>
      </c>
      <c r="H633" s="232" t="s">
        <v>181</v>
      </c>
      <c r="I633" s="233"/>
      <c r="J633" s="231"/>
      <c r="K633" s="231">
        <v>0</v>
      </c>
      <c r="L633" s="231">
        <v>1</v>
      </c>
      <c r="M633" s="231">
        <v>1</v>
      </c>
      <c r="N633" s="231">
        <v>1</v>
      </c>
      <c r="O633" s="231">
        <v>1</v>
      </c>
      <c r="P633" s="234"/>
      <c r="Q633" s="232" t="s">
        <v>1920</v>
      </c>
      <c r="R633" s="234" t="s">
        <v>332</v>
      </c>
      <c r="S633" s="235">
        <v>44162</v>
      </c>
      <c r="T633" s="235">
        <v>44218</v>
      </c>
      <c r="U633" s="234"/>
      <c r="V633" s="232" t="s">
        <v>321</v>
      </c>
      <c r="W633" s="231"/>
      <c r="X633" s="232" t="s">
        <v>322</v>
      </c>
      <c r="Y633" s="232" t="s">
        <v>339</v>
      </c>
      <c r="Z633" s="232" t="s">
        <v>324</v>
      </c>
      <c r="AA633" s="232" t="s">
        <v>354</v>
      </c>
      <c r="AB633" s="236">
        <v>5.4000000000000003E-3</v>
      </c>
      <c r="AC633" s="235"/>
      <c r="AD633" s="234"/>
      <c r="AE633" s="234"/>
      <c r="AF633" s="232" t="s">
        <v>77</v>
      </c>
      <c r="AG633" s="232" t="s">
        <v>350</v>
      </c>
      <c r="AH633" s="234" t="s">
        <v>317</v>
      </c>
      <c r="AJ633" s="234">
        <v>0</v>
      </c>
      <c r="AK633" s="224"/>
      <c r="AL633" s="234">
        <v>0</v>
      </c>
      <c r="AM633" s="224"/>
      <c r="AN633" s="234">
        <v>0</v>
      </c>
      <c r="AO633" s="234">
        <v>1</v>
      </c>
      <c r="AP633" s="234">
        <v>0</v>
      </c>
      <c r="AQ633" s="234">
        <v>0</v>
      </c>
      <c r="AR633" s="234">
        <v>0</v>
      </c>
      <c r="AS633" s="234">
        <v>0</v>
      </c>
      <c r="AT633" s="234">
        <v>0</v>
      </c>
      <c r="AU633" s="234">
        <v>0</v>
      </c>
      <c r="AV633" s="234">
        <v>1</v>
      </c>
      <c r="AW633" s="234">
        <v>0</v>
      </c>
      <c r="AX633" s="234">
        <v>0</v>
      </c>
      <c r="AY633" s="234">
        <v>0</v>
      </c>
      <c r="AZ633" s="234">
        <v>0</v>
      </c>
      <c r="BA633" s="234">
        <v>0</v>
      </c>
      <c r="BB633" s="234">
        <v>0</v>
      </c>
      <c r="BC633" s="234">
        <v>0</v>
      </c>
      <c r="BD633" s="234">
        <v>0</v>
      </c>
      <c r="BE633" s="234">
        <v>0</v>
      </c>
      <c r="BF633" s="234">
        <v>0</v>
      </c>
      <c r="BG633" s="234">
        <v>0</v>
      </c>
      <c r="BH633" s="234">
        <v>0</v>
      </c>
      <c r="BI633" s="234">
        <v>0</v>
      </c>
      <c r="BJ633" s="234">
        <v>0</v>
      </c>
      <c r="BK633" s="234">
        <v>0</v>
      </c>
      <c r="BL633" s="234">
        <v>0</v>
      </c>
      <c r="BM633" s="234">
        <v>0</v>
      </c>
      <c r="BN633" s="234">
        <v>0</v>
      </c>
      <c r="BO633" s="234">
        <v>0</v>
      </c>
      <c r="BP633" s="234" t="s">
        <v>145</v>
      </c>
      <c r="BQ633" s="234"/>
      <c r="BR633" s="237" t="s">
        <v>327</v>
      </c>
      <c r="BS633" s="238">
        <v>15</v>
      </c>
      <c r="BU633" s="239">
        <f>M633/4</f>
        <v>0.25</v>
      </c>
      <c r="BV633" s="239">
        <f t="shared" si="70"/>
        <v>0.25</v>
      </c>
      <c r="BW633" s="239">
        <f t="shared" si="71"/>
        <v>0.25</v>
      </c>
      <c r="BX633" s="239">
        <f t="shared" si="72"/>
        <v>0.25</v>
      </c>
      <c r="CN633" s="238">
        <f t="shared" si="74"/>
        <v>1</v>
      </c>
      <c r="CO633" s="238">
        <f t="shared" si="75"/>
        <v>1</v>
      </c>
    </row>
    <row r="634" spans="1:93" ht="13.95" customHeight="1" x14ac:dyDescent="0.2">
      <c r="A634" s="231">
        <v>6117</v>
      </c>
      <c r="B634" s="232" t="s">
        <v>822</v>
      </c>
      <c r="C634" s="232" t="s">
        <v>1921</v>
      </c>
      <c r="D634" s="232" t="s">
        <v>1922</v>
      </c>
      <c r="E634" s="232" t="s">
        <v>317</v>
      </c>
      <c r="F634" s="231">
        <v>523702</v>
      </c>
      <c r="G634" s="231">
        <v>175127</v>
      </c>
      <c r="H634" s="232" t="s">
        <v>183</v>
      </c>
      <c r="I634" s="233"/>
      <c r="J634" s="231"/>
      <c r="K634" s="231">
        <v>0</v>
      </c>
      <c r="L634" s="231">
        <v>1</v>
      </c>
      <c r="M634" s="231">
        <v>1</v>
      </c>
      <c r="N634" s="231">
        <v>1</v>
      </c>
      <c r="O634" s="231">
        <v>1</v>
      </c>
      <c r="P634" s="234"/>
      <c r="Q634" s="232" t="s">
        <v>1923</v>
      </c>
      <c r="R634" s="234" t="s">
        <v>332</v>
      </c>
      <c r="S634" s="235">
        <v>44637</v>
      </c>
      <c r="T634" s="235">
        <v>44691</v>
      </c>
      <c r="U634" s="234" t="s">
        <v>318</v>
      </c>
      <c r="V634" s="232" t="s">
        <v>321</v>
      </c>
      <c r="W634" s="231"/>
      <c r="X634" s="232" t="s">
        <v>322</v>
      </c>
      <c r="Y634" s="232" t="s">
        <v>365</v>
      </c>
      <c r="Z634" s="232" t="s">
        <v>324</v>
      </c>
      <c r="AA634" s="232" t="s">
        <v>31</v>
      </c>
      <c r="AB634" s="236">
        <v>3.7030000000000001E-3</v>
      </c>
      <c r="AC634" s="235"/>
      <c r="AD634" s="234"/>
      <c r="AE634" s="234"/>
      <c r="AF634" s="232" t="s">
        <v>77</v>
      </c>
      <c r="AG634" s="232" t="s">
        <v>350</v>
      </c>
      <c r="AH634" s="234" t="s">
        <v>317</v>
      </c>
      <c r="AJ634" s="234">
        <v>0</v>
      </c>
      <c r="AK634" s="224"/>
      <c r="AL634" s="234">
        <v>0</v>
      </c>
      <c r="AM634" s="224"/>
      <c r="AN634" s="234">
        <v>1</v>
      </c>
      <c r="AO634" s="234">
        <v>0</v>
      </c>
      <c r="AP634" s="234">
        <v>0</v>
      </c>
      <c r="AQ634" s="234">
        <v>0</v>
      </c>
      <c r="AR634" s="234">
        <v>0</v>
      </c>
      <c r="AS634" s="234">
        <v>0</v>
      </c>
      <c r="AT634" s="234">
        <v>0</v>
      </c>
      <c r="AU634" s="234">
        <v>1</v>
      </c>
      <c r="AV634" s="234">
        <v>0</v>
      </c>
      <c r="AW634" s="234">
        <v>0</v>
      </c>
      <c r="AX634" s="234">
        <v>0</v>
      </c>
      <c r="AY634" s="234">
        <v>0</v>
      </c>
      <c r="AZ634" s="234">
        <v>0</v>
      </c>
      <c r="BA634" s="234">
        <v>0</v>
      </c>
      <c r="BB634" s="234">
        <v>0</v>
      </c>
      <c r="BC634" s="234">
        <v>0</v>
      </c>
      <c r="BD634" s="234">
        <v>0</v>
      </c>
      <c r="BE634" s="234">
        <v>0</v>
      </c>
      <c r="BF634" s="234">
        <v>0</v>
      </c>
      <c r="BG634" s="234">
        <v>0</v>
      </c>
      <c r="BH634" s="234">
        <v>0</v>
      </c>
      <c r="BI634" s="234">
        <v>0</v>
      </c>
      <c r="BJ634" s="234">
        <v>0</v>
      </c>
      <c r="BK634" s="234">
        <v>0</v>
      </c>
      <c r="BL634" s="234">
        <v>0</v>
      </c>
      <c r="BM634" s="234">
        <v>0</v>
      </c>
      <c r="BN634" s="234">
        <v>0</v>
      </c>
      <c r="BO634" s="234">
        <v>0</v>
      </c>
      <c r="BP634" s="234" t="s">
        <v>143</v>
      </c>
      <c r="BQ634" s="234"/>
      <c r="BR634" s="237" t="s">
        <v>152</v>
      </c>
      <c r="BS634" s="238">
        <v>15</v>
      </c>
      <c r="BU634" s="239">
        <f>M634/4</f>
        <v>0.25</v>
      </c>
      <c r="BV634" s="239">
        <f t="shared" si="70"/>
        <v>0.25</v>
      </c>
      <c r="BW634" s="239">
        <f t="shared" si="71"/>
        <v>0.25</v>
      </c>
      <c r="BX634" s="239">
        <f t="shared" si="72"/>
        <v>0.25</v>
      </c>
      <c r="CN634" s="238">
        <f t="shared" si="74"/>
        <v>1</v>
      </c>
      <c r="CO634" s="238">
        <f t="shared" si="75"/>
        <v>1</v>
      </c>
    </row>
    <row r="635" spans="1:93" ht="13.95" customHeight="1" x14ac:dyDescent="0.2">
      <c r="A635" s="231">
        <v>7686</v>
      </c>
      <c r="B635" s="232" t="s">
        <v>822</v>
      </c>
      <c r="C635" s="232" t="s">
        <v>1924</v>
      </c>
      <c r="D635" s="232" t="s">
        <v>1925</v>
      </c>
      <c r="E635" s="232" t="s">
        <v>317</v>
      </c>
      <c r="F635" s="231">
        <v>524336</v>
      </c>
      <c r="G635" s="231">
        <v>173815</v>
      </c>
      <c r="H635" s="232" t="s">
        <v>182</v>
      </c>
      <c r="I635" s="233"/>
      <c r="J635" s="231"/>
      <c r="K635" s="231">
        <v>0</v>
      </c>
      <c r="L635" s="231">
        <v>4</v>
      </c>
      <c r="M635" s="231">
        <v>4</v>
      </c>
      <c r="N635" s="231">
        <v>4</v>
      </c>
      <c r="O635" s="231">
        <v>4</v>
      </c>
      <c r="P635" s="234"/>
      <c r="Q635" s="232" t="s">
        <v>1926</v>
      </c>
      <c r="R635" s="234" t="s">
        <v>332</v>
      </c>
      <c r="S635" s="235">
        <v>44497</v>
      </c>
      <c r="T635" s="235">
        <v>44586</v>
      </c>
      <c r="U635" s="234"/>
      <c r="V635" s="232" t="s">
        <v>321</v>
      </c>
      <c r="W635" s="231"/>
      <c r="X635" s="232" t="s">
        <v>322</v>
      </c>
      <c r="Y635" s="232" t="s">
        <v>323</v>
      </c>
      <c r="Z635" s="232" t="s">
        <v>324</v>
      </c>
      <c r="AA635" s="232" t="s">
        <v>349</v>
      </c>
      <c r="AB635" s="236">
        <v>1.2E-2</v>
      </c>
      <c r="AC635" s="235"/>
      <c r="AD635" s="234"/>
      <c r="AE635" s="234"/>
      <c r="AF635" s="232" t="s">
        <v>77</v>
      </c>
      <c r="AG635" s="232" t="s">
        <v>350</v>
      </c>
      <c r="AH635" s="234" t="s">
        <v>317</v>
      </c>
      <c r="AJ635" s="234">
        <v>0</v>
      </c>
      <c r="AK635" s="224"/>
      <c r="AL635" s="234">
        <v>0</v>
      </c>
      <c r="AM635" s="224"/>
      <c r="AN635" s="234">
        <v>0</v>
      </c>
      <c r="AO635" s="234">
        <v>2</v>
      </c>
      <c r="AP635" s="234">
        <v>2</v>
      </c>
      <c r="AQ635" s="234">
        <v>0</v>
      </c>
      <c r="AR635" s="234">
        <v>0</v>
      </c>
      <c r="AS635" s="234">
        <v>0</v>
      </c>
      <c r="AT635" s="234">
        <v>0</v>
      </c>
      <c r="AU635" s="234">
        <v>0</v>
      </c>
      <c r="AV635" s="234">
        <v>2</v>
      </c>
      <c r="AW635" s="234">
        <v>2</v>
      </c>
      <c r="AX635" s="234">
        <v>0</v>
      </c>
      <c r="AY635" s="234">
        <v>0</v>
      </c>
      <c r="AZ635" s="234">
        <v>0</v>
      </c>
      <c r="BA635" s="234">
        <v>0</v>
      </c>
      <c r="BB635" s="234">
        <v>0</v>
      </c>
      <c r="BC635" s="234">
        <v>0</v>
      </c>
      <c r="BD635" s="234">
        <v>0</v>
      </c>
      <c r="BE635" s="234">
        <v>0</v>
      </c>
      <c r="BF635" s="234">
        <v>0</v>
      </c>
      <c r="BG635" s="234">
        <v>0</v>
      </c>
      <c r="BH635" s="234">
        <v>0</v>
      </c>
      <c r="BI635" s="234">
        <v>0</v>
      </c>
      <c r="BJ635" s="234">
        <v>0</v>
      </c>
      <c r="BK635" s="234">
        <v>0</v>
      </c>
      <c r="BL635" s="234">
        <v>0</v>
      </c>
      <c r="BM635" s="234">
        <v>0</v>
      </c>
      <c r="BN635" s="234">
        <v>0</v>
      </c>
      <c r="BO635" s="234">
        <v>0</v>
      </c>
      <c r="BP635" s="234"/>
      <c r="BQ635" s="234"/>
      <c r="BR635" s="237" t="s">
        <v>334</v>
      </c>
      <c r="BS635" s="238">
        <v>7</v>
      </c>
      <c r="BV635" s="239">
        <f t="shared" si="70"/>
        <v>1</v>
      </c>
      <c r="BW635" s="239">
        <f t="shared" si="71"/>
        <v>1</v>
      </c>
      <c r="BX635" s="239">
        <f t="shared" si="72"/>
        <v>1</v>
      </c>
      <c r="BY635" s="239">
        <f>M635/4</f>
        <v>1</v>
      </c>
      <c r="CN635" s="238">
        <f t="shared" si="74"/>
        <v>4</v>
      </c>
      <c r="CO635" s="238">
        <f t="shared" si="75"/>
        <v>4</v>
      </c>
    </row>
    <row r="636" spans="1:93" ht="13.95" customHeight="1" x14ac:dyDescent="0.2">
      <c r="A636" s="231">
        <v>6885</v>
      </c>
      <c r="B636" s="232" t="s">
        <v>822</v>
      </c>
      <c r="C636" s="232" t="s">
        <v>1927</v>
      </c>
      <c r="D636" s="232" t="s">
        <v>1928</v>
      </c>
      <c r="E636" s="232" t="s">
        <v>317</v>
      </c>
      <c r="F636" s="231">
        <v>525906</v>
      </c>
      <c r="G636" s="231">
        <v>173856</v>
      </c>
      <c r="H636" s="232" t="s">
        <v>179</v>
      </c>
      <c r="I636" s="233"/>
      <c r="J636" s="231"/>
      <c r="K636" s="231">
        <v>0</v>
      </c>
      <c r="L636" s="231">
        <v>1</v>
      </c>
      <c r="M636" s="231">
        <v>1</v>
      </c>
      <c r="N636" s="231">
        <v>1</v>
      </c>
      <c r="O636" s="231">
        <v>1</v>
      </c>
      <c r="P636" s="234"/>
      <c r="Q636" s="232" t="s">
        <v>1929</v>
      </c>
      <c r="R636" s="234" t="s">
        <v>629</v>
      </c>
      <c r="S636" s="235">
        <v>44483</v>
      </c>
      <c r="T636" s="235">
        <v>44531</v>
      </c>
      <c r="U636" s="234"/>
      <c r="V636" s="232" t="s">
        <v>321</v>
      </c>
      <c r="W636" s="231"/>
      <c r="X636" s="232" t="s">
        <v>322</v>
      </c>
      <c r="Y636" s="232" t="s">
        <v>365</v>
      </c>
      <c r="Z636" s="232" t="s">
        <v>324</v>
      </c>
      <c r="AA636" s="232" t="s">
        <v>25</v>
      </c>
      <c r="AB636" s="236">
        <v>5.8999999999999999E-3</v>
      </c>
      <c r="AC636" s="235"/>
      <c r="AD636" s="234"/>
      <c r="AE636" s="234"/>
      <c r="AF636" s="232" t="s">
        <v>77</v>
      </c>
      <c r="AG636" s="232" t="s">
        <v>350</v>
      </c>
      <c r="AH636" s="234" t="s">
        <v>317</v>
      </c>
      <c r="AJ636" s="234">
        <v>0</v>
      </c>
      <c r="AK636" s="224"/>
      <c r="AL636" s="234">
        <v>0</v>
      </c>
      <c r="AM636" s="224"/>
      <c r="AN636" s="234">
        <v>0</v>
      </c>
      <c r="AO636" s="234">
        <v>1</v>
      </c>
      <c r="AP636" s="234">
        <v>0</v>
      </c>
      <c r="AQ636" s="234">
        <v>0</v>
      </c>
      <c r="AR636" s="234">
        <v>0</v>
      </c>
      <c r="AS636" s="234">
        <v>0</v>
      </c>
      <c r="AT636" s="234">
        <v>0</v>
      </c>
      <c r="AU636" s="234">
        <v>0</v>
      </c>
      <c r="AV636" s="234">
        <v>1</v>
      </c>
      <c r="AW636" s="234">
        <v>0</v>
      </c>
      <c r="AX636" s="234">
        <v>0</v>
      </c>
      <c r="AY636" s="234">
        <v>0</v>
      </c>
      <c r="AZ636" s="234">
        <v>0</v>
      </c>
      <c r="BA636" s="234">
        <v>0</v>
      </c>
      <c r="BB636" s="234">
        <v>0</v>
      </c>
      <c r="BC636" s="234">
        <v>0</v>
      </c>
      <c r="BD636" s="234">
        <v>0</v>
      </c>
      <c r="BE636" s="234">
        <v>0</v>
      </c>
      <c r="BF636" s="234">
        <v>0</v>
      </c>
      <c r="BG636" s="234">
        <v>0</v>
      </c>
      <c r="BH636" s="234">
        <v>0</v>
      </c>
      <c r="BI636" s="234">
        <v>0</v>
      </c>
      <c r="BJ636" s="234">
        <v>0</v>
      </c>
      <c r="BK636" s="234">
        <v>0</v>
      </c>
      <c r="BL636" s="234">
        <v>0</v>
      </c>
      <c r="BM636" s="234">
        <v>0</v>
      </c>
      <c r="BN636" s="234">
        <v>0</v>
      </c>
      <c r="BO636" s="234">
        <v>0</v>
      </c>
      <c r="BP636" s="234"/>
      <c r="BQ636" s="234"/>
      <c r="BR636" s="237" t="s">
        <v>154</v>
      </c>
      <c r="BS636" s="238">
        <v>15</v>
      </c>
      <c r="BU636" s="239">
        <f t="shared" ref="BU636:BU653" si="76">M636/4</f>
        <v>0.25</v>
      </c>
      <c r="BV636" s="239">
        <f t="shared" si="70"/>
        <v>0.25</v>
      </c>
      <c r="BW636" s="239">
        <f t="shared" si="71"/>
        <v>0.25</v>
      </c>
      <c r="BX636" s="239">
        <f t="shared" si="72"/>
        <v>0.25</v>
      </c>
      <c r="CN636" s="238">
        <f t="shared" si="74"/>
        <v>1</v>
      </c>
      <c r="CO636" s="238">
        <f t="shared" si="75"/>
        <v>1</v>
      </c>
    </row>
    <row r="637" spans="1:93" ht="13.95" customHeight="1" x14ac:dyDescent="0.2">
      <c r="A637" s="231">
        <v>6728</v>
      </c>
      <c r="B637" s="232" t="s">
        <v>822</v>
      </c>
      <c r="C637" s="232" t="s">
        <v>1930</v>
      </c>
      <c r="D637" s="232" t="s">
        <v>1931</v>
      </c>
      <c r="E637" s="232" t="s">
        <v>317</v>
      </c>
      <c r="F637" s="231">
        <v>529035</v>
      </c>
      <c r="G637" s="231">
        <v>170671</v>
      </c>
      <c r="H637" s="232" t="s">
        <v>166</v>
      </c>
      <c r="I637" s="233">
        <v>44950</v>
      </c>
      <c r="J637" s="231"/>
      <c r="K637" s="231">
        <v>1</v>
      </c>
      <c r="L637" s="231">
        <v>2</v>
      </c>
      <c r="M637" s="231">
        <v>1</v>
      </c>
      <c r="N637" s="231">
        <v>2</v>
      </c>
      <c r="O637" s="231">
        <v>1</v>
      </c>
      <c r="P637" s="234"/>
      <c r="Q637" s="232" t="s">
        <v>1932</v>
      </c>
      <c r="R637" s="234" t="s">
        <v>332</v>
      </c>
      <c r="S637" s="235">
        <v>44894</v>
      </c>
      <c r="T637" s="235">
        <v>44950</v>
      </c>
      <c r="U637" s="234" t="s">
        <v>318</v>
      </c>
      <c r="V637" s="232" t="s">
        <v>321</v>
      </c>
      <c r="W637" s="231"/>
      <c r="X637" s="232" t="s">
        <v>322</v>
      </c>
      <c r="Y637" s="232" t="s">
        <v>338</v>
      </c>
      <c r="Z637" s="232" t="s">
        <v>324</v>
      </c>
      <c r="AA637" s="232" t="s">
        <v>15</v>
      </c>
      <c r="AB637" s="236">
        <v>6.0000000000000001E-3</v>
      </c>
      <c r="AC637" s="235"/>
      <c r="AD637" s="234"/>
      <c r="AE637" s="234"/>
      <c r="AF637" s="232" t="s">
        <v>77</v>
      </c>
      <c r="AG637" s="232" t="s">
        <v>350</v>
      </c>
      <c r="AH637" s="234" t="s">
        <v>317</v>
      </c>
      <c r="AJ637" s="234">
        <v>0</v>
      </c>
      <c r="AK637" s="224"/>
      <c r="AL637" s="234">
        <v>0</v>
      </c>
      <c r="AM637" s="224"/>
      <c r="AN637" s="234">
        <v>0</v>
      </c>
      <c r="AO637" s="234">
        <v>0</v>
      </c>
      <c r="AP637" s="234">
        <v>0</v>
      </c>
      <c r="AQ637" s="234">
        <v>1</v>
      </c>
      <c r="AR637" s="234">
        <v>0</v>
      </c>
      <c r="AS637" s="234">
        <v>0</v>
      </c>
      <c r="AT637" s="234">
        <v>0</v>
      </c>
      <c r="AU637" s="234">
        <v>0</v>
      </c>
      <c r="AV637" s="234">
        <v>0</v>
      </c>
      <c r="AW637" s="234">
        <v>0</v>
      </c>
      <c r="AX637" s="234">
        <v>1</v>
      </c>
      <c r="AY637" s="234">
        <v>1</v>
      </c>
      <c r="AZ637" s="234">
        <v>0</v>
      </c>
      <c r="BA637" s="234">
        <v>0</v>
      </c>
      <c r="BB637" s="234">
        <v>0</v>
      </c>
      <c r="BC637" s="234">
        <v>0</v>
      </c>
      <c r="BD637" s="234">
        <v>0</v>
      </c>
      <c r="BE637" s="234">
        <v>0</v>
      </c>
      <c r="BF637" s="234">
        <v>-1</v>
      </c>
      <c r="BG637" s="234">
        <v>0</v>
      </c>
      <c r="BH637" s="234">
        <v>0</v>
      </c>
      <c r="BI637" s="234">
        <v>0</v>
      </c>
      <c r="BJ637" s="234">
        <v>0</v>
      </c>
      <c r="BK637" s="234">
        <v>0</v>
      </c>
      <c r="BL637" s="234">
        <v>0</v>
      </c>
      <c r="BM637" s="234">
        <v>0</v>
      </c>
      <c r="BN637" s="234">
        <v>0</v>
      </c>
      <c r="BO637" s="234">
        <v>0</v>
      </c>
      <c r="BP637" s="234"/>
      <c r="BQ637" s="234"/>
      <c r="BR637" s="237" t="s">
        <v>334</v>
      </c>
      <c r="BS637" s="238">
        <v>15</v>
      </c>
      <c r="BU637" s="239">
        <f t="shared" si="76"/>
        <v>0.25</v>
      </c>
      <c r="BV637" s="239">
        <f t="shared" si="70"/>
        <v>0.25</v>
      </c>
      <c r="BW637" s="239">
        <f t="shared" si="71"/>
        <v>0.25</v>
      </c>
      <c r="BX637" s="239">
        <f t="shared" si="72"/>
        <v>0.25</v>
      </c>
      <c r="CN637" s="238">
        <f t="shared" si="74"/>
        <v>1</v>
      </c>
      <c r="CO637" s="238">
        <f t="shared" si="75"/>
        <v>1</v>
      </c>
    </row>
    <row r="638" spans="1:93" ht="13.95" customHeight="1" x14ac:dyDescent="0.2">
      <c r="A638" s="231">
        <v>7417</v>
      </c>
      <c r="B638" s="232" t="s">
        <v>822</v>
      </c>
      <c r="C638" s="232" t="s">
        <v>1933</v>
      </c>
      <c r="D638" s="232" t="s">
        <v>1934</v>
      </c>
      <c r="E638" s="232" t="s">
        <v>317</v>
      </c>
      <c r="F638" s="231">
        <v>524964</v>
      </c>
      <c r="G638" s="231">
        <v>174475</v>
      </c>
      <c r="H638" s="232" t="s">
        <v>164</v>
      </c>
      <c r="I638" s="233"/>
      <c r="J638" s="231"/>
      <c r="K638" s="231">
        <v>0</v>
      </c>
      <c r="L638" s="231">
        <v>1</v>
      </c>
      <c r="M638" s="231">
        <v>1</v>
      </c>
      <c r="N638" s="231">
        <v>1</v>
      </c>
      <c r="O638" s="231">
        <v>1</v>
      </c>
      <c r="P638" s="234"/>
      <c r="Q638" s="232" t="s">
        <v>1935</v>
      </c>
      <c r="R638" s="234" t="s">
        <v>332</v>
      </c>
      <c r="S638" s="235">
        <v>44680</v>
      </c>
      <c r="T638" s="235">
        <v>44733</v>
      </c>
      <c r="U638" s="234" t="s">
        <v>318</v>
      </c>
      <c r="V638" s="232" t="s">
        <v>321</v>
      </c>
      <c r="W638" s="231"/>
      <c r="X638" s="232" t="s">
        <v>418</v>
      </c>
      <c r="Y638" s="232" t="s">
        <v>339</v>
      </c>
      <c r="Z638" s="232" t="s">
        <v>324</v>
      </c>
      <c r="AA638" s="232" t="s">
        <v>354</v>
      </c>
      <c r="AB638" s="236">
        <v>2E-3</v>
      </c>
      <c r="AC638" s="235"/>
      <c r="AD638" s="234"/>
      <c r="AE638" s="234"/>
      <c r="AF638" s="232" t="s">
        <v>77</v>
      </c>
      <c r="AG638" s="232" t="s">
        <v>350</v>
      </c>
      <c r="AH638" s="234" t="s">
        <v>317</v>
      </c>
      <c r="AJ638" s="234">
        <v>0</v>
      </c>
      <c r="AK638" s="224"/>
      <c r="AL638" s="234">
        <v>0</v>
      </c>
      <c r="AM638" s="224"/>
      <c r="AN638" s="234">
        <v>0</v>
      </c>
      <c r="AO638" s="234">
        <v>1</v>
      </c>
      <c r="AP638" s="234">
        <v>0</v>
      </c>
      <c r="AQ638" s="234">
        <v>0</v>
      </c>
      <c r="AR638" s="234">
        <v>0</v>
      </c>
      <c r="AS638" s="234">
        <v>0</v>
      </c>
      <c r="AT638" s="234">
        <v>0</v>
      </c>
      <c r="AU638" s="234">
        <v>0</v>
      </c>
      <c r="AV638" s="234">
        <v>0</v>
      </c>
      <c r="AW638" s="234">
        <v>0</v>
      </c>
      <c r="AX638" s="234">
        <v>0</v>
      </c>
      <c r="AY638" s="234">
        <v>0</v>
      </c>
      <c r="AZ638" s="234">
        <v>0</v>
      </c>
      <c r="BA638" s="234">
        <v>0</v>
      </c>
      <c r="BB638" s="234">
        <v>0</v>
      </c>
      <c r="BC638" s="234">
        <v>1</v>
      </c>
      <c r="BD638" s="234">
        <v>0</v>
      </c>
      <c r="BE638" s="234">
        <v>0</v>
      </c>
      <c r="BF638" s="234">
        <v>0</v>
      </c>
      <c r="BG638" s="234">
        <v>0</v>
      </c>
      <c r="BH638" s="234">
        <v>0</v>
      </c>
      <c r="BI638" s="234">
        <v>0</v>
      </c>
      <c r="BJ638" s="234">
        <v>0</v>
      </c>
      <c r="BK638" s="234">
        <v>0</v>
      </c>
      <c r="BL638" s="234">
        <v>0</v>
      </c>
      <c r="BM638" s="234">
        <v>0</v>
      </c>
      <c r="BN638" s="234">
        <v>0</v>
      </c>
      <c r="BO638" s="234">
        <v>0</v>
      </c>
      <c r="BP638" s="234"/>
      <c r="BQ638" s="234"/>
      <c r="BR638" s="237" t="s">
        <v>334</v>
      </c>
      <c r="BS638" s="238">
        <v>15</v>
      </c>
      <c r="BU638" s="239">
        <f t="shared" si="76"/>
        <v>0.25</v>
      </c>
      <c r="BV638" s="239">
        <f t="shared" si="70"/>
        <v>0.25</v>
      </c>
      <c r="BW638" s="239">
        <f t="shared" si="71"/>
        <v>0.25</v>
      </c>
      <c r="BX638" s="239">
        <f t="shared" si="72"/>
        <v>0.25</v>
      </c>
      <c r="CN638" s="238">
        <f t="shared" si="74"/>
        <v>1</v>
      </c>
      <c r="CO638" s="238">
        <f t="shared" si="75"/>
        <v>1</v>
      </c>
    </row>
    <row r="639" spans="1:93" ht="13.95" customHeight="1" x14ac:dyDescent="0.2">
      <c r="A639" s="231">
        <v>7728</v>
      </c>
      <c r="B639" s="232" t="s">
        <v>822</v>
      </c>
      <c r="C639" s="232" t="s">
        <v>1936</v>
      </c>
      <c r="D639" s="232" t="s">
        <v>1937</v>
      </c>
      <c r="E639" s="232" t="s">
        <v>317</v>
      </c>
      <c r="F639" s="231">
        <v>528904</v>
      </c>
      <c r="G639" s="231">
        <v>173855</v>
      </c>
      <c r="H639" s="232" t="s">
        <v>141</v>
      </c>
      <c r="I639" s="233"/>
      <c r="J639" s="231"/>
      <c r="K639" s="231">
        <v>4</v>
      </c>
      <c r="L639" s="231">
        <v>5</v>
      </c>
      <c r="M639" s="231">
        <v>1</v>
      </c>
      <c r="N639" s="231">
        <v>5</v>
      </c>
      <c r="O639" s="231">
        <v>1</v>
      </c>
      <c r="P639" s="234"/>
      <c r="Q639" s="232" t="s">
        <v>1938</v>
      </c>
      <c r="R639" s="234" t="s">
        <v>332</v>
      </c>
      <c r="S639" s="235">
        <v>44456</v>
      </c>
      <c r="T639" s="235">
        <v>44516</v>
      </c>
      <c r="U639" s="234"/>
      <c r="V639" s="232" t="s">
        <v>321</v>
      </c>
      <c r="W639" s="231"/>
      <c r="X639" s="232" t="s">
        <v>322</v>
      </c>
      <c r="Y639" s="232" t="s">
        <v>339</v>
      </c>
      <c r="Z639" s="232" t="s">
        <v>324</v>
      </c>
      <c r="AA639" s="232" t="s">
        <v>354</v>
      </c>
      <c r="AB639" s="236">
        <v>4.0000000000000001E-3</v>
      </c>
      <c r="AC639" s="235"/>
      <c r="AD639" s="234"/>
      <c r="AE639" s="234"/>
      <c r="AF639" s="232" t="s">
        <v>77</v>
      </c>
      <c r="AG639" s="232" t="s">
        <v>350</v>
      </c>
      <c r="AH639" s="234" t="s">
        <v>317</v>
      </c>
      <c r="AJ639" s="234">
        <v>0</v>
      </c>
      <c r="AK639" s="224"/>
      <c r="AL639" s="234">
        <v>0</v>
      </c>
      <c r="AM639" s="224"/>
      <c r="AN639" s="234">
        <v>0</v>
      </c>
      <c r="AO639" s="234">
        <v>1</v>
      </c>
      <c r="AP639" s="234">
        <v>0</v>
      </c>
      <c r="AQ639" s="234">
        <v>0</v>
      </c>
      <c r="AR639" s="234">
        <v>0</v>
      </c>
      <c r="AS639" s="234">
        <v>0</v>
      </c>
      <c r="AT639" s="234">
        <v>0</v>
      </c>
      <c r="AU639" s="234">
        <v>0</v>
      </c>
      <c r="AV639" s="234">
        <v>1</v>
      </c>
      <c r="AW639" s="234">
        <v>0</v>
      </c>
      <c r="AX639" s="234">
        <v>0</v>
      </c>
      <c r="AY639" s="234">
        <v>0</v>
      </c>
      <c r="AZ639" s="234">
        <v>0</v>
      </c>
      <c r="BA639" s="234">
        <v>0</v>
      </c>
      <c r="BB639" s="234">
        <v>0</v>
      </c>
      <c r="BC639" s="234">
        <v>0</v>
      </c>
      <c r="BD639" s="234">
        <v>0</v>
      </c>
      <c r="BE639" s="234">
        <v>0</v>
      </c>
      <c r="BF639" s="234">
        <v>0</v>
      </c>
      <c r="BG639" s="234">
        <v>0</v>
      </c>
      <c r="BH639" s="234">
        <v>0</v>
      </c>
      <c r="BI639" s="234">
        <v>0</v>
      </c>
      <c r="BJ639" s="234">
        <v>0</v>
      </c>
      <c r="BK639" s="234">
        <v>0</v>
      </c>
      <c r="BL639" s="234">
        <v>0</v>
      </c>
      <c r="BM639" s="234">
        <v>0</v>
      </c>
      <c r="BN639" s="234">
        <v>0</v>
      </c>
      <c r="BO639" s="234">
        <v>0</v>
      </c>
      <c r="BP639" s="234"/>
      <c r="BQ639" s="234"/>
      <c r="BR639" s="237" t="s">
        <v>334</v>
      </c>
      <c r="BS639" s="238">
        <v>15</v>
      </c>
      <c r="BU639" s="239">
        <f t="shared" si="76"/>
        <v>0.25</v>
      </c>
      <c r="BV639" s="239">
        <f t="shared" si="70"/>
        <v>0.25</v>
      </c>
      <c r="BW639" s="239">
        <f t="shared" si="71"/>
        <v>0.25</v>
      </c>
      <c r="BX639" s="239">
        <f t="shared" si="72"/>
        <v>0.25</v>
      </c>
      <c r="CN639" s="238">
        <f t="shared" si="74"/>
        <v>1</v>
      </c>
      <c r="CO639" s="238">
        <f t="shared" si="75"/>
        <v>1</v>
      </c>
    </row>
    <row r="640" spans="1:93" ht="13.95" customHeight="1" x14ac:dyDescent="0.2">
      <c r="A640" s="231">
        <v>7191</v>
      </c>
      <c r="B640" s="232" t="s">
        <v>822</v>
      </c>
      <c r="C640" s="232" t="s">
        <v>1939</v>
      </c>
      <c r="D640" s="232" t="s">
        <v>1940</v>
      </c>
      <c r="E640" s="232" t="s">
        <v>317</v>
      </c>
      <c r="F640" s="231">
        <v>524767</v>
      </c>
      <c r="G640" s="231">
        <v>173302</v>
      </c>
      <c r="H640" s="232" t="s">
        <v>173</v>
      </c>
      <c r="I640" s="233"/>
      <c r="J640" s="231"/>
      <c r="K640" s="231">
        <v>0</v>
      </c>
      <c r="L640" s="231">
        <v>1</v>
      </c>
      <c r="M640" s="231">
        <v>1</v>
      </c>
      <c r="N640" s="231">
        <v>1</v>
      </c>
      <c r="O640" s="231">
        <v>1</v>
      </c>
      <c r="P640" s="234"/>
      <c r="Q640" s="232" t="s">
        <v>1941</v>
      </c>
      <c r="R640" s="234" t="s">
        <v>428</v>
      </c>
      <c r="S640" s="235">
        <v>43643</v>
      </c>
      <c r="T640" s="235">
        <v>43693</v>
      </c>
      <c r="U640" s="234"/>
      <c r="V640" s="232" t="s">
        <v>321</v>
      </c>
      <c r="W640" s="231"/>
      <c r="X640" s="232" t="s">
        <v>322</v>
      </c>
      <c r="Y640" s="232" t="s">
        <v>378</v>
      </c>
      <c r="Z640" s="232" t="s">
        <v>324</v>
      </c>
      <c r="AA640" s="232" t="s">
        <v>28</v>
      </c>
      <c r="AB640" s="236">
        <v>2E-3</v>
      </c>
      <c r="AC640" s="235"/>
      <c r="AD640" s="234"/>
      <c r="AE640" s="234"/>
      <c r="AF640" s="232" t="s">
        <v>77</v>
      </c>
      <c r="AG640" s="232" t="s">
        <v>350</v>
      </c>
      <c r="AH640" s="234" t="s">
        <v>317</v>
      </c>
      <c r="AJ640" s="234">
        <v>0</v>
      </c>
      <c r="AK640" s="224"/>
      <c r="AL640" s="234">
        <v>0</v>
      </c>
      <c r="AM640" s="224"/>
      <c r="AN640" s="234">
        <v>0</v>
      </c>
      <c r="AO640" s="234">
        <v>1</v>
      </c>
      <c r="AP640" s="234">
        <v>0</v>
      </c>
      <c r="AQ640" s="234">
        <v>0</v>
      </c>
      <c r="AR640" s="234">
        <v>0</v>
      </c>
      <c r="AS640" s="234">
        <v>0</v>
      </c>
      <c r="AT640" s="234">
        <v>0</v>
      </c>
      <c r="AU640" s="234">
        <v>0</v>
      </c>
      <c r="AV640" s="234">
        <v>1</v>
      </c>
      <c r="AW640" s="234">
        <v>0</v>
      </c>
      <c r="AX640" s="234">
        <v>0</v>
      </c>
      <c r="AY640" s="234">
        <v>0</v>
      </c>
      <c r="AZ640" s="234">
        <v>0</v>
      </c>
      <c r="BA640" s="234">
        <v>0</v>
      </c>
      <c r="BB640" s="234">
        <v>0</v>
      </c>
      <c r="BC640" s="234">
        <v>0</v>
      </c>
      <c r="BD640" s="234">
        <v>0</v>
      </c>
      <c r="BE640" s="234">
        <v>0</v>
      </c>
      <c r="BF640" s="234">
        <v>0</v>
      </c>
      <c r="BG640" s="234">
        <v>0</v>
      </c>
      <c r="BH640" s="234">
        <v>0</v>
      </c>
      <c r="BI640" s="234">
        <v>0</v>
      </c>
      <c r="BJ640" s="234">
        <v>0</v>
      </c>
      <c r="BK640" s="234">
        <v>0</v>
      </c>
      <c r="BL640" s="234">
        <v>0</v>
      </c>
      <c r="BM640" s="234">
        <v>0</v>
      </c>
      <c r="BN640" s="234">
        <v>0</v>
      </c>
      <c r="BO640" s="234">
        <v>0</v>
      </c>
      <c r="BP640" s="234"/>
      <c r="BQ640" s="234"/>
      <c r="BR640" s="237" t="s">
        <v>334</v>
      </c>
      <c r="BS640" s="238">
        <v>15</v>
      </c>
      <c r="BU640" s="239">
        <f t="shared" si="76"/>
        <v>0.25</v>
      </c>
      <c r="BV640" s="239">
        <f t="shared" si="70"/>
        <v>0.25</v>
      </c>
      <c r="BW640" s="239">
        <f t="shared" si="71"/>
        <v>0.25</v>
      </c>
      <c r="BX640" s="239">
        <f t="shared" si="72"/>
        <v>0.25</v>
      </c>
      <c r="CN640" s="238">
        <f t="shared" si="74"/>
        <v>1</v>
      </c>
      <c r="CO640" s="238">
        <f t="shared" si="75"/>
        <v>1</v>
      </c>
    </row>
    <row r="641" spans="1:93" ht="13.95" customHeight="1" x14ac:dyDescent="0.2">
      <c r="A641" s="231">
        <v>4208</v>
      </c>
      <c r="B641" s="232" t="s">
        <v>822</v>
      </c>
      <c r="C641" s="232" t="s">
        <v>1942</v>
      </c>
      <c r="D641" s="232" t="s">
        <v>1943</v>
      </c>
      <c r="E641" s="232" t="s">
        <v>317</v>
      </c>
      <c r="F641" s="231">
        <v>524367</v>
      </c>
      <c r="G641" s="231">
        <v>174500</v>
      </c>
      <c r="H641" s="232" t="s">
        <v>164</v>
      </c>
      <c r="I641" s="233"/>
      <c r="J641" s="231"/>
      <c r="K641" s="231">
        <v>0</v>
      </c>
      <c r="L641" s="231">
        <v>1</v>
      </c>
      <c r="M641" s="231">
        <v>1</v>
      </c>
      <c r="N641" s="231">
        <v>1</v>
      </c>
      <c r="O641" s="231">
        <v>1</v>
      </c>
      <c r="P641" s="234"/>
      <c r="Q641" s="232" t="s">
        <v>1944</v>
      </c>
      <c r="R641" s="234" t="s">
        <v>332</v>
      </c>
      <c r="S641" s="235">
        <v>44510</v>
      </c>
      <c r="T641" s="235">
        <v>44599</v>
      </c>
      <c r="U641" s="234"/>
      <c r="V641" s="232" t="s">
        <v>321</v>
      </c>
      <c r="W641" s="231"/>
      <c r="X641" s="232" t="s">
        <v>322</v>
      </c>
      <c r="Y641" s="232" t="s">
        <v>339</v>
      </c>
      <c r="Z641" s="232" t="s">
        <v>324</v>
      </c>
      <c r="AA641" s="232" t="s">
        <v>354</v>
      </c>
      <c r="AB641" s="236">
        <v>0.01</v>
      </c>
      <c r="AC641" s="235"/>
      <c r="AD641" s="234"/>
      <c r="AE641" s="234"/>
      <c r="AF641" s="232" t="s">
        <v>77</v>
      </c>
      <c r="AG641" s="232" t="s">
        <v>350</v>
      </c>
      <c r="AH641" s="234" t="s">
        <v>317</v>
      </c>
      <c r="AJ641" s="234">
        <v>0</v>
      </c>
      <c r="AK641" s="224"/>
      <c r="AL641" s="234">
        <v>0</v>
      </c>
      <c r="AM641" s="224"/>
      <c r="AN641" s="234">
        <v>0</v>
      </c>
      <c r="AO641" s="234">
        <v>1</v>
      </c>
      <c r="AP641" s="234">
        <v>0</v>
      </c>
      <c r="AQ641" s="234">
        <v>0</v>
      </c>
      <c r="AR641" s="234">
        <v>0</v>
      </c>
      <c r="AS641" s="234">
        <v>0</v>
      </c>
      <c r="AT641" s="234">
        <v>0</v>
      </c>
      <c r="AU641" s="234">
        <v>0</v>
      </c>
      <c r="AV641" s="234">
        <v>1</v>
      </c>
      <c r="AW641" s="234">
        <v>0</v>
      </c>
      <c r="AX641" s="234">
        <v>0</v>
      </c>
      <c r="AY641" s="234">
        <v>0</v>
      </c>
      <c r="AZ641" s="234">
        <v>0</v>
      </c>
      <c r="BA641" s="234">
        <v>0</v>
      </c>
      <c r="BB641" s="234">
        <v>0</v>
      </c>
      <c r="BC641" s="234">
        <v>0</v>
      </c>
      <c r="BD641" s="234">
        <v>0</v>
      </c>
      <c r="BE641" s="234">
        <v>0</v>
      </c>
      <c r="BF641" s="234">
        <v>0</v>
      </c>
      <c r="BG641" s="234">
        <v>0</v>
      </c>
      <c r="BH641" s="234">
        <v>0</v>
      </c>
      <c r="BI641" s="234">
        <v>0</v>
      </c>
      <c r="BJ641" s="234">
        <v>0</v>
      </c>
      <c r="BK641" s="234">
        <v>0</v>
      </c>
      <c r="BL641" s="234">
        <v>0</v>
      </c>
      <c r="BM641" s="234">
        <v>0</v>
      </c>
      <c r="BN641" s="234">
        <v>0</v>
      </c>
      <c r="BO641" s="234">
        <v>0</v>
      </c>
      <c r="BP641" s="234"/>
      <c r="BQ641" s="234"/>
      <c r="BR641" s="237" t="s">
        <v>334</v>
      </c>
      <c r="BS641" s="238">
        <v>15</v>
      </c>
      <c r="BU641" s="239">
        <f t="shared" si="76"/>
        <v>0.25</v>
      </c>
      <c r="BV641" s="239">
        <f t="shared" si="70"/>
        <v>0.25</v>
      </c>
      <c r="BW641" s="239">
        <f t="shared" si="71"/>
        <v>0.25</v>
      </c>
      <c r="BX641" s="239">
        <f t="shared" si="72"/>
        <v>0.25</v>
      </c>
      <c r="CN641" s="238">
        <f t="shared" si="74"/>
        <v>1</v>
      </c>
      <c r="CO641" s="238">
        <f t="shared" si="75"/>
        <v>1</v>
      </c>
    </row>
    <row r="642" spans="1:93" ht="13.95" customHeight="1" x14ac:dyDescent="0.2">
      <c r="A642" s="231">
        <v>7910</v>
      </c>
      <c r="B642" s="232" t="s">
        <v>822</v>
      </c>
      <c r="C642" s="232" t="s">
        <v>1945</v>
      </c>
      <c r="D642" s="232" t="s">
        <v>1946</v>
      </c>
      <c r="E642" s="232" t="s">
        <v>317</v>
      </c>
      <c r="F642" s="231">
        <v>528474</v>
      </c>
      <c r="G642" s="231">
        <v>174038</v>
      </c>
      <c r="H642" s="232" t="s">
        <v>141</v>
      </c>
      <c r="I642" s="233"/>
      <c r="J642" s="231"/>
      <c r="K642" s="231">
        <v>0</v>
      </c>
      <c r="L642" s="231">
        <v>1</v>
      </c>
      <c r="M642" s="231">
        <v>1</v>
      </c>
      <c r="N642" s="231">
        <v>1</v>
      </c>
      <c r="O642" s="231">
        <v>1</v>
      </c>
      <c r="P642" s="234"/>
      <c r="Q642" s="232" t="s">
        <v>1947</v>
      </c>
      <c r="R642" s="234" t="s">
        <v>332</v>
      </c>
      <c r="S642" s="235">
        <v>44859</v>
      </c>
      <c r="T642" s="235">
        <v>44914</v>
      </c>
      <c r="U642" s="234" t="s">
        <v>318</v>
      </c>
      <c r="V642" s="232" t="s">
        <v>321</v>
      </c>
      <c r="W642" s="231"/>
      <c r="X642" s="232" t="s">
        <v>322</v>
      </c>
      <c r="Y642" s="232" t="s">
        <v>339</v>
      </c>
      <c r="Z642" s="232" t="s">
        <v>324</v>
      </c>
      <c r="AA642" s="232" t="s">
        <v>354</v>
      </c>
      <c r="AB642" s="236">
        <v>4.3E-3</v>
      </c>
      <c r="AC642" s="235"/>
      <c r="AD642" s="234"/>
      <c r="AE642" s="234"/>
      <c r="AF642" s="232" t="s">
        <v>77</v>
      </c>
      <c r="AG642" s="232" t="s">
        <v>350</v>
      </c>
      <c r="AH642" s="234" t="s">
        <v>317</v>
      </c>
      <c r="AJ642" s="234">
        <v>0</v>
      </c>
      <c r="AK642" s="224"/>
      <c r="AL642" s="234">
        <v>0</v>
      </c>
      <c r="AM642" s="224"/>
      <c r="AN642" s="234">
        <v>0</v>
      </c>
      <c r="AO642" s="234">
        <v>1</v>
      </c>
      <c r="AP642" s="234">
        <v>0</v>
      </c>
      <c r="AQ642" s="234">
        <v>0</v>
      </c>
      <c r="AR642" s="234">
        <v>0</v>
      </c>
      <c r="AS642" s="234">
        <v>0</v>
      </c>
      <c r="AT642" s="234">
        <v>0</v>
      </c>
      <c r="AU642" s="234">
        <v>0</v>
      </c>
      <c r="AV642" s="234">
        <v>1</v>
      </c>
      <c r="AW642" s="234">
        <v>0</v>
      </c>
      <c r="AX642" s="234">
        <v>0</v>
      </c>
      <c r="AY642" s="234">
        <v>0</v>
      </c>
      <c r="AZ642" s="234">
        <v>0</v>
      </c>
      <c r="BA642" s="234">
        <v>0</v>
      </c>
      <c r="BB642" s="234">
        <v>0</v>
      </c>
      <c r="BC642" s="234">
        <v>0</v>
      </c>
      <c r="BD642" s="234">
        <v>0</v>
      </c>
      <c r="BE642" s="234">
        <v>0</v>
      </c>
      <c r="BF642" s="234">
        <v>0</v>
      </c>
      <c r="BG642" s="234">
        <v>0</v>
      </c>
      <c r="BH642" s="234">
        <v>0</v>
      </c>
      <c r="BI642" s="234">
        <v>0</v>
      </c>
      <c r="BJ642" s="234">
        <v>0</v>
      </c>
      <c r="BK642" s="234">
        <v>0</v>
      </c>
      <c r="BL642" s="234">
        <v>0</v>
      </c>
      <c r="BM642" s="234">
        <v>0</v>
      </c>
      <c r="BN642" s="234">
        <v>0</v>
      </c>
      <c r="BO642" s="234">
        <v>0</v>
      </c>
      <c r="BP642" s="234"/>
      <c r="BQ642" s="234"/>
      <c r="BR642" s="237" t="s">
        <v>334</v>
      </c>
      <c r="BS642" s="238">
        <v>15</v>
      </c>
      <c r="BU642" s="239">
        <f t="shared" si="76"/>
        <v>0.25</v>
      </c>
      <c r="BV642" s="239">
        <f t="shared" si="70"/>
        <v>0.25</v>
      </c>
      <c r="BW642" s="239">
        <f t="shared" si="71"/>
        <v>0.25</v>
      </c>
      <c r="BX642" s="239">
        <f t="shared" si="72"/>
        <v>0.25</v>
      </c>
      <c r="CN642" s="238">
        <f t="shared" si="74"/>
        <v>1</v>
      </c>
      <c r="CO642" s="238">
        <f t="shared" si="75"/>
        <v>1</v>
      </c>
    </row>
    <row r="643" spans="1:93" ht="13.95" customHeight="1" x14ac:dyDescent="0.2">
      <c r="A643" s="231">
        <v>6981</v>
      </c>
      <c r="B643" s="232" t="s">
        <v>822</v>
      </c>
      <c r="C643" s="232" t="s">
        <v>1948</v>
      </c>
      <c r="D643" s="232" t="s">
        <v>1949</v>
      </c>
      <c r="E643" s="232" t="s">
        <v>317</v>
      </c>
      <c r="F643" s="231">
        <v>524911</v>
      </c>
      <c r="G643" s="231">
        <v>173105</v>
      </c>
      <c r="H643" s="232" t="s">
        <v>173</v>
      </c>
      <c r="I643" s="233"/>
      <c r="J643" s="231"/>
      <c r="K643" s="231">
        <v>0</v>
      </c>
      <c r="L643" s="231">
        <v>1</v>
      </c>
      <c r="M643" s="231">
        <v>1</v>
      </c>
      <c r="N643" s="231">
        <v>1</v>
      </c>
      <c r="O643" s="231">
        <v>1</v>
      </c>
      <c r="P643" s="234"/>
      <c r="Q643" s="232" t="s">
        <v>1950</v>
      </c>
      <c r="R643" s="234" t="s">
        <v>332</v>
      </c>
      <c r="S643" s="235">
        <v>43285</v>
      </c>
      <c r="T643" s="235">
        <v>43340</v>
      </c>
      <c r="U643" s="234"/>
      <c r="V643" s="232" t="s">
        <v>321</v>
      </c>
      <c r="W643" s="231"/>
      <c r="X643" s="232" t="s">
        <v>322</v>
      </c>
      <c r="Y643" s="232" t="s">
        <v>338</v>
      </c>
      <c r="Z643" s="232" t="s">
        <v>324</v>
      </c>
      <c r="AA643" s="232" t="s">
        <v>25</v>
      </c>
      <c r="AB643" s="236">
        <v>4.0000000000000001E-3</v>
      </c>
      <c r="AC643" s="235"/>
      <c r="AD643" s="234"/>
      <c r="AE643" s="234"/>
      <c r="AF643" s="232" t="s">
        <v>77</v>
      </c>
      <c r="AG643" s="232" t="s">
        <v>350</v>
      </c>
      <c r="AH643" s="234" t="s">
        <v>317</v>
      </c>
      <c r="AJ643" s="234">
        <v>0</v>
      </c>
      <c r="AK643" s="224"/>
      <c r="AL643" s="234">
        <v>0</v>
      </c>
      <c r="AM643" s="224"/>
      <c r="AN643" s="234">
        <v>0</v>
      </c>
      <c r="AO643" s="234">
        <v>1</v>
      </c>
      <c r="AP643" s="234">
        <v>0</v>
      </c>
      <c r="AQ643" s="234">
        <v>0</v>
      </c>
      <c r="AR643" s="234">
        <v>0</v>
      </c>
      <c r="AS643" s="234">
        <v>0</v>
      </c>
      <c r="AT643" s="234">
        <v>0</v>
      </c>
      <c r="AU643" s="234">
        <v>0</v>
      </c>
      <c r="AV643" s="234">
        <v>1</v>
      </c>
      <c r="AW643" s="234">
        <v>0</v>
      </c>
      <c r="AX643" s="234">
        <v>0</v>
      </c>
      <c r="AY643" s="234">
        <v>0</v>
      </c>
      <c r="AZ643" s="234">
        <v>0</v>
      </c>
      <c r="BA643" s="234">
        <v>0</v>
      </c>
      <c r="BB643" s="234">
        <v>0</v>
      </c>
      <c r="BC643" s="234">
        <v>0</v>
      </c>
      <c r="BD643" s="234">
        <v>0</v>
      </c>
      <c r="BE643" s="234">
        <v>0</v>
      </c>
      <c r="BF643" s="234">
        <v>0</v>
      </c>
      <c r="BG643" s="234">
        <v>0</v>
      </c>
      <c r="BH643" s="234">
        <v>0</v>
      </c>
      <c r="BI643" s="234">
        <v>0</v>
      </c>
      <c r="BJ643" s="234">
        <v>0</v>
      </c>
      <c r="BK643" s="234">
        <v>0</v>
      </c>
      <c r="BL643" s="234">
        <v>0</v>
      </c>
      <c r="BM643" s="234">
        <v>0</v>
      </c>
      <c r="BN643" s="234">
        <v>0</v>
      </c>
      <c r="BO643" s="234">
        <v>0</v>
      </c>
      <c r="BP643" s="234"/>
      <c r="BQ643" s="234"/>
      <c r="BR643" s="237" t="s">
        <v>334</v>
      </c>
      <c r="BS643" s="238">
        <v>15</v>
      </c>
      <c r="BU643" s="239">
        <f t="shared" si="76"/>
        <v>0.25</v>
      </c>
      <c r="BV643" s="239">
        <f t="shared" si="70"/>
        <v>0.25</v>
      </c>
      <c r="BW643" s="239">
        <f t="shared" si="71"/>
        <v>0.25</v>
      </c>
      <c r="BX643" s="239">
        <f t="shared" si="72"/>
        <v>0.25</v>
      </c>
      <c r="CN643" s="238">
        <f t="shared" si="74"/>
        <v>1</v>
      </c>
      <c r="CO643" s="238">
        <f t="shared" si="75"/>
        <v>1</v>
      </c>
    </row>
    <row r="644" spans="1:93" ht="13.95" customHeight="1" x14ac:dyDescent="0.2">
      <c r="A644" s="231">
        <v>7669</v>
      </c>
      <c r="B644" s="232" t="s">
        <v>822</v>
      </c>
      <c r="C644" s="232" t="s">
        <v>1951</v>
      </c>
      <c r="D644" s="232" t="s">
        <v>1952</v>
      </c>
      <c r="E644" s="232" t="s">
        <v>317</v>
      </c>
      <c r="F644" s="231">
        <v>524351</v>
      </c>
      <c r="G644" s="231">
        <v>175325</v>
      </c>
      <c r="H644" s="232" t="s">
        <v>175</v>
      </c>
      <c r="I644" s="233"/>
      <c r="J644" s="231"/>
      <c r="K644" s="231">
        <v>2</v>
      </c>
      <c r="L644" s="231">
        <v>3</v>
      </c>
      <c r="M644" s="231">
        <v>1</v>
      </c>
      <c r="N644" s="231">
        <v>3</v>
      </c>
      <c r="O644" s="231">
        <v>1</v>
      </c>
      <c r="P644" s="234"/>
      <c r="Q644" s="232" t="s">
        <v>1953</v>
      </c>
      <c r="R644" s="234" t="s">
        <v>332</v>
      </c>
      <c r="S644" s="235">
        <v>44482</v>
      </c>
      <c r="T644" s="235">
        <v>44573</v>
      </c>
      <c r="U644" s="234"/>
      <c r="V644" s="232" t="s">
        <v>321</v>
      </c>
      <c r="W644" s="231"/>
      <c r="X644" s="232" t="s">
        <v>322</v>
      </c>
      <c r="Y644" s="232" t="s">
        <v>339</v>
      </c>
      <c r="Z644" s="232" t="s">
        <v>324</v>
      </c>
      <c r="AA644" s="232" t="s">
        <v>354</v>
      </c>
      <c r="AB644" s="236">
        <v>3.9332999999999998E-3</v>
      </c>
      <c r="AC644" s="235"/>
      <c r="AD644" s="234"/>
      <c r="AE644" s="234"/>
      <c r="AF644" s="232" t="s">
        <v>77</v>
      </c>
      <c r="AG644" s="232" t="s">
        <v>350</v>
      </c>
      <c r="AH644" s="234" t="s">
        <v>317</v>
      </c>
      <c r="AJ644" s="234">
        <v>0</v>
      </c>
      <c r="AK644" s="224"/>
      <c r="AL644" s="234">
        <v>0</v>
      </c>
      <c r="AM644" s="224"/>
      <c r="AN644" s="234">
        <v>0</v>
      </c>
      <c r="AO644" s="234">
        <v>1</v>
      </c>
      <c r="AP644" s="234">
        <v>0</v>
      </c>
      <c r="AQ644" s="234">
        <v>0</v>
      </c>
      <c r="AR644" s="234">
        <v>0</v>
      </c>
      <c r="AS644" s="234">
        <v>0</v>
      </c>
      <c r="AT644" s="234">
        <v>0</v>
      </c>
      <c r="AU644" s="234">
        <v>0</v>
      </c>
      <c r="AV644" s="234">
        <v>1</v>
      </c>
      <c r="AW644" s="234">
        <v>0</v>
      </c>
      <c r="AX644" s="234">
        <v>0</v>
      </c>
      <c r="AY644" s="234">
        <v>0</v>
      </c>
      <c r="AZ644" s="234">
        <v>0</v>
      </c>
      <c r="BA644" s="234">
        <v>0</v>
      </c>
      <c r="BB644" s="234">
        <v>0</v>
      </c>
      <c r="BC644" s="234">
        <v>0</v>
      </c>
      <c r="BD644" s="234">
        <v>0</v>
      </c>
      <c r="BE644" s="234">
        <v>0</v>
      </c>
      <c r="BF644" s="234">
        <v>0</v>
      </c>
      <c r="BG644" s="234">
        <v>0</v>
      </c>
      <c r="BH644" s="234">
        <v>0</v>
      </c>
      <c r="BI644" s="234">
        <v>0</v>
      </c>
      <c r="BJ644" s="234">
        <v>0</v>
      </c>
      <c r="BK644" s="234">
        <v>0</v>
      </c>
      <c r="BL644" s="234">
        <v>0</v>
      </c>
      <c r="BM644" s="234">
        <v>0</v>
      </c>
      <c r="BN644" s="234">
        <v>0</v>
      </c>
      <c r="BO644" s="234">
        <v>0</v>
      </c>
      <c r="BP644" s="234"/>
      <c r="BQ644" s="234"/>
      <c r="BR644" s="237" t="s">
        <v>334</v>
      </c>
      <c r="BS644" s="238">
        <v>15</v>
      </c>
      <c r="BU644" s="239">
        <f t="shared" si="76"/>
        <v>0.25</v>
      </c>
      <c r="BV644" s="239">
        <f t="shared" si="70"/>
        <v>0.25</v>
      </c>
      <c r="BW644" s="239">
        <f t="shared" si="71"/>
        <v>0.25</v>
      </c>
      <c r="BX644" s="239">
        <f t="shared" si="72"/>
        <v>0.25</v>
      </c>
      <c r="CN644" s="238">
        <f t="shared" si="74"/>
        <v>1</v>
      </c>
      <c r="CO644" s="238">
        <f t="shared" si="75"/>
        <v>1</v>
      </c>
    </row>
    <row r="645" spans="1:93" ht="13.95" customHeight="1" x14ac:dyDescent="0.2">
      <c r="A645" s="231">
        <v>7305</v>
      </c>
      <c r="B645" s="232" t="s">
        <v>822</v>
      </c>
      <c r="C645" s="232" t="s">
        <v>1954</v>
      </c>
      <c r="D645" s="232" t="s">
        <v>1955</v>
      </c>
      <c r="E645" s="232" t="s">
        <v>317</v>
      </c>
      <c r="F645" s="231">
        <v>529000</v>
      </c>
      <c r="G645" s="231">
        <v>173317</v>
      </c>
      <c r="H645" s="232" t="s">
        <v>141</v>
      </c>
      <c r="I645" s="233"/>
      <c r="J645" s="231"/>
      <c r="K645" s="231">
        <v>0</v>
      </c>
      <c r="L645" s="231">
        <v>1</v>
      </c>
      <c r="M645" s="231">
        <v>1</v>
      </c>
      <c r="N645" s="231">
        <v>1</v>
      </c>
      <c r="O645" s="231">
        <v>1</v>
      </c>
      <c r="P645" s="234"/>
      <c r="Q645" s="232" t="s">
        <v>1956</v>
      </c>
      <c r="R645" s="234" t="s">
        <v>332</v>
      </c>
      <c r="S645" s="235">
        <v>44888</v>
      </c>
      <c r="T645" s="235">
        <v>44959</v>
      </c>
      <c r="U645" s="234" t="s">
        <v>318</v>
      </c>
      <c r="V645" s="232" t="s">
        <v>321</v>
      </c>
      <c r="W645" s="231"/>
      <c r="X645" s="232" t="s">
        <v>322</v>
      </c>
      <c r="Y645" s="232" t="s">
        <v>365</v>
      </c>
      <c r="Z645" s="232" t="s">
        <v>324</v>
      </c>
      <c r="AA645" s="232" t="s">
        <v>28</v>
      </c>
      <c r="AB645" s="236">
        <v>6.6000000000000003E-2</v>
      </c>
      <c r="AC645" s="235"/>
      <c r="AD645" s="234"/>
      <c r="AE645" s="234"/>
      <c r="AF645" s="232" t="s">
        <v>77</v>
      </c>
      <c r="AG645" s="232" t="s">
        <v>350</v>
      </c>
      <c r="AH645" s="234" t="s">
        <v>317</v>
      </c>
      <c r="AJ645" s="234">
        <v>0</v>
      </c>
      <c r="AK645" s="224"/>
      <c r="AL645" s="234">
        <v>0</v>
      </c>
      <c r="AM645" s="224"/>
      <c r="AN645" s="234">
        <v>0</v>
      </c>
      <c r="AO645" s="234">
        <v>0</v>
      </c>
      <c r="AP645" s="234">
        <v>1</v>
      </c>
      <c r="AQ645" s="234">
        <v>0</v>
      </c>
      <c r="AR645" s="234">
        <v>0</v>
      </c>
      <c r="AS645" s="234">
        <v>0</v>
      </c>
      <c r="AT645" s="234">
        <v>0</v>
      </c>
      <c r="AU645" s="234">
        <v>0</v>
      </c>
      <c r="AV645" s="234">
        <v>0</v>
      </c>
      <c r="AW645" s="234">
        <v>1</v>
      </c>
      <c r="AX645" s="234">
        <v>0</v>
      </c>
      <c r="AY645" s="234">
        <v>0</v>
      </c>
      <c r="AZ645" s="234">
        <v>0</v>
      </c>
      <c r="BA645" s="234">
        <v>0</v>
      </c>
      <c r="BB645" s="234">
        <v>0</v>
      </c>
      <c r="BC645" s="234">
        <v>0</v>
      </c>
      <c r="BD645" s="234">
        <v>0</v>
      </c>
      <c r="BE645" s="234">
        <v>0</v>
      </c>
      <c r="BF645" s="234">
        <v>0</v>
      </c>
      <c r="BG645" s="234">
        <v>0</v>
      </c>
      <c r="BH645" s="234">
        <v>0</v>
      </c>
      <c r="BI645" s="234">
        <v>0</v>
      </c>
      <c r="BJ645" s="234">
        <v>0</v>
      </c>
      <c r="BK645" s="234">
        <v>0</v>
      </c>
      <c r="BL645" s="234">
        <v>0</v>
      </c>
      <c r="BM645" s="234">
        <v>0</v>
      </c>
      <c r="BN645" s="234">
        <v>0</v>
      </c>
      <c r="BO645" s="234">
        <v>0</v>
      </c>
      <c r="BP645" s="234"/>
      <c r="BQ645" s="234"/>
      <c r="BR645" s="237" t="s">
        <v>334</v>
      </c>
      <c r="BS645" s="238">
        <v>15</v>
      </c>
      <c r="BU645" s="239">
        <f t="shared" si="76"/>
        <v>0.25</v>
      </c>
      <c r="BV645" s="239">
        <f t="shared" si="70"/>
        <v>0.25</v>
      </c>
      <c r="BW645" s="239">
        <f t="shared" si="71"/>
        <v>0.25</v>
      </c>
      <c r="BX645" s="239">
        <f t="shared" si="72"/>
        <v>0.25</v>
      </c>
      <c r="CN645" s="238">
        <f t="shared" si="74"/>
        <v>1</v>
      </c>
      <c r="CO645" s="238">
        <f t="shared" si="75"/>
        <v>1</v>
      </c>
    </row>
    <row r="646" spans="1:93" ht="13.95" customHeight="1" x14ac:dyDescent="0.2">
      <c r="A646" s="231">
        <v>1242</v>
      </c>
      <c r="B646" s="232" t="s">
        <v>822</v>
      </c>
      <c r="C646" s="232" t="s">
        <v>1957</v>
      </c>
      <c r="D646" s="232" t="s">
        <v>1958</v>
      </c>
      <c r="E646" s="232" t="s">
        <v>317</v>
      </c>
      <c r="F646" s="231">
        <v>526084</v>
      </c>
      <c r="G646" s="231">
        <v>173269</v>
      </c>
      <c r="H646" s="232" t="s">
        <v>179</v>
      </c>
      <c r="I646" s="233"/>
      <c r="J646" s="231"/>
      <c r="K646" s="231">
        <v>1</v>
      </c>
      <c r="L646" s="231">
        <v>2</v>
      </c>
      <c r="M646" s="231">
        <v>1</v>
      </c>
      <c r="N646" s="231">
        <v>2</v>
      </c>
      <c r="O646" s="231">
        <v>1</v>
      </c>
      <c r="P646" s="234"/>
      <c r="Q646" s="232" t="s">
        <v>1959</v>
      </c>
      <c r="R646" s="234" t="s">
        <v>629</v>
      </c>
      <c r="S646" s="235">
        <v>44382</v>
      </c>
      <c r="T646" s="235">
        <v>44431</v>
      </c>
      <c r="U646" s="234"/>
      <c r="V646" s="232" t="s">
        <v>321</v>
      </c>
      <c r="W646" s="231"/>
      <c r="X646" s="232" t="s">
        <v>322</v>
      </c>
      <c r="Y646" s="232" t="s">
        <v>338</v>
      </c>
      <c r="Z646" s="232" t="s">
        <v>324</v>
      </c>
      <c r="AA646" s="232" t="s">
        <v>25</v>
      </c>
      <c r="AB646" s="236">
        <v>9.8665999999999997E-3</v>
      </c>
      <c r="AC646" s="235"/>
      <c r="AD646" s="234"/>
      <c r="AE646" s="234"/>
      <c r="AF646" s="232" t="s">
        <v>77</v>
      </c>
      <c r="AG646" s="232" t="s">
        <v>350</v>
      </c>
      <c r="AH646" s="234" t="s">
        <v>317</v>
      </c>
      <c r="AJ646" s="234">
        <v>0</v>
      </c>
      <c r="AK646" s="224"/>
      <c r="AL646" s="234">
        <v>0</v>
      </c>
      <c r="AM646" s="224"/>
      <c r="AN646" s="234">
        <v>0</v>
      </c>
      <c r="AO646" s="234">
        <v>1</v>
      </c>
      <c r="AP646" s="234">
        <v>0</v>
      </c>
      <c r="AQ646" s="234">
        <v>0</v>
      </c>
      <c r="AR646" s="234">
        <v>0</v>
      </c>
      <c r="AS646" s="234">
        <v>0</v>
      </c>
      <c r="AT646" s="234">
        <v>0</v>
      </c>
      <c r="AU646" s="234">
        <v>0</v>
      </c>
      <c r="AV646" s="234">
        <v>1</v>
      </c>
      <c r="AW646" s="234">
        <v>0</v>
      </c>
      <c r="AX646" s="234">
        <v>0</v>
      </c>
      <c r="AY646" s="234">
        <v>0</v>
      </c>
      <c r="AZ646" s="234">
        <v>0</v>
      </c>
      <c r="BA646" s="234">
        <v>0</v>
      </c>
      <c r="BB646" s="234">
        <v>0</v>
      </c>
      <c r="BC646" s="234">
        <v>0</v>
      </c>
      <c r="BD646" s="234">
        <v>0</v>
      </c>
      <c r="BE646" s="234">
        <v>0</v>
      </c>
      <c r="BF646" s="234">
        <v>0</v>
      </c>
      <c r="BG646" s="234">
        <v>0</v>
      </c>
      <c r="BH646" s="234">
        <v>0</v>
      </c>
      <c r="BI646" s="234">
        <v>0</v>
      </c>
      <c r="BJ646" s="234">
        <v>0</v>
      </c>
      <c r="BK646" s="234">
        <v>0</v>
      </c>
      <c r="BL646" s="234">
        <v>0</v>
      </c>
      <c r="BM646" s="234">
        <v>0</v>
      </c>
      <c r="BN646" s="234">
        <v>0</v>
      </c>
      <c r="BO646" s="234">
        <v>0</v>
      </c>
      <c r="BP646" s="234"/>
      <c r="BQ646" s="234"/>
      <c r="BR646" s="237" t="s">
        <v>334</v>
      </c>
      <c r="BS646" s="238">
        <v>15</v>
      </c>
      <c r="BU646" s="239">
        <f t="shared" si="76"/>
        <v>0.25</v>
      </c>
      <c r="BV646" s="239">
        <f t="shared" si="70"/>
        <v>0.25</v>
      </c>
      <c r="BW646" s="239">
        <f t="shared" si="71"/>
        <v>0.25</v>
      </c>
      <c r="BX646" s="239">
        <f t="shared" si="72"/>
        <v>0.25</v>
      </c>
      <c r="CN646" s="238">
        <f t="shared" si="74"/>
        <v>1</v>
      </c>
      <c r="CO646" s="238">
        <f t="shared" si="75"/>
        <v>1</v>
      </c>
    </row>
    <row r="647" spans="1:93" ht="13.95" customHeight="1" x14ac:dyDescent="0.2">
      <c r="A647" s="231">
        <v>6971</v>
      </c>
      <c r="B647" s="232" t="s">
        <v>822</v>
      </c>
      <c r="C647" s="232" t="s">
        <v>1960</v>
      </c>
      <c r="D647" s="232" t="s">
        <v>1961</v>
      </c>
      <c r="E647" s="232" t="s">
        <v>317</v>
      </c>
      <c r="F647" s="231">
        <v>528580</v>
      </c>
      <c r="G647" s="231">
        <v>173481</v>
      </c>
      <c r="H647" s="232" t="s">
        <v>141</v>
      </c>
      <c r="I647" s="233"/>
      <c r="J647" s="231"/>
      <c r="K647" s="231">
        <v>0</v>
      </c>
      <c r="L647" s="231">
        <v>1</v>
      </c>
      <c r="M647" s="231">
        <v>1</v>
      </c>
      <c r="N647" s="231">
        <v>1</v>
      </c>
      <c r="O647" s="231">
        <v>1</v>
      </c>
      <c r="P647" s="234"/>
      <c r="Q647" s="232" t="s">
        <v>1962</v>
      </c>
      <c r="R647" s="234" t="s">
        <v>332</v>
      </c>
      <c r="S647" s="235">
        <v>43256</v>
      </c>
      <c r="T647" s="235">
        <v>43307</v>
      </c>
      <c r="U647" s="234"/>
      <c r="V647" s="232" t="s">
        <v>321</v>
      </c>
      <c r="W647" s="231"/>
      <c r="X647" s="232" t="s">
        <v>322</v>
      </c>
      <c r="Y647" s="232" t="s">
        <v>339</v>
      </c>
      <c r="Z647" s="232" t="s">
        <v>324</v>
      </c>
      <c r="AA647" s="232" t="s">
        <v>354</v>
      </c>
      <c r="AB647" s="236">
        <v>4.0000000000000001E-3</v>
      </c>
      <c r="AC647" s="235"/>
      <c r="AD647" s="234"/>
      <c r="AE647" s="234"/>
      <c r="AF647" s="232" t="s">
        <v>77</v>
      </c>
      <c r="AG647" s="232" t="s">
        <v>350</v>
      </c>
      <c r="AH647" s="234" t="s">
        <v>317</v>
      </c>
      <c r="AJ647" s="234">
        <v>0</v>
      </c>
      <c r="AK647" s="224"/>
      <c r="AL647" s="234">
        <v>0</v>
      </c>
      <c r="AM647" s="224"/>
      <c r="AN647" s="234">
        <v>1</v>
      </c>
      <c r="AO647" s="234">
        <v>0</v>
      </c>
      <c r="AP647" s="234">
        <v>0</v>
      </c>
      <c r="AQ647" s="234">
        <v>0</v>
      </c>
      <c r="AR647" s="234">
        <v>0</v>
      </c>
      <c r="AS647" s="234">
        <v>0</v>
      </c>
      <c r="AT647" s="234">
        <v>0</v>
      </c>
      <c r="AU647" s="234">
        <v>1</v>
      </c>
      <c r="AV647" s="234">
        <v>0</v>
      </c>
      <c r="AW647" s="234">
        <v>0</v>
      </c>
      <c r="AX647" s="234">
        <v>0</v>
      </c>
      <c r="AY647" s="234">
        <v>0</v>
      </c>
      <c r="AZ647" s="234">
        <v>0</v>
      </c>
      <c r="BA647" s="234">
        <v>0</v>
      </c>
      <c r="BB647" s="234">
        <v>0</v>
      </c>
      <c r="BC647" s="234">
        <v>0</v>
      </c>
      <c r="BD647" s="234">
        <v>0</v>
      </c>
      <c r="BE647" s="234">
        <v>0</v>
      </c>
      <c r="BF647" s="234">
        <v>0</v>
      </c>
      <c r="BG647" s="234">
        <v>0</v>
      </c>
      <c r="BH647" s="234">
        <v>0</v>
      </c>
      <c r="BI647" s="234">
        <v>0</v>
      </c>
      <c r="BJ647" s="234">
        <v>0</v>
      </c>
      <c r="BK647" s="234">
        <v>0</v>
      </c>
      <c r="BL647" s="234">
        <v>0</v>
      </c>
      <c r="BM647" s="234">
        <v>0</v>
      </c>
      <c r="BN647" s="234">
        <v>0</v>
      </c>
      <c r="BO647" s="234">
        <v>0</v>
      </c>
      <c r="BP647" s="234" t="s">
        <v>141</v>
      </c>
      <c r="BQ647" s="234"/>
      <c r="BR647" s="237" t="s">
        <v>141</v>
      </c>
      <c r="BS647" s="238">
        <v>15</v>
      </c>
      <c r="BU647" s="239">
        <f t="shared" si="76"/>
        <v>0.25</v>
      </c>
      <c r="BV647" s="239">
        <f t="shared" si="70"/>
        <v>0.25</v>
      </c>
      <c r="BW647" s="239">
        <f t="shared" si="71"/>
        <v>0.25</v>
      </c>
      <c r="BX647" s="239">
        <f t="shared" si="72"/>
        <v>0.25</v>
      </c>
      <c r="CN647" s="238">
        <f t="shared" si="74"/>
        <v>1</v>
      </c>
      <c r="CO647" s="238">
        <f t="shared" si="75"/>
        <v>1</v>
      </c>
    </row>
    <row r="648" spans="1:93" ht="13.95" customHeight="1" x14ac:dyDescent="0.2">
      <c r="A648" s="231">
        <v>7729</v>
      </c>
      <c r="B648" s="232" t="s">
        <v>822</v>
      </c>
      <c r="C648" s="232" t="s">
        <v>1963</v>
      </c>
      <c r="D648" s="232" t="s">
        <v>1706</v>
      </c>
      <c r="E648" s="232" t="s">
        <v>317</v>
      </c>
      <c r="F648" s="231">
        <v>527446</v>
      </c>
      <c r="G648" s="231">
        <v>173267</v>
      </c>
      <c r="H648" s="232" t="s">
        <v>178</v>
      </c>
      <c r="I648" s="233"/>
      <c r="J648" s="231"/>
      <c r="K648" s="231">
        <v>0</v>
      </c>
      <c r="L648" s="231">
        <v>1</v>
      </c>
      <c r="M648" s="231">
        <v>1</v>
      </c>
      <c r="N648" s="231">
        <v>1</v>
      </c>
      <c r="O648" s="231">
        <v>1</v>
      </c>
      <c r="P648" s="234"/>
      <c r="Q648" s="232" t="s">
        <v>1964</v>
      </c>
      <c r="R648" s="234" t="s">
        <v>332</v>
      </c>
      <c r="S648" s="235">
        <v>44664</v>
      </c>
      <c r="T648" s="235">
        <v>44720</v>
      </c>
      <c r="U648" s="234" t="s">
        <v>318</v>
      </c>
      <c r="V648" s="232" t="s">
        <v>321</v>
      </c>
      <c r="W648" s="231"/>
      <c r="X648" s="232" t="s">
        <v>322</v>
      </c>
      <c r="Y648" s="232" t="s">
        <v>338</v>
      </c>
      <c r="Z648" s="232" t="s">
        <v>324</v>
      </c>
      <c r="AA648" s="232" t="s">
        <v>25</v>
      </c>
      <c r="AB648" s="236">
        <v>8.0000000000000002E-3</v>
      </c>
      <c r="AC648" s="235"/>
      <c r="AD648" s="234"/>
      <c r="AE648" s="234"/>
      <c r="AF648" s="232" t="s">
        <v>77</v>
      </c>
      <c r="AG648" s="232" t="s">
        <v>350</v>
      </c>
      <c r="AH648" s="234" t="s">
        <v>317</v>
      </c>
      <c r="AJ648" s="234">
        <v>0</v>
      </c>
      <c r="AK648" s="224"/>
      <c r="AL648" s="234">
        <v>0</v>
      </c>
      <c r="AM648" s="224"/>
      <c r="AN648" s="234">
        <v>0</v>
      </c>
      <c r="AO648" s="234">
        <v>0</v>
      </c>
      <c r="AP648" s="234">
        <v>1</v>
      </c>
      <c r="AQ648" s="234">
        <v>0</v>
      </c>
      <c r="AR648" s="234">
        <v>0</v>
      </c>
      <c r="AS648" s="234">
        <v>0</v>
      </c>
      <c r="AT648" s="234">
        <v>0</v>
      </c>
      <c r="AU648" s="234">
        <v>0</v>
      </c>
      <c r="AV648" s="234">
        <v>0</v>
      </c>
      <c r="AW648" s="234">
        <v>1</v>
      </c>
      <c r="AX648" s="234">
        <v>0</v>
      </c>
      <c r="AY648" s="234">
        <v>0</v>
      </c>
      <c r="AZ648" s="234">
        <v>0</v>
      </c>
      <c r="BA648" s="234">
        <v>0</v>
      </c>
      <c r="BB648" s="234">
        <v>0</v>
      </c>
      <c r="BC648" s="234">
        <v>0</v>
      </c>
      <c r="BD648" s="234">
        <v>0</v>
      </c>
      <c r="BE648" s="234">
        <v>0</v>
      </c>
      <c r="BF648" s="234">
        <v>0</v>
      </c>
      <c r="BG648" s="234">
        <v>0</v>
      </c>
      <c r="BH648" s="234">
        <v>0</v>
      </c>
      <c r="BI648" s="234">
        <v>0</v>
      </c>
      <c r="BJ648" s="234">
        <v>0</v>
      </c>
      <c r="BK648" s="234">
        <v>0</v>
      </c>
      <c r="BL648" s="234">
        <v>0</v>
      </c>
      <c r="BM648" s="234">
        <v>0</v>
      </c>
      <c r="BN648" s="234">
        <v>0</v>
      </c>
      <c r="BO648" s="234">
        <v>0</v>
      </c>
      <c r="BP648" s="234"/>
      <c r="BQ648" s="234"/>
      <c r="BR648" s="237" t="s">
        <v>334</v>
      </c>
      <c r="BS648" s="238">
        <v>15</v>
      </c>
      <c r="BU648" s="239">
        <f t="shared" si="76"/>
        <v>0.25</v>
      </c>
      <c r="BV648" s="239">
        <f t="shared" si="70"/>
        <v>0.25</v>
      </c>
      <c r="BW648" s="239">
        <f t="shared" si="71"/>
        <v>0.25</v>
      </c>
      <c r="BX648" s="239">
        <f t="shared" si="72"/>
        <v>0.25</v>
      </c>
      <c r="CN648" s="238">
        <f t="shared" si="74"/>
        <v>1</v>
      </c>
      <c r="CO648" s="238">
        <f t="shared" si="75"/>
        <v>1</v>
      </c>
    </row>
    <row r="649" spans="1:93" ht="13.95" customHeight="1" x14ac:dyDescent="0.2">
      <c r="A649" s="231">
        <v>4386</v>
      </c>
      <c r="B649" s="232" t="s">
        <v>822</v>
      </c>
      <c r="C649" s="232" t="s">
        <v>1965</v>
      </c>
      <c r="D649" s="232" t="s">
        <v>1966</v>
      </c>
      <c r="E649" s="232" t="s">
        <v>317</v>
      </c>
      <c r="F649" s="231">
        <v>528177</v>
      </c>
      <c r="G649" s="231">
        <v>176638</v>
      </c>
      <c r="H649" s="232" t="s">
        <v>163</v>
      </c>
      <c r="I649" s="233"/>
      <c r="J649" s="231"/>
      <c r="K649" s="231">
        <v>0</v>
      </c>
      <c r="L649" s="231">
        <v>1</v>
      </c>
      <c r="M649" s="231">
        <v>1</v>
      </c>
      <c r="N649" s="231">
        <v>1</v>
      </c>
      <c r="O649" s="231">
        <v>1</v>
      </c>
      <c r="P649" s="234"/>
      <c r="Q649" s="232" t="s">
        <v>1967</v>
      </c>
      <c r="R649" s="234" t="s">
        <v>332</v>
      </c>
      <c r="S649" s="235">
        <v>43992</v>
      </c>
      <c r="T649" s="235">
        <v>44102</v>
      </c>
      <c r="U649" s="234"/>
      <c r="V649" s="232" t="s">
        <v>321</v>
      </c>
      <c r="W649" s="231"/>
      <c r="X649" s="232" t="s">
        <v>322</v>
      </c>
      <c r="Y649" s="232" t="s">
        <v>339</v>
      </c>
      <c r="Z649" s="232" t="s">
        <v>324</v>
      </c>
      <c r="AA649" s="232" t="s">
        <v>354</v>
      </c>
      <c r="AB649" s="236">
        <v>3.0000000000000001E-3</v>
      </c>
      <c r="AC649" s="235"/>
      <c r="AD649" s="234"/>
      <c r="AE649" s="234"/>
      <c r="AF649" s="232" t="s">
        <v>77</v>
      </c>
      <c r="AG649" s="232" t="s">
        <v>350</v>
      </c>
      <c r="AH649" s="234" t="s">
        <v>317</v>
      </c>
      <c r="AJ649" s="234">
        <v>0</v>
      </c>
      <c r="AK649" s="224"/>
      <c r="AL649" s="234">
        <v>0</v>
      </c>
      <c r="AM649" s="224"/>
      <c r="AN649" s="234">
        <v>0</v>
      </c>
      <c r="AO649" s="234">
        <v>1</v>
      </c>
      <c r="AP649" s="234">
        <v>0</v>
      </c>
      <c r="AQ649" s="234">
        <v>0</v>
      </c>
      <c r="AR649" s="234">
        <v>0</v>
      </c>
      <c r="AS649" s="234">
        <v>0</v>
      </c>
      <c r="AT649" s="234">
        <v>0</v>
      </c>
      <c r="AU649" s="234">
        <v>0</v>
      </c>
      <c r="AV649" s="234">
        <v>1</v>
      </c>
      <c r="AW649" s="234">
        <v>0</v>
      </c>
      <c r="AX649" s="234">
        <v>0</v>
      </c>
      <c r="AY649" s="234">
        <v>0</v>
      </c>
      <c r="AZ649" s="234">
        <v>0</v>
      </c>
      <c r="BA649" s="234">
        <v>0</v>
      </c>
      <c r="BB649" s="234">
        <v>0</v>
      </c>
      <c r="BC649" s="234">
        <v>0</v>
      </c>
      <c r="BD649" s="234">
        <v>0</v>
      </c>
      <c r="BE649" s="234">
        <v>0</v>
      </c>
      <c r="BF649" s="234">
        <v>0</v>
      </c>
      <c r="BG649" s="234">
        <v>0</v>
      </c>
      <c r="BH649" s="234">
        <v>0</v>
      </c>
      <c r="BI649" s="234">
        <v>0</v>
      </c>
      <c r="BJ649" s="234">
        <v>0</v>
      </c>
      <c r="BK649" s="234">
        <v>0</v>
      </c>
      <c r="BL649" s="234">
        <v>0</v>
      </c>
      <c r="BM649" s="234">
        <v>0</v>
      </c>
      <c r="BN649" s="234">
        <v>0</v>
      </c>
      <c r="BO649" s="234">
        <v>0</v>
      </c>
      <c r="BP649" s="234"/>
      <c r="BQ649" s="234"/>
      <c r="BR649" s="237" t="s">
        <v>334</v>
      </c>
      <c r="BS649" s="238">
        <v>15</v>
      </c>
      <c r="BU649" s="239">
        <f t="shared" si="76"/>
        <v>0.25</v>
      </c>
      <c r="BV649" s="239">
        <f t="shared" si="70"/>
        <v>0.25</v>
      </c>
      <c r="BW649" s="239">
        <f t="shared" si="71"/>
        <v>0.25</v>
      </c>
      <c r="BX649" s="239">
        <f t="shared" si="72"/>
        <v>0.25</v>
      </c>
      <c r="CN649" s="238">
        <f t="shared" si="74"/>
        <v>1</v>
      </c>
      <c r="CO649" s="238">
        <f t="shared" si="75"/>
        <v>1</v>
      </c>
    </row>
    <row r="650" spans="1:93" ht="13.95" customHeight="1" x14ac:dyDescent="0.2">
      <c r="A650" s="231">
        <v>7266</v>
      </c>
      <c r="B650" s="232" t="s">
        <v>822</v>
      </c>
      <c r="C650" s="232" t="s">
        <v>1968</v>
      </c>
      <c r="D650" s="232" t="s">
        <v>1969</v>
      </c>
      <c r="E650" s="232" t="s">
        <v>317</v>
      </c>
      <c r="F650" s="231">
        <v>527567</v>
      </c>
      <c r="G650" s="231">
        <v>176185</v>
      </c>
      <c r="H650" s="232" t="s">
        <v>171</v>
      </c>
      <c r="I650" s="233"/>
      <c r="J650" s="231"/>
      <c r="K650" s="231">
        <v>1</v>
      </c>
      <c r="L650" s="231">
        <v>2</v>
      </c>
      <c r="M650" s="231">
        <v>1</v>
      </c>
      <c r="N650" s="231">
        <v>3</v>
      </c>
      <c r="O650" s="231">
        <v>2</v>
      </c>
      <c r="P650" s="234"/>
      <c r="Q650" s="232" t="s">
        <v>1970</v>
      </c>
      <c r="R650" s="234" t="s">
        <v>332</v>
      </c>
      <c r="S650" s="235">
        <v>43742</v>
      </c>
      <c r="T650" s="235">
        <v>43837</v>
      </c>
      <c r="U650" s="234"/>
      <c r="V650" s="232" t="s">
        <v>321</v>
      </c>
      <c r="W650" s="231"/>
      <c r="X650" s="232" t="s">
        <v>322</v>
      </c>
      <c r="Y650" s="232" t="s">
        <v>338</v>
      </c>
      <c r="Z650" s="232" t="s">
        <v>324</v>
      </c>
      <c r="AA650" s="232" t="s">
        <v>15</v>
      </c>
      <c r="AB650" s="236">
        <v>1.4E-2</v>
      </c>
      <c r="AC650" s="235"/>
      <c r="AD650" s="234"/>
      <c r="AE650" s="234"/>
      <c r="AF650" s="232" t="s">
        <v>77</v>
      </c>
      <c r="AG650" s="232" t="s">
        <v>350</v>
      </c>
      <c r="AH650" s="234" t="s">
        <v>317</v>
      </c>
      <c r="AJ650" s="234">
        <v>0</v>
      </c>
      <c r="AK650" s="224"/>
      <c r="AL650" s="234">
        <v>0</v>
      </c>
      <c r="AM650" s="224"/>
      <c r="AN650" s="234">
        <v>0</v>
      </c>
      <c r="AO650" s="234">
        <v>0</v>
      </c>
      <c r="AP650" s="234">
        <v>1</v>
      </c>
      <c r="AQ650" s="234">
        <v>0</v>
      </c>
      <c r="AR650" s="234">
        <v>0</v>
      </c>
      <c r="AS650" s="234">
        <v>0</v>
      </c>
      <c r="AT650" s="234">
        <v>0</v>
      </c>
      <c r="AU650" s="234">
        <v>0</v>
      </c>
      <c r="AV650" s="234">
        <v>0</v>
      </c>
      <c r="AW650" s="234">
        <v>1</v>
      </c>
      <c r="AX650" s="234">
        <v>1</v>
      </c>
      <c r="AY650" s="234">
        <v>0</v>
      </c>
      <c r="AZ650" s="234">
        <v>0</v>
      </c>
      <c r="BA650" s="234">
        <v>0</v>
      </c>
      <c r="BB650" s="234">
        <v>0</v>
      </c>
      <c r="BC650" s="234">
        <v>0</v>
      </c>
      <c r="BD650" s="234">
        <v>0</v>
      </c>
      <c r="BE650" s="234">
        <v>-1</v>
      </c>
      <c r="BF650" s="234">
        <v>0</v>
      </c>
      <c r="BG650" s="234">
        <v>0</v>
      </c>
      <c r="BH650" s="234">
        <v>0</v>
      </c>
      <c r="BI650" s="234">
        <v>0</v>
      </c>
      <c r="BJ650" s="234">
        <v>0</v>
      </c>
      <c r="BK650" s="234">
        <v>0</v>
      </c>
      <c r="BL650" s="234">
        <v>0</v>
      </c>
      <c r="BM650" s="234">
        <v>0</v>
      </c>
      <c r="BN650" s="234">
        <v>0</v>
      </c>
      <c r="BO650" s="234">
        <v>0</v>
      </c>
      <c r="BP650" s="234"/>
      <c r="BQ650" s="234"/>
      <c r="BR650" s="237" t="s">
        <v>334</v>
      </c>
      <c r="BS650" s="238">
        <v>15</v>
      </c>
      <c r="BU650" s="239">
        <f t="shared" si="76"/>
        <v>0.25</v>
      </c>
      <c r="BV650" s="239">
        <f t="shared" si="70"/>
        <v>0.25</v>
      </c>
      <c r="BW650" s="239">
        <f t="shared" si="71"/>
        <v>0.25</v>
      </c>
      <c r="BX650" s="239">
        <f t="shared" si="72"/>
        <v>0.25</v>
      </c>
      <c r="CN650" s="238">
        <f t="shared" si="74"/>
        <v>1</v>
      </c>
      <c r="CO650" s="238">
        <f t="shared" si="75"/>
        <v>1</v>
      </c>
    </row>
    <row r="651" spans="1:93" ht="13.95" customHeight="1" x14ac:dyDescent="0.2">
      <c r="A651" s="231">
        <v>7266</v>
      </c>
      <c r="B651" s="232" t="s">
        <v>822</v>
      </c>
      <c r="C651" s="232" t="s">
        <v>1968</v>
      </c>
      <c r="D651" s="232" t="s">
        <v>1969</v>
      </c>
      <c r="E651" s="232" t="s">
        <v>317</v>
      </c>
      <c r="F651" s="231">
        <v>527567</v>
      </c>
      <c r="G651" s="231">
        <v>176185</v>
      </c>
      <c r="H651" s="232" t="s">
        <v>171</v>
      </c>
      <c r="I651" s="233"/>
      <c r="J651" s="231"/>
      <c r="K651" s="231">
        <v>0</v>
      </c>
      <c r="L651" s="231">
        <v>1</v>
      </c>
      <c r="M651" s="231">
        <v>1</v>
      </c>
      <c r="N651" s="231">
        <v>3</v>
      </c>
      <c r="O651" s="231">
        <v>2</v>
      </c>
      <c r="P651" s="234"/>
      <c r="Q651" s="232" t="s">
        <v>1970</v>
      </c>
      <c r="R651" s="234" t="s">
        <v>332</v>
      </c>
      <c r="S651" s="235">
        <v>43742</v>
      </c>
      <c r="T651" s="235">
        <v>43837</v>
      </c>
      <c r="U651" s="234"/>
      <c r="V651" s="232" t="s">
        <v>321</v>
      </c>
      <c r="W651" s="231"/>
      <c r="X651" s="232" t="s">
        <v>322</v>
      </c>
      <c r="Y651" s="232" t="s">
        <v>338</v>
      </c>
      <c r="Z651" s="232" t="s">
        <v>324</v>
      </c>
      <c r="AA651" s="232" t="s">
        <v>354</v>
      </c>
      <c r="AB651" s="236">
        <v>8.0000000000000002E-3</v>
      </c>
      <c r="AC651" s="235"/>
      <c r="AD651" s="234"/>
      <c r="AE651" s="234"/>
      <c r="AF651" s="232" t="s">
        <v>77</v>
      </c>
      <c r="AG651" s="232" t="s">
        <v>350</v>
      </c>
      <c r="AH651" s="234" t="s">
        <v>317</v>
      </c>
      <c r="AJ651" s="234">
        <v>0</v>
      </c>
      <c r="AK651" s="224"/>
      <c r="AL651" s="234">
        <v>0</v>
      </c>
      <c r="AM651" s="224"/>
      <c r="AN651" s="234">
        <v>0</v>
      </c>
      <c r="AO651" s="234">
        <v>0</v>
      </c>
      <c r="AP651" s="234">
        <v>0</v>
      </c>
      <c r="AQ651" s="234">
        <v>1</v>
      </c>
      <c r="AR651" s="234">
        <v>0</v>
      </c>
      <c r="AS651" s="234">
        <v>0</v>
      </c>
      <c r="AT651" s="234">
        <v>0</v>
      </c>
      <c r="AU651" s="234">
        <v>0</v>
      </c>
      <c r="AV651" s="234">
        <v>0</v>
      </c>
      <c r="AW651" s="234">
        <v>0</v>
      </c>
      <c r="AX651" s="234">
        <v>1</v>
      </c>
      <c r="AY651" s="234">
        <v>0</v>
      </c>
      <c r="AZ651" s="234">
        <v>0</v>
      </c>
      <c r="BA651" s="234">
        <v>0</v>
      </c>
      <c r="BB651" s="234">
        <v>0</v>
      </c>
      <c r="BC651" s="234">
        <v>0</v>
      </c>
      <c r="BD651" s="234">
        <v>0</v>
      </c>
      <c r="BE651" s="234">
        <v>0</v>
      </c>
      <c r="BF651" s="234">
        <v>0</v>
      </c>
      <c r="BG651" s="234">
        <v>0</v>
      </c>
      <c r="BH651" s="234">
        <v>0</v>
      </c>
      <c r="BI651" s="234">
        <v>0</v>
      </c>
      <c r="BJ651" s="234">
        <v>0</v>
      </c>
      <c r="BK651" s="234">
        <v>0</v>
      </c>
      <c r="BL651" s="234">
        <v>0</v>
      </c>
      <c r="BM651" s="234">
        <v>0</v>
      </c>
      <c r="BN651" s="234">
        <v>0</v>
      </c>
      <c r="BO651" s="234">
        <v>0</v>
      </c>
      <c r="BP651" s="234"/>
      <c r="BQ651" s="234"/>
      <c r="BR651" s="237" t="s">
        <v>334</v>
      </c>
      <c r="BS651" s="238">
        <v>15</v>
      </c>
      <c r="BU651" s="239">
        <f t="shared" si="76"/>
        <v>0.25</v>
      </c>
      <c r="BV651" s="239">
        <f t="shared" si="70"/>
        <v>0.25</v>
      </c>
      <c r="BW651" s="239">
        <f t="shared" si="71"/>
        <v>0.25</v>
      </c>
      <c r="BX651" s="239">
        <f t="shared" si="72"/>
        <v>0.25</v>
      </c>
      <c r="CN651" s="238">
        <f t="shared" si="74"/>
        <v>1</v>
      </c>
      <c r="CO651" s="238">
        <f t="shared" si="75"/>
        <v>1</v>
      </c>
    </row>
    <row r="652" spans="1:93" ht="13.95" customHeight="1" x14ac:dyDescent="0.2">
      <c r="A652" s="231">
        <v>6634</v>
      </c>
      <c r="B652" s="232" t="s">
        <v>822</v>
      </c>
      <c r="C652" s="232" t="s">
        <v>1971</v>
      </c>
      <c r="D652" s="232" t="s">
        <v>1972</v>
      </c>
      <c r="E652" s="232" t="s">
        <v>317</v>
      </c>
      <c r="F652" s="231">
        <v>525319</v>
      </c>
      <c r="G652" s="231">
        <v>173419</v>
      </c>
      <c r="H652" s="232" t="s">
        <v>173</v>
      </c>
      <c r="I652" s="233"/>
      <c r="J652" s="231"/>
      <c r="K652" s="231">
        <v>1</v>
      </c>
      <c r="L652" s="231">
        <v>2</v>
      </c>
      <c r="M652" s="231">
        <v>1</v>
      </c>
      <c r="N652" s="231">
        <v>2</v>
      </c>
      <c r="O652" s="231">
        <v>1</v>
      </c>
      <c r="P652" s="234"/>
      <c r="Q652" s="232" t="s">
        <v>1973</v>
      </c>
      <c r="R652" s="234" t="s">
        <v>332</v>
      </c>
      <c r="S652" s="235">
        <v>44117</v>
      </c>
      <c r="T652" s="235">
        <v>44118</v>
      </c>
      <c r="U652" s="234"/>
      <c r="V652" s="232" t="s">
        <v>321</v>
      </c>
      <c r="W652" s="231"/>
      <c r="X652" s="232" t="s">
        <v>322</v>
      </c>
      <c r="Y652" s="232" t="s">
        <v>365</v>
      </c>
      <c r="Z652" s="232" t="s">
        <v>324</v>
      </c>
      <c r="AA652" s="232" t="s">
        <v>411</v>
      </c>
      <c r="AB652" s="236">
        <v>8.0000000000000002E-3</v>
      </c>
      <c r="AC652" s="235"/>
      <c r="AD652" s="234"/>
      <c r="AE652" s="234"/>
      <c r="AF652" s="232" t="s">
        <v>77</v>
      </c>
      <c r="AG652" s="232" t="s">
        <v>350</v>
      </c>
      <c r="AH652" s="234" t="s">
        <v>317</v>
      </c>
      <c r="AJ652" s="234">
        <v>0</v>
      </c>
      <c r="AK652" s="224"/>
      <c r="AL652" s="234">
        <v>0</v>
      </c>
      <c r="AM652" s="224"/>
      <c r="AN652" s="234">
        <v>1</v>
      </c>
      <c r="AO652" s="234">
        <v>1</v>
      </c>
      <c r="AP652" s="234">
        <v>-1</v>
      </c>
      <c r="AQ652" s="234">
        <v>0</v>
      </c>
      <c r="AR652" s="234">
        <v>0</v>
      </c>
      <c r="AS652" s="234">
        <v>0</v>
      </c>
      <c r="AT652" s="234">
        <v>0</v>
      </c>
      <c r="AU652" s="234">
        <v>1</v>
      </c>
      <c r="AV652" s="234">
        <v>1</v>
      </c>
      <c r="AW652" s="234">
        <v>-1</v>
      </c>
      <c r="AX652" s="234">
        <v>0</v>
      </c>
      <c r="AY652" s="234">
        <v>0</v>
      </c>
      <c r="AZ652" s="234">
        <v>0</v>
      </c>
      <c r="BA652" s="234">
        <v>0</v>
      </c>
      <c r="BB652" s="234">
        <v>0</v>
      </c>
      <c r="BC652" s="234">
        <v>0</v>
      </c>
      <c r="BD652" s="234">
        <v>0</v>
      </c>
      <c r="BE652" s="234">
        <v>0</v>
      </c>
      <c r="BF652" s="234">
        <v>0</v>
      </c>
      <c r="BG652" s="234">
        <v>0</v>
      </c>
      <c r="BH652" s="234">
        <v>0</v>
      </c>
      <c r="BI652" s="234">
        <v>0</v>
      </c>
      <c r="BJ652" s="234">
        <v>0</v>
      </c>
      <c r="BK652" s="234">
        <v>0</v>
      </c>
      <c r="BL652" s="234">
        <v>0</v>
      </c>
      <c r="BM652" s="234">
        <v>0</v>
      </c>
      <c r="BN652" s="234">
        <v>0</v>
      </c>
      <c r="BO652" s="234">
        <v>0</v>
      </c>
      <c r="BP652" s="234"/>
      <c r="BQ652" s="234"/>
      <c r="BR652" s="237" t="s">
        <v>154</v>
      </c>
      <c r="BS652" s="238">
        <v>15</v>
      </c>
      <c r="BU652" s="239">
        <f t="shared" si="76"/>
        <v>0.25</v>
      </c>
      <c r="BV652" s="239">
        <f t="shared" si="70"/>
        <v>0.25</v>
      </c>
      <c r="BW652" s="239">
        <f t="shared" si="71"/>
        <v>0.25</v>
      </c>
      <c r="BX652" s="239">
        <f t="shared" si="72"/>
        <v>0.25</v>
      </c>
      <c r="CN652" s="238">
        <f t="shared" si="74"/>
        <v>1</v>
      </c>
      <c r="CO652" s="238">
        <f t="shared" si="75"/>
        <v>1</v>
      </c>
    </row>
    <row r="653" spans="1:93" ht="13.95" customHeight="1" x14ac:dyDescent="0.2">
      <c r="A653" s="231">
        <v>7840</v>
      </c>
      <c r="B653" s="232" t="s">
        <v>822</v>
      </c>
      <c r="C653" s="232" t="s">
        <v>1974</v>
      </c>
      <c r="D653" s="232" t="s">
        <v>1975</v>
      </c>
      <c r="E653" s="232" t="s">
        <v>317</v>
      </c>
      <c r="F653" s="231">
        <v>523441</v>
      </c>
      <c r="G653" s="231">
        <v>175272</v>
      </c>
      <c r="H653" s="232" t="s">
        <v>183</v>
      </c>
      <c r="I653" s="233"/>
      <c r="J653" s="231"/>
      <c r="K653" s="231">
        <v>0</v>
      </c>
      <c r="L653" s="231">
        <v>1</v>
      </c>
      <c r="M653" s="231">
        <v>1</v>
      </c>
      <c r="N653" s="231">
        <v>1</v>
      </c>
      <c r="O653" s="231">
        <v>1</v>
      </c>
      <c r="P653" s="234"/>
      <c r="Q653" s="232" t="s">
        <v>1976</v>
      </c>
      <c r="R653" s="234" t="s">
        <v>320</v>
      </c>
      <c r="S653" s="235">
        <v>44740</v>
      </c>
      <c r="T653" s="235">
        <v>44916</v>
      </c>
      <c r="U653" s="234" t="s">
        <v>318</v>
      </c>
      <c r="V653" s="232" t="s">
        <v>321</v>
      </c>
      <c r="W653" s="231"/>
      <c r="X653" s="232" t="s">
        <v>322</v>
      </c>
      <c r="Y653" s="232" t="s">
        <v>365</v>
      </c>
      <c r="Z653" s="232" t="s">
        <v>324</v>
      </c>
      <c r="AA653" s="232" t="s">
        <v>17</v>
      </c>
      <c r="AB653" s="236">
        <v>1.17E-2</v>
      </c>
      <c r="AC653" s="235"/>
      <c r="AD653" s="234"/>
      <c r="AE653" s="234"/>
      <c r="AF653" s="232" t="s">
        <v>77</v>
      </c>
      <c r="AG653" s="232" t="s">
        <v>350</v>
      </c>
      <c r="AH653" s="234" t="s">
        <v>317</v>
      </c>
      <c r="AJ653" s="234">
        <v>0</v>
      </c>
      <c r="AK653" s="224"/>
      <c r="AL653" s="234">
        <v>0</v>
      </c>
      <c r="AM653" s="224"/>
      <c r="AN653" s="234">
        <v>0</v>
      </c>
      <c r="AO653" s="234">
        <v>0</v>
      </c>
      <c r="AP653" s="234">
        <v>0</v>
      </c>
      <c r="AQ653" s="234">
        <v>0</v>
      </c>
      <c r="AR653" s="234">
        <v>0</v>
      </c>
      <c r="AS653" s="234">
        <v>1</v>
      </c>
      <c r="AT653" s="234">
        <v>0</v>
      </c>
      <c r="AU653" s="234">
        <v>0</v>
      </c>
      <c r="AV653" s="234">
        <v>0</v>
      </c>
      <c r="AW653" s="234">
        <v>0</v>
      </c>
      <c r="AX653" s="234">
        <v>0</v>
      </c>
      <c r="AY653" s="234">
        <v>0</v>
      </c>
      <c r="AZ653" s="234">
        <v>0</v>
      </c>
      <c r="BA653" s="234">
        <v>0</v>
      </c>
      <c r="BB653" s="234">
        <v>0</v>
      </c>
      <c r="BC653" s="234">
        <v>0</v>
      </c>
      <c r="BD653" s="234">
        <v>0</v>
      </c>
      <c r="BE653" s="234">
        <v>0</v>
      </c>
      <c r="BF653" s="234">
        <v>0</v>
      </c>
      <c r="BG653" s="234">
        <v>1</v>
      </c>
      <c r="BH653" s="234">
        <v>0</v>
      </c>
      <c r="BI653" s="234">
        <v>0</v>
      </c>
      <c r="BJ653" s="234">
        <v>0</v>
      </c>
      <c r="BK653" s="234">
        <v>0</v>
      </c>
      <c r="BL653" s="234">
        <v>0</v>
      </c>
      <c r="BM653" s="234">
        <v>0</v>
      </c>
      <c r="BN653" s="234">
        <v>0</v>
      </c>
      <c r="BO653" s="234">
        <v>0</v>
      </c>
      <c r="BP653" s="234"/>
      <c r="BQ653" s="234"/>
      <c r="BR653" s="237" t="s">
        <v>334</v>
      </c>
      <c r="BS653" s="238">
        <v>15</v>
      </c>
      <c r="BU653" s="239">
        <f t="shared" si="76"/>
        <v>0.25</v>
      </c>
      <c r="BV653" s="239">
        <f t="shared" si="70"/>
        <v>0.25</v>
      </c>
      <c r="BW653" s="239">
        <f t="shared" si="71"/>
        <v>0.25</v>
      </c>
      <c r="BX653" s="239">
        <f t="shared" si="72"/>
        <v>0.25</v>
      </c>
      <c r="CN653" s="238">
        <f t="shared" si="74"/>
        <v>1</v>
      </c>
      <c r="CO653" s="238">
        <f t="shared" si="75"/>
        <v>1</v>
      </c>
    </row>
    <row r="654" spans="1:93" ht="13.95" customHeight="1" x14ac:dyDescent="0.2">
      <c r="A654" s="231">
        <v>7149</v>
      </c>
      <c r="B654" s="232" t="s">
        <v>822</v>
      </c>
      <c r="C654" s="232" t="s">
        <v>1977</v>
      </c>
      <c r="D654" s="232" t="s">
        <v>1978</v>
      </c>
      <c r="E654" s="232" t="s">
        <v>317</v>
      </c>
      <c r="F654" s="231">
        <v>524351</v>
      </c>
      <c r="G654" s="231">
        <v>173350</v>
      </c>
      <c r="H654" s="232" t="s">
        <v>182</v>
      </c>
      <c r="I654" s="233"/>
      <c r="J654" s="231"/>
      <c r="K654" s="231">
        <v>0</v>
      </c>
      <c r="L654" s="231">
        <v>3</v>
      </c>
      <c r="M654" s="231">
        <v>3</v>
      </c>
      <c r="N654" s="231">
        <v>3</v>
      </c>
      <c r="O654" s="231">
        <v>3</v>
      </c>
      <c r="P654" s="234"/>
      <c r="Q654" s="232" t="s">
        <v>1979</v>
      </c>
      <c r="R654" s="234" t="s">
        <v>332</v>
      </c>
      <c r="S654" s="235">
        <v>43284</v>
      </c>
      <c r="T654" s="235">
        <v>43361</v>
      </c>
      <c r="U654" s="234"/>
      <c r="V654" s="232" t="s">
        <v>321</v>
      </c>
      <c r="W654" s="231"/>
      <c r="X654" s="232" t="s">
        <v>322</v>
      </c>
      <c r="Y654" s="232" t="s">
        <v>323</v>
      </c>
      <c r="Z654" s="232" t="s">
        <v>324</v>
      </c>
      <c r="AA654" s="232" t="s">
        <v>349</v>
      </c>
      <c r="AB654" s="236">
        <v>2.5000000000000001E-2</v>
      </c>
      <c r="AC654" s="235"/>
      <c r="AD654" s="234"/>
      <c r="AE654" s="234"/>
      <c r="AF654" s="232" t="s">
        <v>77</v>
      </c>
      <c r="AG654" s="232" t="s">
        <v>350</v>
      </c>
      <c r="AH654" s="234" t="s">
        <v>317</v>
      </c>
      <c r="AJ654" s="234">
        <v>0</v>
      </c>
      <c r="AK654" s="224"/>
      <c r="AL654" s="234">
        <v>0</v>
      </c>
      <c r="AM654" s="224"/>
      <c r="AN654" s="234">
        <v>0</v>
      </c>
      <c r="AO654" s="234">
        <v>0</v>
      </c>
      <c r="AP654" s="234">
        <v>3</v>
      </c>
      <c r="AQ654" s="234">
        <v>0</v>
      </c>
      <c r="AR654" s="234">
        <v>0</v>
      </c>
      <c r="AS654" s="234">
        <v>0</v>
      </c>
      <c r="AT654" s="234">
        <v>0</v>
      </c>
      <c r="AU654" s="234">
        <v>0</v>
      </c>
      <c r="AV654" s="234">
        <v>0</v>
      </c>
      <c r="AW654" s="234">
        <v>0</v>
      </c>
      <c r="AX654" s="234">
        <v>0</v>
      </c>
      <c r="AY654" s="234">
        <v>0</v>
      </c>
      <c r="AZ654" s="234">
        <v>0</v>
      </c>
      <c r="BA654" s="234">
        <v>0</v>
      </c>
      <c r="BB654" s="234">
        <v>0</v>
      </c>
      <c r="BC654" s="234">
        <v>0</v>
      </c>
      <c r="BD654" s="234">
        <v>3</v>
      </c>
      <c r="BE654" s="234">
        <v>0</v>
      </c>
      <c r="BF654" s="234">
        <v>0</v>
      </c>
      <c r="BG654" s="234">
        <v>0</v>
      </c>
      <c r="BH654" s="234">
        <v>0</v>
      </c>
      <c r="BI654" s="234">
        <v>0</v>
      </c>
      <c r="BJ654" s="234">
        <v>0</v>
      </c>
      <c r="BK654" s="234">
        <v>0</v>
      </c>
      <c r="BL654" s="234">
        <v>0</v>
      </c>
      <c r="BM654" s="234">
        <v>0</v>
      </c>
      <c r="BN654" s="234">
        <v>0</v>
      </c>
      <c r="BO654" s="234">
        <v>0</v>
      </c>
      <c r="BP654" s="234"/>
      <c r="BQ654" s="234"/>
      <c r="BR654" s="237" t="s">
        <v>334</v>
      </c>
      <c r="BS654" s="238">
        <v>7</v>
      </c>
      <c r="BV654" s="239">
        <f t="shared" si="70"/>
        <v>0.75</v>
      </c>
      <c r="BW654" s="239">
        <f t="shared" si="71"/>
        <v>0.75</v>
      </c>
      <c r="BX654" s="239">
        <f t="shared" si="72"/>
        <v>0.75</v>
      </c>
      <c r="BY654" s="239">
        <f>M654/4</f>
        <v>0.75</v>
      </c>
      <c r="CN654" s="238">
        <f t="shared" si="74"/>
        <v>3</v>
      </c>
      <c r="CO654" s="238">
        <f t="shared" si="75"/>
        <v>3</v>
      </c>
    </row>
    <row r="655" spans="1:93" ht="13.95" customHeight="1" x14ac:dyDescent="0.2">
      <c r="A655" s="231">
        <v>6238</v>
      </c>
      <c r="B655" s="232" t="s">
        <v>822</v>
      </c>
      <c r="C655" s="232" t="s">
        <v>1980</v>
      </c>
      <c r="D655" s="232" t="s">
        <v>1981</v>
      </c>
      <c r="E655" s="232" t="s">
        <v>317</v>
      </c>
      <c r="F655" s="231">
        <v>524777</v>
      </c>
      <c r="G655" s="231">
        <v>173324</v>
      </c>
      <c r="H655" s="232" t="s">
        <v>173</v>
      </c>
      <c r="I655" s="233"/>
      <c r="J655" s="231"/>
      <c r="K655" s="231">
        <v>0</v>
      </c>
      <c r="L655" s="231">
        <v>3</v>
      </c>
      <c r="M655" s="231">
        <v>3</v>
      </c>
      <c r="N655" s="231">
        <v>3</v>
      </c>
      <c r="O655" s="231">
        <v>3</v>
      </c>
      <c r="P655" s="234"/>
      <c r="Q655" s="232" t="s">
        <v>1982</v>
      </c>
      <c r="R655" s="234" t="s">
        <v>332</v>
      </c>
      <c r="S655" s="235">
        <v>43542</v>
      </c>
      <c r="T655" s="235">
        <v>44006</v>
      </c>
      <c r="U655" s="234"/>
      <c r="V655" s="232" t="s">
        <v>321</v>
      </c>
      <c r="W655" s="231"/>
      <c r="X655" s="232" t="s">
        <v>322</v>
      </c>
      <c r="Y655" s="232" t="s">
        <v>323</v>
      </c>
      <c r="Z655" s="232" t="s">
        <v>324</v>
      </c>
      <c r="AA655" s="232" t="s">
        <v>349</v>
      </c>
      <c r="AB655" s="236">
        <v>8.0000000000000002E-3</v>
      </c>
      <c r="AC655" s="235"/>
      <c r="AD655" s="234"/>
      <c r="AE655" s="234"/>
      <c r="AF655" s="232" t="s">
        <v>77</v>
      </c>
      <c r="AG655" s="232" t="s">
        <v>350</v>
      </c>
      <c r="AH655" s="234" t="s">
        <v>317</v>
      </c>
      <c r="AJ655" s="234">
        <v>0</v>
      </c>
      <c r="AK655" s="224"/>
      <c r="AL655" s="234">
        <v>0</v>
      </c>
      <c r="AM655" s="224"/>
      <c r="AN655" s="234">
        <v>0</v>
      </c>
      <c r="AO655" s="234">
        <v>1</v>
      </c>
      <c r="AP655" s="234">
        <v>2</v>
      </c>
      <c r="AQ655" s="234">
        <v>0</v>
      </c>
      <c r="AR655" s="234">
        <v>0</v>
      </c>
      <c r="AS655" s="234">
        <v>0</v>
      </c>
      <c r="AT655" s="234">
        <v>0</v>
      </c>
      <c r="AU655" s="234">
        <v>0</v>
      </c>
      <c r="AV655" s="234">
        <v>1</v>
      </c>
      <c r="AW655" s="234">
        <v>2</v>
      </c>
      <c r="AX655" s="234">
        <v>0</v>
      </c>
      <c r="AY655" s="234">
        <v>0</v>
      </c>
      <c r="AZ655" s="234">
        <v>0</v>
      </c>
      <c r="BA655" s="234">
        <v>0</v>
      </c>
      <c r="BB655" s="234">
        <v>0</v>
      </c>
      <c r="BC655" s="234">
        <v>0</v>
      </c>
      <c r="BD655" s="234">
        <v>0</v>
      </c>
      <c r="BE655" s="234">
        <v>0</v>
      </c>
      <c r="BF655" s="234">
        <v>0</v>
      </c>
      <c r="BG655" s="234">
        <v>0</v>
      </c>
      <c r="BH655" s="234">
        <v>0</v>
      </c>
      <c r="BI655" s="234">
        <v>0</v>
      </c>
      <c r="BJ655" s="234">
        <v>0</v>
      </c>
      <c r="BK655" s="234">
        <v>0</v>
      </c>
      <c r="BL655" s="234">
        <v>0</v>
      </c>
      <c r="BM655" s="234">
        <v>0</v>
      </c>
      <c r="BN655" s="234">
        <v>0</v>
      </c>
      <c r="BO655" s="234">
        <v>0</v>
      </c>
      <c r="BP655" s="234"/>
      <c r="BQ655" s="234"/>
      <c r="BR655" s="237" t="s">
        <v>334</v>
      </c>
      <c r="BS655" s="238">
        <v>7</v>
      </c>
      <c r="BV655" s="239">
        <f t="shared" si="70"/>
        <v>0.75</v>
      </c>
      <c r="BW655" s="239">
        <f t="shared" si="71"/>
        <v>0.75</v>
      </c>
      <c r="BX655" s="239">
        <f t="shared" si="72"/>
        <v>0.75</v>
      </c>
      <c r="BY655" s="239">
        <f>M655/4</f>
        <v>0.75</v>
      </c>
      <c r="CN655" s="238">
        <f t="shared" si="74"/>
        <v>3</v>
      </c>
      <c r="CO655" s="238">
        <f t="shared" si="75"/>
        <v>3</v>
      </c>
    </row>
    <row r="656" spans="1:93" ht="13.95" customHeight="1" x14ac:dyDescent="0.2">
      <c r="A656" s="231">
        <v>7214</v>
      </c>
      <c r="B656" s="232" t="s">
        <v>822</v>
      </c>
      <c r="C656" s="232" t="s">
        <v>1983</v>
      </c>
      <c r="D656" s="232" t="s">
        <v>596</v>
      </c>
      <c r="E656" s="232" t="s">
        <v>317</v>
      </c>
      <c r="F656" s="231">
        <v>528816</v>
      </c>
      <c r="G656" s="231">
        <v>174167</v>
      </c>
      <c r="H656" s="232" t="s">
        <v>141</v>
      </c>
      <c r="I656" s="233"/>
      <c r="J656" s="231"/>
      <c r="K656" s="231">
        <v>0</v>
      </c>
      <c r="L656" s="231">
        <v>1</v>
      </c>
      <c r="M656" s="231">
        <v>1</v>
      </c>
      <c r="N656" s="231">
        <v>1</v>
      </c>
      <c r="O656" s="231">
        <v>1</v>
      </c>
      <c r="P656" s="234"/>
      <c r="Q656" s="232" t="s">
        <v>1984</v>
      </c>
      <c r="R656" s="234" t="s">
        <v>428</v>
      </c>
      <c r="S656" s="235">
        <v>43664</v>
      </c>
      <c r="T656" s="235">
        <v>43718</v>
      </c>
      <c r="U656" s="234"/>
      <c r="V656" s="232" t="s">
        <v>321</v>
      </c>
      <c r="W656" s="231"/>
      <c r="X656" s="232" t="s">
        <v>322</v>
      </c>
      <c r="Y656" s="232" t="s">
        <v>378</v>
      </c>
      <c r="Z656" s="232" t="s">
        <v>324</v>
      </c>
      <c r="AA656" s="232" t="s">
        <v>25</v>
      </c>
      <c r="AB656" s="236">
        <v>1.1999999999999999E-3</v>
      </c>
      <c r="AC656" s="235"/>
      <c r="AD656" s="234"/>
      <c r="AE656" s="234"/>
      <c r="AF656" s="232" t="s">
        <v>77</v>
      </c>
      <c r="AG656" s="232" t="s">
        <v>350</v>
      </c>
      <c r="AH656" s="234" t="s">
        <v>317</v>
      </c>
      <c r="AJ656" s="234">
        <v>0</v>
      </c>
      <c r="AK656" s="224"/>
      <c r="AL656" s="234">
        <v>0</v>
      </c>
      <c r="AM656" s="224"/>
      <c r="AN656" s="234">
        <v>1</v>
      </c>
      <c r="AO656" s="234">
        <v>0</v>
      </c>
      <c r="AP656" s="234">
        <v>0</v>
      </c>
      <c r="AQ656" s="234">
        <v>0</v>
      </c>
      <c r="AR656" s="234">
        <v>0</v>
      </c>
      <c r="AS656" s="234">
        <v>0</v>
      </c>
      <c r="AT656" s="234">
        <v>0</v>
      </c>
      <c r="AU656" s="234">
        <v>1</v>
      </c>
      <c r="AV656" s="234">
        <v>0</v>
      </c>
      <c r="AW656" s="234">
        <v>0</v>
      </c>
      <c r="AX656" s="234">
        <v>0</v>
      </c>
      <c r="AY656" s="234">
        <v>0</v>
      </c>
      <c r="AZ656" s="234">
        <v>0</v>
      </c>
      <c r="BA656" s="234">
        <v>0</v>
      </c>
      <c r="BB656" s="234">
        <v>0</v>
      </c>
      <c r="BC656" s="234">
        <v>0</v>
      </c>
      <c r="BD656" s="234">
        <v>0</v>
      </c>
      <c r="BE656" s="234">
        <v>0</v>
      </c>
      <c r="BF656" s="234">
        <v>0</v>
      </c>
      <c r="BG656" s="234">
        <v>0</v>
      </c>
      <c r="BH656" s="234">
        <v>0</v>
      </c>
      <c r="BI656" s="234">
        <v>0</v>
      </c>
      <c r="BJ656" s="234">
        <v>0</v>
      </c>
      <c r="BK656" s="234">
        <v>0</v>
      </c>
      <c r="BL656" s="234">
        <v>0</v>
      </c>
      <c r="BM656" s="234">
        <v>0</v>
      </c>
      <c r="BN656" s="234">
        <v>0</v>
      </c>
      <c r="BO656" s="234">
        <v>0</v>
      </c>
      <c r="BP656" s="234"/>
      <c r="BQ656" s="234"/>
      <c r="BR656" s="237" t="s">
        <v>334</v>
      </c>
      <c r="BS656" s="238">
        <v>15</v>
      </c>
      <c r="BU656" s="239">
        <f t="shared" ref="BU656:BU694" si="77">M656/4</f>
        <v>0.25</v>
      </c>
      <c r="BV656" s="239">
        <f t="shared" si="70"/>
        <v>0.25</v>
      </c>
      <c r="BW656" s="239">
        <f t="shared" si="71"/>
        <v>0.25</v>
      </c>
      <c r="BX656" s="239">
        <f t="shared" si="72"/>
        <v>0.25</v>
      </c>
      <c r="CN656" s="238">
        <f t="shared" si="74"/>
        <v>1</v>
      </c>
      <c r="CO656" s="238">
        <f t="shared" si="75"/>
        <v>1</v>
      </c>
    </row>
    <row r="657" spans="1:93" ht="13.95" customHeight="1" x14ac:dyDescent="0.2">
      <c r="A657" s="231">
        <v>4643</v>
      </c>
      <c r="B657" s="232" t="s">
        <v>822</v>
      </c>
      <c r="C657" s="232" t="s">
        <v>1985</v>
      </c>
      <c r="D657" s="232" t="s">
        <v>1986</v>
      </c>
      <c r="E657" s="232" t="s">
        <v>317</v>
      </c>
      <c r="F657" s="231">
        <v>528560</v>
      </c>
      <c r="G657" s="231">
        <v>173342</v>
      </c>
      <c r="H657" s="232" t="s">
        <v>141</v>
      </c>
      <c r="I657" s="233"/>
      <c r="J657" s="231"/>
      <c r="K657" s="231">
        <v>1</v>
      </c>
      <c r="L657" s="231">
        <v>2</v>
      </c>
      <c r="M657" s="231">
        <v>1</v>
      </c>
      <c r="N657" s="231">
        <v>2</v>
      </c>
      <c r="O657" s="231">
        <v>1</v>
      </c>
      <c r="P657" s="234"/>
      <c r="Q657" s="232" t="s">
        <v>1987</v>
      </c>
      <c r="R657" s="234" t="s">
        <v>332</v>
      </c>
      <c r="S657" s="235">
        <v>43124</v>
      </c>
      <c r="T657" s="235">
        <v>43381</v>
      </c>
      <c r="U657" s="234"/>
      <c r="V657" s="232" t="s">
        <v>321</v>
      </c>
      <c r="W657" s="231"/>
      <c r="X657" s="232" t="s">
        <v>322</v>
      </c>
      <c r="Y657" s="232" t="s">
        <v>365</v>
      </c>
      <c r="Z657" s="232" t="s">
        <v>324</v>
      </c>
      <c r="AA657" s="232" t="s">
        <v>411</v>
      </c>
      <c r="AB657" s="236">
        <v>3.0000000000000001E-3</v>
      </c>
      <c r="AC657" s="235"/>
      <c r="AD657" s="234"/>
      <c r="AE657" s="234"/>
      <c r="AF657" s="232" t="s">
        <v>77</v>
      </c>
      <c r="AG657" s="232" t="s">
        <v>350</v>
      </c>
      <c r="AH657" s="234" t="s">
        <v>317</v>
      </c>
      <c r="AJ657" s="234">
        <v>0</v>
      </c>
      <c r="AK657" s="224"/>
      <c r="AL657" s="234">
        <v>0</v>
      </c>
      <c r="AM657" s="224"/>
      <c r="AN657" s="234">
        <v>1</v>
      </c>
      <c r="AO657" s="234">
        <v>1</v>
      </c>
      <c r="AP657" s="234">
        <v>-1</v>
      </c>
      <c r="AQ657" s="234">
        <v>0</v>
      </c>
      <c r="AR657" s="234">
        <v>0</v>
      </c>
      <c r="AS657" s="234">
        <v>0</v>
      </c>
      <c r="AT657" s="234">
        <v>0</v>
      </c>
      <c r="AU657" s="234">
        <v>1</v>
      </c>
      <c r="AV657" s="234">
        <v>1</v>
      </c>
      <c r="AW657" s="234">
        <v>-1</v>
      </c>
      <c r="AX657" s="234">
        <v>0</v>
      </c>
      <c r="AY657" s="234">
        <v>0</v>
      </c>
      <c r="AZ657" s="234">
        <v>0</v>
      </c>
      <c r="BA657" s="234">
        <v>0</v>
      </c>
      <c r="BB657" s="234">
        <v>0</v>
      </c>
      <c r="BC657" s="234">
        <v>0</v>
      </c>
      <c r="BD657" s="234">
        <v>0</v>
      </c>
      <c r="BE657" s="234">
        <v>0</v>
      </c>
      <c r="BF657" s="234">
        <v>0</v>
      </c>
      <c r="BG657" s="234">
        <v>0</v>
      </c>
      <c r="BH657" s="234">
        <v>0</v>
      </c>
      <c r="BI657" s="234">
        <v>0</v>
      </c>
      <c r="BJ657" s="234">
        <v>0</v>
      </c>
      <c r="BK657" s="234">
        <v>0</v>
      </c>
      <c r="BL657" s="234">
        <v>0</v>
      </c>
      <c r="BM657" s="234">
        <v>0</v>
      </c>
      <c r="BN657" s="234">
        <v>0</v>
      </c>
      <c r="BO657" s="234">
        <v>0</v>
      </c>
      <c r="BP657" s="234" t="s">
        <v>141</v>
      </c>
      <c r="BQ657" s="234"/>
      <c r="BR657" s="237" t="s">
        <v>141</v>
      </c>
      <c r="BS657" s="238">
        <v>15</v>
      </c>
      <c r="BU657" s="239">
        <f t="shared" si="77"/>
        <v>0.25</v>
      </c>
      <c r="BV657" s="239">
        <f t="shared" si="70"/>
        <v>0.25</v>
      </c>
      <c r="BW657" s="239">
        <f t="shared" si="71"/>
        <v>0.25</v>
      </c>
      <c r="BX657" s="239">
        <f t="shared" si="72"/>
        <v>0.25</v>
      </c>
      <c r="CN657" s="238">
        <f t="shared" si="74"/>
        <v>1</v>
      </c>
      <c r="CO657" s="238">
        <f t="shared" si="75"/>
        <v>1</v>
      </c>
    </row>
    <row r="658" spans="1:93" ht="13.95" customHeight="1" x14ac:dyDescent="0.2">
      <c r="A658" s="231">
        <v>7157</v>
      </c>
      <c r="B658" s="232" t="s">
        <v>822</v>
      </c>
      <c r="C658" s="232" t="s">
        <v>1988</v>
      </c>
      <c r="D658" s="232" t="s">
        <v>1989</v>
      </c>
      <c r="E658" s="232" t="s">
        <v>317</v>
      </c>
      <c r="F658" s="231">
        <v>528409</v>
      </c>
      <c r="G658" s="231">
        <v>175769</v>
      </c>
      <c r="H658" s="232" t="s">
        <v>171</v>
      </c>
      <c r="I658" s="233"/>
      <c r="J658" s="231"/>
      <c r="K658" s="231">
        <v>0</v>
      </c>
      <c r="L658" s="231">
        <v>1</v>
      </c>
      <c r="M658" s="231">
        <v>1</v>
      </c>
      <c r="N658" s="231">
        <v>1</v>
      </c>
      <c r="O658" s="231">
        <v>1</v>
      </c>
      <c r="P658" s="234"/>
      <c r="Q658" s="232" t="s">
        <v>1990</v>
      </c>
      <c r="R658" s="234" t="s">
        <v>332</v>
      </c>
      <c r="S658" s="235">
        <v>44866</v>
      </c>
      <c r="T658" s="235">
        <v>44916</v>
      </c>
      <c r="U658" s="234" t="s">
        <v>318</v>
      </c>
      <c r="V658" s="232" t="s">
        <v>321</v>
      </c>
      <c r="W658" s="231"/>
      <c r="X658" s="232" t="s">
        <v>322</v>
      </c>
      <c r="Y658" s="232" t="s">
        <v>338</v>
      </c>
      <c r="Z658" s="232" t="s">
        <v>324</v>
      </c>
      <c r="AA658" s="232" t="s">
        <v>31</v>
      </c>
      <c r="AB658" s="236">
        <v>0.01</v>
      </c>
      <c r="AC658" s="235"/>
      <c r="AD658" s="234"/>
      <c r="AE658" s="234"/>
      <c r="AF658" s="232" t="s">
        <v>77</v>
      </c>
      <c r="AG658" s="232" t="s">
        <v>350</v>
      </c>
      <c r="AH658" s="234" t="s">
        <v>317</v>
      </c>
      <c r="AJ658" s="234">
        <v>0</v>
      </c>
      <c r="AK658" s="224"/>
      <c r="AL658" s="234">
        <v>0</v>
      </c>
      <c r="AM658" s="224"/>
      <c r="AN658" s="234">
        <v>0</v>
      </c>
      <c r="AO658" s="234">
        <v>1</v>
      </c>
      <c r="AP658" s="234">
        <v>0</v>
      </c>
      <c r="AQ658" s="234">
        <v>0</v>
      </c>
      <c r="AR658" s="234">
        <v>0</v>
      </c>
      <c r="AS658" s="234">
        <v>0</v>
      </c>
      <c r="AT658" s="234">
        <v>0</v>
      </c>
      <c r="AU658" s="234">
        <v>0</v>
      </c>
      <c r="AV658" s="234">
        <v>1</v>
      </c>
      <c r="AW658" s="234">
        <v>0</v>
      </c>
      <c r="AX658" s="234">
        <v>0</v>
      </c>
      <c r="AY658" s="234">
        <v>0</v>
      </c>
      <c r="AZ658" s="234">
        <v>0</v>
      </c>
      <c r="BA658" s="234">
        <v>0</v>
      </c>
      <c r="BB658" s="234">
        <v>0</v>
      </c>
      <c r="BC658" s="234">
        <v>0</v>
      </c>
      <c r="BD658" s="234">
        <v>0</v>
      </c>
      <c r="BE658" s="234">
        <v>0</v>
      </c>
      <c r="BF658" s="234">
        <v>0</v>
      </c>
      <c r="BG658" s="234">
        <v>0</v>
      </c>
      <c r="BH658" s="234">
        <v>0</v>
      </c>
      <c r="BI658" s="234">
        <v>0</v>
      </c>
      <c r="BJ658" s="234">
        <v>0</v>
      </c>
      <c r="BK658" s="234">
        <v>0</v>
      </c>
      <c r="BL658" s="234">
        <v>0</v>
      </c>
      <c r="BM658" s="234">
        <v>0</v>
      </c>
      <c r="BN658" s="234">
        <v>0</v>
      </c>
      <c r="BO658" s="234">
        <v>0</v>
      </c>
      <c r="BP658" s="234"/>
      <c r="BQ658" s="234"/>
      <c r="BR658" s="237" t="s">
        <v>334</v>
      </c>
      <c r="BS658" s="238">
        <v>15</v>
      </c>
      <c r="BU658" s="239">
        <f t="shared" si="77"/>
        <v>0.25</v>
      </c>
      <c r="BV658" s="239">
        <f t="shared" si="70"/>
        <v>0.25</v>
      </c>
      <c r="BW658" s="239">
        <f t="shared" si="71"/>
        <v>0.25</v>
      </c>
      <c r="BX658" s="239">
        <f t="shared" si="72"/>
        <v>0.25</v>
      </c>
      <c r="CN658" s="238">
        <f t="shared" si="74"/>
        <v>1</v>
      </c>
      <c r="CO658" s="238">
        <f t="shared" si="75"/>
        <v>1</v>
      </c>
    </row>
    <row r="659" spans="1:93" ht="13.95" customHeight="1" x14ac:dyDescent="0.2">
      <c r="A659" s="231">
        <v>7501</v>
      </c>
      <c r="B659" s="232" t="s">
        <v>822</v>
      </c>
      <c r="C659" s="232" t="s">
        <v>1991</v>
      </c>
      <c r="D659" s="232" t="s">
        <v>1992</v>
      </c>
      <c r="E659" s="232" t="s">
        <v>317</v>
      </c>
      <c r="F659" s="231">
        <v>528574</v>
      </c>
      <c r="G659" s="231">
        <v>173102</v>
      </c>
      <c r="H659" s="232" t="s">
        <v>172</v>
      </c>
      <c r="I659" s="233"/>
      <c r="J659" s="231"/>
      <c r="K659" s="231">
        <v>0</v>
      </c>
      <c r="L659" s="231">
        <v>1</v>
      </c>
      <c r="M659" s="231">
        <v>1</v>
      </c>
      <c r="N659" s="231">
        <v>1</v>
      </c>
      <c r="O659" s="231">
        <v>1</v>
      </c>
      <c r="P659" s="234"/>
      <c r="Q659" s="232" t="s">
        <v>1993</v>
      </c>
      <c r="R659" s="234" t="s">
        <v>332</v>
      </c>
      <c r="S659" s="235">
        <v>44180</v>
      </c>
      <c r="T659" s="235">
        <v>44236</v>
      </c>
      <c r="U659" s="234"/>
      <c r="V659" s="232" t="s">
        <v>321</v>
      </c>
      <c r="W659" s="231"/>
      <c r="X659" s="232" t="s">
        <v>322</v>
      </c>
      <c r="Y659" s="232" t="s">
        <v>339</v>
      </c>
      <c r="Z659" s="232" t="s">
        <v>324</v>
      </c>
      <c r="AA659" s="232" t="s">
        <v>354</v>
      </c>
      <c r="AB659" s="236">
        <v>2E-3</v>
      </c>
      <c r="AC659" s="235"/>
      <c r="AD659" s="234"/>
      <c r="AE659" s="234"/>
      <c r="AF659" s="232" t="s">
        <v>77</v>
      </c>
      <c r="AG659" s="232" t="s">
        <v>350</v>
      </c>
      <c r="AH659" s="234" t="s">
        <v>317</v>
      </c>
      <c r="AJ659" s="234">
        <v>0</v>
      </c>
      <c r="AK659" s="224"/>
      <c r="AL659" s="234">
        <v>0</v>
      </c>
      <c r="AM659" s="224"/>
      <c r="AN659" s="234">
        <v>0</v>
      </c>
      <c r="AO659" s="234">
        <v>1</v>
      </c>
      <c r="AP659" s="234">
        <v>0</v>
      </c>
      <c r="AQ659" s="234">
        <v>0</v>
      </c>
      <c r="AR659" s="234">
        <v>0</v>
      </c>
      <c r="AS659" s="234">
        <v>0</v>
      </c>
      <c r="AT659" s="234">
        <v>0</v>
      </c>
      <c r="AU659" s="234">
        <v>0</v>
      </c>
      <c r="AV659" s="234">
        <v>1</v>
      </c>
      <c r="AW659" s="234">
        <v>0</v>
      </c>
      <c r="AX659" s="234">
        <v>0</v>
      </c>
      <c r="AY659" s="234">
        <v>0</v>
      </c>
      <c r="AZ659" s="234">
        <v>0</v>
      </c>
      <c r="BA659" s="234">
        <v>0</v>
      </c>
      <c r="BB659" s="234">
        <v>0</v>
      </c>
      <c r="BC659" s="234">
        <v>0</v>
      </c>
      <c r="BD659" s="234">
        <v>0</v>
      </c>
      <c r="BE659" s="234">
        <v>0</v>
      </c>
      <c r="BF659" s="234">
        <v>0</v>
      </c>
      <c r="BG659" s="234">
        <v>0</v>
      </c>
      <c r="BH659" s="234">
        <v>0</v>
      </c>
      <c r="BI659" s="234">
        <v>0</v>
      </c>
      <c r="BJ659" s="234">
        <v>0</v>
      </c>
      <c r="BK659" s="234">
        <v>0</v>
      </c>
      <c r="BL659" s="234">
        <v>0</v>
      </c>
      <c r="BM659" s="234">
        <v>0</v>
      </c>
      <c r="BN659" s="234">
        <v>0</v>
      </c>
      <c r="BO659" s="234">
        <v>0</v>
      </c>
      <c r="BP659" s="234"/>
      <c r="BQ659" s="234"/>
      <c r="BR659" s="237" t="s">
        <v>141</v>
      </c>
      <c r="BS659" s="238">
        <v>15</v>
      </c>
      <c r="BU659" s="239">
        <f t="shared" si="77"/>
        <v>0.25</v>
      </c>
      <c r="BV659" s="239">
        <f t="shared" si="70"/>
        <v>0.25</v>
      </c>
      <c r="BW659" s="239">
        <f t="shared" si="71"/>
        <v>0.25</v>
      </c>
      <c r="BX659" s="239">
        <f t="shared" si="72"/>
        <v>0.25</v>
      </c>
      <c r="CN659" s="238">
        <f t="shared" si="74"/>
        <v>1</v>
      </c>
      <c r="CO659" s="238">
        <f t="shared" si="75"/>
        <v>1</v>
      </c>
    </row>
    <row r="660" spans="1:93" ht="13.95" customHeight="1" x14ac:dyDescent="0.2">
      <c r="A660" s="231">
        <v>7766</v>
      </c>
      <c r="B660" s="232" t="s">
        <v>822</v>
      </c>
      <c r="C660" s="232" t="s">
        <v>1994</v>
      </c>
      <c r="D660" s="232" t="s">
        <v>1995</v>
      </c>
      <c r="E660" s="232" t="s">
        <v>317</v>
      </c>
      <c r="F660" s="231">
        <v>522160</v>
      </c>
      <c r="G660" s="231">
        <v>175461</v>
      </c>
      <c r="H660" s="232" t="s">
        <v>170</v>
      </c>
      <c r="I660" s="233"/>
      <c r="J660" s="231"/>
      <c r="K660" s="231">
        <v>0</v>
      </c>
      <c r="L660" s="231">
        <v>1</v>
      </c>
      <c r="M660" s="231">
        <v>1</v>
      </c>
      <c r="N660" s="231">
        <v>1</v>
      </c>
      <c r="O660" s="231">
        <v>1</v>
      </c>
      <c r="P660" s="234"/>
      <c r="Q660" s="232" t="s">
        <v>1996</v>
      </c>
      <c r="R660" s="234" t="s">
        <v>320</v>
      </c>
      <c r="S660" s="235">
        <v>44615</v>
      </c>
      <c r="T660" s="235">
        <v>44894</v>
      </c>
      <c r="U660" s="234" t="s">
        <v>318</v>
      </c>
      <c r="V660" s="232" t="s">
        <v>321</v>
      </c>
      <c r="W660" s="231"/>
      <c r="X660" s="232" t="s">
        <v>322</v>
      </c>
      <c r="Y660" s="232" t="s">
        <v>365</v>
      </c>
      <c r="Z660" s="232" t="s">
        <v>324</v>
      </c>
      <c r="AA660" s="232" t="s">
        <v>17</v>
      </c>
      <c r="AB660" s="236">
        <v>8.0000000000000002E-3</v>
      </c>
      <c r="AC660" s="235"/>
      <c r="AD660" s="234"/>
      <c r="AE660" s="234"/>
      <c r="AF660" s="232" t="s">
        <v>77</v>
      </c>
      <c r="AG660" s="232" t="s">
        <v>350</v>
      </c>
      <c r="AH660" s="234" t="s">
        <v>317</v>
      </c>
      <c r="AJ660" s="234">
        <v>0</v>
      </c>
      <c r="AK660" s="224"/>
      <c r="AL660" s="234">
        <v>0</v>
      </c>
      <c r="AM660" s="224"/>
      <c r="AN660" s="234">
        <v>0</v>
      </c>
      <c r="AO660" s="234">
        <v>0</v>
      </c>
      <c r="AP660" s="234">
        <v>0</v>
      </c>
      <c r="AQ660" s="234">
        <v>0</v>
      </c>
      <c r="AR660" s="234">
        <v>0</v>
      </c>
      <c r="AS660" s="234">
        <v>1</v>
      </c>
      <c r="AT660" s="234">
        <v>0</v>
      </c>
      <c r="AU660" s="234">
        <v>0</v>
      </c>
      <c r="AV660" s="234">
        <v>0</v>
      </c>
      <c r="AW660" s="234">
        <v>0</v>
      </c>
      <c r="AX660" s="234">
        <v>0</v>
      </c>
      <c r="AY660" s="234">
        <v>0</v>
      </c>
      <c r="AZ660" s="234">
        <v>0</v>
      </c>
      <c r="BA660" s="234">
        <v>0</v>
      </c>
      <c r="BB660" s="234">
        <v>0</v>
      </c>
      <c r="BC660" s="234">
        <v>0</v>
      </c>
      <c r="BD660" s="234">
        <v>0</v>
      </c>
      <c r="BE660" s="234">
        <v>0</v>
      </c>
      <c r="BF660" s="234">
        <v>0</v>
      </c>
      <c r="BG660" s="234">
        <v>1</v>
      </c>
      <c r="BH660" s="234">
        <v>0</v>
      </c>
      <c r="BI660" s="234">
        <v>0</v>
      </c>
      <c r="BJ660" s="234">
        <v>0</v>
      </c>
      <c r="BK660" s="234">
        <v>0</v>
      </c>
      <c r="BL660" s="234">
        <v>0</v>
      </c>
      <c r="BM660" s="234">
        <v>0</v>
      </c>
      <c r="BN660" s="234">
        <v>0</v>
      </c>
      <c r="BO660" s="234">
        <v>0</v>
      </c>
      <c r="BP660" s="234"/>
      <c r="BQ660" s="234"/>
      <c r="BR660" s="237" t="s">
        <v>334</v>
      </c>
      <c r="BS660" s="238">
        <v>15</v>
      </c>
      <c r="BU660" s="239">
        <f t="shared" si="77"/>
        <v>0.25</v>
      </c>
      <c r="BV660" s="239">
        <f t="shared" si="70"/>
        <v>0.25</v>
      </c>
      <c r="BW660" s="239">
        <f t="shared" si="71"/>
        <v>0.25</v>
      </c>
      <c r="BX660" s="239">
        <f t="shared" si="72"/>
        <v>0.25</v>
      </c>
      <c r="CN660" s="238">
        <f t="shared" si="74"/>
        <v>1</v>
      </c>
      <c r="CO660" s="238">
        <f t="shared" si="75"/>
        <v>1</v>
      </c>
    </row>
    <row r="661" spans="1:93" ht="13.95" customHeight="1" x14ac:dyDescent="0.2">
      <c r="A661" s="231">
        <v>7765</v>
      </c>
      <c r="B661" s="232" t="s">
        <v>822</v>
      </c>
      <c r="C661" s="232" t="s">
        <v>1997</v>
      </c>
      <c r="D661" s="232" t="s">
        <v>1998</v>
      </c>
      <c r="E661" s="232" t="s">
        <v>317</v>
      </c>
      <c r="F661" s="231">
        <v>522152</v>
      </c>
      <c r="G661" s="231">
        <v>175463</v>
      </c>
      <c r="H661" s="232" t="s">
        <v>170</v>
      </c>
      <c r="I661" s="233"/>
      <c r="J661" s="231"/>
      <c r="K661" s="231">
        <v>0</v>
      </c>
      <c r="L661" s="231">
        <v>1</v>
      </c>
      <c r="M661" s="231">
        <v>1</v>
      </c>
      <c r="N661" s="231">
        <v>1</v>
      </c>
      <c r="O661" s="231">
        <v>1</v>
      </c>
      <c r="P661" s="234"/>
      <c r="Q661" s="232" t="s">
        <v>1999</v>
      </c>
      <c r="R661" s="234" t="s">
        <v>320</v>
      </c>
      <c r="S661" s="235">
        <v>44615</v>
      </c>
      <c r="T661" s="235">
        <v>44894</v>
      </c>
      <c r="U661" s="234" t="s">
        <v>318</v>
      </c>
      <c r="V661" s="232" t="s">
        <v>321</v>
      </c>
      <c r="W661" s="231"/>
      <c r="X661" s="232" t="s">
        <v>322</v>
      </c>
      <c r="Y661" s="232" t="s">
        <v>365</v>
      </c>
      <c r="Z661" s="232" t="s">
        <v>324</v>
      </c>
      <c r="AA661" s="232" t="s">
        <v>17</v>
      </c>
      <c r="AB661" s="236">
        <v>7.6400000000000001E-3</v>
      </c>
      <c r="AC661" s="235"/>
      <c r="AD661" s="234"/>
      <c r="AE661" s="234"/>
      <c r="AF661" s="232" t="s">
        <v>77</v>
      </c>
      <c r="AG661" s="232" t="s">
        <v>350</v>
      </c>
      <c r="AH661" s="234" t="s">
        <v>317</v>
      </c>
      <c r="AJ661" s="234">
        <v>0</v>
      </c>
      <c r="AK661" s="224"/>
      <c r="AL661" s="234">
        <v>0</v>
      </c>
      <c r="AM661" s="224"/>
      <c r="AN661" s="234">
        <v>0</v>
      </c>
      <c r="AO661" s="234">
        <v>0</v>
      </c>
      <c r="AP661" s="234">
        <v>0</v>
      </c>
      <c r="AQ661" s="234">
        <v>0</v>
      </c>
      <c r="AR661" s="234">
        <v>0</v>
      </c>
      <c r="AS661" s="234">
        <v>1</v>
      </c>
      <c r="AT661" s="234">
        <v>0</v>
      </c>
      <c r="AU661" s="234">
        <v>0</v>
      </c>
      <c r="AV661" s="234">
        <v>0</v>
      </c>
      <c r="AW661" s="234">
        <v>0</v>
      </c>
      <c r="AX661" s="234">
        <v>0</v>
      </c>
      <c r="AY661" s="234">
        <v>0</v>
      </c>
      <c r="AZ661" s="234">
        <v>0</v>
      </c>
      <c r="BA661" s="234">
        <v>0</v>
      </c>
      <c r="BB661" s="234">
        <v>0</v>
      </c>
      <c r="BC661" s="234">
        <v>0</v>
      </c>
      <c r="BD661" s="234">
        <v>0</v>
      </c>
      <c r="BE661" s="234">
        <v>0</v>
      </c>
      <c r="BF661" s="234">
        <v>0</v>
      </c>
      <c r="BG661" s="234">
        <v>1</v>
      </c>
      <c r="BH661" s="234">
        <v>0</v>
      </c>
      <c r="BI661" s="234">
        <v>0</v>
      </c>
      <c r="BJ661" s="234">
        <v>0</v>
      </c>
      <c r="BK661" s="234">
        <v>0</v>
      </c>
      <c r="BL661" s="234">
        <v>0</v>
      </c>
      <c r="BM661" s="234">
        <v>0</v>
      </c>
      <c r="BN661" s="234">
        <v>0</v>
      </c>
      <c r="BO661" s="234">
        <v>0</v>
      </c>
      <c r="BP661" s="234"/>
      <c r="BQ661" s="234"/>
      <c r="BR661" s="237" t="s">
        <v>334</v>
      </c>
      <c r="BS661" s="238">
        <v>15</v>
      </c>
      <c r="BU661" s="239">
        <f t="shared" si="77"/>
        <v>0.25</v>
      </c>
      <c r="BV661" s="239">
        <f t="shared" si="70"/>
        <v>0.25</v>
      </c>
      <c r="BW661" s="239">
        <f t="shared" si="71"/>
        <v>0.25</v>
      </c>
      <c r="BX661" s="239">
        <f t="shared" si="72"/>
        <v>0.25</v>
      </c>
      <c r="CN661" s="238">
        <f t="shared" si="74"/>
        <v>1</v>
      </c>
      <c r="CO661" s="238">
        <f t="shared" si="75"/>
        <v>1</v>
      </c>
    </row>
    <row r="662" spans="1:93" ht="13.95" customHeight="1" x14ac:dyDescent="0.2">
      <c r="A662" s="231">
        <v>2807</v>
      </c>
      <c r="B662" s="232" t="s">
        <v>822</v>
      </c>
      <c r="C662" s="232" t="s">
        <v>2000</v>
      </c>
      <c r="D662" s="232" t="s">
        <v>759</v>
      </c>
      <c r="E662" s="232" t="s">
        <v>317</v>
      </c>
      <c r="F662" s="231">
        <v>528724</v>
      </c>
      <c r="G662" s="231">
        <v>173597</v>
      </c>
      <c r="H662" s="232" t="s">
        <v>141</v>
      </c>
      <c r="I662" s="233"/>
      <c r="J662" s="231"/>
      <c r="K662" s="231">
        <v>1</v>
      </c>
      <c r="L662" s="231">
        <v>2</v>
      </c>
      <c r="M662" s="231">
        <v>1</v>
      </c>
      <c r="N662" s="231">
        <v>2</v>
      </c>
      <c r="O662" s="231">
        <v>1</v>
      </c>
      <c r="P662" s="234"/>
      <c r="Q662" s="232" t="s">
        <v>2001</v>
      </c>
      <c r="R662" s="234" t="s">
        <v>332</v>
      </c>
      <c r="S662" s="235">
        <v>44327</v>
      </c>
      <c r="T662" s="235">
        <v>44487</v>
      </c>
      <c r="U662" s="234"/>
      <c r="V662" s="232" t="s">
        <v>321</v>
      </c>
      <c r="W662" s="231"/>
      <c r="X662" s="232" t="s">
        <v>322</v>
      </c>
      <c r="Y662" s="232" t="s">
        <v>338</v>
      </c>
      <c r="Z662" s="232" t="s">
        <v>324</v>
      </c>
      <c r="AA662" s="232" t="s">
        <v>354</v>
      </c>
      <c r="AB662" s="236">
        <v>2E-3</v>
      </c>
      <c r="AC662" s="235"/>
      <c r="AD662" s="234"/>
      <c r="AE662" s="234"/>
      <c r="AF662" s="232" t="s">
        <v>77</v>
      </c>
      <c r="AG662" s="232" t="s">
        <v>350</v>
      </c>
      <c r="AH662" s="234" t="s">
        <v>317</v>
      </c>
      <c r="AJ662" s="234">
        <v>0</v>
      </c>
      <c r="AK662" s="224"/>
      <c r="AL662" s="234">
        <v>0</v>
      </c>
      <c r="AM662" s="224"/>
      <c r="AN662" s="234">
        <v>1</v>
      </c>
      <c r="AO662" s="234">
        <v>1</v>
      </c>
      <c r="AP662" s="234">
        <v>0</v>
      </c>
      <c r="AQ662" s="234">
        <v>-1</v>
      </c>
      <c r="AR662" s="234">
        <v>0</v>
      </c>
      <c r="AS662" s="234">
        <v>0</v>
      </c>
      <c r="AT662" s="234">
        <v>0</v>
      </c>
      <c r="AU662" s="234">
        <v>1</v>
      </c>
      <c r="AV662" s="234">
        <v>1</v>
      </c>
      <c r="AW662" s="234">
        <v>0</v>
      </c>
      <c r="AX662" s="234">
        <v>-1</v>
      </c>
      <c r="AY662" s="234">
        <v>0</v>
      </c>
      <c r="AZ662" s="234">
        <v>0</v>
      </c>
      <c r="BA662" s="234">
        <v>0</v>
      </c>
      <c r="BB662" s="234">
        <v>0</v>
      </c>
      <c r="BC662" s="234">
        <v>0</v>
      </c>
      <c r="BD662" s="234">
        <v>0</v>
      </c>
      <c r="BE662" s="234">
        <v>0</v>
      </c>
      <c r="BF662" s="234">
        <v>0</v>
      </c>
      <c r="BG662" s="234">
        <v>0</v>
      </c>
      <c r="BH662" s="234">
        <v>0</v>
      </c>
      <c r="BI662" s="234">
        <v>0</v>
      </c>
      <c r="BJ662" s="234">
        <v>0</v>
      </c>
      <c r="BK662" s="234">
        <v>0</v>
      </c>
      <c r="BL662" s="234">
        <v>0</v>
      </c>
      <c r="BM662" s="234">
        <v>0</v>
      </c>
      <c r="BN662" s="234">
        <v>0</v>
      </c>
      <c r="BO662" s="234">
        <v>0</v>
      </c>
      <c r="BP662" s="234" t="s">
        <v>141</v>
      </c>
      <c r="BQ662" s="234"/>
      <c r="BR662" s="237" t="s">
        <v>141</v>
      </c>
      <c r="BS662" s="238">
        <v>15</v>
      </c>
      <c r="BU662" s="239">
        <f t="shared" si="77"/>
        <v>0.25</v>
      </c>
      <c r="BV662" s="239">
        <f t="shared" ref="BV662:BV725" si="78">M662/4</f>
        <v>0.25</v>
      </c>
      <c r="BW662" s="239">
        <f t="shared" ref="BW662:BW725" si="79">M662/4</f>
        <v>0.25</v>
      </c>
      <c r="BX662" s="239">
        <f t="shared" ref="BX662:BX725" si="80">M662/4</f>
        <v>0.25</v>
      </c>
      <c r="CN662" s="238">
        <f t="shared" si="74"/>
        <v>1</v>
      </c>
      <c r="CO662" s="238">
        <f t="shared" si="75"/>
        <v>1</v>
      </c>
    </row>
    <row r="663" spans="1:93" ht="13.95" customHeight="1" x14ac:dyDescent="0.2">
      <c r="A663" s="231">
        <v>7851</v>
      </c>
      <c r="B663" s="232" t="s">
        <v>822</v>
      </c>
      <c r="C663" s="232" t="s">
        <v>2002</v>
      </c>
      <c r="D663" s="232" t="s">
        <v>2003</v>
      </c>
      <c r="E663" s="232" t="s">
        <v>317</v>
      </c>
      <c r="F663" s="231">
        <v>525884</v>
      </c>
      <c r="G663" s="231">
        <v>174406</v>
      </c>
      <c r="H663" s="232" t="s">
        <v>181</v>
      </c>
      <c r="I663" s="233"/>
      <c r="J663" s="231"/>
      <c r="K663" s="231">
        <v>0</v>
      </c>
      <c r="L663" s="231">
        <v>1</v>
      </c>
      <c r="M663" s="231">
        <v>1</v>
      </c>
      <c r="N663" s="231">
        <v>1</v>
      </c>
      <c r="O663" s="231">
        <v>1</v>
      </c>
      <c r="P663" s="234"/>
      <c r="Q663" s="232" t="s">
        <v>2004</v>
      </c>
      <c r="R663" s="234" t="s">
        <v>332</v>
      </c>
      <c r="S663" s="235">
        <v>44734</v>
      </c>
      <c r="T663" s="235">
        <v>44782</v>
      </c>
      <c r="U663" s="234" t="s">
        <v>318</v>
      </c>
      <c r="V663" s="232" t="s">
        <v>321</v>
      </c>
      <c r="W663" s="231"/>
      <c r="X663" s="232" t="s">
        <v>322</v>
      </c>
      <c r="Y663" s="232" t="s">
        <v>339</v>
      </c>
      <c r="Z663" s="232" t="s">
        <v>324</v>
      </c>
      <c r="AA663" s="232" t="s">
        <v>354</v>
      </c>
      <c r="AB663" s="236">
        <v>6.2100000000000002E-3</v>
      </c>
      <c r="AC663" s="235"/>
      <c r="AD663" s="234"/>
      <c r="AE663" s="234"/>
      <c r="AF663" s="232" t="s">
        <v>77</v>
      </c>
      <c r="AG663" s="232" t="s">
        <v>350</v>
      </c>
      <c r="AH663" s="234" t="s">
        <v>317</v>
      </c>
      <c r="AJ663" s="234">
        <v>0</v>
      </c>
      <c r="AK663" s="224"/>
      <c r="AL663" s="234">
        <v>0</v>
      </c>
      <c r="AM663" s="224"/>
      <c r="AN663" s="234">
        <v>0</v>
      </c>
      <c r="AO663" s="234">
        <v>0</v>
      </c>
      <c r="AP663" s="234">
        <v>1</v>
      </c>
      <c r="AQ663" s="234">
        <v>0</v>
      </c>
      <c r="AR663" s="234">
        <v>0</v>
      </c>
      <c r="AS663" s="234">
        <v>0</v>
      </c>
      <c r="AT663" s="234">
        <v>0</v>
      </c>
      <c r="AU663" s="234">
        <v>0</v>
      </c>
      <c r="AV663" s="234">
        <v>0</v>
      </c>
      <c r="AW663" s="234">
        <v>1</v>
      </c>
      <c r="AX663" s="234">
        <v>0</v>
      </c>
      <c r="AY663" s="234">
        <v>0</v>
      </c>
      <c r="AZ663" s="234">
        <v>0</v>
      </c>
      <c r="BA663" s="234">
        <v>0</v>
      </c>
      <c r="BB663" s="234">
        <v>0</v>
      </c>
      <c r="BC663" s="234">
        <v>0</v>
      </c>
      <c r="BD663" s="234">
        <v>0</v>
      </c>
      <c r="BE663" s="234">
        <v>0</v>
      </c>
      <c r="BF663" s="234">
        <v>0</v>
      </c>
      <c r="BG663" s="234">
        <v>0</v>
      </c>
      <c r="BH663" s="234">
        <v>0</v>
      </c>
      <c r="BI663" s="234">
        <v>0</v>
      </c>
      <c r="BJ663" s="234">
        <v>0</v>
      </c>
      <c r="BK663" s="234">
        <v>0</v>
      </c>
      <c r="BL663" s="234">
        <v>0</v>
      </c>
      <c r="BM663" s="234">
        <v>0</v>
      </c>
      <c r="BN663" s="234">
        <v>0</v>
      </c>
      <c r="BO663" s="234">
        <v>0</v>
      </c>
      <c r="BP663" s="234"/>
      <c r="BQ663" s="234"/>
      <c r="BR663" s="237" t="s">
        <v>327</v>
      </c>
      <c r="BS663" s="238">
        <v>15</v>
      </c>
      <c r="BU663" s="239">
        <f t="shared" si="77"/>
        <v>0.25</v>
      </c>
      <c r="BV663" s="239">
        <f t="shared" si="78"/>
        <v>0.25</v>
      </c>
      <c r="BW663" s="239">
        <f t="shared" si="79"/>
        <v>0.25</v>
      </c>
      <c r="BX663" s="239">
        <f t="shared" si="80"/>
        <v>0.25</v>
      </c>
      <c r="CN663" s="238">
        <f t="shared" si="74"/>
        <v>1</v>
      </c>
      <c r="CO663" s="238">
        <f t="shared" si="75"/>
        <v>1</v>
      </c>
    </row>
    <row r="664" spans="1:93" ht="13.95" customHeight="1" x14ac:dyDescent="0.2">
      <c r="A664" s="231">
        <v>7483</v>
      </c>
      <c r="B664" s="232" t="s">
        <v>822</v>
      </c>
      <c r="C664" s="232" t="s">
        <v>2005</v>
      </c>
      <c r="D664" s="232" t="s">
        <v>2006</v>
      </c>
      <c r="E664" s="232" t="s">
        <v>317</v>
      </c>
      <c r="F664" s="231">
        <v>525448</v>
      </c>
      <c r="G664" s="231">
        <v>172822</v>
      </c>
      <c r="H664" s="232" t="s">
        <v>173</v>
      </c>
      <c r="I664" s="233"/>
      <c r="J664" s="231"/>
      <c r="K664" s="231">
        <v>0</v>
      </c>
      <c r="L664" s="231">
        <v>1</v>
      </c>
      <c r="M664" s="231">
        <v>1</v>
      </c>
      <c r="N664" s="231">
        <v>1</v>
      </c>
      <c r="O664" s="231">
        <v>1</v>
      </c>
      <c r="P664" s="234"/>
      <c r="Q664" s="232" t="s">
        <v>2007</v>
      </c>
      <c r="R664" s="234" t="s">
        <v>332</v>
      </c>
      <c r="S664" s="235">
        <v>44131</v>
      </c>
      <c r="T664" s="235">
        <v>44183</v>
      </c>
      <c r="U664" s="234"/>
      <c r="V664" s="232" t="s">
        <v>321</v>
      </c>
      <c r="W664" s="231"/>
      <c r="X664" s="232" t="s">
        <v>322</v>
      </c>
      <c r="Y664" s="232" t="s">
        <v>339</v>
      </c>
      <c r="Z664" s="232" t="s">
        <v>324</v>
      </c>
      <c r="AA664" s="232" t="s">
        <v>354</v>
      </c>
      <c r="AB664" s="236">
        <v>3.0000000000000001E-3</v>
      </c>
      <c r="AC664" s="235"/>
      <c r="AD664" s="234"/>
      <c r="AE664" s="234"/>
      <c r="AF664" s="232" t="s">
        <v>77</v>
      </c>
      <c r="AG664" s="232" t="s">
        <v>350</v>
      </c>
      <c r="AH664" s="234" t="s">
        <v>317</v>
      </c>
      <c r="AJ664" s="234">
        <v>0</v>
      </c>
      <c r="AK664" s="224"/>
      <c r="AL664" s="234">
        <v>0</v>
      </c>
      <c r="AM664" s="224"/>
      <c r="AN664" s="234">
        <v>0</v>
      </c>
      <c r="AO664" s="234">
        <v>1</v>
      </c>
      <c r="AP664" s="234">
        <v>0</v>
      </c>
      <c r="AQ664" s="234">
        <v>0</v>
      </c>
      <c r="AR664" s="234">
        <v>0</v>
      </c>
      <c r="AS664" s="234">
        <v>0</v>
      </c>
      <c r="AT664" s="234">
        <v>0</v>
      </c>
      <c r="AU664" s="234">
        <v>0</v>
      </c>
      <c r="AV664" s="234">
        <v>1</v>
      </c>
      <c r="AW664" s="234">
        <v>0</v>
      </c>
      <c r="AX664" s="234">
        <v>0</v>
      </c>
      <c r="AY664" s="234">
        <v>0</v>
      </c>
      <c r="AZ664" s="234">
        <v>0</v>
      </c>
      <c r="BA664" s="234">
        <v>0</v>
      </c>
      <c r="BB664" s="234">
        <v>0</v>
      </c>
      <c r="BC664" s="234">
        <v>0</v>
      </c>
      <c r="BD664" s="234">
        <v>0</v>
      </c>
      <c r="BE664" s="234">
        <v>0</v>
      </c>
      <c r="BF664" s="234">
        <v>0</v>
      </c>
      <c r="BG664" s="234">
        <v>0</v>
      </c>
      <c r="BH664" s="234">
        <v>0</v>
      </c>
      <c r="BI664" s="234">
        <v>0</v>
      </c>
      <c r="BJ664" s="234">
        <v>0</v>
      </c>
      <c r="BK664" s="234">
        <v>0</v>
      </c>
      <c r="BL664" s="234">
        <v>0</v>
      </c>
      <c r="BM664" s="234">
        <v>0</v>
      </c>
      <c r="BN664" s="234">
        <v>0</v>
      </c>
      <c r="BO664" s="234">
        <v>0</v>
      </c>
      <c r="BP664" s="234"/>
      <c r="BQ664" s="234"/>
      <c r="BR664" s="237" t="s">
        <v>154</v>
      </c>
      <c r="BS664" s="238">
        <v>15</v>
      </c>
      <c r="BU664" s="239">
        <f t="shared" si="77"/>
        <v>0.25</v>
      </c>
      <c r="BV664" s="239">
        <f t="shared" si="78"/>
        <v>0.25</v>
      </c>
      <c r="BW664" s="239">
        <f t="shared" si="79"/>
        <v>0.25</v>
      </c>
      <c r="BX664" s="239">
        <f t="shared" si="80"/>
        <v>0.25</v>
      </c>
      <c r="CN664" s="238">
        <f t="shared" si="74"/>
        <v>1</v>
      </c>
      <c r="CO664" s="238">
        <f t="shared" si="75"/>
        <v>1</v>
      </c>
    </row>
    <row r="665" spans="1:93" ht="13.95" customHeight="1" x14ac:dyDescent="0.2">
      <c r="A665" s="231">
        <v>7338</v>
      </c>
      <c r="B665" s="232" t="s">
        <v>822</v>
      </c>
      <c r="C665" s="232" t="s">
        <v>1220</v>
      </c>
      <c r="D665" s="232" t="s">
        <v>1082</v>
      </c>
      <c r="E665" s="232" t="s">
        <v>317</v>
      </c>
      <c r="F665" s="231">
        <v>527505</v>
      </c>
      <c r="G665" s="231">
        <v>174973</v>
      </c>
      <c r="H665" s="232" t="s">
        <v>167</v>
      </c>
      <c r="I665" s="233">
        <v>44429</v>
      </c>
      <c r="J665" s="231"/>
      <c r="K665" s="231">
        <v>0</v>
      </c>
      <c r="L665" s="231">
        <v>1</v>
      </c>
      <c r="M665" s="231">
        <v>1</v>
      </c>
      <c r="N665" s="231">
        <v>3</v>
      </c>
      <c r="O665" s="231">
        <v>1</v>
      </c>
      <c r="P665" s="234"/>
      <c r="Q665" s="232" t="s">
        <v>1221</v>
      </c>
      <c r="R665" s="234" t="s">
        <v>332</v>
      </c>
      <c r="S665" s="235">
        <v>43951</v>
      </c>
      <c r="T665" s="235">
        <v>44007</v>
      </c>
      <c r="U665" s="234"/>
      <c r="V665" s="232" t="s">
        <v>321</v>
      </c>
      <c r="W665" s="231"/>
      <c r="X665" s="232" t="s">
        <v>322</v>
      </c>
      <c r="Y665" s="232" t="s">
        <v>338</v>
      </c>
      <c r="Z665" s="232" t="s">
        <v>324</v>
      </c>
      <c r="AA665" s="232" t="s">
        <v>354</v>
      </c>
      <c r="AB665" s="236">
        <v>5.0000000000000001E-3</v>
      </c>
      <c r="AC665" s="235"/>
      <c r="AD665" s="234"/>
      <c r="AE665" s="234"/>
      <c r="AF665" s="232" t="s">
        <v>77</v>
      </c>
      <c r="AG665" s="232" t="s">
        <v>350</v>
      </c>
      <c r="AH665" s="234" t="s">
        <v>317</v>
      </c>
      <c r="AJ665" s="234">
        <v>0</v>
      </c>
      <c r="AK665" s="224"/>
      <c r="AL665" s="234">
        <v>0</v>
      </c>
      <c r="AM665" s="224"/>
      <c r="AN665" s="234">
        <v>0</v>
      </c>
      <c r="AO665" s="234">
        <v>1</v>
      </c>
      <c r="AP665" s="234">
        <v>0</v>
      </c>
      <c r="AQ665" s="234">
        <v>0</v>
      </c>
      <c r="AR665" s="234">
        <v>0</v>
      </c>
      <c r="AS665" s="234">
        <v>0</v>
      </c>
      <c r="AT665" s="234">
        <v>0</v>
      </c>
      <c r="AU665" s="234">
        <v>0</v>
      </c>
      <c r="AV665" s="234">
        <v>1</v>
      </c>
      <c r="AW665" s="234">
        <v>0</v>
      </c>
      <c r="AX665" s="234">
        <v>0</v>
      </c>
      <c r="AY665" s="234">
        <v>0</v>
      </c>
      <c r="AZ665" s="234">
        <v>0</v>
      </c>
      <c r="BA665" s="234">
        <v>0</v>
      </c>
      <c r="BB665" s="234">
        <v>0</v>
      </c>
      <c r="BC665" s="234">
        <v>0</v>
      </c>
      <c r="BD665" s="234">
        <v>0</v>
      </c>
      <c r="BE665" s="234">
        <v>0</v>
      </c>
      <c r="BF665" s="234">
        <v>0</v>
      </c>
      <c r="BG665" s="234">
        <v>0</v>
      </c>
      <c r="BH665" s="234">
        <v>0</v>
      </c>
      <c r="BI665" s="234">
        <v>0</v>
      </c>
      <c r="BJ665" s="234">
        <v>0</v>
      </c>
      <c r="BK665" s="234">
        <v>0</v>
      </c>
      <c r="BL665" s="234">
        <v>0</v>
      </c>
      <c r="BM665" s="234">
        <v>0</v>
      </c>
      <c r="BN665" s="234">
        <v>0</v>
      </c>
      <c r="BO665" s="234">
        <v>0</v>
      </c>
      <c r="BP665" s="234" t="s">
        <v>142</v>
      </c>
      <c r="BQ665" s="234"/>
      <c r="BR665" s="237" t="s">
        <v>150</v>
      </c>
      <c r="BS665" s="238">
        <v>15</v>
      </c>
      <c r="BU665" s="239">
        <f t="shared" si="77"/>
        <v>0.25</v>
      </c>
      <c r="BV665" s="239">
        <f t="shared" si="78"/>
        <v>0.25</v>
      </c>
      <c r="BW665" s="239">
        <f t="shared" si="79"/>
        <v>0.25</v>
      </c>
      <c r="BX665" s="239">
        <f t="shared" si="80"/>
        <v>0.25</v>
      </c>
      <c r="CN665" s="238">
        <f t="shared" si="74"/>
        <v>1</v>
      </c>
      <c r="CO665" s="238">
        <f t="shared" si="75"/>
        <v>1</v>
      </c>
    </row>
    <row r="666" spans="1:93" ht="13.95" customHeight="1" x14ac:dyDescent="0.2">
      <c r="A666" s="231">
        <v>6846</v>
      </c>
      <c r="B666" s="232" t="s">
        <v>822</v>
      </c>
      <c r="C666" s="232" t="s">
        <v>2008</v>
      </c>
      <c r="D666" s="232" t="s">
        <v>2009</v>
      </c>
      <c r="E666" s="232" t="s">
        <v>317</v>
      </c>
      <c r="F666" s="231">
        <v>527474</v>
      </c>
      <c r="G666" s="231">
        <v>174921</v>
      </c>
      <c r="H666" s="232" t="s">
        <v>169</v>
      </c>
      <c r="I666" s="233"/>
      <c r="J666" s="231"/>
      <c r="K666" s="231">
        <v>1</v>
      </c>
      <c r="L666" s="231">
        <v>2</v>
      </c>
      <c r="M666" s="231">
        <v>1</v>
      </c>
      <c r="N666" s="231">
        <v>2</v>
      </c>
      <c r="O666" s="231">
        <v>1</v>
      </c>
      <c r="P666" s="234"/>
      <c r="Q666" s="232" t="s">
        <v>2010</v>
      </c>
      <c r="R666" s="234" t="s">
        <v>332</v>
      </c>
      <c r="S666" s="235">
        <v>43174</v>
      </c>
      <c r="T666" s="235">
        <v>43216</v>
      </c>
      <c r="U666" s="234"/>
      <c r="V666" s="232" t="s">
        <v>321</v>
      </c>
      <c r="W666" s="231"/>
      <c r="X666" s="232" t="s">
        <v>322</v>
      </c>
      <c r="Y666" s="232" t="s">
        <v>339</v>
      </c>
      <c r="Z666" s="232" t="s">
        <v>324</v>
      </c>
      <c r="AA666" s="232" t="s">
        <v>354</v>
      </c>
      <c r="AB666" s="236">
        <v>8.9999999999999993E-3</v>
      </c>
      <c r="AC666" s="235"/>
      <c r="AD666" s="234"/>
      <c r="AE666" s="234"/>
      <c r="AF666" s="232" t="s">
        <v>77</v>
      </c>
      <c r="AG666" s="232" t="s">
        <v>350</v>
      </c>
      <c r="AH666" s="234" t="s">
        <v>317</v>
      </c>
      <c r="AJ666" s="234">
        <v>0</v>
      </c>
      <c r="AK666" s="224"/>
      <c r="AL666" s="234">
        <v>0</v>
      </c>
      <c r="AM666" s="224"/>
      <c r="AN666" s="234">
        <v>0</v>
      </c>
      <c r="AO666" s="234">
        <v>0</v>
      </c>
      <c r="AP666" s="234">
        <v>1</v>
      </c>
      <c r="AQ666" s="234">
        <v>0</v>
      </c>
      <c r="AR666" s="234">
        <v>0</v>
      </c>
      <c r="AS666" s="234">
        <v>0</v>
      </c>
      <c r="AT666" s="234">
        <v>0</v>
      </c>
      <c r="AU666" s="234">
        <v>0</v>
      </c>
      <c r="AV666" s="234">
        <v>0</v>
      </c>
      <c r="AW666" s="234">
        <v>1</v>
      </c>
      <c r="AX666" s="234">
        <v>0</v>
      </c>
      <c r="AY666" s="234">
        <v>0</v>
      </c>
      <c r="AZ666" s="234">
        <v>0</v>
      </c>
      <c r="BA666" s="234">
        <v>0</v>
      </c>
      <c r="BB666" s="234">
        <v>0</v>
      </c>
      <c r="BC666" s="234">
        <v>0</v>
      </c>
      <c r="BD666" s="234">
        <v>0</v>
      </c>
      <c r="BE666" s="234">
        <v>0</v>
      </c>
      <c r="BF666" s="234">
        <v>0</v>
      </c>
      <c r="BG666" s="234">
        <v>0</v>
      </c>
      <c r="BH666" s="234">
        <v>0</v>
      </c>
      <c r="BI666" s="234">
        <v>0</v>
      </c>
      <c r="BJ666" s="234">
        <v>0</v>
      </c>
      <c r="BK666" s="234">
        <v>0</v>
      </c>
      <c r="BL666" s="234">
        <v>0</v>
      </c>
      <c r="BM666" s="234">
        <v>0</v>
      </c>
      <c r="BN666" s="234">
        <v>0</v>
      </c>
      <c r="BO666" s="234">
        <v>0</v>
      </c>
      <c r="BP666" s="234" t="s">
        <v>142</v>
      </c>
      <c r="BQ666" s="234"/>
      <c r="BR666" s="237" t="s">
        <v>150</v>
      </c>
      <c r="BS666" s="238">
        <v>15</v>
      </c>
      <c r="BU666" s="239">
        <f t="shared" si="77"/>
        <v>0.25</v>
      </c>
      <c r="BV666" s="239">
        <f t="shared" si="78"/>
        <v>0.25</v>
      </c>
      <c r="BW666" s="239">
        <f t="shared" si="79"/>
        <v>0.25</v>
      </c>
      <c r="BX666" s="239">
        <f t="shared" si="80"/>
        <v>0.25</v>
      </c>
      <c r="CN666" s="238">
        <f t="shared" si="74"/>
        <v>1</v>
      </c>
      <c r="CO666" s="238">
        <f t="shared" si="75"/>
        <v>1</v>
      </c>
    </row>
    <row r="667" spans="1:93" ht="13.95" customHeight="1" x14ac:dyDescent="0.2">
      <c r="A667" s="231">
        <v>672</v>
      </c>
      <c r="B667" s="232" t="s">
        <v>822</v>
      </c>
      <c r="C667" s="232" t="s">
        <v>2011</v>
      </c>
      <c r="D667" s="232" t="s">
        <v>2012</v>
      </c>
      <c r="E667" s="232" t="s">
        <v>317</v>
      </c>
      <c r="F667" s="231">
        <v>525011</v>
      </c>
      <c r="G667" s="231">
        <v>174633</v>
      </c>
      <c r="H667" s="232" t="s">
        <v>164</v>
      </c>
      <c r="I667" s="233"/>
      <c r="J667" s="231"/>
      <c r="K667" s="231">
        <v>0</v>
      </c>
      <c r="L667" s="231">
        <v>1</v>
      </c>
      <c r="M667" s="231">
        <v>1</v>
      </c>
      <c r="N667" s="231">
        <v>1</v>
      </c>
      <c r="O667" s="231">
        <v>1</v>
      </c>
      <c r="P667" s="234"/>
      <c r="Q667" s="232" t="s">
        <v>2013</v>
      </c>
      <c r="R667" s="234" t="s">
        <v>629</v>
      </c>
      <c r="S667" s="235">
        <v>44405</v>
      </c>
      <c r="T667" s="235">
        <v>44469</v>
      </c>
      <c r="U667" s="234"/>
      <c r="V667" s="232" t="s">
        <v>321</v>
      </c>
      <c r="W667" s="231"/>
      <c r="X667" s="232" t="s">
        <v>322</v>
      </c>
      <c r="Y667" s="232" t="s">
        <v>378</v>
      </c>
      <c r="Z667" s="232" t="s">
        <v>324</v>
      </c>
      <c r="AA667" s="232" t="s">
        <v>25</v>
      </c>
      <c r="AB667" s="236">
        <v>1E-3</v>
      </c>
      <c r="AC667" s="235"/>
      <c r="AD667" s="234"/>
      <c r="AE667" s="234"/>
      <c r="AF667" s="232" t="s">
        <v>77</v>
      </c>
      <c r="AG667" s="232" t="s">
        <v>350</v>
      </c>
      <c r="AH667" s="234" t="s">
        <v>317</v>
      </c>
      <c r="AJ667" s="234">
        <v>0</v>
      </c>
      <c r="AK667" s="224"/>
      <c r="AL667" s="234">
        <v>0</v>
      </c>
      <c r="AM667" s="224"/>
      <c r="AN667" s="234">
        <v>1</v>
      </c>
      <c r="AO667" s="234">
        <v>0</v>
      </c>
      <c r="AP667" s="234">
        <v>0</v>
      </c>
      <c r="AQ667" s="234">
        <v>0</v>
      </c>
      <c r="AR667" s="234">
        <v>0</v>
      </c>
      <c r="AS667" s="234">
        <v>0</v>
      </c>
      <c r="AT667" s="234">
        <v>0</v>
      </c>
      <c r="AU667" s="234">
        <v>1</v>
      </c>
      <c r="AV667" s="234">
        <v>0</v>
      </c>
      <c r="AW667" s="234">
        <v>0</v>
      </c>
      <c r="AX667" s="234">
        <v>0</v>
      </c>
      <c r="AY667" s="234">
        <v>0</v>
      </c>
      <c r="AZ667" s="234">
        <v>0</v>
      </c>
      <c r="BA667" s="234">
        <v>0</v>
      </c>
      <c r="BB667" s="234">
        <v>0</v>
      </c>
      <c r="BC667" s="234">
        <v>0</v>
      </c>
      <c r="BD667" s="234">
        <v>0</v>
      </c>
      <c r="BE667" s="234">
        <v>0</v>
      </c>
      <c r="BF667" s="234">
        <v>0</v>
      </c>
      <c r="BG667" s="234">
        <v>0</v>
      </c>
      <c r="BH667" s="234">
        <v>0</v>
      </c>
      <c r="BI667" s="234">
        <v>0</v>
      </c>
      <c r="BJ667" s="234">
        <v>0</v>
      </c>
      <c r="BK667" s="234">
        <v>0</v>
      </c>
      <c r="BL667" s="234">
        <v>0</v>
      </c>
      <c r="BM667" s="234">
        <v>0</v>
      </c>
      <c r="BN667" s="234">
        <v>0</v>
      </c>
      <c r="BO667" s="234">
        <v>0</v>
      </c>
      <c r="BP667" s="234"/>
      <c r="BQ667" s="234"/>
      <c r="BR667" s="237" t="s">
        <v>334</v>
      </c>
      <c r="BS667" s="238">
        <v>15</v>
      </c>
      <c r="BU667" s="239">
        <f t="shared" si="77"/>
        <v>0.25</v>
      </c>
      <c r="BV667" s="239">
        <f t="shared" si="78"/>
        <v>0.25</v>
      </c>
      <c r="BW667" s="239">
        <f t="shared" si="79"/>
        <v>0.25</v>
      </c>
      <c r="BX667" s="239">
        <f t="shared" si="80"/>
        <v>0.25</v>
      </c>
      <c r="CN667" s="238">
        <f t="shared" si="74"/>
        <v>1</v>
      </c>
      <c r="CO667" s="238">
        <f t="shared" si="75"/>
        <v>1</v>
      </c>
    </row>
    <row r="668" spans="1:93" ht="13.95" customHeight="1" x14ac:dyDescent="0.2">
      <c r="A668" s="231">
        <v>672</v>
      </c>
      <c r="B668" s="232" t="s">
        <v>822</v>
      </c>
      <c r="C668" s="232" t="s">
        <v>2014</v>
      </c>
      <c r="D668" s="232" t="s">
        <v>2012</v>
      </c>
      <c r="E668" s="232" t="s">
        <v>317</v>
      </c>
      <c r="F668" s="231">
        <v>525011</v>
      </c>
      <c r="G668" s="231">
        <v>174633</v>
      </c>
      <c r="H668" s="232" t="s">
        <v>164</v>
      </c>
      <c r="I668" s="233"/>
      <c r="J668" s="231"/>
      <c r="K668" s="231">
        <v>0</v>
      </c>
      <c r="L668" s="231">
        <v>1</v>
      </c>
      <c r="M668" s="231">
        <v>1</v>
      </c>
      <c r="N668" s="231">
        <v>1</v>
      </c>
      <c r="O668" s="231">
        <v>1</v>
      </c>
      <c r="P668" s="234"/>
      <c r="Q668" s="232" t="s">
        <v>2015</v>
      </c>
      <c r="R668" s="234" t="s">
        <v>332</v>
      </c>
      <c r="S668" s="235">
        <v>44532</v>
      </c>
      <c r="T668" s="235">
        <v>44613</v>
      </c>
      <c r="U668" s="234"/>
      <c r="V668" s="232" t="s">
        <v>321</v>
      </c>
      <c r="W668" s="231"/>
      <c r="X668" s="232" t="s">
        <v>322</v>
      </c>
      <c r="Y668" s="232" t="s">
        <v>365</v>
      </c>
      <c r="Z668" s="232" t="s">
        <v>324</v>
      </c>
      <c r="AA668" s="232" t="s">
        <v>25</v>
      </c>
      <c r="AB668" s="236">
        <v>5.5999999999999999E-3</v>
      </c>
      <c r="AC668" s="235"/>
      <c r="AD668" s="234"/>
      <c r="AE668" s="234"/>
      <c r="AF668" s="232" t="s">
        <v>77</v>
      </c>
      <c r="AG668" s="232" t="s">
        <v>350</v>
      </c>
      <c r="AH668" s="234" t="s">
        <v>317</v>
      </c>
      <c r="AJ668" s="234">
        <v>0</v>
      </c>
      <c r="AK668" s="224"/>
      <c r="AL668" s="234">
        <v>0</v>
      </c>
      <c r="AM668" s="224"/>
      <c r="AN668" s="234">
        <v>0</v>
      </c>
      <c r="AO668" s="234">
        <v>1</v>
      </c>
      <c r="AP668" s="234">
        <v>0</v>
      </c>
      <c r="AQ668" s="234">
        <v>0</v>
      </c>
      <c r="AR668" s="234">
        <v>0</v>
      </c>
      <c r="AS668" s="234">
        <v>0</v>
      </c>
      <c r="AT668" s="234">
        <v>0</v>
      </c>
      <c r="AU668" s="234">
        <v>0</v>
      </c>
      <c r="AV668" s="234">
        <v>1</v>
      </c>
      <c r="AW668" s="234">
        <v>0</v>
      </c>
      <c r="AX668" s="234">
        <v>0</v>
      </c>
      <c r="AY668" s="234">
        <v>0</v>
      </c>
      <c r="AZ668" s="234">
        <v>0</v>
      </c>
      <c r="BA668" s="234">
        <v>0</v>
      </c>
      <c r="BB668" s="234">
        <v>0</v>
      </c>
      <c r="BC668" s="234">
        <v>0</v>
      </c>
      <c r="BD668" s="234">
        <v>0</v>
      </c>
      <c r="BE668" s="234">
        <v>0</v>
      </c>
      <c r="BF668" s="234">
        <v>0</v>
      </c>
      <c r="BG668" s="234">
        <v>0</v>
      </c>
      <c r="BH668" s="234">
        <v>0</v>
      </c>
      <c r="BI668" s="234">
        <v>0</v>
      </c>
      <c r="BJ668" s="234">
        <v>0</v>
      </c>
      <c r="BK668" s="234">
        <v>0</v>
      </c>
      <c r="BL668" s="234">
        <v>0</v>
      </c>
      <c r="BM668" s="234">
        <v>0</v>
      </c>
      <c r="BN668" s="234">
        <v>0</v>
      </c>
      <c r="BO668" s="234">
        <v>0</v>
      </c>
      <c r="BP668" s="234"/>
      <c r="BQ668" s="234"/>
      <c r="BR668" s="237" t="s">
        <v>334</v>
      </c>
      <c r="BS668" s="238">
        <v>15</v>
      </c>
      <c r="BU668" s="239">
        <f t="shared" si="77"/>
        <v>0.25</v>
      </c>
      <c r="BV668" s="239">
        <f t="shared" si="78"/>
        <v>0.25</v>
      </c>
      <c r="BW668" s="239">
        <f t="shared" si="79"/>
        <v>0.25</v>
      </c>
      <c r="BX668" s="239">
        <f t="shared" si="80"/>
        <v>0.25</v>
      </c>
      <c r="CN668" s="238">
        <f t="shared" si="74"/>
        <v>1</v>
      </c>
      <c r="CO668" s="238">
        <f t="shared" si="75"/>
        <v>1</v>
      </c>
    </row>
    <row r="669" spans="1:93" ht="13.95" customHeight="1" x14ac:dyDescent="0.2">
      <c r="A669" s="231">
        <v>7753</v>
      </c>
      <c r="B669" s="232" t="s">
        <v>822</v>
      </c>
      <c r="C669" s="232" t="s">
        <v>2016</v>
      </c>
      <c r="D669" s="232" t="s">
        <v>2017</v>
      </c>
      <c r="E669" s="232" t="s">
        <v>317</v>
      </c>
      <c r="F669" s="231">
        <v>527778</v>
      </c>
      <c r="G669" s="231">
        <v>170719</v>
      </c>
      <c r="H669" s="232" t="s">
        <v>177</v>
      </c>
      <c r="I669" s="233"/>
      <c r="J669" s="231"/>
      <c r="K669" s="231">
        <v>1</v>
      </c>
      <c r="L669" s="231">
        <v>2</v>
      </c>
      <c r="M669" s="231">
        <v>1</v>
      </c>
      <c r="N669" s="231">
        <v>2</v>
      </c>
      <c r="O669" s="231">
        <v>1</v>
      </c>
      <c r="P669" s="234"/>
      <c r="Q669" s="232" t="s">
        <v>2018</v>
      </c>
      <c r="R669" s="234" t="s">
        <v>332</v>
      </c>
      <c r="S669" s="235">
        <v>44561</v>
      </c>
      <c r="T669" s="235">
        <v>44620</v>
      </c>
      <c r="U669" s="234"/>
      <c r="V669" s="232" t="s">
        <v>321</v>
      </c>
      <c r="W669" s="231"/>
      <c r="X669" s="232" t="s">
        <v>322</v>
      </c>
      <c r="Y669" s="232" t="s">
        <v>339</v>
      </c>
      <c r="Z669" s="232" t="s">
        <v>324</v>
      </c>
      <c r="AA669" s="232" t="s">
        <v>354</v>
      </c>
      <c r="AB669" s="236">
        <v>4.9500000000000004E-3</v>
      </c>
      <c r="AC669" s="235"/>
      <c r="AD669" s="234"/>
      <c r="AE669" s="234"/>
      <c r="AF669" s="232" t="s">
        <v>77</v>
      </c>
      <c r="AG669" s="232" t="s">
        <v>350</v>
      </c>
      <c r="AH669" s="234" t="s">
        <v>317</v>
      </c>
      <c r="AJ669" s="234">
        <v>0</v>
      </c>
      <c r="AK669" s="224"/>
      <c r="AL669" s="234">
        <v>0</v>
      </c>
      <c r="AM669" s="224"/>
      <c r="AN669" s="234">
        <v>0</v>
      </c>
      <c r="AO669" s="234">
        <v>1</v>
      </c>
      <c r="AP669" s="234">
        <v>0</v>
      </c>
      <c r="AQ669" s="234">
        <v>0</v>
      </c>
      <c r="AR669" s="234">
        <v>0</v>
      </c>
      <c r="AS669" s="234">
        <v>0</v>
      </c>
      <c r="AT669" s="234">
        <v>0</v>
      </c>
      <c r="AU669" s="234">
        <v>0</v>
      </c>
      <c r="AV669" s="234">
        <v>1</v>
      </c>
      <c r="AW669" s="234">
        <v>0</v>
      </c>
      <c r="AX669" s="234">
        <v>0</v>
      </c>
      <c r="AY669" s="234">
        <v>0</v>
      </c>
      <c r="AZ669" s="234">
        <v>0</v>
      </c>
      <c r="BA669" s="234">
        <v>0</v>
      </c>
      <c r="BB669" s="234">
        <v>0</v>
      </c>
      <c r="BC669" s="234">
        <v>0</v>
      </c>
      <c r="BD669" s="234">
        <v>0</v>
      </c>
      <c r="BE669" s="234">
        <v>0</v>
      </c>
      <c r="BF669" s="234">
        <v>0</v>
      </c>
      <c r="BG669" s="234">
        <v>0</v>
      </c>
      <c r="BH669" s="234">
        <v>0</v>
      </c>
      <c r="BI669" s="234">
        <v>0</v>
      </c>
      <c r="BJ669" s="234">
        <v>0</v>
      </c>
      <c r="BK669" s="234">
        <v>0</v>
      </c>
      <c r="BL669" s="234">
        <v>0</v>
      </c>
      <c r="BM669" s="234">
        <v>0</v>
      </c>
      <c r="BN669" s="234">
        <v>0</v>
      </c>
      <c r="BO669" s="234">
        <v>0</v>
      </c>
      <c r="BP669" s="234"/>
      <c r="BQ669" s="234"/>
      <c r="BR669" s="237" t="s">
        <v>334</v>
      </c>
      <c r="BS669" s="238">
        <v>15</v>
      </c>
      <c r="BU669" s="239">
        <f t="shared" si="77"/>
        <v>0.25</v>
      </c>
      <c r="BV669" s="239">
        <f t="shared" si="78"/>
        <v>0.25</v>
      </c>
      <c r="BW669" s="239">
        <f t="shared" si="79"/>
        <v>0.25</v>
      </c>
      <c r="BX669" s="239">
        <f t="shared" si="80"/>
        <v>0.25</v>
      </c>
      <c r="CN669" s="238">
        <f t="shared" si="74"/>
        <v>1</v>
      </c>
      <c r="CO669" s="238">
        <f t="shared" si="75"/>
        <v>1</v>
      </c>
    </row>
    <row r="670" spans="1:93" ht="13.95" customHeight="1" x14ac:dyDescent="0.2">
      <c r="A670" s="231">
        <v>7487</v>
      </c>
      <c r="B670" s="232" t="s">
        <v>822</v>
      </c>
      <c r="C670" s="232" t="s">
        <v>2019</v>
      </c>
      <c r="D670" s="232" t="s">
        <v>2020</v>
      </c>
      <c r="E670" s="232" t="s">
        <v>317</v>
      </c>
      <c r="F670" s="231">
        <v>527564</v>
      </c>
      <c r="G670" s="231">
        <v>170910</v>
      </c>
      <c r="H670" s="232" t="s">
        <v>177</v>
      </c>
      <c r="I670" s="233"/>
      <c r="J670" s="231"/>
      <c r="K670" s="231">
        <v>0</v>
      </c>
      <c r="L670" s="231">
        <v>1</v>
      </c>
      <c r="M670" s="231">
        <v>1</v>
      </c>
      <c r="N670" s="231">
        <v>2</v>
      </c>
      <c r="O670" s="231">
        <v>1</v>
      </c>
      <c r="P670" s="234"/>
      <c r="Q670" s="232" t="s">
        <v>2021</v>
      </c>
      <c r="R670" s="234" t="s">
        <v>332</v>
      </c>
      <c r="S670" s="235">
        <v>44155</v>
      </c>
      <c r="T670" s="235">
        <v>44300</v>
      </c>
      <c r="U670" s="234"/>
      <c r="V670" s="232" t="s">
        <v>321</v>
      </c>
      <c r="W670" s="231"/>
      <c r="X670" s="232" t="s">
        <v>322</v>
      </c>
      <c r="Y670" s="232" t="s">
        <v>338</v>
      </c>
      <c r="Z670" s="232" t="s">
        <v>324</v>
      </c>
      <c r="AA670" s="232" t="s">
        <v>354</v>
      </c>
      <c r="AB670" s="236">
        <v>5.0000000000000001E-3</v>
      </c>
      <c r="AC670" s="235"/>
      <c r="AD670" s="234"/>
      <c r="AE670" s="234"/>
      <c r="AF670" s="232" t="s">
        <v>77</v>
      </c>
      <c r="AG670" s="232" t="s">
        <v>350</v>
      </c>
      <c r="AH670" s="234" t="s">
        <v>317</v>
      </c>
      <c r="AJ670" s="234">
        <v>0</v>
      </c>
      <c r="AK670" s="224"/>
      <c r="AL670" s="234">
        <v>0</v>
      </c>
      <c r="AM670" s="224"/>
      <c r="AN670" s="234">
        <v>0</v>
      </c>
      <c r="AO670" s="234">
        <v>1</v>
      </c>
      <c r="AP670" s="234">
        <v>0</v>
      </c>
      <c r="AQ670" s="234">
        <v>0</v>
      </c>
      <c r="AR670" s="234">
        <v>0</v>
      </c>
      <c r="AS670" s="234">
        <v>0</v>
      </c>
      <c r="AT670" s="234">
        <v>0</v>
      </c>
      <c r="AU670" s="234">
        <v>0</v>
      </c>
      <c r="AV670" s="234">
        <v>1</v>
      </c>
      <c r="AW670" s="234">
        <v>0</v>
      </c>
      <c r="AX670" s="234">
        <v>0</v>
      </c>
      <c r="AY670" s="234">
        <v>0</v>
      </c>
      <c r="AZ670" s="234">
        <v>0</v>
      </c>
      <c r="BA670" s="234">
        <v>0</v>
      </c>
      <c r="BB670" s="234">
        <v>0</v>
      </c>
      <c r="BC670" s="234">
        <v>0</v>
      </c>
      <c r="BD670" s="234">
        <v>0</v>
      </c>
      <c r="BE670" s="234">
        <v>0</v>
      </c>
      <c r="BF670" s="234">
        <v>0</v>
      </c>
      <c r="BG670" s="234">
        <v>0</v>
      </c>
      <c r="BH670" s="234">
        <v>0</v>
      </c>
      <c r="BI670" s="234">
        <v>0</v>
      </c>
      <c r="BJ670" s="234">
        <v>0</v>
      </c>
      <c r="BK670" s="234">
        <v>0</v>
      </c>
      <c r="BL670" s="234">
        <v>0</v>
      </c>
      <c r="BM670" s="234">
        <v>0</v>
      </c>
      <c r="BN670" s="234">
        <v>0</v>
      </c>
      <c r="BO670" s="234">
        <v>0</v>
      </c>
      <c r="BP670" s="234"/>
      <c r="BQ670" s="234"/>
      <c r="BR670" s="237" t="s">
        <v>334</v>
      </c>
      <c r="BS670" s="238">
        <v>15</v>
      </c>
      <c r="BU670" s="239">
        <f t="shared" si="77"/>
        <v>0.25</v>
      </c>
      <c r="BV670" s="239">
        <f t="shared" si="78"/>
        <v>0.25</v>
      </c>
      <c r="BW670" s="239">
        <f t="shared" si="79"/>
        <v>0.25</v>
      </c>
      <c r="BX670" s="239">
        <f t="shared" si="80"/>
        <v>0.25</v>
      </c>
      <c r="CN670" s="238">
        <f t="shared" si="74"/>
        <v>1</v>
      </c>
      <c r="CO670" s="238">
        <f t="shared" si="75"/>
        <v>1</v>
      </c>
    </row>
    <row r="671" spans="1:93" ht="13.95" customHeight="1" x14ac:dyDescent="0.2">
      <c r="A671" s="231">
        <v>7130</v>
      </c>
      <c r="B671" s="232" t="s">
        <v>822</v>
      </c>
      <c r="C671" s="232" t="s">
        <v>2022</v>
      </c>
      <c r="D671" s="232" t="s">
        <v>2023</v>
      </c>
      <c r="E671" s="232" t="s">
        <v>317</v>
      </c>
      <c r="F671" s="231">
        <v>527830</v>
      </c>
      <c r="G671" s="231">
        <v>174273</v>
      </c>
      <c r="H671" s="232" t="s">
        <v>169</v>
      </c>
      <c r="I671" s="233"/>
      <c r="J671" s="231"/>
      <c r="K671" s="231">
        <v>0</v>
      </c>
      <c r="L671" s="231">
        <v>1</v>
      </c>
      <c r="M671" s="231">
        <v>1</v>
      </c>
      <c r="N671" s="231">
        <v>2</v>
      </c>
      <c r="O671" s="231">
        <v>1</v>
      </c>
      <c r="P671" s="234"/>
      <c r="Q671" s="232" t="s">
        <v>2024</v>
      </c>
      <c r="R671" s="234" t="s">
        <v>332</v>
      </c>
      <c r="S671" s="235">
        <v>43676</v>
      </c>
      <c r="T671" s="235">
        <v>43725</v>
      </c>
      <c r="U671" s="234"/>
      <c r="V671" s="232" t="s">
        <v>321</v>
      </c>
      <c r="W671" s="231"/>
      <c r="X671" s="232" t="s">
        <v>322</v>
      </c>
      <c r="Y671" s="232" t="s">
        <v>338</v>
      </c>
      <c r="Z671" s="232" t="s">
        <v>324</v>
      </c>
      <c r="AA671" s="232" t="s">
        <v>354</v>
      </c>
      <c r="AB671" s="236">
        <v>7.0000000000000001E-3</v>
      </c>
      <c r="AC671" s="235"/>
      <c r="AD671" s="234"/>
      <c r="AE671" s="234"/>
      <c r="AF671" s="232" t="s">
        <v>77</v>
      </c>
      <c r="AG671" s="232" t="s">
        <v>350</v>
      </c>
      <c r="AH671" s="234" t="s">
        <v>317</v>
      </c>
      <c r="AJ671" s="234">
        <v>0</v>
      </c>
      <c r="AK671" s="224"/>
      <c r="AL671" s="234">
        <v>0</v>
      </c>
      <c r="AM671" s="224"/>
      <c r="AN671" s="234">
        <v>0</v>
      </c>
      <c r="AO671" s="234">
        <v>0</v>
      </c>
      <c r="AP671" s="234">
        <v>1</v>
      </c>
      <c r="AQ671" s="234">
        <v>0</v>
      </c>
      <c r="AR671" s="234">
        <v>0</v>
      </c>
      <c r="AS671" s="234">
        <v>0</v>
      </c>
      <c r="AT671" s="234">
        <v>0</v>
      </c>
      <c r="AU671" s="234">
        <v>0</v>
      </c>
      <c r="AV671" s="234">
        <v>0</v>
      </c>
      <c r="AW671" s="234">
        <v>1</v>
      </c>
      <c r="AX671" s="234">
        <v>0</v>
      </c>
      <c r="AY671" s="234">
        <v>0</v>
      </c>
      <c r="AZ671" s="234">
        <v>0</v>
      </c>
      <c r="BA671" s="234">
        <v>0</v>
      </c>
      <c r="BB671" s="234">
        <v>0</v>
      </c>
      <c r="BC671" s="234">
        <v>0</v>
      </c>
      <c r="BD671" s="234">
        <v>0</v>
      </c>
      <c r="BE671" s="234">
        <v>0</v>
      </c>
      <c r="BF671" s="234">
        <v>0</v>
      </c>
      <c r="BG671" s="234">
        <v>0</v>
      </c>
      <c r="BH671" s="234">
        <v>0</v>
      </c>
      <c r="BI671" s="234">
        <v>0</v>
      </c>
      <c r="BJ671" s="234">
        <v>0</v>
      </c>
      <c r="BK671" s="234">
        <v>0</v>
      </c>
      <c r="BL671" s="234">
        <v>0</v>
      </c>
      <c r="BM671" s="234">
        <v>0</v>
      </c>
      <c r="BN671" s="234">
        <v>0</v>
      </c>
      <c r="BO671" s="234">
        <v>0</v>
      </c>
      <c r="BP671" s="234"/>
      <c r="BQ671" s="234"/>
      <c r="BR671" s="237" t="s">
        <v>334</v>
      </c>
      <c r="BS671" s="238">
        <v>15</v>
      </c>
      <c r="BU671" s="239">
        <f t="shared" si="77"/>
        <v>0.25</v>
      </c>
      <c r="BV671" s="239">
        <f t="shared" si="78"/>
        <v>0.25</v>
      </c>
      <c r="BW671" s="239">
        <f t="shared" si="79"/>
        <v>0.25</v>
      </c>
      <c r="BX671" s="239">
        <f t="shared" si="80"/>
        <v>0.25</v>
      </c>
      <c r="CN671" s="238">
        <f t="shared" si="74"/>
        <v>1</v>
      </c>
      <c r="CO671" s="238">
        <f t="shared" si="75"/>
        <v>1</v>
      </c>
    </row>
    <row r="672" spans="1:93" ht="13.95" customHeight="1" x14ac:dyDescent="0.2">
      <c r="A672" s="231">
        <v>7585</v>
      </c>
      <c r="B672" s="232" t="s">
        <v>822</v>
      </c>
      <c r="C672" s="232" t="s">
        <v>2025</v>
      </c>
      <c r="D672" s="232" t="s">
        <v>2026</v>
      </c>
      <c r="E672" s="232" t="s">
        <v>317</v>
      </c>
      <c r="F672" s="231">
        <v>528963</v>
      </c>
      <c r="G672" s="231">
        <v>171321</v>
      </c>
      <c r="H672" s="232" t="s">
        <v>166</v>
      </c>
      <c r="I672" s="233"/>
      <c r="J672" s="231"/>
      <c r="K672" s="231">
        <v>0</v>
      </c>
      <c r="L672" s="231">
        <v>1</v>
      </c>
      <c r="M672" s="231">
        <v>1</v>
      </c>
      <c r="N672" s="231">
        <v>1</v>
      </c>
      <c r="O672" s="231">
        <v>1</v>
      </c>
      <c r="P672" s="234"/>
      <c r="Q672" s="232" t="s">
        <v>2027</v>
      </c>
      <c r="R672" s="234" t="s">
        <v>629</v>
      </c>
      <c r="S672" s="235">
        <v>44736</v>
      </c>
      <c r="T672" s="235">
        <v>44788</v>
      </c>
      <c r="U672" s="234" t="s">
        <v>318</v>
      </c>
      <c r="V672" s="232" t="s">
        <v>321</v>
      </c>
      <c r="W672" s="231"/>
      <c r="X672" s="232" t="s">
        <v>322</v>
      </c>
      <c r="Y672" s="232" t="s">
        <v>378</v>
      </c>
      <c r="Z672" s="232" t="s">
        <v>324</v>
      </c>
      <c r="AA672" s="232" t="s">
        <v>25</v>
      </c>
      <c r="AB672" s="236">
        <v>4.0000000000000001E-3</v>
      </c>
      <c r="AC672" s="235"/>
      <c r="AD672" s="234"/>
      <c r="AE672" s="234"/>
      <c r="AF672" s="232" t="s">
        <v>77</v>
      </c>
      <c r="AG672" s="232" t="s">
        <v>350</v>
      </c>
      <c r="AH672" s="234" t="s">
        <v>317</v>
      </c>
      <c r="AJ672" s="234">
        <v>0</v>
      </c>
      <c r="AK672" s="224"/>
      <c r="AL672" s="234">
        <v>0</v>
      </c>
      <c r="AM672" s="224"/>
      <c r="AN672" s="234">
        <v>1</v>
      </c>
      <c r="AO672" s="234">
        <v>0</v>
      </c>
      <c r="AP672" s="234">
        <v>0</v>
      </c>
      <c r="AQ672" s="234">
        <v>0</v>
      </c>
      <c r="AR672" s="234">
        <v>0</v>
      </c>
      <c r="AS672" s="234">
        <v>0</v>
      </c>
      <c r="AT672" s="234">
        <v>0</v>
      </c>
      <c r="AU672" s="234">
        <v>1</v>
      </c>
      <c r="AV672" s="234">
        <v>0</v>
      </c>
      <c r="AW672" s="234">
        <v>0</v>
      </c>
      <c r="AX672" s="234">
        <v>0</v>
      </c>
      <c r="AY672" s="234">
        <v>0</v>
      </c>
      <c r="AZ672" s="234">
        <v>0</v>
      </c>
      <c r="BA672" s="234">
        <v>0</v>
      </c>
      <c r="BB672" s="234">
        <v>0</v>
      </c>
      <c r="BC672" s="234">
        <v>0</v>
      </c>
      <c r="BD672" s="234">
        <v>0</v>
      </c>
      <c r="BE672" s="234">
        <v>0</v>
      </c>
      <c r="BF672" s="234">
        <v>0</v>
      </c>
      <c r="BG672" s="234">
        <v>0</v>
      </c>
      <c r="BH672" s="234">
        <v>0</v>
      </c>
      <c r="BI672" s="234">
        <v>0</v>
      </c>
      <c r="BJ672" s="234">
        <v>0</v>
      </c>
      <c r="BK672" s="234">
        <v>0</v>
      </c>
      <c r="BL672" s="234">
        <v>0</v>
      </c>
      <c r="BM672" s="234">
        <v>0</v>
      </c>
      <c r="BN672" s="234">
        <v>0</v>
      </c>
      <c r="BO672" s="234">
        <v>0</v>
      </c>
      <c r="BP672" s="234"/>
      <c r="BQ672" s="234"/>
      <c r="BR672" s="237" t="s">
        <v>334</v>
      </c>
      <c r="BS672" s="238">
        <v>15</v>
      </c>
      <c r="BU672" s="239">
        <f t="shared" si="77"/>
        <v>0.25</v>
      </c>
      <c r="BV672" s="239">
        <f t="shared" si="78"/>
        <v>0.25</v>
      </c>
      <c r="BW672" s="239">
        <f t="shared" si="79"/>
        <v>0.25</v>
      </c>
      <c r="BX672" s="239">
        <f t="shared" si="80"/>
        <v>0.25</v>
      </c>
      <c r="CN672" s="238">
        <f t="shared" si="74"/>
        <v>1</v>
      </c>
      <c r="CO672" s="238">
        <f t="shared" si="75"/>
        <v>1</v>
      </c>
    </row>
    <row r="673" spans="1:93" ht="13.95" customHeight="1" x14ac:dyDescent="0.2">
      <c r="A673" s="231">
        <v>7839</v>
      </c>
      <c r="B673" s="232" t="s">
        <v>822</v>
      </c>
      <c r="C673" s="232" t="s">
        <v>2028</v>
      </c>
      <c r="D673" s="232" t="s">
        <v>2029</v>
      </c>
      <c r="E673" s="232" t="s">
        <v>317</v>
      </c>
      <c r="F673" s="231">
        <v>528345</v>
      </c>
      <c r="G673" s="231">
        <v>175748</v>
      </c>
      <c r="H673" s="232" t="s">
        <v>171</v>
      </c>
      <c r="I673" s="233"/>
      <c r="J673" s="231"/>
      <c r="K673" s="231">
        <v>0</v>
      </c>
      <c r="L673" s="231">
        <v>1</v>
      </c>
      <c r="M673" s="231">
        <v>1</v>
      </c>
      <c r="N673" s="231">
        <v>1</v>
      </c>
      <c r="O673" s="231">
        <v>1</v>
      </c>
      <c r="P673" s="234"/>
      <c r="Q673" s="232" t="s">
        <v>2030</v>
      </c>
      <c r="R673" s="234" t="s">
        <v>332</v>
      </c>
      <c r="S673" s="235">
        <v>44678</v>
      </c>
      <c r="T673" s="235">
        <v>44788</v>
      </c>
      <c r="U673" s="234" t="s">
        <v>318</v>
      </c>
      <c r="V673" s="232" t="s">
        <v>321</v>
      </c>
      <c r="W673" s="231"/>
      <c r="X673" s="232" t="s">
        <v>322</v>
      </c>
      <c r="Y673" s="232" t="s">
        <v>338</v>
      </c>
      <c r="Z673" s="232" t="s">
        <v>324</v>
      </c>
      <c r="AA673" s="232" t="s">
        <v>31</v>
      </c>
      <c r="AB673" s="236">
        <v>4.4000000000000003E-3</v>
      </c>
      <c r="AC673" s="235"/>
      <c r="AD673" s="234"/>
      <c r="AE673" s="234"/>
      <c r="AF673" s="232" t="s">
        <v>77</v>
      </c>
      <c r="AG673" s="232" t="s">
        <v>340</v>
      </c>
      <c r="AH673" s="234" t="s">
        <v>317</v>
      </c>
      <c r="AJ673" s="234">
        <v>0</v>
      </c>
      <c r="AK673" s="224"/>
      <c r="AL673" s="234">
        <v>0</v>
      </c>
      <c r="AM673" s="224"/>
      <c r="AN673" s="234">
        <v>0</v>
      </c>
      <c r="AO673" s="234">
        <v>0</v>
      </c>
      <c r="AP673" s="234">
        <v>1</v>
      </c>
      <c r="AQ673" s="234">
        <v>0</v>
      </c>
      <c r="AR673" s="234">
        <v>0</v>
      </c>
      <c r="AS673" s="234">
        <v>0</v>
      </c>
      <c r="AT673" s="234">
        <v>0</v>
      </c>
      <c r="AU673" s="234">
        <v>0</v>
      </c>
      <c r="AV673" s="234">
        <v>0</v>
      </c>
      <c r="AW673" s="234">
        <v>1</v>
      </c>
      <c r="AX673" s="234">
        <v>0</v>
      </c>
      <c r="AY673" s="234">
        <v>0</v>
      </c>
      <c r="AZ673" s="234">
        <v>0</v>
      </c>
      <c r="BA673" s="234">
        <v>0</v>
      </c>
      <c r="BB673" s="234">
        <v>0</v>
      </c>
      <c r="BC673" s="234">
        <v>0</v>
      </c>
      <c r="BD673" s="234">
        <v>0</v>
      </c>
      <c r="BE673" s="234">
        <v>0</v>
      </c>
      <c r="BF673" s="234">
        <v>0</v>
      </c>
      <c r="BG673" s="234">
        <v>0</v>
      </c>
      <c r="BH673" s="234">
        <v>0</v>
      </c>
      <c r="BI673" s="234">
        <v>0</v>
      </c>
      <c r="BJ673" s="234">
        <v>0</v>
      </c>
      <c r="BK673" s="234">
        <v>0</v>
      </c>
      <c r="BL673" s="234">
        <v>0</v>
      </c>
      <c r="BM673" s="234">
        <v>0</v>
      </c>
      <c r="BN673" s="234">
        <v>0</v>
      </c>
      <c r="BO673" s="234">
        <v>0</v>
      </c>
      <c r="BP673" s="234"/>
      <c r="BQ673" s="234"/>
      <c r="BR673" s="237" t="s">
        <v>334</v>
      </c>
      <c r="BS673" s="238">
        <v>15</v>
      </c>
      <c r="BU673" s="239">
        <f t="shared" si="77"/>
        <v>0.25</v>
      </c>
      <c r="BV673" s="239">
        <f t="shared" si="78"/>
        <v>0.25</v>
      </c>
      <c r="BW673" s="239">
        <f t="shared" si="79"/>
        <v>0.25</v>
      </c>
      <c r="BX673" s="239">
        <f t="shared" si="80"/>
        <v>0.25</v>
      </c>
      <c r="CN673" s="238">
        <f t="shared" si="74"/>
        <v>1</v>
      </c>
      <c r="CO673" s="238">
        <f t="shared" si="75"/>
        <v>1</v>
      </c>
    </row>
    <row r="674" spans="1:93" ht="13.95" customHeight="1" x14ac:dyDescent="0.2">
      <c r="A674" s="231">
        <v>7245</v>
      </c>
      <c r="B674" s="232" t="s">
        <v>822</v>
      </c>
      <c r="C674" s="232" t="s">
        <v>2031</v>
      </c>
      <c r="D674" s="232" t="s">
        <v>1746</v>
      </c>
      <c r="E674" s="232" t="s">
        <v>317</v>
      </c>
      <c r="F674" s="231">
        <v>528090</v>
      </c>
      <c r="G674" s="231">
        <v>173486</v>
      </c>
      <c r="H674" s="232" t="s">
        <v>141</v>
      </c>
      <c r="I674" s="233"/>
      <c r="J674" s="231"/>
      <c r="K674" s="231">
        <v>0</v>
      </c>
      <c r="L674" s="231">
        <v>1</v>
      </c>
      <c r="M674" s="231">
        <v>1</v>
      </c>
      <c r="N674" s="231">
        <v>1</v>
      </c>
      <c r="O674" s="231">
        <v>1</v>
      </c>
      <c r="P674" s="234"/>
      <c r="Q674" s="232" t="s">
        <v>2032</v>
      </c>
      <c r="R674" s="234" t="s">
        <v>332</v>
      </c>
      <c r="S674" s="235">
        <v>43809</v>
      </c>
      <c r="T674" s="235">
        <v>44062</v>
      </c>
      <c r="U674" s="234"/>
      <c r="V674" s="232" t="s">
        <v>321</v>
      </c>
      <c r="W674" s="231"/>
      <c r="X674" s="232" t="s">
        <v>322</v>
      </c>
      <c r="Y674" s="232" t="s">
        <v>339</v>
      </c>
      <c r="Z674" s="232" t="s">
        <v>324</v>
      </c>
      <c r="AA674" s="232" t="s">
        <v>354</v>
      </c>
      <c r="AB674" s="236">
        <v>4.0000000000000001E-3</v>
      </c>
      <c r="AC674" s="235"/>
      <c r="AD674" s="234"/>
      <c r="AE674" s="234"/>
      <c r="AF674" s="232" t="s">
        <v>77</v>
      </c>
      <c r="AG674" s="232" t="s">
        <v>350</v>
      </c>
      <c r="AH674" s="234" t="s">
        <v>317</v>
      </c>
      <c r="AJ674" s="234">
        <v>0</v>
      </c>
      <c r="AK674" s="224"/>
      <c r="AL674" s="234">
        <v>0</v>
      </c>
      <c r="AM674" s="224"/>
      <c r="AN674" s="234">
        <v>1</v>
      </c>
      <c r="AO674" s="234">
        <v>0</v>
      </c>
      <c r="AP674" s="234">
        <v>0</v>
      </c>
      <c r="AQ674" s="234">
        <v>0</v>
      </c>
      <c r="AR674" s="234">
        <v>0</v>
      </c>
      <c r="AS674" s="234">
        <v>0</v>
      </c>
      <c r="AT674" s="234">
        <v>0</v>
      </c>
      <c r="AU674" s="234">
        <v>1</v>
      </c>
      <c r="AV674" s="234">
        <v>0</v>
      </c>
      <c r="AW674" s="234">
        <v>0</v>
      </c>
      <c r="AX674" s="234">
        <v>0</v>
      </c>
      <c r="AY674" s="234">
        <v>0</v>
      </c>
      <c r="AZ674" s="234">
        <v>0</v>
      </c>
      <c r="BA674" s="234">
        <v>0</v>
      </c>
      <c r="BB674" s="234">
        <v>0</v>
      </c>
      <c r="BC674" s="234">
        <v>0</v>
      </c>
      <c r="BD674" s="234">
        <v>0</v>
      </c>
      <c r="BE674" s="234">
        <v>0</v>
      </c>
      <c r="BF674" s="234">
        <v>0</v>
      </c>
      <c r="BG674" s="234">
        <v>0</v>
      </c>
      <c r="BH674" s="234">
        <v>0</v>
      </c>
      <c r="BI674" s="234">
        <v>0</v>
      </c>
      <c r="BJ674" s="234">
        <v>0</v>
      </c>
      <c r="BK674" s="234">
        <v>0</v>
      </c>
      <c r="BL674" s="234">
        <v>0</v>
      </c>
      <c r="BM674" s="234">
        <v>0</v>
      </c>
      <c r="BN674" s="234">
        <v>0</v>
      </c>
      <c r="BO674" s="234">
        <v>0</v>
      </c>
      <c r="BP674" s="234"/>
      <c r="BQ674" s="234"/>
      <c r="BR674" s="237" t="s">
        <v>334</v>
      </c>
      <c r="BS674" s="238">
        <v>15</v>
      </c>
      <c r="BU674" s="239">
        <f t="shared" si="77"/>
        <v>0.25</v>
      </c>
      <c r="BV674" s="239">
        <f t="shared" si="78"/>
        <v>0.25</v>
      </c>
      <c r="BW674" s="239">
        <f t="shared" si="79"/>
        <v>0.25</v>
      </c>
      <c r="BX674" s="239">
        <f t="shared" si="80"/>
        <v>0.25</v>
      </c>
      <c r="CN674" s="238">
        <f t="shared" si="74"/>
        <v>1</v>
      </c>
      <c r="CO674" s="238">
        <f t="shared" si="75"/>
        <v>1</v>
      </c>
    </row>
    <row r="675" spans="1:93" ht="13.95" customHeight="1" x14ac:dyDescent="0.2">
      <c r="A675" s="231">
        <v>7077</v>
      </c>
      <c r="B675" s="232" t="s">
        <v>822</v>
      </c>
      <c r="C675" s="232" t="s">
        <v>2033</v>
      </c>
      <c r="D675" s="232" t="s">
        <v>2034</v>
      </c>
      <c r="E675" s="232" t="s">
        <v>317</v>
      </c>
      <c r="F675" s="231">
        <v>527815</v>
      </c>
      <c r="G675" s="231">
        <v>173666</v>
      </c>
      <c r="H675" s="232" t="s">
        <v>141</v>
      </c>
      <c r="I675" s="233"/>
      <c r="J675" s="231"/>
      <c r="K675" s="231">
        <v>1</v>
      </c>
      <c r="L675" s="231">
        <v>2</v>
      </c>
      <c r="M675" s="231">
        <v>1</v>
      </c>
      <c r="N675" s="231">
        <v>2</v>
      </c>
      <c r="O675" s="231">
        <v>1</v>
      </c>
      <c r="P675" s="234"/>
      <c r="Q675" s="232" t="s">
        <v>2035</v>
      </c>
      <c r="R675" s="234" t="s">
        <v>332</v>
      </c>
      <c r="S675" s="235">
        <v>43446</v>
      </c>
      <c r="T675" s="235">
        <v>43502</v>
      </c>
      <c r="U675" s="234"/>
      <c r="V675" s="232" t="s">
        <v>321</v>
      </c>
      <c r="W675" s="231"/>
      <c r="X675" s="232" t="s">
        <v>322</v>
      </c>
      <c r="Y675" s="232" t="s">
        <v>365</v>
      </c>
      <c r="Z675" s="232" t="s">
        <v>324</v>
      </c>
      <c r="AA675" s="232" t="s">
        <v>411</v>
      </c>
      <c r="AB675" s="236">
        <v>0.03</v>
      </c>
      <c r="AC675" s="235"/>
      <c r="AD675" s="234"/>
      <c r="AE675" s="234"/>
      <c r="AF675" s="232" t="s">
        <v>77</v>
      </c>
      <c r="AG675" s="232" t="s">
        <v>350</v>
      </c>
      <c r="AH675" s="234" t="s">
        <v>317</v>
      </c>
      <c r="AJ675" s="234">
        <v>0</v>
      </c>
      <c r="AK675" s="224"/>
      <c r="AL675" s="234">
        <v>0</v>
      </c>
      <c r="AM675" s="224"/>
      <c r="AN675" s="234">
        <v>0</v>
      </c>
      <c r="AO675" s="234">
        <v>0</v>
      </c>
      <c r="AP675" s="234">
        <v>1</v>
      </c>
      <c r="AQ675" s="234">
        <v>1</v>
      </c>
      <c r="AR675" s="234">
        <v>-1</v>
      </c>
      <c r="AS675" s="234">
        <v>0</v>
      </c>
      <c r="AT675" s="234">
        <v>0</v>
      </c>
      <c r="AU675" s="234">
        <v>0</v>
      </c>
      <c r="AV675" s="234">
        <v>0</v>
      </c>
      <c r="AW675" s="234">
        <v>1</v>
      </c>
      <c r="AX675" s="234">
        <v>1</v>
      </c>
      <c r="AY675" s="234">
        <v>-1</v>
      </c>
      <c r="AZ675" s="234">
        <v>0</v>
      </c>
      <c r="BA675" s="234">
        <v>0</v>
      </c>
      <c r="BB675" s="234">
        <v>0</v>
      </c>
      <c r="BC675" s="234">
        <v>0</v>
      </c>
      <c r="BD675" s="234">
        <v>0</v>
      </c>
      <c r="BE675" s="234">
        <v>0</v>
      </c>
      <c r="BF675" s="234">
        <v>0</v>
      </c>
      <c r="BG675" s="234">
        <v>0</v>
      </c>
      <c r="BH675" s="234">
        <v>0</v>
      </c>
      <c r="BI675" s="234">
        <v>0</v>
      </c>
      <c r="BJ675" s="234">
        <v>0</v>
      </c>
      <c r="BK675" s="234">
        <v>0</v>
      </c>
      <c r="BL675" s="234">
        <v>0</v>
      </c>
      <c r="BM675" s="234">
        <v>0</v>
      </c>
      <c r="BN675" s="234">
        <v>0</v>
      </c>
      <c r="BO675" s="234">
        <v>0</v>
      </c>
      <c r="BP675" s="234"/>
      <c r="BQ675" s="234"/>
      <c r="BR675" s="237" t="s">
        <v>334</v>
      </c>
      <c r="BS675" s="238">
        <v>15</v>
      </c>
      <c r="BU675" s="239">
        <f t="shared" si="77"/>
        <v>0.25</v>
      </c>
      <c r="BV675" s="239">
        <f t="shared" si="78"/>
        <v>0.25</v>
      </c>
      <c r="BW675" s="239">
        <f t="shared" si="79"/>
        <v>0.25</v>
      </c>
      <c r="BX675" s="239">
        <f t="shared" si="80"/>
        <v>0.25</v>
      </c>
      <c r="CN675" s="238">
        <f t="shared" si="74"/>
        <v>1</v>
      </c>
      <c r="CO675" s="238">
        <f t="shared" si="75"/>
        <v>1</v>
      </c>
    </row>
    <row r="676" spans="1:93" ht="13.95" customHeight="1" x14ac:dyDescent="0.2">
      <c r="A676" s="231">
        <v>5147</v>
      </c>
      <c r="B676" s="232" t="s">
        <v>822</v>
      </c>
      <c r="C676" s="232" t="s">
        <v>2036</v>
      </c>
      <c r="D676" s="232" t="s">
        <v>2037</v>
      </c>
      <c r="E676" s="232" t="s">
        <v>317</v>
      </c>
      <c r="F676" s="231">
        <v>525825</v>
      </c>
      <c r="G676" s="231">
        <v>174893</v>
      </c>
      <c r="H676" s="232" t="s">
        <v>181</v>
      </c>
      <c r="I676" s="233"/>
      <c r="J676" s="231"/>
      <c r="K676" s="231">
        <v>0</v>
      </c>
      <c r="L676" s="231">
        <v>1</v>
      </c>
      <c r="M676" s="231">
        <v>1</v>
      </c>
      <c r="N676" s="231">
        <v>1</v>
      </c>
      <c r="O676" s="231">
        <v>1</v>
      </c>
      <c r="P676" s="234"/>
      <c r="Q676" s="232" t="s">
        <v>2038</v>
      </c>
      <c r="R676" s="234" t="s">
        <v>332</v>
      </c>
      <c r="S676" s="235">
        <v>43539</v>
      </c>
      <c r="T676" s="235">
        <v>43662</v>
      </c>
      <c r="U676" s="234"/>
      <c r="V676" s="232" t="s">
        <v>321</v>
      </c>
      <c r="W676" s="231"/>
      <c r="X676" s="232" t="s">
        <v>322</v>
      </c>
      <c r="Y676" s="232" t="s">
        <v>378</v>
      </c>
      <c r="Z676" s="232" t="s">
        <v>324</v>
      </c>
      <c r="AA676" s="232" t="s">
        <v>31</v>
      </c>
      <c r="AB676" s="236">
        <v>6.0000000000000001E-3</v>
      </c>
      <c r="AC676" s="235"/>
      <c r="AD676" s="234"/>
      <c r="AE676" s="234"/>
      <c r="AF676" s="232" t="s">
        <v>77</v>
      </c>
      <c r="AG676" s="232" t="s">
        <v>350</v>
      </c>
      <c r="AH676" s="234" t="s">
        <v>317</v>
      </c>
      <c r="AJ676" s="234">
        <v>0</v>
      </c>
      <c r="AK676" s="224"/>
      <c r="AL676" s="234">
        <v>0</v>
      </c>
      <c r="AM676" s="224"/>
      <c r="AN676" s="234">
        <v>0</v>
      </c>
      <c r="AO676" s="234">
        <v>1</v>
      </c>
      <c r="AP676" s="234">
        <v>0</v>
      </c>
      <c r="AQ676" s="234">
        <v>0</v>
      </c>
      <c r="AR676" s="234">
        <v>0</v>
      </c>
      <c r="AS676" s="234">
        <v>0</v>
      </c>
      <c r="AT676" s="234">
        <v>0</v>
      </c>
      <c r="AU676" s="234">
        <v>0</v>
      </c>
      <c r="AV676" s="234">
        <v>1</v>
      </c>
      <c r="AW676" s="234">
        <v>0</v>
      </c>
      <c r="AX676" s="234">
        <v>0</v>
      </c>
      <c r="AY676" s="234">
        <v>0</v>
      </c>
      <c r="AZ676" s="234">
        <v>0</v>
      </c>
      <c r="BA676" s="234">
        <v>0</v>
      </c>
      <c r="BB676" s="234">
        <v>0</v>
      </c>
      <c r="BC676" s="234">
        <v>0</v>
      </c>
      <c r="BD676" s="234">
        <v>0</v>
      </c>
      <c r="BE676" s="234">
        <v>0</v>
      </c>
      <c r="BF676" s="234">
        <v>0</v>
      </c>
      <c r="BG676" s="234">
        <v>0</v>
      </c>
      <c r="BH676" s="234">
        <v>0</v>
      </c>
      <c r="BI676" s="234">
        <v>0</v>
      </c>
      <c r="BJ676" s="234">
        <v>0</v>
      </c>
      <c r="BK676" s="234">
        <v>0</v>
      </c>
      <c r="BL676" s="234">
        <v>0</v>
      </c>
      <c r="BM676" s="234">
        <v>0</v>
      </c>
      <c r="BN676" s="234">
        <v>0</v>
      </c>
      <c r="BO676" s="234">
        <v>0</v>
      </c>
      <c r="BP676" s="234"/>
      <c r="BQ676" s="234"/>
      <c r="BR676" s="237" t="s">
        <v>327</v>
      </c>
      <c r="BS676" s="238">
        <v>15</v>
      </c>
      <c r="BU676" s="239">
        <f t="shared" si="77"/>
        <v>0.25</v>
      </c>
      <c r="BV676" s="239">
        <f t="shared" si="78"/>
        <v>0.25</v>
      </c>
      <c r="BW676" s="239">
        <f t="shared" si="79"/>
        <v>0.25</v>
      </c>
      <c r="BX676" s="239">
        <f t="shared" si="80"/>
        <v>0.25</v>
      </c>
      <c r="CN676" s="238">
        <f t="shared" si="74"/>
        <v>1</v>
      </c>
      <c r="CO676" s="238">
        <f t="shared" si="75"/>
        <v>1</v>
      </c>
    </row>
    <row r="677" spans="1:93" ht="13.95" customHeight="1" x14ac:dyDescent="0.2">
      <c r="A677" s="231">
        <v>7340</v>
      </c>
      <c r="B677" s="232" t="s">
        <v>822</v>
      </c>
      <c r="C677" s="232" t="s">
        <v>2039</v>
      </c>
      <c r="D677" s="232" t="s">
        <v>2040</v>
      </c>
      <c r="E677" s="232" t="s">
        <v>317</v>
      </c>
      <c r="F677" s="231">
        <v>528330</v>
      </c>
      <c r="G677" s="231">
        <v>175742</v>
      </c>
      <c r="H677" s="232" t="s">
        <v>171</v>
      </c>
      <c r="I677" s="233"/>
      <c r="J677" s="231"/>
      <c r="K677" s="231">
        <v>0</v>
      </c>
      <c r="L677" s="231">
        <v>1</v>
      </c>
      <c r="M677" s="231">
        <v>1</v>
      </c>
      <c r="N677" s="231">
        <v>1</v>
      </c>
      <c r="O677" s="231">
        <v>1</v>
      </c>
      <c r="P677" s="234"/>
      <c r="Q677" s="232" t="s">
        <v>2041</v>
      </c>
      <c r="R677" s="234" t="s">
        <v>332</v>
      </c>
      <c r="S677" s="235">
        <v>43874</v>
      </c>
      <c r="T677" s="235">
        <v>43944</v>
      </c>
      <c r="U677" s="234"/>
      <c r="V677" s="232" t="s">
        <v>321</v>
      </c>
      <c r="W677" s="231"/>
      <c r="X677" s="232" t="s">
        <v>322</v>
      </c>
      <c r="Y677" s="232" t="s">
        <v>338</v>
      </c>
      <c r="Z677" s="232" t="s">
        <v>324</v>
      </c>
      <c r="AA677" s="232" t="s">
        <v>31</v>
      </c>
      <c r="AB677" s="236">
        <v>7.0000000000000001E-3</v>
      </c>
      <c r="AC677" s="235"/>
      <c r="AD677" s="234"/>
      <c r="AE677" s="234"/>
      <c r="AF677" s="232" t="s">
        <v>77</v>
      </c>
      <c r="AG677" s="232" t="s">
        <v>350</v>
      </c>
      <c r="AH677" s="234" t="s">
        <v>317</v>
      </c>
      <c r="AJ677" s="234">
        <v>0</v>
      </c>
      <c r="AK677" s="224"/>
      <c r="AL677" s="234">
        <v>0</v>
      </c>
      <c r="AM677" s="224"/>
      <c r="AN677" s="234">
        <v>0</v>
      </c>
      <c r="AO677" s="234">
        <v>1</v>
      </c>
      <c r="AP677" s="234">
        <v>0</v>
      </c>
      <c r="AQ677" s="234">
        <v>0</v>
      </c>
      <c r="AR677" s="234">
        <v>0</v>
      </c>
      <c r="AS677" s="234">
        <v>0</v>
      </c>
      <c r="AT677" s="234">
        <v>0</v>
      </c>
      <c r="AU677" s="234">
        <v>0</v>
      </c>
      <c r="AV677" s="234">
        <v>1</v>
      </c>
      <c r="AW677" s="234">
        <v>0</v>
      </c>
      <c r="AX677" s="234">
        <v>0</v>
      </c>
      <c r="AY677" s="234">
        <v>0</v>
      </c>
      <c r="AZ677" s="234">
        <v>0</v>
      </c>
      <c r="BA677" s="234">
        <v>0</v>
      </c>
      <c r="BB677" s="234">
        <v>0</v>
      </c>
      <c r="BC677" s="234">
        <v>0</v>
      </c>
      <c r="BD677" s="234">
        <v>0</v>
      </c>
      <c r="BE677" s="234">
        <v>0</v>
      </c>
      <c r="BF677" s="234">
        <v>0</v>
      </c>
      <c r="BG677" s="234">
        <v>0</v>
      </c>
      <c r="BH677" s="234">
        <v>0</v>
      </c>
      <c r="BI677" s="234">
        <v>0</v>
      </c>
      <c r="BJ677" s="234">
        <v>0</v>
      </c>
      <c r="BK677" s="234">
        <v>0</v>
      </c>
      <c r="BL677" s="234">
        <v>0</v>
      </c>
      <c r="BM677" s="234">
        <v>0</v>
      </c>
      <c r="BN677" s="234">
        <v>0</v>
      </c>
      <c r="BO677" s="234">
        <v>0</v>
      </c>
      <c r="BP677" s="234"/>
      <c r="BQ677" s="234"/>
      <c r="BR677" s="237" t="s">
        <v>334</v>
      </c>
      <c r="BS677" s="238">
        <v>15</v>
      </c>
      <c r="BU677" s="239">
        <f t="shared" si="77"/>
        <v>0.25</v>
      </c>
      <c r="BV677" s="239">
        <f t="shared" si="78"/>
        <v>0.25</v>
      </c>
      <c r="BW677" s="239">
        <f t="shared" si="79"/>
        <v>0.25</v>
      </c>
      <c r="BX677" s="239">
        <f t="shared" si="80"/>
        <v>0.25</v>
      </c>
      <c r="CN677" s="238">
        <f t="shared" si="74"/>
        <v>1</v>
      </c>
      <c r="CO677" s="238">
        <f t="shared" si="75"/>
        <v>1</v>
      </c>
    </row>
    <row r="678" spans="1:93" ht="13.95" customHeight="1" x14ac:dyDescent="0.2">
      <c r="A678" s="231">
        <v>1183</v>
      </c>
      <c r="B678" s="232" t="s">
        <v>822</v>
      </c>
      <c r="C678" s="232" t="s">
        <v>2042</v>
      </c>
      <c r="D678" s="232" t="s">
        <v>2043</v>
      </c>
      <c r="E678" s="232" t="s">
        <v>317</v>
      </c>
      <c r="F678" s="231">
        <v>524979</v>
      </c>
      <c r="G678" s="231">
        <v>174628</v>
      </c>
      <c r="H678" s="232" t="s">
        <v>164</v>
      </c>
      <c r="I678" s="233"/>
      <c r="J678" s="231"/>
      <c r="K678" s="231">
        <v>0</v>
      </c>
      <c r="L678" s="231">
        <v>1</v>
      </c>
      <c r="M678" s="231">
        <v>1</v>
      </c>
      <c r="N678" s="231">
        <v>1</v>
      </c>
      <c r="O678" s="231">
        <v>1</v>
      </c>
      <c r="P678" s="234"/>
      <c r="Q678" s="232" t="s">
        <v>2044</v>
      </c>
      <c r="R678" s="234" t="s">
        <v>629</v>
      </c>
      <c r="S678" s="235">
        <v>44390</v>
      </c>
      <c r="T678" s="235">
        <v>44439</v>
      </c>
      <c r="U678" s="234"/>
      <c r="V678" s="232" t="s">
        <v>321</v>
      </c>
      <c r="W678" s="231"/>
      <c r="X678" s="232" t="s">
        <v>322</v>
      </c>
      <c r="Y678" s="232" t="s">
        <v>338</v>
      </c>
      <c r="Z678" s="232" t="s">
        <v>324</v>
      </c>
      <c r="AA678" s="232" t="s">
        <v>25</v>
      </c>
      <c r="AB678" s="236">
        <v>4.1999999999999997E-3</v>
      </c>
      <c r="AC678" s="235"/>
      <c r="AD678" s="234"/>
      <c r="AE678" s="234"/>
      <c r="AF678" s="232" t="s">
        <v>77</v>
      </c>
      <c r="AG678" s="232" t="s">
        <v>340</v>
      </c>
      <c r="AH678" s="234" t="s">
        <v>317</v>
      </c>
      <c r="AJ678" s="234">
        <v>0</v>
      </c>
      <c r="AK678" s="224"/>
      <c r="AL678" s="234">
        <v>0</v>
      </c>
      <c r="AM678" s="224"/>
      <c r="AN678" s="234">
        <v>1</v>
      </c>
      <c r="AO678" s="234">
        <v>0</v>
      </c>
      <c r="AP678" s="234">
        <v>0</v>
      </c>
      <c r="AQ678" s="234">
        <v>0</v>
      </c>
      <c r="AR678" s="234">
        <v>0</v>
      </c>
      <c r="AS678" s="234">
        <v>0</v>
      </c>
      <c r="AT678" s="234">
        <v>0</v>
      </c>
      <c r="AU678" s="234">
        <v>1</v>
      </c>
      <c r="AV678" s="234">
        <v>0</v>
      </c>
      <c r="AW678" s="234">
        <v>0</v>
      </c>
      <c r="AX678" s="234">
        <v>0</v>
      </c>
      <c r="AY678" s="234">
        <v>0</v>
      </c>
      <c r="AZ678" s="234">
        <v>0</v>
      </c>
      <c r="BA678" s="234">
        <v>0</v>
      </c>
      <c r="BB678" s="234">
        <v>0</v>
      </c>
      <c r="BC678" s="234">
        <v>0</v>
      </c>
      <c r="BD678" s="234">
        <v>0</v>
      </c>
      <c r="BE678" s="234">
        <v>0</v>
      </c>
      <c r="BF678" s="234">
        <v>0</v>
      </c>
      <c r="BG678" s="234">
        <v>0</v>
      </c>
      <c r="BH678" s="234">
        <v>0</v>
      </c>
      <c r="BI678" s="234">
        <v>0</v>
      </c>
      <c r="BJ678" s="234">
        <v>0</v>
      </c>
      <c r="BK678" s="234">
        <v>0</v>
      </c>
      <c r="BL678" s="234">
        <v>0</v>
      </c>
      <c r="BM678" s="234">
        <v>0</v>
      </c>
      <c r="BN678" s="234">
        <v>0</v>
      </c>
      <c r="BO678" s="234">
        <v>0</v>
      </c>
      <c r="BP678" s="234"/>
      <c r="BQ678" s="234"/>
      <c r="BR678" s="237" t="s">
        <v>334</v>
      </c>
      <c r="BS678" s="238">
        <v>15</v>
      </c>
      <c r="BU678" s="239">
        <f t="shared" si="77"/>
        <v>0.25</v>
      </c>
      <c r="BV678" s="239">
        <f t="shared" si="78"/>
        <v>0.25</v>
      </c>
      <c r="BW678" s="239">
        <f t="shared" si="79"/>
        <v>0.25</v>
      </c>
      <c r="BX678" s="239">
        <f t="shared" si="80"/>
        <v>0.25</v>
      </c>
      <c r="CN678" s="238">
        <f t="shared" si="74"/>
        <v>1</v>
      </c>
      <c r="CO678" s="238">
        <f t="shared" si="75"/>
        <v>1</v>
      </c>
    </row>
    <row r="679" spans="1:93" ht="13.95" customHeight="1" x14ac:dyDescent="0.2">
      <c r="A679" s="231">
        <v>2689</v>
      </c>
      <c r="B679" s="232" t="s">
        <v>822</v>
      </c>
      <c r="C679" s="232" t="s">
        <v>2045</v>
      </c>
      <c r="D679" s="232" t="s">
        <v>2046</v>
      </c>
      <c r="E679" s="232" t="s">
        <v>317</v>
      </c>
      <c r="F679" s="231">
        <v>526166</v>
      </c>
      <c r="G679" s="231">
        <v>172343</v>
      </c>
      <c r="H679" s="232" t="s">
        <v>180</v>
      </c>
      <c r="I679" s="233"/>
      <c r="J679" s="231"/>
      <c r="K679" s="231">
        <v>0</v>
      </c>
      <c r="L679" s="231">
        <v>1</v>
      </c>
      <c r="M679" s="231">
        <v>1</v>
      </c>
      <c r="N679" s="231">
        <v>1</v>
      </c>
      <c r="O679" s="231">
        <v>1</v>
      </c>
      <c r="P679" s="234"/>
      <c r="Q679" s="232" t="s">
        <v>2047</v>
      </c>
      <c r="R679" s="234" t="s">
        <v>332</v>
      </c>
      <c r="S679" s="235">
        <v>44942</v>
      </c>
      <c r="T679" s="235">
        <v>44998</v>
      </c>
      <c r="U679" s="234" t="s">
        <v>318</v>
      </c>
      <c r="V679" s="232" t="s">
        <v>321</v>
      </c>
      <c r="W679" s="231"/>
      <c r="X679" s="232" t="s">
        <v>322</v>
      </c>
      <c r="Y679" s="232" t="s">
        <v>339</v>
      </c>
      <c r="Z679" s="232" t="s">
        <v>324</v>
      </c>
      <c r="AA679" s="232" t="s">
        <v>354</v>
      </c>
      <c r="AB679" s="236">
        <v>3.5000000000000003E-2</v>
      </c>
      <c r="AC679" s="235"/>
      <c r="AD679" s="234"/>
      <c r="AE679" s="234"/>
      <c r="AF679" s="232" t="s">
        <v>77</v>
      </c>
      <c r="AG679" s="232" t="s">
        <v>340</v>
      </c>
      <c r="AH679" s="234" t="s">
        <v>317</v>
      </c>
      <c r="AJ679" s="234">
        <v>0</v>
      </c>
      <c r="AK679" s="224"/>
      <c r="AL679" s="234">
        <v>0</v>
      </c>
      <c r="AM679" s="224"/>
      <c r="AN679" s="234">
        <v>0</v>
      </c>
      <c r="AO679" s="234">
        <v>0</v>
      </c>
      <c r="AP679" s="234">
        <v>1</v>
      </c>
      <c r="AQ679" s="234">
        <v>0</v>
      </c>
      <c r="AR679" s="234">
        <v>0</v>
      </c>
      <c r="AS679" s="234">
        <v>0</v>
      </c>
      <c r="AT679" s="234">
        <v>0</v>
      </c>
      <c r="AU679" s="234">
        <v>0</v>
      </c>
      <c r="AV679" s="234">
        <v>0</v>
      </c>
      <c r="AW679" s="234">
        <v>1</v>
      </c>
      <c r="AX679" s="234">
        <v>0</v>
      </c>
      <c r="AY679" s="234">
        <v>0</v>
      </c>
      <c r="AZ679" s="234">
        <v>0</v>
      </c>
      <c r="BA679" s="234">
        <v>0</v>
      </c>
      <c r="BB679" s="234">
        <v>0</v>
      </c>
      <c r="BC679" s="234">
        <v>0</v>
      </c>
      <c r="BD679" s="234">
        <v>0</v>
      </c>
      <c r="BE679" s="234">
        <v>0</v>
      </c>
      <c r="BF679" s="234">
        <v>0</v>
      </c>
      <c r="BG679" s="234">
        <v>0</v>
      </c>
      <c r="BH679" s="234">
        <v>0</v>
      </c>
      <c r="BI679" s="234">
        <v>0</v>
      </c>
      <c r="BJ679" s="234">
        <v>0</v>
      </c>
      <c r="BK679" s="234">
        <v>0</v>
      </c>
      <c r="BL679" s="234">
        <v>0</v>
      </c>
      <c r="BM679" s="234">
        <v>0</v>
      </c>
      <c r="BN679" s="234">
        <v>0</v>
      </c>
      <c r="BO679" s="234">
        <v>0</v>
      </c>
      <c r="BP679" s="234"/>
      <c r="BQ679" s="234"/>
      <c r="BR679" s="237" t="s">
        <v>154</v>
      </c>
      <c r="BS679" s="238">
        <v>15</v>
      </c>
      <c r="BU679" s="239">
        <f t="shared" si="77"/>
        <v>0.25</v>
      </c>
      <c r="BV679" s="239">
        <f t="shared" si="78"/>
        <v>0.25</v>
      </c>
      <c r="BW679" s="239">
        <f t="shared" si="79"/>
        <v>0.25</v>
      </c>
      <c r="BX679" s="239">
        <f t="shared" si="80"/>
        <v>0.25</v>
      </c>
      <c r="CN679" s="238">
        <f t="shared" si="74"/>
        <v>1</v>
      </c>
      <c r="CO679" s="238">
        <f t="shared" si="75"/>
        <v>1</v>
      </c>
    </row>
    <row r="680" spans="1:93" ht="13.95" customHeight="1" x14ac:dyDescent="0.2">
      <c r="A680" s="231">
        <v>7152</v>
      </c>
      <c r="B680" s="232" t="s">
        <v>822</v>
      </c>
      <c r="C680" s="232" t="s">
        <v>2048</v>
      </c>
      <c r="D680" s="232" t="s">
        <v>2049</v>
      </c>
      <c r="E680" s="232" t="s">
        <v>317</v>
      </c>
      <c r="F680" s="231">
        <v>526518</v>
      </c>
      <c r="G680" s="231">
        <v>174839</v>
      </c>
      <c r="H680" s="232" t="s">
        <v>181</v>
      </c>
      <c r="I680" s="233"/>
      <c r="J680" s="231"/>
      <c r="K680" s="231">
        <v>0</v>
      </c>
      <c r="L680" s="231">
        <v>1</v>
      </c>
      <c r="M680" s="231">
        <v>1</v>
      </c>
      <c r="N680" s="231">
        <v>2</v>
      </c>
      <c r="O680" s="231">
        <v>1</v>
      </c>
      <c r="P680" s="234"/>
      <c r="Q680" s="232" t="s">
        <v>2050</v>
      </c>
      <c r="R680" s="234" t="s">
        <v>332</v>
      </c>
      <c r="S680" s="235">
        <v>43444</v>
      </c>
      <c r="T680" s="235">
        <v>43549</v>
      </c>
      <c r="U680" s="234"/>
      <c r="V680" s="232" t="s">
        <v>321</v>
      </c>
      <c r="W680" s="231"/>
      <c r="X680" s="232" t="s">
        <v>322</v>
      </c>
      <c r="Y680" s="232" t="s">
        <v>365</v>
      </c>
      <c r="Z680" s="232" t="s">
        <v>324</v>
      </c>
      <c r="AA680" s="232" t="s">
        <v>2051</v>
      </c>
      <c r="AB680" s="236">
        <v>8.0000000000000002E-3</v>
      </c>
      <c r="AC680" s="235"/>
      <c r="AD680" s="234"/>
      <c r="AE680" s="234"/>
      <c r="AF680" s="232" t="s">
        <v>77</v>
      </c>
      <c r="AG680" s="232" t="s">
        <v>350</v>
      </c>
      <c r="AH680" s="234" t="s">
        <v>317</v>
      </c>
      <c r="AJ680" s="234">
        <v>0</v>
      </c>
      <c r="AK680" s="224"/>
      <c r="AL680" s="234">
        <v>0</v>
      </c>
      <c r="AM680" s="224"/>
      <c r="AN680" s="234">
        <v>0</v>
      </c>
      <c r="AO680" s="234">
        <v>0</v>
      </c>
      <c r="AP680" s="234">
        <v>0</v>
      </c>
      <c r="AQ680" s="234">
        <v>0</v>
      </c>
      <c r="AR680" s="234">
        <v>0</v>
      </c>
      <c r="AS680" s="234">
        <v>1</v>
      </c>
      <c r="AT680" s="234">
        <v>0</v>
      </c>
      <c r="AU680" s="234">
        <v>0</v>
      </c>
      <c r="AV680" s="234">
        <v>0</v>
      </c>
      <c r="AW680" s="234">
        <v>0</v>
      </c>
      <c r="AX680" s="234">
        <v>0</v>
      </c>
      <c r="AY680" s="234">
        <v>0</v>
      </c>
      <c r="AZ680" s="234">
        <v>0</v>
      </c>
      <c r="BA680" s="234">
        <v>0</v>
      </c>
      <c r="BB680" s="234">
        <v>0</v>
      </c>
      <c r="BC680" s="234">
        <v>0</v>
      </c>
      <c r="BD680" s="234">
        <v>0</v>
      </c>
      <c r="BE680" s="234">
        <v>0</v>
      </c>
      <c r="BF680" s="234">
        <v>0</v>
      </c>
      <c r="BG680" s="234">
        <v>1</v>
      </c>
      <c r="BH680" s="234">
        <v>0</v>
      </c>
      <c r="BI680" s="234">
        <v>0</v>
      </c>
      <c r="BJ680" s="234">
        <v>0</v>
      </c>
      <c r="BK680" s="234">
        <v>0</v>
      </c>
      <c r="BL680" s="234">
        <v>0</v>
      </c>
      <c r="BM680" s="234">
        <v>0</v>
      </c>
      <c r="BN680" s="234">
        <v>0</v>
      </c>
      <c r="BO680" s="234">
        <v>0</v>
      </c>
      <c r="BP680" s="234"/>
      <c r="BQ680" s="234"/>
      <c r="BR680" s="237" t="s">
        <v>334</v>
      </c>
      <c r="BS680" s="238">
        <v>15</v>
      </c>
      <c r="BU680" s="239">
        <f t="shared" si="77"/>
        <v>0.25</v>
      </c>
      <c r="BV680" s="239">
        <f t="shared" si="78"/>
        <v>0.25</v>
      </c>
      <c r="BW680" s="239">
        <f t="shared" si="79"/>
        <v>0.25</v>
      </c>
      <c r="BX680" s="239">
        <f t="shared" si="80"/>
        <v>0.25</v>
      </c>
      <c r="CN680" s="238">
        <f t="shared" si="74"/>
        <v>1</v>
      </c>
      <c r="CO680" s="238">
        <f t="shared" si="75"/>
        <v>1</v>
      </c>
    </row>
    <row r="681" spans="1:93" ht="13.95" customHeight="1" x14ac:dyDescent="0.2">
      <c r="A681" s="231">
        <v>7638</v>
      </c>
      <c r="B681" s="232" t="s">
        <v>822</v>
      </c>
      <c r="C681" s="232" t="s">
        <v>2052</v>
      </c>
      <c r="D681" s="232" t="s">
        <v>2053</v>
      </c>
      <c r="E681" s="232" t="s">
        <v>317</v>
      </c>
      <c r="F681" s="231">
        <v>523723</v>
      </c>
      <c r="G681" s="231">
        <v>174036</v>
      </c>
      <c r="H681" s="232" t="s">
        <v>164</v>
      </c>
      <c r="I681" s="233"/>
      <c r="J681" s="231"/>
      <c r="K681" s="231">
        <v>0</v>
      </c>
      <c r="L681" s="231">
        <v>1</v>
      </c>
      <c r="M681" s="231">
        <v>1</v>
      </c>
      <c r="N681" s="231">
        <v>1</v>
      </c>
      <c r="O681" s="231">
        <v>1</v>
      </c>
      <c r="P681" s="234"/>
      <c r="Q681" s="232" t="s">
        <v>2054</v>
      </c>
      <c r="R681" s="234" t="s">
        <v>332</v>
      </c>
      <c r="S681" s="235">
        <v>44278</v>
      </c>
      <c r="T681" s="235">
        <v>44488</v>
      </c>
      <c r="U681" s="234"/>
      <c r="V681" s="232" t="s">
        <v>321</v>
      </c>
      <c r="W681" s="231"/>
      <c r="X681" s="232" t="s">
        <v>322</v>
      </c>
      <c r="Y681" s="232" t="s">
        <v>378</v>
      </c>
      <c r="Z681" s="232" t="s">
        <v>324</v>
      </c>
      <c r="AA681" s="232" t="s">
        <v>31</v>
      </c>
      <c r="AB681" s="236">
        <v>1E-3</v>
      </c>
      <c r="AC681" s="235"/>
      <c r="AD681" s="234"/>
      <c r="AE681" s="234"/>
      <c r="AF681" s="232" t="s">
        <v>77</v>
      </c>
      <c r="AG681" s="232" t="s">
        <v>350</v>
      </c>
      <c r="AH681" s="234" t="s">
        <v>317</v>
      </c>
      <c r="AJ681" s="234">
        <v>0</v>
      </c>
      <c r="AK681" s="224"/>
      <c r="AL681" s="234">
        <v>0</v>
      </c>
      <c r="AM681" s="224"/>
      <c r="AN681" s="234">
        <v>0</v>
      </c>
      <c r="AO681" s="234">
        <v>1</v>
      </c>
      <c r="AP681" s="234">
        <v>0</v>
      </c>
      <c r="AQ681" s="234">
        <v>0</v>
      </c>
      <c r="AR681" s="234">
        <v>0</v>
      </c>
      <c r="AS681" s="234">
        <v>0</v>
      </c>
      <c r="AT681" s="234">
        <v>0</v>
      </c>
      <c r="AU681" s="234">
        <v>0</v>
      </c>
      <c r="AV681" s="234">
        <v>1</v>
      </c>
      <c r="AW681" s="234">
        <v>0</v>
      </c>
      <c r="AX681" s="234">
        <v>0</v>
      </c>
      <c r="AY681" s="234">
        <v>0</v>
      </c>
      <c r="AZ681" s="234">
        <v>0</v>
      </c>
      <c r="BA681" s="234">
        <v>0</v>
      </c>
      <c r="BB681" s="234">
        <v>0</v>
      </c>
      <c r="BC681" s="234">
        <v>0</v>
      </c>
      <c r="BD681" s="234">
        <v>0</v>
      </c>
      <c r="BE681" s="234">
        <v>0</v>
      </c>
      <c r="BF681" s="234">
        <v>0</v>
      </c>
      <c r="BG681" s="234">
        <v>0</v>
      </c>
      <c r="BH681" s="234">
        <v>0</v>
      </c>
      <c r="BI681" s="234">
        <v>0</v>
      </c>
      <c r="BJ681" s="234">
        <v>0</v>
      </c>
      <c r="BK681" s="234">
        <v>0</v>
      </c>
      <c r="BL681" s="234">
        <v>0</v>
      </c>
      <c r="BM681" s="234">
        <v>0</v>
      </c>
      <c r="BN681" s="234">
        <v>0</v>
      </c>
      <c r="BO681" s="234">
        <v>0</v>
      </c>
      <c r="BP681" s="234"/>
      <c r="BQ681" s="234"/>
      <c r="BR681" s="237" t="s">
        <v>334</v>
      </c>
      <c r="BS681" s="238">
        <v>15</v>
      </c>
      <c r="BU681" s="239">
        <f t="shared" si="77"/>
        <v>0.25</v>
      </c>
      <c r="BV681" s="239">
        <f t="shared" si="78"/>
        <v>0.25</v>
      </c>
      <c r="BW681" s="239">
        <f t="shared" si="79"/>
        <v>0.25</v>
      </c>
      <c r="BX681" s="239">
        <f t="shared" si="80"/>
        <v>0.25</v>
      </c>
      <c r="CN681" s="238">
        <f t="shared" si="74"/>
        <v>1</v>
      </c>
      <c r="CO681" s="238">
        <f t="shared" si="75"/>
        <v>1</v>
      </c>
    </row>
    <row r="682" spans="1:93" ht="13.95" customHeight="1" x14ac:dyDescent="0.2">
      <c r="A682" s="231">
        <v>7399</v>
      </c>
      <c r="B682" s="232" t="s">
        <v>822</v>
      </c>
      <c r="C682" s="232" t="s">
        <v>2055</v>
      </c>
      <c r="D682" s="232" t="s">
        <v>2056</v>
      </c>
      <c r="E682" s="232" t="s">
        <v>317</v>
      </c>
      <c r="F682" s="231">
        <v>527815</v>
      </c>
      <c r="G682" s="231">
        <v>174573</v>
      </c>
      <c r="H682" s="232" t="s">
        <v>169</v>
      </c>
      <c r="I682" s="233"/>
      <c r="J682" s="231"/>
      <c r="K682" s="231">
        <v>1</v>
      </c>
      <c r="L682" s="231">
        <v>2</v>
      </c>
      <c r="M682" s="231">
        <v>1</v>
      </c>
      <c r="N682" s="231">
        <v>2</v>
      </c>
      <c r="O682" s="231">
        <v>1</v>
      </c>
      <c r="P682" s="234"/>
      <c r="Q682" s="232" t="s">
        <v>2057</v>
      </c>
      <c r="R682" s="234" t="s">
        <v>332</v>
      </c>
      <c r="S682" s="235">
        <v>44370</v>
      </c>
      <c r="T682" s="235">
        <v>44424</v>
      </c>
      <c r="U682" s="234"/>
      <c r="V682" s="232" t="s">
        <v>321</v>
      </c>
      <c r="W682" s="231"/>
      <c r="X682" s="232" t="s">
        <v>322</v>
      </c>
      <c r="Y682" s="232" t="s">
        <v>338</v>
      </c>
      <c r="Z682" s="232" t="s">
        <v>324</v>
      </c>
      <c r="AA682" s="232" t="s">
        <v>354</v>
      </c>
      <c r="AB682" s="236">
        <v>4.0000000000000001E-3</v>
      </c>
      <c r="AC682" s="235"/>
      <c r="AD682" s="234"/>
      <c r="AE682" s="234"/>
      <c r="AF682" s="232" t="s">
        <v>77</v>
      </c>
      <c r="AG682" s="232" t="s">
        <v>350</v>
      </c>
      <c r="AH682" s="234" t="s">
        <v>317</v>
      </c>
      <c r="AJ682" s="234">
        <v>0</v>
      </c>
      <c r="AK682" s="224"/>
      <c r="AL682" s="234">
        <v>0</v>
      </c>
      <c r="AM682" s="224"/>
      <c r="AN682" s="234">
        <v>0</v>
      </c>
      <c r="AO682" s="234">
        <v>0</v>
      </c>
      <c r="AP682" s="234">
        <v>1</v>
      </c>
      <c r="AQ682" s="234">
        <v>0</v>
      </c>
      <c r="AR682" s="234">
        <v>0</v>
      </c>
      <c r="AS682" s="234">
        <v>0</v>
      </c>
      <c r="AT682" s="234">
        <v>0</v>
      </c>
      <c r="AU682" s="234">
        <v>0</v>
      </c>
      <c r="AV682" s="234">
        <v>0</v>
      </c>
      <c r="AW682" s="234">
        <v>1</v>
      </c>
      <c r="AX682" s="234">
        <v>0</v>
      </c>
      <c r="AY682" s="234">
        <v>0</v>
      </c>
      <c r="AZ682" s="234">
        <v>0</v>
      </c>
      <c r="BA682" s="234">
        <v>0</v>
      </c>
      <c r="BB682" s="234">
        <v>0</v>
      </c>
      <c r="BC682" s="234">
        <v>0</v>
      </c>
      <c r="BD682" s="234">
        <v>0</v>
      </c>
      <c r="BE682" s="234">
        <v>0</v>
      </c>
      <c r="BF682" s="234">
        <v>0</v>
      </c>
      <c r="BG682" s="234">
        <v>0</v>
      </c>
      <c r="BH682" s="234">
        <v>0</v>
      </c>
      <c r="BI682" s="234">
        <v>0</v>
      </c>
      <c r="BJ682" s="234">
        <v>0</v>
      </c>
      <c r="BK682" s="234">
        <v>0</v>
      </c>
      <c r="BL682" s="234">
        <v>0</v>
      </c>
      <c r="BM682" s="234">
        <v>0</v>
      </c>
      <c r="BN682" s="234">
        <v>0</v>
      </c>
      <c r="BO682" s="234">
        <v>0</v>
      </c>
      <c r="BP682" s="234"/>
      <c r="BQ682" s="234"/>
      <c r="BR682" s="237" t="s">
        <v>334</v>
      </c>
      <c r="BS682" s="238">
        <v>15</v>
      </c>
      <c r="BU682" s="239">
        <f t="shared" si="77"/>
        <v>0.25</v>
      </c>
      <c r="BV682" s="239">
        <f t="shared" si="78"/>
        <v>0.25</v>
      </c>
      <c r="BW682" s="239">
        <f t="shared" si="79"/>
        <v>0.25</v>
      </c>
      <c r="BX682" s="239">
        <f t="shared" si="80"/>
        <v>0.25</v>
      </c>
      <c r="CN682" s="238">
        <f t="shared" si="74"/>
        <v>1</v>
      </c>
      <c r="CO682" s="238">
        <f t="shared" si="75"/>
        <v>1</v>
      </c>
    </row>
    <row r="683" spans="1:93" ht="13.95" customHeight="1" x14ac:dyDescent="0.2">
      <c r="A683" s="231">
        <v>7399</v>
      </c>
      <c r="B683" s="232" t="s">
        <v>822</v>
      </c>
      <c r="C683" s="232" t="s">
        <v>2058</v>
      </c>
      <c r="D683" s="232" t="s">
        <v>2056</v>
      </c>
      <c r="E683" s="232" t="s">
        <v>317</v>
      </c>
      <c r="F683" s="231">
        <v>527815</v>
      </c>
      <c r="G683" s="231">
        <v>174573</v>
      </c>
      <c r="H683" s="232" t="s">
        <v>169</v>
      </c>
      <c r="I683" s="233"/>
      <c r="J683" s="231"/>
      <c r="K683" s="231">
        <v>0</v>
      </c>
      <c r="L683" s="231">
        <v>1</v>
      </c>
      <c r="M683" s="231">
        <v>1</v>
      </c>
      <c r="N683" s="231">
        <v>1</v>
      </c>
      <c r="O683" s="231">
        <v>1</v>
      </c>
      <c r="P683" s="234"/>
      <c r="Q683" s="232" t="s">
        <v>2059</v>
      </c>
      <c r="R683" s="234" t="s">
        <v>629</v>
      </c>
      <c r="S683" s="235">
        <v>44015</v>
      </c>
      <c r="T683" s="235">
        <v>44071</v>
      </c>
      <c r="U683" s="234"/>
      <c r="V683" s="232" t="s">
        <v>321</v>
      </c>
      <c r="W683" s="231"/>
      <c r="X683" s="232" t="s">
        <v>322</v>
      </c>
      <c r="Y683" s="232" t="s">
        <v>378</v>
      </c>
      <c r="Z683" s="232" t="s">
        <v>324</v>
      </c>
      <c r="AA683" s="232" t="s">
        <v>25</v>
      </c>
      <c r="AB683" s="236">
        <v>5.0000000000000001E-3</v>
      </c>
      <c r="AC683" s="235"/>
      <c r="AD683" s="234"/>
      <c r="AE683" s="234"/>
      <c r="AF683" s="232" t="s">
        <v>77</v>
      </c>
      <c r="AG683" s="232" t="s">
        <v>350</v>
      </c>
      <c r="AH683" s="234" t="s">
        <v>317</v>
      </c>
      <c r="AJ683" s="234">
        <v>0</v>
      </c>
      <c r="AK683" s="224"/>
      <c r="AL683" s="234">
        <v>0</v>
      </c>
      <c r="AM683" s="224"/>
      <c r="AN683" s="234">
        <v>0</v>
      </c>
      <c r="AO683" s="234">
        <v>1</v>
      </c>
      <c r="AP683" s="234">
        <v>0</v>
      </c>
      <c r="AQ683" s="234">
        <v>0</v>
      </c>
      <c r="AR683" s="234">
        <v>0</v>
      </c>
      <c r="AS683" s="234">
        <v>0</v>
      </c>
      <c r="AT683" s="234">
        <v>0</v>
      </c>
      <c r="AU683" s="234">
        <v>0</v>
      </c>
      <c r="AV683" s="234">
        <v>1</v>
      </c>
      <c r="AW683" s="234">
        <v>0</v>
      </c>
      <c r="AX683" s="234">
        <v>0</v>
      </c>
      <c r="AY683" s="234">
        <v>0</v>
      </c>
      <c r="AZ683" s="234">
        <v>0</v>
      </c>
      <c r="BA683" s="234">
        <v>0</v>
      </c>
      <c r="BB683" s="234">
        <v>0</v>
      </c>
      <c r="BC683" s="234">
        <v>0</v>
      </c>
      <c r="BD683" s="234">
        <v>0</v>
      </c>
      <c r="BE683" s="234">
        <v>0</v>
      </c>
      <c r="BF683" s="234">
        <v>0</v>
      </c>
      <c r="BG683" s="234">
        <v>0</v>
      </c>
      <c r="BH683" s="234">
        <v>0</v>
      </c>
      <c r="BI683" s="234">
        <v>0</v>
      </c>
      <c r="BJ683" s="234">
        <v>0</v>
      </c>
      <c r="BK683" s="234">
        <v>0</v>
      </c>
      <c r="BL683" s="234">
        <v>0</v>
      </c>
      <c r="BM683" s="234">
        <v>0</v>
      </c>
      <c r="BN683" s="234">
        <v>0</v>
      </c>
      <c r="BO683" s="234">
        <v>0</v>
      </c>
      <c r="BP683" s="234"/>
      <c r="BQ683" s="234"/>
      <c r="BR683" s="237" t="s">
        <v>334</v>
      </c>
      <c r="BS683" s="238">
        <v>15</v>
      </c>
      <c r="BU683" s="239">
        <f t="shared" si="77"/>
        <v>0.25</v>
      </c>
      <c r="BV683" s="239">
        <f t="shared" si="78"/>
        <v>0.25</v>
      </c>
      <c r="BW683" s="239">
        <f t="shared" si="79"/>
        <v>0.25</v>
      </c>
      <c r="BX683" s="239">
        <f t="shared" si="80"/>
        <v>0.25</v>
      </c>
      <c r="CN683" s="238">
        <f t="shared" si="74"/>
        <v>1</v>
      </c>
      <c r="CO683" s="238">
        <f t="shared" si="75"/>
        <v>1</v>
      </c>
    </row>
    <row r="684" spans="1:93" ht="13.95" customHeight="1" x14ac:dyDescent="0.2">
      <c r="A684" s="231">
        <v>7776</v>
      </c>
      <c r="B684" s="232" t="s">
        <v>822</v>
      </c>
      <c r="C684" s="232" t="s">
        <v>2060</v>
      </c>
      <c r="D684" s="232" t="s">
        <v>2061</v>
      </c>
      <c r="E684" s="232" t="s">
        <v>317</v>
      </c>
      <c r="F684" s="231">
        <v>528980</v>
      </c>
      <c r="G684" s="231">
        <v>171084</v>
      </c>
      <c r="H684" s="232" t="s">
        <v>166</v>
      </c>
      <c r="I684" s="233"/>
      <c r="J684" s="231"/>
      <c r="K684" s="231">
        <v>0</v>
      </c>
      <c r="L684" s="231">
        <v>1</v>
      </c>
      <c r="M684" s="231">
        <v>1</v>
      </c>
      <c r="N684" s="231">
        <v>1</v>
      </c>
      <c r="O684" s="231">
        <v>1</v>
      </c>
      <c r="P684" s="234"/>
      <c r="Q684" s="232" t="s">
        <v>2062</v>
      </c>
      <c r="R684" s="234" t="s">
        <v>332</v>
      </c>
      <c r="S684" s="235">
        <v>44414</v>
      </c>
      <c r="T684" s="235">
        <v>44510</v>
      </c>
      <c r="U684" s="234"/>
      <c r="V684" s="232" t="s">
        <v>321</v>
      </c>
      <c r="W684" s="231"/>
      <c r="X684" s="232" t="s">
        <v>322</v>
      </c>
      <c r="Y684" s="232" t="s">
        <v>365</v>
      </c>
      <c r="Z684" s="232" t="s">
        <v>324</v>
      </c>
      <c r="AA684" s="232" t="s">
        <v>31</v>
      </c>
      <c r="AB684" s="236">
        <v>3.0000000000000001E-3</v>
      </c>
      <c r="AC684" s="235"/>
      <c r="AD684" s="234"/>
      <c r="AE684" s="234"/>
      <c r="AF684" s="232" t="s">
        <v>57</v>
      </c>
      <c r="AG684" s="232" t="s">
        <v>470</v>
      </c>
      <c r="AH684" s="234" t="s">
        <v>317</v>
      </c>
      <c r="AJ684" s="234">
        <v>0</v>
      </c>
      <c r="AK684" s="224"/>
      <c r="AL684" s="234">
        <v>0</v>
      </c>
      <c r="AM684" s="224"/>
      <c r="AN684" s="234">
        <v>0</v>
      </c>
      <c r="AO684" s="234">
        <v>1</v>
      </c>
      <c r="AP684" s="234">
        <v>0</v>
      </c>
      <c r="AQ684" s="234">
        <v>0</v>
      </c>
      <c r="AR684" s="234">
        <v>0</v>
      </c>
      <c r="AS684" s="234">
        <v>0</v>
      </c>
      <c r="AT684" s="234">
        <v>0</v>
      </c>
      <c r="AU684" s="234">
        <v>0</v>
      </c>
      <c r="AV684" s="234">
        <v>1</v>
      </c>
      <c r="AW684" s="234">
        <v>0</v>
      </c>
      <c r="AX684" s="234">
        <v>0</v>
      </c>
      <c r="AY684" s="234">
        <v>0</v>
      </c>
      <c r="AZ684" s="234">
        <v>0</v>
      </c>
      <c r="BA684" s="234">
        <v>0</v>
      </c>
      <c r="BB684" s="234">
        <v>0</v>
      </c>
      <c r="BC684" s="234">
        <v>0</v>
      </c>
      <c r="BD684" s="234">
        <v>0</v>
      </c>
      <c r="BE684" s="234">
        <v>0</v>
      </c>
      <c r="BF684" s="234">
        <v>0</v>
      </c>
      <c r="BG684" s="234">
        <v>0</v>
      </c>
      <c r="BH684" s="234">
        <v>0</v>
      </c>
      <c r="BI684" s="234">
        <v>0</v>
      </c>
      <c r="BJ684" s="234">
        <v>0</v>
      </c>
      <c r="BK684" s="234">
        <v>0</v>
      </c>
      <c r="BL684" s="234">
        <v>0</v>
      </c>
      <c r="BM684" s="234">
        <v>0</v>
      </c>
      <c r="BN684" s="234">
        <v>0</v>
      </c>
      <c r="BO684" s="234">
        <v>0</v>
      </c>
      <c r="BP684" s="234"/>
      <c r="BQ684" s="234"/>
      <c r="BR684" s="237" t="s">
        <v>334</v>
      </c>
      <c r="BS684" s="238">
        <v>15</v>
      </c>
      <c r="BU684" s="239">
        <f t="shared" si="77"/>
        <v>0.25</v>
      </c>
      <c r="BV684" s="239">
        <f t="shared" si="78"/>
        <v>0.25</v>
      </c>
      <c r="BW684" s="239">
        <f t="shared" si="79"/>
        <v>0.25</v>
      </c>
      <c r="BX684" s="239">
        <f t="shared" si="80"/>
        <v>0.25</v>
      </c>
      <c r="CN684" s="238">
        <f t="shared" si="74"/>
        <v>1</v>
      </c>
      <c r="CO684" s="238">
        <f t="shared" si="75"/>
        <v>1</v>
      </c>
    </row>
    <row r="685" spans="1:93" ht="13.95" customHeight="1" x14ac:dyDescent="0.2">
      <c r="A685" s="231">
        <v>7416</v>
      </c>
      <c r="B685" s="232" t="s">
        <v>822</v>
      </c>
      <c r="C685" s="232" t="s">
        <v>2063</v>
      </c>
      <c r="D685" s="232" t="s">
        <v>1757</v>
      </c>
      <c r="E685" s="232" t="s">
        <v>317</v>
      </c>
      <c r="F685" s="231">
        <v>526860</v>
      </c>
      <c r="G685" s="231">
        <v>171851</v>
      </c>
      <c r="H685" s="232" t="s">
        <v>177</v>
      </c>
      <c r="I685" s="233"/>
      <c r="J685" s="231"/>
      <c r="K685" s="231">
        <v>1</v>
      </c>
      <c r="L685" s="231">
        <v>2</v>
      </c>
      <c r="M685" s="231">
        <v>1</v>
      </c>
      <c r="N685" s="231">
        <v>3</v>
      </c>
      <c r="O685" s="231">
        <v>2</v>
      </c>
      <c r="P685" s="234"/>
      <c r="Q685" s="232" t="s">
        <v>2064</v>
      </c>
      <c r="R685" s="234" t="s">
        <v>332</v>
      </c>
      <c r="S685" s="235">
        <v>43951</v>
      </c>
      <c r="T685" s="235">
        <v>44007</v>
      </c>
      <c r="U685" s="234"/>
      <c r="V685" s="232" t="s">
        <v>321</v>
      </c>
      <c r="W685" s="231"/>
      <c r="X685" s="232" t="s">
        <v>322</v>
      </c>
      <c r="Y685" s="232" t="s">
        <v>338</v>
      </c>
      <c r="Z685" s="232" t="s">
        <v>324</v>
      </c>
      <c r="AA685" s="232" t="s">
        <v>411</v>
      </c>
      <c r="AB685" s="236">
        <v>5.0000000000000001E-3</v>
      </c>
      <c r="AC685" s="235"/>
      <c r="AD685" s="234"/>
      <c r="AE685" s="234"/>
      <c r="AF685" s="232" t="s">
        <v>77</v>
      </c>
      <c r="AG685" s="232" t="s">
        <v>350</v>
      </c>
      <c r="AH685" s="234" t="s">
        <v>317</v>
      </c>
      <c r="AJ685" s="234">
        <v>0</v>
      </c>
      <c r="AK685" s="224"/>
      <c r="AL685" s="234">
        <v>0</v>
      </c>
      <c r="AM685" s="224"/>
      <c r="AN685" s="234">
        <v>2</v>
      </c>
      <c r="AO685" s="234">
        <v>0</v>
      </c>
      <c r="AP685" s="234">
        <v>-1</v>
      </c>
      <c r="AQ685" s="234">
        <v>0</v>
      </c>
      <c r="AR685" s="234">
        <v>0</v>
      </c>
      <c r="AS685" s="234">
        <v>0</v>
      </c>
      <c r="AT685" s="234">
        <v>0</v>
      </c>
      <c r="AU685" s="234">
        <v>2</v>
      </c>
      <c r="AV685" s="234">
        <v>0</v>
      </c>
      <c r="AW685" s="234">
        <v>-1</v>
      </c>
      <c r="AX685" s="234">
        <v>0</v>
      </c>
      <c r="AY685" s="234">
        <v>0</v>
      </c>
      <c r="AZ685" s="234">
        <v>0</v>
      </c>
      <c r="BA685" s="234">
        <v>0</v>
      </c>
      <c r="BB685" s="234">
        <v>0</v>
      </c>
      <c r="BC685" s="234">
        <v>0</v>
      </c>
      <c r="BD685" s="234">
        <v>0</v>
      </c>
      <c r="BE685" s="234">
        <v>0</v>
      </c>
      <c r="BF685" s="234">
        <v>0</v>
      </c>
      <c r="BG685" s="234">
        <v>0</v>
      </c>
      <c r="BH685" s="234">
        <v>0</v>
      </c>
      <c r="BI685" s="234">
        <v>0</v>
      </c>
      <c r="BJ685" s="234">
        <v>0</v>
      </c>
      <c r="BK685" s="234">
        <v>0</v>
      </c>
      <c r="BL685" s="234">
        <v>0</v>
      </c>
      <c r="BM685" s="234">
        <v>0</v>
      </c>
      <c r="BN685" s="234">
        <v>0</v>
      </c>
      <c r="BO685" s="234">
        <v>0</v>
      </c>
      <c r="BP685" s="234"/>
      <c r="BQ685" s="234"/>
      <c r="BR685" s="237" t="s">
        <v>334</v>
      </c>
      <c r="BS685" s="238">
        <v>15</v>
      </c>
      <c r="BU685" s="239">
        <f t="shared" si="77"/>
        <v>0.25</v>
      </c>
      <c r="BV685" s="239">
        <f t="shared" si="78"/>
        <v>0.25</v>
      </c>
      <c r="BW685" s="239">
        <f t="shared" si="79"/>
        <v>0.25</v>
      </c>
      <c r="BX685" s="239">
        <f t="shared" si="80"/>
        <v>0.25</v>
      </c>
      <c r="CN685" s="238">
        <f t="shared" si="74"/>
        <v>1</v>
      </c>
      <c r="CO685" s="238">
        <f t="shared" si="75"/>
        <v>1</v>
      </c>
    </row>
    <row r="686" spans="1:93" ht="13.95" customHeight="1" x14ac:dyDescent="0.2">
      <c r="A686" s="231">
        <v>7416</v>
      </c>
      <c r="B686" s="232" t="s">
        <v>822</v>
      </c>
      <c r="C686" s="232" t="s">
        <v>2063</v>
      </c>
      <c r="D686" s="232" t="s">
        <v>1757</v>
      </c>
      <c r="E686" s="232" t="s">
        <v>317</v>
      </c>
      <c r="F686" s="231">
        <v>526860</v>
      </c>
      <c r="G686" s="231">
        <v>171851</v>
      </c>
      <c r="H686" s="232" t="s">
        <v>177</v>
      </c>
      <c r="I686" s="233"/>
      <c r="J686" s="231"/>
      <c r="K686" s="231">
        <v>0</v>
      </c>
      <c r="L686" s="231">
        <v>1</v>
      </c>
      <c r="M686" s="231">
        <v>1</v>
      </c>
      <c r="N686" s="231">
        <v>3</v>
      </c>
      <c r="O686" s="231">
        <v>2</v>
      </c>
      <c r="P686" s="234"/>
      <c r="Q686" s="232" t="s">
        <v>2064</v>
      </c>
      <c r="R686" s="234" t="s">
        <v>332</v>
      </c>
      <c r="S686" s="235">
        <v>43951</v>
      </c>
      <c r="T686" s="235">
        <v>44007</v>
      </c>
      <c r="U686" s="234"/>
      <c r="V686" s="232" t="s">
        <v>321</v>
      </c>
      <c r="W686" s="231"/>
      <c r="X686" s="232" t="s">
        <v>322</v>
      </c>
      <c r="Y686" s="232" t="s">
        <v>338</v>
      </c>
      <c r="Z686" s="232" t="s">
        <v>324</v>
      </c>
      <c r="AA686" s="232" t="s">
        <v>354</v>
      </c>
      <c r="AB686" s="236">
        <v>4.0000000000000001E-3</v>
      </c>
      <c r="AC686" s="235"/>
      <c r="AD686" s="234"/>
      <c r="AE686" s="234"/>
      <c r="AF686" s="232" t="s">
        <v>77</v>
      </c>
      <c r="AG686" s="232" t="s">
        <v>350</v>
      </c>
      <c r="AH686" s="234" t="s">
        <v>317</v>
      </c>
      <c r="AJ686" s="234">
        <v>0</v>
      </c>
      <c r="AK686" s="224"/>
      <c r="AL686" s="234">
        <v>0</v>
      </c>
      <c r="AM686" s="224"/>
      <c r="AN686" s="234">
        <v>0</v>
      </c>
      <c r="AO686" s="234">
        <v>1</v>
      </c>
      <c r="AP686" s="234">
        <v>0</v>
      </c>
      <c r="AQ686" s="234">
        <v>0</v>
      </c>
      <c r="AR686" s="234">
        <v>0</v>
      </c>
      <c r="AS686" s="234">
        <v>0</v>
      </c>
      <c r="AT686" s="234">
        <v>0</v>
      </c>
      <c r="AU686" s="234">
        <v>0</v>
      </c>
      <c r="AV686" s="234">
        <v>1</v>
      </c>
      <c r="AW686" s="234">
        <v>0</v>
      </c>
      <c r="AX686" s="234">
        <v>0</v>
      </c>
      <c r="AY686" s="234">
        <v>0</v>
      </c>
      <c r="AZ686" s="234">
        <v>0</v>
      </c>
      <c r="BA686" s="234">
        <v>0</v>
      </c>
      <c r="BB686" s="234">
        <v>0</v>
      </c>
      <c r="BC686" s="234">
        <v>0</v>
      </c>
      <c r="BD686" s="234">
        <v>0</v>
      </c>
      <c r="BE686" s="234">
        <v>0</v>
      </c>
      <c r="BF686" s="234">
        <v>0</v>
      </c>
      <c r="BG686" s="234">
        <v>0</v>
      </c>
      <c r="BH686" s="234">
        <v>0</v>
      </c>
      <c r="BI686" s="234">
        <v>0</v>
      </c>
      <c r="BJ686" s="234">
        <v>0</v>
      </c>
      <c r="BK686" s="234">
        <v>0</v>
      </c>
      <c r="BL686" s="234">
        <v>0</v>
      </c>
      <c r="BM686" s="234">
        <v>0</v>
      </c>
      <c r="BN686" s="234">
        <v>0</v>
      </c>
      <c r="BO686" s="234">
        <v>0</v>
      </c>
      <c r="BP686" s="234"/>
      <c r="BQ686" s="234"/>
      <c r="BR686" s="237" t="s">
        <v>334</v>
      </c>
      <c r="BS686" s="238">
        <v>15</v>
      </c>
      <c r="BU686" s="239">
        <f t="shared" si="77"/>
        <v>0.25</v>
      </c>
      <c r="BV686" s="239">
        <f t="shared" si="78"/>
        <v>0.25</v>
      </c>
      <c r="BW686" s="239">
        <f t="shared" si="79"/>
        <v>0.25</v>
      </c>
      <c r="BX686" s="239">
        <f t="shared" si="80"/>
        <v>0.25</v>
      </c>
      <c r="CN686" s="238">
        <f t="shared" si="74"/>
        <v>1</v>
      </c>
      <c r="CO686" s="238">
        <f t="shared" si="75"/>
        <v>1</v>
      </c>
    </row>
    <row r="687" spans="1:93" ht="13.95" customHeight="1" x14ac:dyDescent="0.2">
      <c r="A687" s="231">
        <v>7232</v>
      </c>
      <c r="B687" s="232" t="s">
        <v>822</v>
      </c>
      <c r="C687" s="232" t="s">
        <v>2065</v>
      </c>
      <c r="D687" s="232" t="s">
        <v>2066</v>
      </c>
      <c r="E687" s="232" t="s">
        <v>317</v>
      </c>
      <c r="F687" s="231">
        <v>528139</v>
      </c>
      <c r="G687" s="231">
        <v>173962</v>
      </c>
      <c r="H687" s="232" t="s">
        <v>141</v>
      </c>
      <c r="I687" s="233"/>
      <c r="J687" s="231"/>
      <c r="K687" s="231">
        <v>1</v>
      </c>
      <c r="L687" s="231">
        <v>2</v>
      </c>
      <c r="M687" s="231">
        <v>1</v>
      </c>
      <c r="N687" s="231">
        <v>2</v>
      </c>
      <c r="O687" s="231">
        <v>1</v>
      </c>
      <c r="P687" s="234"/>
      <c r="Q687" s="232" t="s">
        <v>2067</v>
      </c>
      <c r="R687" s="234" t="s">
        <v>332</v>
      </c>
      <c r="S687" s="235">
        <v>43697</v>
      </c>
      <c r="T687" s="235">
        <v>43740</v>
      </c>
      <c r="U687" s="234"/>
      <c r="V687" s="232" t="s">
        <v>321</v>
      </c>
      <c r="W687" s="231"/>
      <c r="X687" s="232" t="s">
        <v>322</v>
      </c>
      <c r="Y687" s="232" t="s">
        <v>365</v>
      </c>
      <c r="Z687" s="232" t="s">
        <v>324</v>
      </c>
      <c r="AA687" s="232" t="s">
        <v>411</v>
      </c>
      <c r="AB687" s="236">
        <v>8.9999999999999993E-3</v>
      </c>
      <c r="AC687" s="235"/>
      <c r="AD687" s="234"/>
      <c r="AE687" s="234"/>
      <c r="AF687" s="232" t="s">
        <v>77</v>
      </c>
      <c r="AG687" s="232" t="s">
        <v>350</v>
      </c>
      <c r="AH687" s="234" t="s">
        <v>317</v>
      </c>
      <c r="AJ687" s="234">
        <v>0</v>
      </c>
      <c r="AK687" s="224"/>
      <c r="AL687" s="234">
        <v>0</v>
      </c>
      <c r="AM687" s="224"/>
      <c r="AN687" s="234">
        <v>0</v>
      </c>
      <c r="AO687" s="234">
        <v>2</v>
      </c>
      <c r="AP687" s="234">
        <v>0</v>
      </c>
      <c r="AQ687" s="234">
        <v>-1</v>
      </c>
      <c r="AR687" s="234">
        <v>0</v>
      </c>
      <c r="AS687" s="234">
        <v>0</v>
      </c>
      <c r="AT687" s="234">
        <v>0</v>
      </c>
      <c r="AU687" s="234">
        <v>0</v>
      </c>
      <c r="AV687" s="234">
        <v>2</v>
      </c>
      <c r="AW687" s="234">
        <v>0</v>
      </c>
      <c r="AX687" s="234">
        <v>-1</v>
      </c>
      <c r="AY687" s="234">
        <v>0</v>
      </c>
      <c r="AZ687" s="234">
        <v>0</v>
      </c>
      <c r="BA687" s="234">
        <v>0</v>
      </c>
      <c r="BB687" s="234">
        <v>0</v>
      </c>
      <c r="BC687" s="234">
        <v>0</v>
      </c>
      <c r="BD687" s="234">
        <v>0</v>
      </c>
      <c r="BE687" s="234">
        <v>0</v>
      </c>
      <c r="BF687" s="234">
        <v>0</v>
      </c>
      <c r="BG687" s="234">
        <v>0</v>
      </c>
      <c r="BH687" s="234">
        <v>0</v>
      </c>
      <c r="BI687" s="234">
        <v>0</v>
      </c>
      <c r="BJ687" s="234">
        <v>0</v>
      </c>
      <c r="BK687" s="234">
        <v>0</v>
      </c>
      <c r="BL687" s="234">
        <v>0</v>
      </c>
      <c r="BM687" s="234">
        <v>0</v>
      </c>
      <c r="BN687" s="234">
        <v>0</v>
      </c>
      <c r="BO687" s="234">
        <v>0</v>
      </c>
      <c r="BP687" s="234"/>
      <c r="BQ687" s="234"/>
      <c r="BR687" s="237" t="s">
        <v>334</v>
      </c>
      <c r="BS687" s="238">
        <v>15</v>
      </c>
      <c r="BU687" s="239">
        <f t="shared" si="77"/>
        <v>0.25</v>
      </c>
      <c r="BV687" s="239">
        <f t="shared" si="78"/>
        <v>0.25</v>
      </c>
      <c r="BW687" s="239">
        <f t="shared" si="79"/>
        <v>0.25</v>
      </c>
      <c r="BX687" s="239">
        <f t="shared" si="80"/>
        <v>0.25</v>
      </c>
      <c r="CN687" s="238">
        <f t="shared" si="74"/>
        <v>1</v>
      </c>
      <c r="CO687" s="238">
        <f t="shared" si="75"/>
        <v>1</v>
      </c>
    </row>
    <row r="688" spans="1:93" ht="13.95" customHeight="1" x14ac:dyDescent="0.2">
      <c r="A688" s="231">
        <v>7482</v>
      </c>
      <c r="B688" s="232" t="s">
        <v>822</v>
      </c>
      <c r="C688" s="232" t="s">
        <v>2068</v>
      </c>
      <c r="D688" s="232" t="s">
        <v>2069</v>
      </c>
      <c r="E688" s="232" t="s">
        <v>317</v>
      </c>
      <c r="F688" s="231">
        <v>528070</v>
      </c>
      <c r="G688" s="231">
        <v>174219</v>
      </c>
      <c r="H688" s="232" t="s">
        <v>169</v>
      </c>
      <c r="I688" s="233"/>
      <c r="J688" s="231"/>
      <c r="K688" s="231">
        <v>0</v>
      </c>
      <c r="L688" s="231">
        <v>1</v>
      </c>
      <c r="M688" s="231">
        <v>1</v>
      </c>
      <c r="N688" s="231">
        <v>1</v>
      </c>
      <c r="O688" s="231">
        <v>1</v>
      </c>
      <c r="P688" s="234"/>
      <c r="Q688" s="232" t="s">
        <v>2070</v>
      </c>
      <c r="R688" s="234" t="s">
        <v>332</v>
      </c>
      <c r="S688" s="235">
        <v>44127</v>
      </c>
      <c r="T688" s="235">
        <v>44183</v>
      </c>
      <c r="U688" s="234"/>
      <c r="V688" s="232" t="s">
        <v>321</v>
      </c>
      <c r="W688" s="231"/>
      <c r="X688" s="232" t="s">
        <v>322</v>
      </c>
      <c r="Y688" s="232" t="s">
        <v>365</v>
      </c>
      <c r="Z688" s="232" t="s">
        <v>324</v>
      </c>
      <c r="AA688" s="232" t="s">
        <v>31</v>
      </c>
      <c r="AB688" s="236">
        <v>4.0000000000000001E-3</v>
      </c>
      <c r="AC688" s="235"/>
      <c r="AD688" s="234"/>
      <c r="AE688" s="234"/>
      <c r="AF688" s="232" t="s">
        <v>77</v>
      </c>
      <c r="AG688" s="232" t="s">
        <v>350</v>
      </c>
      <c r="AH688" s="234" t="s">
        <v>317</v>
      </c>
      <c r="AJ688" s="234">
        <v>0</v>
      </c>
      <c r="AK688" s="224"/>
      <c r="AL688" s="234">
        <v>0</v>
      </c>
      <c r="AM688" s="224"/>
      <c r="AN688" s="234">
        <v>0</v>
      </c>
      <c r="AO688" s="234">
        <v>1</v>
      </c>
      <c r="AP688" s="234">
        <v>0</v>
      </c>
      <c r="AQ688" s="234">
        <v>0</v>
      </c>
      <c r="AR688" s="234">
        <v>0</v>
      </c>
      <c r="AS688" s="234">
        <v>0</v>
      </c>
      <c r="AT688" s="234">
        <v>0</v>
      </c>
      <c r="AU688" s="234">
        <v>0</v>
      </c>
      <c r="AV688" s="234">
        <v>0</v>
      </c>
      <c r="AW688" s="234">
        <v>0</v>
      </c>
      <c r="AX688" s="234">
        <v>0</v>
      </c>
      <c r="AY688" s="234">
        <v>0</v>
      </c>
      <c r="AZ688" s="234">
        <v>0</v>
      </c>
      <c r="BA688" s="234">
        <v>0</v>
      </c>
      <c r="BB688" s="234">
        <v>0</v>
      </c>
      <c r="BC688" s="234">
        <v>1</v>
      </c>
      <c r="BD688" s="234">
        <v>0</v>
      </c>
      <c r="BE688" s="234">
        <v>0</v>
      </c>
      <c r="BF688" s="234">
        <v>0</v>
      </c>
      <c r="BG688" s="234">
        <v>0</v>
      </c>
      <c r="BH688" s="234">
        <v>0</v>
      </c>
      <c r="BI688" s="234">
        <v>0</v>
      </c>
      <c r="BJ688" s="234">
        <v>0</v>
      </c>
      <c r="BK688" s="234">
        <v>0</v>
      </c>
      <c r="BL688" s="234">
        <v>0</v>
      </c>
      <c r="BM688" s="234">
        <v>0</v>
      </c>
      <c r="BN688" s="234">
        <v>0</v>
      </c>
      <c r="BO688" s="234">
        <v>0</v>
      </c>
      <c r="BP688" s="234"/>
      <c r="BQ688" s="234"/>
      <c r="BR688" s="237" t="s">
        <v>334</v>
      </c>
      <c r="BS688" s="238">
        <v>15</v>
      </c>
      <c r="BU688" s="239">
        <f t="shared" si="77"/>
        <v>0.25</v>
      </c>
      <c r="BV688" s="239">
        <f t="shared" si="78"/>
        <v>0.25</v>
      </c>
      <c r="BW688" s="239">
        <f t="shared" si="79"/>
        <v>0.25</v>
      </c>
      <c r="BX688" s="239">
        <f t="shared" si="80"/>
        <v>0.25</v>
      </c>
      <c r="CN688" s="238">
        <f t="shared" si="74"/>
        <v>1</v>
      </c>
      <c r="CO688" s="238">
        <f t="shared" si="75"/>
        <v>1</v>
      </c>
    </row>
    <row r="689" spans="1:93" ht="13.95" customHeight="1" x14ac:dyDescent="0.2">
      <c r="A689" s="231">
        <v>7612</v>
      </c>
      <c r="B689" s="232" t="s">
        <v>822</v>
      </c>
      <c r="C689" s="232" t="s">
        <v>2071</v>
      </c>
      <c r="D689" s="232" t="s">
        <v>2072</v>
      </c>
      <c r="E689" s="232" t="s">
        <v>317</v>
      </c>
      <c r="F689" s="231">
        <v>527126</v>
      </c>
      <c r="G689" s="231">
        <v>171628</v>
      </c>
      <c r="H689" s="232" t="s">
        <v>177</v>
      </c>
      <c r="I689" s="233"/>
      <c r="J689" s="231"/>
      <c r="K689" s="231">
        <v>2</v>
      </c>
      <c r="L689" s="231">
        <v>3</v>
      </c>
      <c r="M689" s="231">
        <v>1</v>
      </c>
      <c r="N689" s="231">
        <v>3</v>
      </c>
      <c r="O689" s="231">
        <v>1</v>
      </c>
      <c r="P689" s="234"/>
      <c r="Q689" s="232" t="s">
        <v>2073</v>
      </c>
      <c r="R689" s="234" t="s">
        <v>332</v>
      </c>
      <c r="S689" s="235">
        <v>44333</v>
      </c>
      <c r="T689" s="235">
        <v>44389</v>
      </c>
      <c r="U689" s="234"/>
      <c r="V689" s="232" t="s">
        <v>321</v>
      </c>
      <c r="W689" s="231"/>
      <c r="X689" s="232" t="s">
        <v>322</v>
      </c>
      <c r="Y689" s="232" t="s">
        <v>339</v>
      </c>
      <c r="Z689" s="232" t="s">
        <v>324</v>
      </c>
      <c r="AA689" s="232" t="s">
        <v>354</v>
      </c>
      <c r="AB689" s="236">
        <v>5.2166599999999997E-3</v>
      </c>
      <c r="AC689" s="235"/>
      <c r="AD689" s="234"/>
      <c r="AE689" s="234"/>
      <c r="AF689" s="232" t="s">
        <v>77</v>
      </c>
      <c r="AG689" s="232" t="s">
        <v>340</v>
      </c>
      <c r="AH689" s="234" t="s">
        <v>317</v>
      </c>
      <c r="AJ689" s="234">
        <v>0</v>
      </c>
      <c r="AK689" s="224"/>
      <c r="AL689" s="234">
        <v>0</v>
      </c>
      <c r="AM689" s="224"/>
      <c r="AN689" s="234">
        <v>1</v>
      </c>
      <c r="AO689" s="234">
        <v>0</v>
      </c>
      <c r="AP689" s="234">
        <v>0</v>
      </c>
      <c r="AQ689" s="234">
        <v>0</v>
      </c>
      <c r="AR689" s="234">
        <v>0</v>
      </c>
      <c r="AS689" s="234">
        <v>0</v>
      </c>
      <c r="AT689" s="234">
        <v>0</v>
      </c>
      <c r="AU689" s="234">
        <v>1</v>
      </c>
      <c r="AV689" s="234">
        <v>0</v>
      </c>
      <c r="AW689" s="234">
        <v>0</v>
      </c>
      <c r="AX689" s="234">
        <v>0</v>
      </c>
      <c r="AY689" s="234">
        <v>0</v>
      </c>
      <c r="AZ689" s="234">
        <v>0</v>
      </c>
      <c r="BA689" s="234">
        <v>0</v>
      </c>
      <c r="BB689" s="234">
        <v>0</v>
      </c>
      <c r="BC689" s="234">
        <v>0</v>
      </c>
      <c r="BD689" s="234">
        <v>0</v>
      </c>
      <c r="BE689" s="234">
        <v>0</v>
      </c>
      <c r="BF689" s="234">
        <v>0</v>
      </c>
      <c r="BG689" s="234">
        <v>0</v>
      </c>
      <c r="BH689" s="234">
        <v>0</v>
      </c>
      <c r="BI689" s="234">
        <v>0</v>
      </c>
      <c r="BJ689" s="234">
        <v>0</v>
      </c>
      <c r="BK689" s="234">
        <v>0</v>
      </c>
      <c r="BL689" s="234">
        <v>0</v>
      </c>
      <c r="BM689" s="234">
        <v>0</v>
      </c>
      <c r="BN689" s="234">
        <v>0</v>
      </c>
      <c r="BO689" s="234">
        <v>0</v>
      </c>
      <c r="BP689" s="234"/>
      <c r="BQ689" s="234"/>
      <c r="BR689" s="237" t="s">
        <v>334</v>
      </c>
      <c r="BS689" s="238">
        <v>15</v>
      </c>
      <c r="BU689" s="239">
        <f t="shared" si="77"/>
        <v>0.25</v>
      </c>
      <c r="BV689" s="239">
        <f t="shared" si="78"/>
        <v>0.25</v>
      </c>
      <c r="BW689" s="239">
        <f t="shared" si="79"/>
        <v>0.25</v>
      </c>
      <c r="BX689" s="239">
        <f t="shared" si="80"/>
        <v>0.25</v>
      </c>
      <c r="CN689" s="238">
        <f t="shared" si="74"/>
        <v>1</v>
      </c>
      <c r="CO689" s="238">
        <f t="shared" si="75"/>
        <v>1</v>
      </c>
    </row>
    <row r="690" spans="1:93" ht="13.95" customHeight="1" x14ac:dyDescent="0.2">
      <c r="A690" s="231">
        <v>7055</v>
      </c>
      <c r="B690" s="232" t="s">
        <v>822</v>
      </c>
      <c r="C690" s="232" t="s">
        <v>2074</v>
      </c>
      <c r="D690" s="232" t="s">
        <v>2075</v>
      </c>
      <c r="E690" s="232" t="s">
        <v>317</v>
      </c>
      <c r="F690" s="231">
        <v>528371</v>
      </c>
      <c r="G690" s="231">
        <v>173680</v>
      </c>
      <c r="H690" s="232" t="s">
        <v>141</v>
      </c>
      <c r="I690" s="233"/>
      <c r="J690" s="231"/>
      <c r="K690" s="231">
        <v>0</v>
      </c>
      <c r="L690" s="231">
        <v>1</v>
      </c>
      <c r="M690" s="231">
        <v>1</v>
      </c>
      <c r="N690" s="231">
        <v>5</v>
      </c>
      <c r="O690" s="231">
        <v>0</v>
      </c>
      <c r="P690" s="234"/>
      <c r="Q690" s="232" t="s">
        <v>2076</v>
      </c>
      <c r="R690" s="234" t="s">
        <v>332</v>
      </c>
      <c r="S690" s="235">
        <v>44064</v>
      </c>
      <c r="T690" s="235">
        <v>44120</v>
      </c>
      <c r="U690" s="234"/>
      <c r="V690" s="232" t="s">
        <v>321</v>
      </c>
      <c r="W690" s="231"/>
      <c r="X690" s="232" t="s">
        <v>322</v>
      </c>
      <c r="Y690" s="232" t="s">
        <v>338</v>
      </c>
      <c r="Z690" s="232" t="s">
        <v>324</v>
      </c>
      <c r="AA690" s="232" t="s">
        <v>354</v>
      </c>
      <c r="AB690" s="236">
        <v>4.0000000000000001E-3</v>
      </c>
      <c r="AC690" s="235"/>
      <c r="AD690" s="234"/>
      <c r="AE690" s="234"/>
      <c r="AF690" s="232" t="s">
        <v>77</v>
      </c>
      <c r="AG690" s="232" t="s">
        <v>350</v>
      </c>
      <c r="AH690" s="234" t="s">
        <v>317</v>
      </c>
      <c r="AJ690" s="234">
        <v>0</v>
      </c>
      <c r="AK690" s="224"/>
      <c r="AL690" s="234">
        <v>0</v>
      </c>
      <c r="AM690" s="224"/>
      <c r="AN690" s="234">
        <v>1</v>
      </c>
      <c r="AO690" s="234">
        <v>0</v>
      </c>
      <c r="AP690" s="234">
        <v>0</v>
      </c>
      <c r="AQ690" s="234">
        <v>0</v>
      </c>
      <c r="AR690" s="234">
        <v>0</v>
      </c>
      <c r="AS690" s="234">
        <v>0</v>
      </c>
      <c r="AT690" s="234">
        <v>0</v>
      </c>
      <c r="AU690" s="234">
        <v>1</v>
      </c>
      <c r="AV690" s="234">
        <v>0</v>
      </c>
      <c r="AW690" s="234">
        <v>0</v>
      </c>
      <c r="AX690" s="234">
        <v>0</v>
      </c>
      <c r="AY690" s="234">
        <v>0</v>
      </c>
      <c r="AZ690" s="234">
        <v>0</v>
      </c>
      <c r="BA690" s="234">
        <v>0</v>
      </c>
      <c r="BB690" s="234">
        <v>0</v>
      </c>
      <c r="BC690" s="234">
        <v>0</v>
      </c>
      <c r="BD690" s="234">
        <v>0</v>
      </c>
      <c r="BE690" s="234">
        <v>0</v>
      </c>
      <c r="BF690" s="234">
        <v>0</v>
      </c>
      <c r="BG690" s="234">
        <v>0</v>
      </c>
      <c r="BH690" s="234">
        <v>0</v>
      </c>
      <c r="BI690" s="234">
        <v>0</v>
      </c>
      <c r="BJ690" s="234">
        <v>0</v>
      </c>
      <c r="BK690" s="234">
        <v>0</v>
      </c>
      <c r="BL690" s="234">
        <v>0</v>
      </c>
      <c r="BM690" s="234">
        <v>0</v>
      </c>
      <c r="BN690" s="234">
        <v>0</v>
      </c>
      <c r="BO690" s="234">
        <v>0</v>
      </c>
      <c r="BP690" s="234"/>
      <c r="BQ690" s="234"/>
      <c r="BR690" s="237" t="s">
        <v>334</v>
      </c>
      <c r="BS690" s="238">
        <v>15</v>
      </c>
      <c r="BU690" s="239">
        <f t="shared" si="77"/>
        <v>0.25</v>
      </c>
      <c r="BV690" s="239">
        <f t="shared" si="78"/>
        <v>0.25</v>
      </c>
      <c r="BW690" s="239">
        <f t="shared" si="79"/>
        <v>0.25</v>
      </c>
      <c r="BX690" s="239">
        <f t="shared" si="80"/>
        <v>0.25</v>
      </c>
      <c r="CN690" s="238">
        <f t="shared" si="74"/>
        <v>1</v>
      </c>
      <c r="CO690" s="238">
        <f t="shared" si="75"/>
        <v>1</v>
      </c>
    </row>
    <row r="691" spans="1:93" ht="13.95" customHeight="1" x14ac:dyDescent="0.2">
      <c r="A691" s="231">
        <v>7641</v>
      </c>
      <c r="B691" s="232" t="s">
        <v>822</v>
      </c>
      <c r="C691" s="232" t="s">
        <v>2077</v>
      </c>
      <c r="D691" s="232" t="s">
        <v>2078</v>
      </c>
      <c r="E691" s="232" t="s">
        <v>317</v>
      </c>
      <c r="F691" s="231">
        <v>524772</v>
      </c>
      <c r="G691" s="231">
        <v>173253</v>
      </c>
      <c r="H691" s="232" t="s">
        <v>173</v>
      </c>
      <c r="I691" s="233"/>
      <c r="J691" s="231"/>
      <c r="K691" s="231">
        <v>0</v>
      </c>
      <c r="L691" s="231">
        <v>1</v>
      </c>
      <c r="M691" s="231">
        <v>1</v>
      </c>
      <c r="N691" s="231">
        <v>1</v>
      </c>
      <c r="O691" s="231">
        <v>1</v>
      </c>
      <c r="P691" s="234"/>
      <c r="Q691" s="232" t="s">
        <v>2079</v>
      </c>
      <c r="R691" s="234" t="s">
        <v>629</v>
      </c>
      <c r="S691" s="235">
        <v>44341</v>
      </c>
      <c r="T691" s="235">
        <v>44392</v>
      </c>
      <c r="U691" s="234"/>
      <c r="V691" s="232" t="s">
        <v>321</v>
      </c>
      <c r="W691" s="231"/>
      <c r="X691" s="232" t="s">
        <v>322</v>
      </c>
      <c r="Y691" s="232" t="s">
        <v>378</v>
      </c>
      <c r="Z691" s="232" t="s">
        <v>324</v>
      </c>
      <c r="AA691" s="232" t="s">
        <v>28</v>
      </c>
      <c r="AB691" s="236">
        <v>5.0000000000000001E-3</v>
      </c>
      <c r="AC691" s="235"/>
      <c r="AD691" s="234"/>
      <c r="AE691" s="234"/>
      <c r="AF691" s="232" t="s">
        <v>77</v>
      </c>
      <c r="AG691" s="232" t="s">
        <v>350</v>
      </c>
      <c r="AH691" s="234" t="s">
        <v>317</v>
      </c>
      <c r="AJ691" s="234">
        <v>0</v>
      </c>
      <c r="AK691" s="224"/>
      <c r="AL691" s="234">
        <v>0</v>
      </c>
      <c r="AM691" s="224"/>
      <c r="AN691" s="234">
        <v>0</v>
      </c>
      <c r="AO691" s="234">
        <v>0</v>
      </c>
      <c r="AP691" s="234">
        <v>0</v>
      </c>
      <c r="AQ691" s="234">
        <v>1</v>
      </c>
      <c r="AR691" s="234">
        <v>0</v>
      </c>
      <c r="AS691" s="234">
        <v>0</v>
      </c>
      <c r="AT691" s="234">
        <v>0</v>
      </c>
      <c r="AU691" s="234">
        <v>0</v>
      </c>
      <c r="AV691" s="234">
        <v>0</v>
      </c>
      <c r="AW691" s="234">
        <v>0</v>
      </c>
      <c r="AX691" s="234">
        <v>0</v>
      </c>
      <c r="AY691" s="234">
        <v>0</v>
      </c>
      <c r="AZ691" s="234">
        <v>0</v>
      </c>
      <c r="BA691" s="234">
        <v>0</v>
      </c>
      <c r="BB691" s="234">
        <v>0</v>
      </c>
      <c r="BC691" s="234">
        <v>0</v>
      </c>
      <c r="BD691" s="234">
        <v>0</v>
      </c>
      <c r="BE691" s="234">
        <v>1</v>
      </c>
      <c r="BF691" s="234">
        <v>0</v>
      </c>
      <c r="BG691" s="234">
        <v>0</v>
      </c>
      <c r="BH691" s="234">
        <v>0</v>
      </c>
      <c r="BI691" s="234">
        <v>0</v>
      </c>
      <c r="BJ691" s="234">
        <v>0</v>
      </c>
      <c r="BK691" s="234">
        <v>0</v>
      </c>
      <c r="BL691" s="234">
        <v>0</v>
      </c>
      <c r="BM691" s="234">
        <v>0</v>
      </c>
      <c r="BN691" s="234">
        <v>0</v>
      </c>
      <c r="BO691" s="234">
        <v>0</v>
      </c>
      <c r="BP691" s="234"/>
      <c r="BQ691" s="234"/>
      <c r="BR691" s="237" t="s">
        <v>334</v>
      </c>
      <c r="BS691" s="238">
        <v>15</v>
      </c>
      <c r="BU691" s="239">
        <f t="shared" si="77"/>
        <v>0.25</v>
      </c>
      <c r="BV691" s="239">
        <f t="shared" si="78"/>
        <v>0.25</v>
      </c>
      <c r="BW691" s="239">
        <f t="shared" si="79"/>
        <v>0.25</v>
      </c>
      <c r="BX691" s="239">
        <f t="shared" si="80"/>
        <v>0.25</v>
      </c>
      <c r="CN691" s="238">
        <f t="shared" si="74"/>
        <v>1</v>
      </c>
      <c r="CO691" s="238">
        <f t="shared" si="75"/>
        <v>1</v>
      </c>
    </row>
    <row r="692" spans="1:93" ht="13.95" customHeight="1" x14ac:dyDescent="0.2">
      <c r="A692" s="231">
        <v>5308</v>
      </c>
      <c r="B692" s="232" t="s">
        <v>822</v>
      </c>
      <c r="C692" s="232" t="s">
        <v>2080</v>
      </c>
      <c r="D692" s="232" t="s">
        <v>2081</v>
      </c>
      <c r="E692" s="232" t="s">
        <v>317</v>
      </c>
      <c r="F692" s="231">
        <v>527156</v>
      </c>
      <c r="G692" s="231">
        <v>171614</v>
      </c>
      <c r="H692" s="232" t="s">
        <v>177</v>
      </c>
      <c r="I692" s="233"/>
      <c r="J692" s="231"/>
      <c r="K692" s="231">
        <v>0</v>
      </c>
      <c r="L692" s="231">
        <v>1</v>
      </c>
      <c r="M692" s="231">
        <v>1</v>
      </c>
      <c r="N692" s="231">
        <v>1</v>
      </c>
      <c r="O692" s="231">
        <v>1</v>
      </c>
      <c r="P692" s="234"/>
      <c r="Q692" s="232" t="s">
        <v>2082</v>
      </c>
      <c r="R692" s="234" t="s">
        <v>629</v>
      </c>
      <c r="S692" s="235">
        <v>43451</v>
      </c>
      <c r="T692" s="235">
        <v>43495</v>
      </c>
      <c r="U692" s="234"/>
      <c r="V692" s="232" t="s">
        <v>321</v>
      </c>
      <c r="W692" s="231"/>
      <c r="X692" s="232" t="s">
        <v>322</v>
      </c>
      <c r="Y692" s="232" t="s">
        <v>378</v>
      </c>
      <c r="Z692" s="232" t="s">
        <v>324</v>
      </c>
      <c r="AA692" s="232" t="s">
        <v>28</v>
      </c>
      <c r="AB692" s="236">
        <v>3.0000000000000001E-3</v>
      </c>
      <c r="AC692" s="235"/>
      <c r="AD692" s="234"/>
      <c r="AE692" s="234"/>
      <c r="AF692" s="232" t="s">
        <v>77</v>
      </c>
      <c r="AG692" s="232" t="s">
        <v>350</v>
      </c>
      <c r="AH692" s="234" t="s">
        <v>317</v>
      </c>
      <c r="AJ692" s="234">
        <v>0</v>
      </c>
      <c r="AK692" s="224"/>
      <c r="AL692" s="234">
        <v>0</v>
      </c>
      <c r="AM692" s="224"/>
      <c r="AN692" s="234">
        <v>0</v>
      </c>
      <c r="AO692" s="234">
        <v>1</v>
      </c>
      <c r="AP692" s="234">
        <v>0</v>
      </c>
      <c r="AQ692" s="234">
        <v>0</v>
      </c>
      <c r="AR692" s="234">
        <v>0</v>
      </c>
      <c r="AS692" s="234">
        <v>0</v>
      </c>
      <c r="AT692" s="234">
        <v>0</v>
      </c>
      <c r="AU692" s="234">
        <v>0</v>
      </c>
      <c r="AV692" s="234">
        <v>1</v>
      </c>
      <c r="AW692" s="234">
        <v>0</v>
      </c>
      <c r="AX692" s="234">
        <v>0</v>
      </c>
      <c r="AY692" s="234">
        <v>0</v>
      </c>
      <c r="AZ692" s="234">
        <v>0</v>
      </c>
      <c r="BA692" s="234">
        <v>0</v>
      </c>
      <c r="BB692" s="234">
        <v>0</v>
      </c>
      <c r="BC692" s="234">
        <v>0</v>
      </c>
      <c r="BD692" s="234">
        <v>0</v>
      </c>
      <c r="BE692" s="234">
        <v>0</v>
      </c>
      <c r="BF692" s="234">
        <v>0</v>
      </c>
      <c r="BG692" s="234">
        <v>0</v>
      </c>
      <c r="BH692" s="234">
        <v>0</v>
      </c>
      <c r="BI692" s="234">
        <v>0</v>
      </c>
      <c r="BJ692" s="234">
        <v>0</v>
      </c>
      <c r="BK692" s="234">
        <v>0</v>
      </c>
      <c r="BL692" s="234">
        <v>0</v>
      </c>
      <c r="BM692" s="234">
        <v>0</v>
      </c>
      <c r="BN692" s="234">
        <v>0</v>
      </c>
      <c r="BO692" s="234">
        <v>0</v>
      </c>
      <c r="BP692" s="234"/>
      <c r="BQ692" s="234"/>
      <c r="BR692" s="237" t="s">
        <v>144</v>
      </c>
      <c r="BS692" s="238">
        <v>15</v>
      </c>
      <c r="BU692" s="239">
        <f t="shared" si="77"/>
        <v>0.25</v>
      </c>
      <c r="BV692" s="239">
        <f t="shared" si="78"/>
        <v>0.25</v>
      </c>
      <c r="BW692" s="239">
        <f t="shared" si="79"/>
        <v>0.25</v>
      </c>
      <c r="BX692" s="239">
        <f t="shared" si="80"/>
        <v>0.25</v>
      </c>
      <c r="CN692" s="238">
        <f t="shared" si="74"/>
        <v>1</v>
      </c>
      <c r="CO692" s="238">
        <f t="shared" si="75"/>
        <v>1</v>
      </c>
    </row>
    <row r="693" spans="1:93" ht="13.95" customHeight="1" x14ac:dyDescent="0.2">
      <c r="A693" s="231">
        <v>7148</v>
      </c>
      <c r="B693" s="232" t="s">
        <v>822</v>
      </c>
      <c r="C693" s="232" t="s">
        <v>2083</v>
      </c>
      <c r="D693" s="232" t="s">
        <v>2084</v>
      </c>
      <c r="E693" s="232" t="s">
        <v>317</v>
      </c>
      <c r="F693" s="231">
        <v>527437</v>
      </c>
      <c r="G693" s="231">
        <v>175150</v>
      </c>
      <c r="H693" s="232" t="s">
        <v>167</v>
      </c>
      <c r="I693" s="233"/>
      <c r="J693" s="231"/>
      <c r="K693" s="231">
        <v>0</v>
      </c>
      <c r="L693" s="231">
        <v>1</v>
      </c>
      <c r="M693" s="231">
        <v>1</v>
      </c>
      <c r="N693" s="231">
        <v>1</v>
      </c>
      <c r="O693" s="231">
        <v>1</v>
      </c>
      <c r="P693" s="234"/>
      <c r="Q693" s="232" t="s">
        <v>2085</v>
      </c>
      <c r="R693" s="234" t="s">
        <v>332</v>
      </c>
      <c r="S693" s="235">
        <v>43648</v>
      </c>
      <c r="T693" s="235">
        <v>43679</v>
      </c>
      <c r="U693" s="234"/>
      <c r="V693" s="232" t="s">
        <v>321</v>
      </c>
      <c r="W693" s="231"/>
      <c r="X693" s="232" t="s">
        <v>322</v>
      </c>
      <c r="Y693" s="232" t="s">
        <v>338</v>
      </c>
      <c r="Z693" s="232" t="s">
        <v>324</v>
      </c>
      <c r="AA693" s="232" t="s">
        <v>354</v>
      </c>
      <c r="AB693" s="236">
        <v>1E-3</v>
      </c>
      <c r="AC693" s="235"/>
      <c r="AD693" s="234"/>
      <c r="AE693" s="234"/>
      <c r="AF693" s="232" t="s">
        <v>77</v>
      </c>
      <c r="AG693" s="232" t="s">
        <v>350</v>
      </c>
      <c r="AH693" s="234" t="s">
        <v>317</v>
      </c>
      <c r="AJ693" s="234">
        <v>0</v>
      </c>
      <c r="AK693" s="224"/>
      <c r="AL693" s="234">
        <v>0</v>
      </c>
      <c r="AM693" s="224"/>
      <c r="AN693" s="234">
        <v>0</v>
      </c>
      <c r="AO693" s="234">
        <v>1</v>
      </c>
      <c r="AP693" s="234">
        <v>0</v>
      </c>
      <c r="AQ693" s="234">
        <v>0</v>
      </c>
      <c r="AR693" s="234">
        <v>0</v>
      </c>
      <c r="AS693" s="234">
        <v>0</v>
      </c>
      <c r="AT693" s="234">
        <v>0</v>
      </c>
      <c r="AU693" s="234">
        <v>0</v>
      </c>
      <c r="AV693" s="234">
        <v>1</v>
      </c>
      <c r="AW693" s="234">
        <v>0</v>
      </c>
      <c r="AX693" s="234">
        <v>0</v>
      </c>
      <c r="AY693" s="234">
        <v>0</v>
      </c>
      <c r="AZ693" s="234">
        <v>0</v>
      </c>
      <c r="BA693" s="234">
        <v>0</v>
      </c>
      <c r="BB693" s="234">
        <v>0</v>
      </c>
      <c r="BC693" s="234">
        <v>0</v>
      </c>
      <c r="BD693" s="234">
        <v>0</v>
      </c>
      <c r="BE693" s="234">
        <v>0</v>
      </c>
      <c r="BF693" s="234">
        <v>0</v>
      </c>
      <c r="BG693" s="234">
        <v>0</v>
      </c>
      <c r="BH693" s="234">
        <v>0</v>
      </c>
      <c r="BI693" s="234">
        <v>0</v>
      </c>
      <c r="BJ693" s="234">
        <v>0</v>
      </c>
      <c r="BK693" s="234">
        <v>0</v>
      </c>
      <c r="BL693" s="234">
        <v>0</v>
      </c>
      <c r="BM693" s="234">
        <v>0</v>
      </c>
      <c r="BN693" s="234">
        <v>0</v>
      </c>
      <c r="BO693" s="234">
        <v>0</v>
      </c>
      <c r="BP693" s="234" t="s">
        <v>142</v>
      </c>
      <c r="BQ693" s="234"/>
      <c r="BR693" s="237" t="s">
        <v>150</v>
      </c>
      <c r="BS693" s="238">
        <v>15</v>
      </c>
      <c r="BU693" s="239">
        <f t="shared" si="77"/>
        <v>0.25</v>
      </c>
      <c r="BV693" s="239">
        <f t="shared" si="78"/>
        <v>0.25</v>
      </c>
      <c r="BW693" s="239">
        <f t="shared" si="79"/>
        <v>0.25</v>
      </c>
      <c r="BX693" s="239">
        <f t="shared" si="80"/>
        <v>0.25</v>
      </c>
      <c r="CN693" s="238">
        <f t="shared" ref="CN693:CN756" si="81">SUM(BU693:BY693)</f>
        <v>1</v>
      </c>
      <c r="CO693" s="238">
        <f t="shared" ref="CO693:CO756" si="82">SUM(BU693:CD693)</f>
        <v>1</v>
      </c>
    </row>
    <row r="694" spans="1:93" ht="13.95" customHeight="1" x14ac:dyDescent="0.2">
      <c r="A694" s="231">
        <v>7098</v>
      </c>
      <c r="B694" s="232" t="s">
        <v>822</v>
      </c>
      <c r="C694" s="232" t="s">
        <v>2086</v>
      </c>
      <c r="D694" s="232" t="s">
        <v>2087</v>
      </c>
      <c r="E694" s="232" t="s">
        <v>317</v>
      </c>
      <c r="F694" s="231">
        <v>526209</v>
      </c>
      <c r="G694" s="231">
        <v>174797</v>
      </c>
      <c r="H694" s="232" t="s">
        <v>181</v>
      </c>
      <c r="I694" s="233"/>
      <c r="J694" s="231"/>
      <c r="K694" s="231">
        <v>0</v>
      </c>
      <c r="L694" s="231">
        <v>1</v>
      </c>
      <c r="M694" s="231">
        <v>1</v>
      </c>
      <c r="N694" s="231">
        <v>1</v>
      </c>
      <c r="O694" s="231">
        <v>1</v>
      </c>
      <c r="P694" s="234"/>
      <c r="Q694" s="232" t="s">
        <v>2088</v>
      </c>
      <c r="R694" s="234" t="s">
        <v>332</v>
      </c>
      <c r="S694" s="235">
        <v>43734</v>
      </c>
      <c r="T694" s="235">
        <v>43879</v>
      </c>
      <c r="U694" s="234"/>
      <c r="V694" s="232" t="s">
        <v>321</v>
      </c>
      <c r="W694" s="231"/>
      <c r="X694" s="232" t="s">
        <v>322</v>
      </c>
      <c r="Y694" s="232" t="s">
        <v>378</v>
      </c>
      <c r="Z694" s="232" t="s">
        <v>324</v>
      </c>
      <c r="AA694" s="232" t="s">
        <v>28</v>
      </c>
      <c r="AB694" s="236">
        <v>1.4E-2</v>
      </c>
      <c r="AC694" s="235"/>
      <c r="AD694" s="234"/>
      <c r="AE694" s="234"/>
      <c r="AF694" s="232" t="s">
        <v>77</v>
      </c>
      <c r="AG694" s="232" t="s">
        <v>350</v>
      </c>
      <c r="AH694" s="234" t="s">
        <v>317</v>
      </c>
      <c r="AJ694" s="234">
        <v>0</v>
      </c>
      <c r="AK694" s="224"/>
      <c r="AL694" s="234">
        <v>0</v>
      </c>
      <c r="AM694" s="224"/>
      <c r="AN694" s="234">
        <v>0</v>
      </c>
      <c r="AO694" s="234">
        <v>0</v>
      </c>
      <c r="AP694" s="234">
        <v>0</v>
      </c>
      <c r="AQ694" s="234">
        <v>1</v>
      </c>
      <c r="AR694" s="234">
        <v>0</v>
      </c>
      <c r="AS694" s="234">
        <v>0</v>
      </c>
      <c r="AT694" s="234">
        <v>0</v>
      </c>
      <c r="AU694" s="234">
        <v>0</v>
      </c>
      <c r="AV694" s="234">
        <v>0</v>
      </c>
      <c r="AW694" s="234">
        <v>0</v>
      </c>
      <c r="AX694" s="234">
        <v>1</v>
      </c>
      <c r="AY694" s="234">
        <v>0</v>
      </c>
      <c r="AZ694" s="234">
        <v>0</v>
      </c>
      <c r="BA694" s="234">
        <v>0</v>
      </c>
      <c r="BB694" s="234">
        <v>0</v>
      </c>
      <c r="BC694" s="234">
        <v>0</v>
      </c>
      <c r="BD694" s="234">
        <v>0</v>
      </c>
      <c r="BE694" s="234">
        <v>0</v>
      </c>
      <c r="BF694" s="234">
        <v>0</v>
      </c>
      <c r="BG694" s="234">
        <v>0</v>
      </c>
      <c r="BH694" s="234">
        <v>0</v>
      </c>
      <c r="BI694" s="234">
        <v>0</v>
      </c>
      <c r="BJ694" s="234">
        <v>0</v>
      </c>
      <c r="BK694" s="234">
        <v>0</v>
      </c>
      <c r="BL694" s="234">
        <v>0</v>
      </c>
      <c r="BM694" s="234">
        <v>0</v>
      </c>
      <c r="BN694" s="234">
        <v>0</v>
      </c>
      <c r="BO694" s="234">
        <v>0</v>
      </c>
      <c r="BP694" s="234"/>
      <c r="BQ694" s="234"/>
      <c r="BR694" s="237" t="s">
        <v>334</v>
      </c>
      <c r="BS694" s="238">
        <v>15</v>
      </c>
      <c r="BU694" s="239">
        <f t="shared" si="77"/>
        <v>0.25</v>
      </c>
      <c r="BV694" s="239">
        <f t="shared" si="78"/>
        <v>0.25</v>
      </c>
      <c r="BW694" s="239">
        <f t="shared" si="79"/>
        <v>0.25</v>
      </c>
      <c r="BX694" s="239">
        <f t="shared" si="80"/>
        <v>0.25</v>
      </c>
      <c r="CN694" s="238">
        <f t="shared" si="81"/>
        <v>1</v>
      </c>
      <c r="CO694" s="238">
        <f t="shared" si="82"/>
        <v>1</v>
      </c>
    </row>
    <row r="695" spans="1:93" ht="13.95" customHeight="1" x14ac:dyDescent="0.2">
      <c r="A695" s="231">
        <v>2202</v>
      </c>
      <c r="B695" s="232" t="s">
        <v>822</v>
      </c>
      <c r="C695" s="232" t="s">
        <v>2089</v>
      </c>
      <c r="D695" s="232" t="s">
        <v>2090</v>
      </c>
      <c r="E695" s="232" t="s">
        <v>317</v>
      </c>
      <c r="F695" s="231">
        <v>528351</v>
      </c>
      <c r="G695" s="231">
        <v>173235</v>
      </c>
      <c r="H695" s="232" t="s">
        <v>141</v>
      </c>
      <c r="I695" s="233"/>
      <c r="J695" s="231"/>
      <c r="K695" s="231">
        <v>0</v>
      </c>
      <c r="L695" s="231">
        <v>2</v>
      </c>
      <c r="M695" s="231">
        <v>2</v>
      </c>
      <c r="N695" s="231">
        <v>2</v>
      </c>
      <c r="O695" s="231">
        <v>2</v>
      </c>
      <c r="P695" s="234"/>
      <c r="Q695" s="232" t="s">
        <v>2091</v>
      </c>
      <c r="R695" s="234" t="s">
        <v>332</v>
      </c>
      <c r="S695" s="235">
        <v>43188</v>
      </c>
      <c r="T695" s="235">
        <v>43301</v>
      </c>
      <c r="U695" s="234"/>
      <c r="V695" s="232" t="s">
        <v>321</v>
      </c>
      <c r="W695" s="231"/>
      <c r="X695" s="232" t="s">
        <v>322</v>
      </c>
      <c r="Y695" s="232" t="s">
        <v>323</v>
      </c>
      <c r="Z695" s="232" t="s">
        <v>324</v>
      </c>
      <c r="AA695" s="232" t="s">
        <v>349</v>
      </c>
      <c r="AB695" s="236">
        <v>8.0000000000000002E-3</v>
      </c>
      <c r="AC695" s="235"/>
      <c r="AD695" s="234"/>
      <c r="AE695" s="234"/>
      <c r="AF695" s="232" t="s">
        <v>77</v>
      </c>
      <c r="AG695" s="232" t="s">
        <v>350</v>
      </c>
      <c r="AH695" s="234" t="s">
        <v>317</v>
      </c>
      <c r="AJ695" s="234">
        <v>0</v>
      </c>
      <c r="AK695" s="224"/>
      <c r="AL695" s="234">
        <v>0</v>
      </c>
      <c r="AM695" s="224"/>
      <c r="AN695" s="234">
        <v>0</v>
      </c>
      <c r="AO695" s="234">
        <v>2</v>
      </c>
      <c r="AP695" s="234">
        <v>0</v>
      </c>
      <c r="AQ695" s="234">
        <v>0</v>
      </c>
      <c r="AR695" s="234">
        <v>0</v>
      </c>
      <c r="AS695" s="234">
        <v>0</v>
      </c>
      <c r="AT695" s="234">
        <v>0</v>
      </c>
      <c r="AU695" s="234">
        <v>0</v>
      </c>
      <c r="AV695" s="234">
        <v>2</v>
      </c>
      <c r="AW695" s="234">
        <v>0</v>
      </c>
      <c r="AX695" s="234">
        <v>0</v>
      </c>
      <c r="AY695" s="234">
        <v>0</v>
      </c>
      <c r="AZ695" s="234">
        <v>0</v>
      </c>
      <c r="BA695" s="234">
        <v>0</v>
      </c>
      <c r="BB695" s="234">
        <v>0</v>
      </c>
      <c r="BC695" s="234">
        <v>0</v>
      </c>
      <c r="BD695" s="234">
        <v>0</v>
      </c>
      <c r="BE695" s="234">
        <v>0</v>
      </c>
      <c r="BF695" s="234">
        <v>0</v>
      </c>
      <c r="BG695" s="234">
        <v>0</v>
      </c>
      <c r="BH695" s="234">
        <v>0</v>
      </c>
      <c r="BI695" s="234">
        <v>0</v>
      </c>
      <c r="BJ695" s="234">
        <v>0</v>
      </c>
      <c r="BK695" s="234">
        <v>0</v>
      </c>
      <c r="BL695" s="234">
        <v>0</v>
      </c>
      <c r="BM695" s="234">
        <v>0</v>
      </c>
      <c r="BN695" s="234">
        <v>0</v>
      </c>
      <c r="BO695" s="234">
        <v>0</v>
      </c>
      <c r="BP695" s="234"/>
      <c r="BQ695" s="234"/>
      <c r="BR695" s="237" t="s">
        <v>334</v>
      </c>
      <c r="BS695" s="238">
        <v>7</v>
      </c>
      <c r="BV695" s="239">
        <f t="shared" si="78"/>
        <v>0.5</v>
      </c>
      <c r="BW695" s="239">
        <f t="shared" si="79"/>
        <v>0.5</v>
      </c>
      <c r="BX695" s="239">
        <f t="shared" si="80"/>
        <v>0.5</v>
      </c>
      <c r="BY695" s="239">
        <f>M695/4</f>
        <v>0.5</v>
      </c>
      <c r="CN695" s="238">
        <f t="shared" si="81"/>
        <v>2</v>
      </c>
      <c r="CO695" s="238">
        <f t="shared" si="82"/>
        <v>2</v>
      </c>
    </row>
    <row r="696" spans="1:93" ht="13.95" customHeight="1" x14ac:dyDescent="0.2">
      <c r="A696" s="231">
        <v>7213</v>
      </c>
      <c r="B696" s="232" t="s">
        <v>822</v>
      </c>
      <c r="C696" s="232" t="s">
        <v>2092</v>
      </c>
      <c r="D696" s="232" t="s">
        <v>2093</v>
      </c>
      <c r="E696" s="232" t="s">
        <v>317</v>
      </c>
      <c r="F696" s="231">
        <v>528646</v>
      </c>
      <c r="G696" s="231">
        <v>173527</v>
      </c>
      <c r="H696" s="232" t="s">
        <v>141</v>
      </c>
      <c r="I696" s="233"/>
      <c r="J696" s="231"/>
      <c r="K696" s="231">
        <v>0</v>
      </c>
      <c r="L696" s="231">
        <v>1</v>
      </c>
      <c r="M696" s="231">
        <v>1</v>
      </c>
      <c r="N696" s="231">
        <v>2</v>
      </c>
      <c r="O696" s="231">
        <v>2</v>
      </c>
      <c r="P696" s="234"/>
      <c r="Q696" s="232" t="s">
        <v>2094</v>
      </c>
      <c r="R696" s="234" t="s">
        <v>332</v>
      </c>
      <c r="S696" s="235">
        <v>43679</v>
      </c>
      <c r="T696" s="235">
        <v>43756</v>
      </c>
      <c r="U696" s="234"/>
      <c r="V696" s="232" t="s">
        <v>321</v>
      </c>
      <c r="W696" s="231"/>
      <c r="X696" s="232" t="s">
        <v>322</v>
      </c>
      <c r="Y696" s="232" t="s">
        <v>338</v>
      </c>
      <c r="Z696" s="232" t="s">
        <v>324</v>
      </c>
      <c r="AA696" s="232" t="s">
        <v>31</v>
      </c>
      <c r="AB696" s="236">
        <v>2E-3</v>
      </c>
      <c r="AC696" s="235"/>
      <c r="AD696" s="234"/>
      <c r="AE696" s="234"/>
      <c r="AF696" s="232" t="s">
        <v>77</v>
      </c>
      <c r="AG696" s="232" t="s">
        <v>350</v>
      </c>
      <c r="AH696" s="234" t="s">
        <v>317</v>
      </c>
      <c r="AJ696" s="234">
        <v>0</v>
      </c>
      <c r="AK696" s="224"/>
      <c r="AL696" s="234">
        <v>0</v>
      </c>
      <c r="AM696" s="224"/>
      <c r="AN696" s="234">
        <v>0</v>
      </c>
      <c r="AO696" s="234">
        <v>1</v>
      </c>
      <c r="AP696" s="234">
        <v>0</v>
      </c>
      <c r="AQ696" s="234">
        <v>0</v>
      </c>
      <c r="AR696" s="234">
        <v>0</v>
      </c>
      <c r="AS696" s="234">
        <v>0</v>
      </c>
      <c r="AT696" s="234">
        <v>0</v>
      </c>
      <c r="AU696" s="234">
        <v>0</v>
      </c>
      <c r="AV696" s="234">
        <v>1</v>
      </c>
      <c r="AW696" s="234">
        <v>0</v>
      </c>
      <c r="AX696" s="234">
        <v>0</v>
      </c>
      <c r="AY696" s="234">
        <v>0</v>
      </c>
      <c r="AZ696" s="234">
        <v>0</v>
      </c>
      <c r="BA696" s="234">
        <v>0</v>
      </c>
      <c r="BB696" s="234">
        <v>0</v>
      </c>
      <c r="BC696" s="234">
        <v>0</v>
      </c>
      <c r="BD696" s="234">
        <v>0</v>
      </c>
      <c r="BE696" s="234">
        <v>0</v>
      </c>
      <c r="BF696" s="234">
        <v>0</v>
      </c>
      <c r="BG696" s="234">
        <v>0</v>
      </c>
      <c r="BH696" s="234">
        <v>0</v>
      </c>
      <c r="BI696" s="234">
        <v>0</v>
      </c>
      <c r="BJ696" s="234">
        <v>0</v>
      </c>
      <c r="BK696" s="234">
        <v>0</v>
      </c>
      <c r="BL696" s="234">
        <v>0</v>
      </c>
      <c r="BM696" s="234">
        <v>0</v>
      </c>
      <c r="BN696" s="234">
        <v>0</v>
      </c>
      <c r="BO696" s="234">
        <v>0</v>
      </c>
      <c r="BP696" s="234" t="s">
        <v>141</v>
      </c>
      <c r="BQ696" s="234"/>
      <c r="BR696" s="237" t="s">
        <v>141</v>
      </c>
      <c r="BS696" s="238">
        <v>15</v>
      </c>
      <c r="BU696" s="239">
        <f t="shared" ref="BU696:BU704" si="83">M696/4</f>
        <v>0.25</v>
      </c>
      <c r="BV696" s="239">
        <f t="shared" si="78"/>
        <v>0.25</v>
      </c>
      <c r="BW696" s="239">
        <f t="shared" si="79"/>
        <v>0.25</v>
      </c>
      <c r="BX696" s="239">
        <f t="shared" si="80"/>
        <v>0.25</v>
      </c>
      <c r="CN696" s="238">
        <f t="shared" si="81"/>
        <v>1</v>
      </c>
      <c r="CO696" s="238">
        <f t="shared" si="82"/>
        <v>1</v>
      </c>
    </row>
    <row r="697" spans="1:93" ht="13.95" customHeight="1" x14ac:dyDescent="0.2">
      <c r="A697" s="231">
        <v>7213</v>
      </c>
      <c r="B697" s="232" t="s">
        <v>822</v>
      </c>
      <c r="C697" s="232" t="s">
        <v>2092</v>
      </c>
      <c r="D697" s="232" t="s">
        <v>2093</v>
      </c>
      <c r="E697" s="232" t="s">
        <v>317</v>
      </c>
      <c r="F697" s="231">
        <v>528646</v>
      </c>
      <c r="G697" s="231">
        <v>173527</v>
      </c>
      <c r="H697" s="232" t="s">
        <v>141</v>
      </c>
      <c r="I697" s="233"/>
      <c r="J697" s="231"/>
      <c r="K697" s="231">
        <v>0</v>
      </c>
      <c r="L697" s="231">
        <v>1</v>
      </c>
      <c r="M697" s="231">
        <v>1</v>
      </c>
      <c r="N697" s="231">
        <v>2</v>
      </c>
      <c r="O697" s="231">
        <v>2</v>
      </c>
      <c r="P697" s="234"/>
      <c r="Q697" s="232" t="s">
        <v>2094</v>
      </c>
      <c r="R697" s="234" t="s">
        <v>332</v>
      </c>
      <c r="S697" s="235">
        <v>43679</v>
      </c>
      <c r="T697" s="235">
        <v>43756</v>
      </c>
      <c r="U697" s="234"/>
      <c r="V697" s="232" t="s">
        <v>321</v>
      </c>
      <c r="W697" s="231"/>
      <c r="X697" s="232" t="s">
        <v>322</v>
      </c>
      <c r="Y697" s="232" t="s">
        <v>338</v>
      </c>
      <c r="Z697" s="232" t="s">
        <v>324</v>
      </c>
      <c r="AA697" s="232" t="s">
        <v>354</v>
      </c>
      <c r="AB697" s="236">
        <v>1E-3</v>
      </c>
      <c r="AC697" s="235"/>
      <c r="AD697" s="234"/>
      <c r="AE697" s="234"/>
      <c r="AF697" s="232" t="s">
        <v>77</v>
      </c>
      <c r="AG697" s="232" t="s">
        <v>350</v>
      </c>
      <c r="AH697" s="234" t="s">
        <v>317</v>
      </c>
      <c r="AJ697" s="234">
        <v>0</v>
      </c>
      <c r="AK697" s="224"/>
      <c r="AL697" s="234">
        <v>0</v>
      </c>
      <c r="AM697" s="224"/>
      <c r="AN697" s="234">
        <v>1</v>
      </c>
      <c r="AO697" s="234">
        <v>0</v>
      </c>
      <c r="AP697" s="234">
        <v>0</v>
      </c>
      <c r="AQ697" s="234">
        <v>0</v>
      </c>
      <c r="AR697" s="234">
        <v>0</v>
      </c>
      <c r="AS697" s="234">
        <v>0</v>
      </c>
      <c r="AT697" s="234">
        <v>0</v>
      </c>
      <c r="AU697" s="234">
        <v>1</v>
      </c>
      <c r="AV697" s="234">
        <v>0</v>
      </c>
      <c r="AW697" s="234">
        <v>0</v>
      </c>
      <c r="AX697" s="234">
        <v>0</v>
      </c>
      <c r="AY697" s="234">
        <v>0</v>
      </c>
      <c r="AZ697" s="234">
        <v>0</v>
      </c>
      <c r="BA697" s="234">
        <v>0</v>
      </c>
      <c r="BB697" s="234">
        <v>0</v>
      </c>
      <c r="BC697" s="234">
        <v>0</v>
      </c>
      <c r="BD697" s="234">
        <v>0</v>
      </c>
      <c r="BE697" s="234">
        <v>0</v>
      </c>
      <c r="BF697" s="234">
        <v>0</v>
      </c>
      <c r="BG697" s="234">
        <v>0</v>
      </c>
      <c r="BH697" s="234">
        <v>0</v>
      </c>
      <c r="BI697" s="234">
        <v>0</v>
      </c>
      <c r="BJ697" s="234">
        <v>0</v>
      </c>
      <c r="BK697" s="234">
        <v>0</v>
      </c>
      <c r="BL697" s="234">
        <v>0</v>
      </c>
      <c r="BM697" s="234">
        <v>0</v>
      </c>
      <c r="BN697" s="234">
        <v>0</v>
      </c>
      <c r="BO697" s="234">
        <v>0</v>
      </c>
      <c r="BP697" s="234" t="s">
        <v>141</v>
      </c>
      <c r="BQ697" s="234"/>
      <c r="BR697" s="237" t="s">
        <v>141</v>
      </c>
      <c r="BS697" s="238">
        <v>15</v>
      </c>
      <c r="BU697" s="239">
        <f t="shared" si="83"/>
        <v>0.25</v>
      </c>
      <c r="BV697" s="239">
        <f t="shared" si="78"/>
        <v>0.25</v>
      </c>
      <c r="BW697" s="239">
        <f t="shared" si="79"/>
        <v>0.25</v>
      </c>
      <c r="BX697" s="239">
        <f t="shared" si="80"/>
        <v>0.25</v>
      </c>
      <c r="CN697" s="238">
        <f t="shared" si="81"/>
        <v>1</v>
      </c>
      <c r="CO697" s="238">
        <f t="shared" si="82"/>
        <v>1</v>
      </c>
    </row>
    <row r="698" spans="1:93" ht="13.95" customHeight="1" x14ac:dyDescent="0.2">
      <c r="A698" s="231">
        <v>7170</v>
      </c>
      <c r="B698" s="232" t="s">
        <v>822</v>
      </c>
      <c r="C698" s="232" t="s">
        <v>2095</v>
      </c>
      <c r="D698" s="232" t="s">
        <v>2096</v>
      </c>
      <c r="E698" s="232" t="s">
        <v>317</v>
      </c>
      <c r="F698" s="231">
        <v>526060</v>
      </c>
      <c r="G698" s="231">
        <v>174693</v>
      </c>
      <c r="H698" s="232" t="s">
        <v>181</v>
      </c>
      <c r="I698" s="233"/>
      <c r="J698" s="231"/>
      <c r="K698" s="231">
        <v>0</v>
      </c>
      <c r="L698" s="231">
        <v>1</v>
      </c>
      <c r="M698" s="231">
        <v>1</v>
      </c>
      <c r="N698" s="231">
        <v>1</v>
      </c>
      <c r="O698" s="231">
        <v>1</v>
      </c>
      <c r="P698" s="234"/>
      <c r="Q698" s="232" t="s">
        <v>2097</v>
      </c>
      <c r="R698" s="234" t="s">
        <v>332</v>
      </c>
      <c r="S698" s="235">
        <v>43607</v>
      </c>
      <c r="T698" s="235">
        <v>43706</v>
      </c>
      <c r="U698" s="234"/>
      <c r="V698" s="232" t="s">
        <v>321</v>
      </c>
      <c r="W698" s="231"/>
      <c r="X698" s="232" t="s">
        <v>322</v>
      </c>
      <c r="Y698" s="232" t="s">
        <v>339</v>
      </c>
      <c r="Z698" s="232" t="s">
        <v>324</v>
      </c>
      <c r="AA698" s="232" t="s">
        <v>354</v>
      </c>
      <c r="AB698" s="236">
        <v>2E-3</v>
      </c>
      <c r="AC698" s="235"/>
      <c r="AD698" s="234"/>
      <c r="AE698" s="234"/>
      <c r="AF698" s="232" t="s">
        <v>77</v>
      </c>
      <c r="AG698" s="232" t="s">
        <v>350</v>
      </c>
      <c r="AH698" s="234" t="s">
        <v>317</v>
      </c>
      <c r="AJ698" s="234">
        <v>0</v>
      </c>
      <c r="AK698" s="224"/>
      <c r="AL698" s="234">
        <v>0</v>
      </c>
      <c r="AM698" s="224"/>
      <c r="AN698" s="234">
        <v>0</v>
      </c>
      <c r="AO698" s="234">
        <v>1</v>
      </c>
      <c r="AP698" s="234">
        <v>0</v>
      </c>
      <c r="AQ698" s="234">
        <v>0</v>
      </c>
      <c r="AR698" s="234">
        <v>0</v>
      </c>
      <c r="AS698" s="234">
        <v>0</v>
      </c>
      <c r="AT698" s="234">
        <v>0</v>
      </c>
      <c r="AU698" s="234">
        <v>0</v>
      </c>
      <c r="AV698" s="234">
        <v>1</v>
      </c>
      <c r="AW698" s="234">
        <v>0</v>
      </c>
      <c r="AX698" s="234">
        <v>0</v>
      </c>
      <c r="AY698" s="234">
        <v>0</v>
      </c>
      <c r="AZ698" s="234">
        <v>0</v>
      </c>
      <c r="BA698" s="234">
        <v>0</v>
      </c>
      <c r="BB698" s="234">
        <v>0</v>
      </c>
      <c r="BC698" s="234">
        <v>0</v>
      </c>
      <c r="BD698" s="234">
        <v>0</v>
      </c>
      <c r="BE698" s="234">
        <v>0</v>
      </c>
      <c r="BF698" s="234">
        <v>0</v>
      </c>
      <c r="BG698" s="234">
        <v>0</v>
      </c>
      <c r="BH698" s="234">
        <v>0</v>
      </c>
      <c r="BI698" s="234">
        <v>0</v>
      </c>
      <c r="BJ698" s="234">
        <v>0</v>
      </c>
      <c r="BK698" s="234">
        <v>0</v>
      </c>
      <c r="BL698" s="234">
        <v>0</v>
      </c>
      <c r="BM698" s="234">
        <v>0</v>
      </c>
      <c r="BN698" s="234">
        <v>0</v>
      </c>
      <c r="BO698" s="234">
        <v>0</v>
      </c>
      <c r="BP698" s="234"/>
      <c r="BQ698" s="234"/>
      <c r="BR698" s="237" t="s">
        <v>334</v>
      </c>
      <c r="BS698" s="238">
        <v>15</v>
      </c>
      <c r="BU698" s="239">
        <f t="shared" si="83"/>
        <v>0.25</v>
      </c>
      <c r="BV698" s="239">
        <f t="shared" si="78"/>
        <v>0.25</v>
      </c>
      <c r="BW698" s="239">
        <f t="shared" si="79"/>
        <v>0.25</v>
      </c>
      <c r="BX698" s="239">
        <f t="shared" si="80"/>
        <v>0.25</v>
      </c>
      <c r="CN698" s="238">
        <f t="shared" si="81"/>
        <v>1</v>
      </c>
      <c r="CO698" s="238">
        <f t="shared" si="82"/>
        <v>1</v>
      </c>
    </row>
    <row r="699" spans="1:93" ht="13.95" customHeight="1" x14ac:dyDescent="0.2">
      <c r="A699" s="231">
        <v>6608</v>
      </c>
      <c r="B699" s="232" t="s">
        <v>822</v>
      </c>
      <c r="C699" s="232" t="s">
        <v>2098</v>
      </c>
      <c r="D699" s="232" t="s">
        <v>2099</v>
      </c>
      <c r="E699" s="232" t="s">
        <v>317</v>
      </c>
      <c r="F699" s="231">
        <v>527334</v>
      </c>
      <c r="G699" s="231">
        <v>171328</v>
      </c>
      <c r="H699" s="232" t="s">
        <v>177</v>
      </c>
      <c r="I699" s="233"/>
      <c r="J699" s="231"/>
      <c r="K699" s="231">
        <v>1</v>
      </c>
      <c r="L699" s="231">
        <v>2</v>
      </c>
      <c r="M699" s="231">
        <v>1</v>
      </c>
      <c r="N699" s="231">
        <v>2</v>
      </c>
      <c r="O699" s="231">
        <v>1</v>
      </c>
      <c r="P699" s="234"/>
      <c r="Q699" s="232" t="s">
        <v>2100</v>
      </c>
      <c r="R699" s="234" t="s">
        <v>332</v>
      </c>
      <c r="S699" s="235">
        <v>44565</v>
      </c>
      <c r="T699" s="235">
        <v>44621</v>
      </c>
      <c r="U699" s="234"/>
      <c r="V699" s="232" t="s">
        <v>321</v>
      </c>
      <c r="W699" s="231"/>
      <c r="X699" s="232" t="s">
        <v>322</v>
      </c>
      <c r="Y699" s="232" t="s">
        <v>339</v>
      </c>
      <c r="Z699" s="232" t="s">
        <v>324</v>
      </c>
      <c r="AA699" s="232" t="s">
        <v>354</v>
      </c>
      <c r="AB699" s="236">
        <v>7.8659999999999997E-3</v>
      </c>
      <c r="AC699" s="235"/>
      <c r="AD699" s="234"/>
      <c r="AE699" s="234"/>
      <c r="AF699" s="232" t="s">
        <v>77</v>
      </c>
      <c r="AG699" s="232" t="s">
        <v>340</v>
      </c>
      <c r="AH699" s="234" t="s">
        <v>317</v>
      </c>
      <c r="AJ699" s="234">
        <v>0</v>
      </c>
      <c r="AK699" s="224"/>
      <c r="AL699" s="234">
        <v>0</v>
      </c>
      <c r="AM699" s="224"/>
      <c r="AN699" s="234">
        <v>0</v>
      </c>
      <c r="AO699" s="234">
        <v>0</v>
      </c>
      <c r="AP699" s="234">
        <v>1</v>
      </c>
      <c r="AQ699" s="234">
        <v>0</v>
      </c>
      <c r="AR699" s="234">
        <v>0</v>
      </c>
      <c r="AS699" s="234">
        <v>0</v>
      </c>
      <c r="AT699" s="234">
        <v>0</v>
      </c>
      <c r="AU699" s="234">
        <v>0</v>
      </c>
      <c r="AV699" s="234">
        <v>0</v>
      </c>
      <c r="AW699" s="234">
        <v>1</v>
      </c>
      <c r="AX699" s="234">
        <v>0</v>
      </c>
      <c r="AY699" s="234">
        <v>0</v>
      </c>
      <c r="AZ699" s="234">
        <v>0</v>
      </c>
      <c r="BA699" s="234">
        <v>0</v>
      </c>
      <c r="BB699" s="234">
        <v>0</v>
      </c>
      <c r="BC699" s="234">
        <v>0</v>
      </c>
      <c r="BD699" s="234">
        <v>0</v>
      </c>
      <c r="BE699" s="234">
        <v>0</v>
      </c>
      <c r="BF699" s="234">
        <v>0</v>
      </c>
      <c r="BG699" s="234">
        <v>0</v>
      </c>
      <c r="BH699" s="234">
        <v>0</v>
      </c>
      <c r="BI699" s="234">
        <v>0</v>
      </c>
      <c r="BJ699" s="234">
        <v>0</v>
      </c>
      <c r="BK699" s="234">
        <v>0</v>
      </c>
      <c r="BL699" s="234">
        <v>0</v>
      </c>
      <c r="BM699" s="234">
        <v>0</v>
      </c>
      <c r="BN699" s="234">
        <v>0</v>
      </c>
      <c r="BO699" s="234">
        <v>0</v>
      </c>
      <c r="BP699" s="234"/>
      <c r="BQ699" s="234"/>
      <c r="BR699" s="237" t="s">
        <v>144</v>
      </c>
      <c r="BS699" s="238">
        <v>15</v>
      </c>
      <c r="BU699" s="239">
        <f t="shared" si="83"/>
        <v>0.25</v>
      </c>
      <c r="BV699" s="239">
        <f t="shared" si="78"/>
        <v>0.25</v>
      </c>
      <c r="BW699" s="239">
        <f t="shared" si="79"/>
        <v>0.25</v>
      </c>
      <c r="BX699" s="239">
        <f t="shared" si="80"/>
        <v>0.25</v>
      </c>
      <c r="CN699" s="238">
        <f t="shared" si="81"/>
        <v>1</v>
      </c>
      <c r="CO699" s="238">
        <f t="shared" si="82"/>
        <v>1</v>
      </c>
    </row>
    <row r="700" spans="1:93" ht="13.95" customHeight="1" x14ac:dyDescent="0.2">
      <c r="A700" s="231">
        <v>7661</v>
      </c>
      <c r="B700" s="232" t="s">
        <v>822</v>
      </c>
      <c r="C700" s="232" t="s">
        <v>2101</v>
      </c>
      <c r="D700" s="232" t="s">
        <v>2102</v>
      </c>
      <c r="E700" s="232" t="s">
        <v>317</v>
      </c>
      <c r="F700" s="231">
        <v>528399</v>
      </c>
      <c r="G700" s="231">
        <v>171433</v>
      </c>
      <c r="H700" s="232" t="s">
        <v>176</v>
      </c>
      <c r="I700" s="233"/>
      <c r="J700" s="231"/>
      <c r="K700" s="231">
        <v>1</v>
      </c>
      <c r="L700" s="231">
        <v>2</v>
      </c>
      <c r="M700" s="231">
        <v>1</v>
      </c>
      <c r="N700" s="231">
        <v>2</v>
      </c>
      <c r="O700" s="231">
        <v>1</v>
      </c>
      <c r="P700" s="234"/>
      <c r="Q700" s="232" t="s">
        <v>2103</v>
      </c>
      <c r="R700" s="234" t="s">
        <v>332</v>
      </c>
      <c r="S700" s="235">
        <v>44382</v>
      </c>
      <c r="T700" s="235">
        <v>44442</v>
      </c>
      <c r="U700" s="234"/>
      <c r="V700" s="232" t="s">
        <v>321</v>
      </c>
      <c r="W700" s="231"/>
      <c r="X700" s="232" t="s">
        <v>322</v>
      </c>
      <c r="Y700" s="232" t="s">
        <v>339</v>
      </c>
      <c r="Z700" s="232" t="s">
        <v>324</v>
      </c>
      <c r="AA700" s="232" t="s">
        <v>354</v>
      </c>
      <c r="AB700" s="236">
        <v>3.8333E-3</v>
      </c>
      <c r="AC700" s="235"/>
      <c r="AD700" s="234"/>
      <c r="AE700" s="234"/>
      <c r="AF700" s="232" t="s">
        <v>77</v>
      </c>
      <c r="AG700" s="232" t="s">
        <v>350</v>
      </c>
      <c r="AH700" s="234" t="s">
        <v>317</v>
      </c>
      <c r="AJ700" s="234">
        <v>0</v>
      </c>
      <c r="AK700" s="224"/>
      <c r="AL700" s="234">
        <v>0</v>
      </c>
      <c r="AM700" s="224"/>
      <c r="AN700" s="234">
        <v>0</v>
      </c>
      <c r="AO700" s="234">
        <v>1</v>
      </c>
      <c r="AP700" s="234">
        <v>0</v>
      </c>
      <c r="AQ700" s="234">
        <v>0</v>
      </c>
      <c r="AR700" s="234">
        <v>0</v>
      </c>
      <c r="AS700" s="234">
        <v>0</v>
      </c>
      <c r="AT700" s="234">
        <v>0</v>
      </c>
      <c r="AU700" s="234">
        <v>0</v>
      </c>
      <c r="AV700" s="234">
        <v>1</v>
      </c>
      <c r="AW700" s="234">
        <v>0</v>
      </c>
      <c r="AX700" s="234">
        <v>0</v>
      </c>
      <c r="AY700" s="234">
        <v>0</v>
      </c>
      <c r="AZ700" s="234">
        <v>0</v>
      </c>
      <c r="BA700" s="234">
        <v>0</v>
      </c>
      <c r="BB700" s="234">
        <v>0</v>
      </c>
      <c r="BC700" s="234">
        <v>0</v>
      </c>
      <c r="BD700" s="234">
        <v>0</v>
      </c>
      <c r="BE700" s="234">
        <v>0</v>
      </c>
      <c r="BF700" s="234">
        <v>0</v>
      </c>
      <c r="BG700" s="234">
        <v>0</v>
      </c>
      <c r="BH700" s="234">
        <v>0</v>
      </c>
      <c r="BI700" s="234">
        <v>0</v>
      </c>
      <c r="BJ700" s="234">
        <v>0</v>
      </c>
      <c r="BK700" s="234">
        <v>0</v>
      </c>
      <c r="BL700" s="234">
        <v>0</v>
      </c>
      <c r="BM700" s="234">
        <v>0</v>
      </c>
      <c r="BN700" s="234">
        <v>0</v>
      </c>
      <c r="BO700" s="234">
        <v>0</v>
      </c>
      <c r="BP700" s="234"/>
      <c r="BQ700" s="234"/>
      <c r="BR700" s="237" t="s">
        <v>334</v>
      </c>
      <c r="BS700" s="238">
        <v>15</v>
      </c>
      <c r="BU700" s="239">
        <f t="shared" si="83"/>
        <v>0.25</v>
      </c>
      <c r="BV700" s="239">
        <f t="shared" si="78"/>
        <v>0.25</v>
      </c>
      <c r="BW700" s="239">
        <f t="shared" si="79"/>
        <v>0.25</v>
      </c>
      <c r="BX700" s="239">
        <f t="shared" si="80"/>
        <v>0.25</v>
      </c>
      <c r="CN700" s="238">
        <f t="shared" si="81"/>
        <v>1</v>
      </c>
      <c r="CO700" s="238">
        <f t="shared" si="82"/>
        <v>1</v>
      </c>
    </row>
    <row r="701" spans="1:93" ht="13.95" customHeight="1" x14ac:dyDescent="0.2">
      <c r="A701" s="231">
        <v>7336</v>
      </c>
      <c r="B701" s="232" t="s">
        <v>822</v>
      </c>
      <c r="C701" s="232" t="s">
        <v>2104</v>
      </c>
      <c r="D701" s="232" t="s">
        <v>2105</v>
      </c>
      <c r="E701" s="232" t="s">
        <v>317</v>
      </c>
      <c r="F701" s="231">
        <v>526970</v>
      </c>
      <c r="G701" s="231">
        <v>175172</v>
      </c>
      <c r="H701" s="232" t="s">
        <v>181</v>
      </c>
      <c r="I701" s="233"/>
      <c r="J701" s="231"/>
      <c r="K701" s="231">
        <v>1</v>
      </c>
      <c r="L701" s="231">
        <v>2</v>
      </c>
      <c r="M701" s="231">
        <v>1</v>
      </c>
      <c r="N701" s="231">
        <v>4</v>
      </c>
      <c r="O701" s="231">
        <v>3</v>
      </c>
      <c r="P701" s="234"/>
      <c r="Q701" s="232" t="s">
        <v>2106</v>
      </c>
      <c r="R701" s="234" t="s">
        <v>332</v>
      </c>
      <c r="S701" s="235">
        <v>43875</v>
      </c>
      <c r="T701" s="235">
        <v>43930</v>
      </c>
      <c r="U701" s="234"/>
      <c r="V701" s="232" t="s">
        <v>321</v>
      </c>
      <c r="W701" s="231"/>
      <c r="X701" s="232" t="s">
        <v>322</v>
      </c>
      <c r="Y701" s="232" t="s">
        <v>338</v>
      </c>
      <c r="Z701" s="232" t="s">
        <v>324</v>
      </c>
      <c r="AA701" s="232" t="s">
        <v>411</v>
      </c>
      <c r="AB701" s="236">
        <v>6.0000000000000001E-3</v>
      </c>
      <c r="AC701" s="235"/>
      <c r="AD701" s="234"/>
      <c r="AE701" s="234"/>
      <c r="AF701" s="232" t="s">
        <v>77</v>
      </c>
      <c r="AG701" s="232" t="s">
        <v>350</v>
      </c>
      <c r="AH701" s="234" t="s">
        <v>317</v>
      </c>
      <c r="AJ701" s="234">
        <v>0</v>
      </c>
      <c r="AK701" s="224"/>
      <c r="AL701" s="234">
        <v>0</v>
      </c>
      <c r="AM701" s="224"/>
      <c r="AN701" s="234">
        <v>1</v>
      </c>
      <c r="AO701" s="234">
        <v>-1</v>
      </c>
      <c r="AP701" s="234">
        <v>1</v>
      </c>
      <c r="AQ701" s="234">
        <v>0</v>
      </c>
      <c r="AR701" s="234">
        <v>0</v>
      </c>
      <c r="AS701" s="234">
        <v>0</v>
      </c>
      <c r="AT701" s="234">
        <v>0</v>
      </c>
      <c r="AU701" s="234">
        <v>1</v>
      </c>
      <c r="AV701" s="234">
        <v>-1</v>
      </c>
      <c r="AW701" s="234">
        <v>1</v>
      </c>
      <c r="AX701" s="234">
        <v>0</v>
      </c>
      <c r="AY701" s="234">
        <v>0</v>
      </c>
      <c r="AZ701" s="234">
        <v>0</v>
      </c>
      <c r="BA701" s="234">
        <v>0</v>
      </c>
      <c r="BB701" s="234">
        <v>0</v>
      </c>
      <c r="BC701" s="234">
        <v>0</v>
      </c>
      <c r="BD701" s="234">
        <v>0</v>
      </c>
      <c r="BE701" s="234">
        <v>0</v>
      </c>
      <c r="BF701" s="234">
        <v>0</v>
      </c>
      <c r="BG701" s="234">
        <v>0</v>
      </c>
      <c r="BH701" s="234">
        <v>0</v>
      </c>
      <c r="BI701" s="234">
        <v>0</v>
      </c>
      <c r="BJ701" s="234">
        <v>0</v>
      </c>
      <c r="BK701" s="234">
        <v>0</v>
      </c>
      <c r="BL701" s="234">
        <v>0</v>
      </c>
      <c r="BM701" s="234">
        <v>0</v>
      </c>
      <c r="BN701" s="234">
        <v>0</v>
      </c>
      <c r="BO701" s="234">
        <v>0</v>
      </c>
      <c r="BP701" s="234"/>
      <c r="BQ701" s="234"/>
      <c r="BR701" s="237" t="s">
        <v>150</v>
      </c>
      <c r="BS701" s="238">
        <v>15</v>
      </c>
      <c r="BU701" s="239">
        <f t="shared" si="83"/>
        <v>0.25</v>
      </c>
      <c r="BV701" s="239">
        <f t="shared" si="78"/>
        <v>0.25</v>
      </c>
      <c r="BW701" s="239">
        <f t="shared" si="79"/>
        <v>0.25</v>
      </c>
      <c r="BX701" s="239">
        <f t="shared" si="80"/>
        <v>0.25</v>
      </c>
      <c r="CN701" s="238">
        <f t="shared" si="81"/>
        <v>1</v>
      </c>
      <c r="CO701" s="238">
        <f t="shared" si="82"/>
        <v>1</v>
      </c>
    </row>
    <row r="702" spans="1:93" ht="13.95" customHeight="1" x14ac:dyDescent="0.2">
      <c r="A702" s="231">
        <v>7336</v>
      </c>
      <c r="B702" s="232" t="s">
        <v>822</v>
      </c>
      <c r="C702" s="232" t="s">
        <v>2104</v>
      </c>
      <c r="D702" s="232" t="s">
        <v>2105</v>
      </c>
      <c r="E702" s="232" t="s">
        <v>317</v>
      </c>
      <c r="F702" s="231">
        <v>526970</v>
      </c>
      <c r="G702" s="231">
        <v>175172</v>
      </c>
      <c r="H702" s="232" t="s">
        <v>181</v>
      </c>
      <c r="I702" s="233"/>
      <c r="J702" s="231"/>
      <c r="K702" s="231">
        <v>0</v>
      </c>
      <c r="L702" s="231">
        <v>1</v>
      </c>
      <c r="M702" s="231">
        <v>1</v>
      </c>
      <c r="N702" s="231">
        <v>4</v>
      </c>
      <c r="O702" s="231">
        <v>3</v>
      </c>
      <c r="P702" s="234"/>
      <c r="Q702" s="232" t="s">
        <v>2106</v>
      </c>
      <c r="R702" s="234" t="s">
        <v>332</v>
      </c>
      <c r="S702" s="235">
        <v>43875</v>
      </c>
      <c r="T702" s="235">
        <v>43930</v>
      </c>
      <c r="U702" s="234"/>
      <c r="V702" s="232" t="s">
        <v>321</v>
      </c>
      <c r="W702" s="231"/>
      <c r="X702" s="232" t="s">
        <v>322</v>
      </c>
      <c r="Y702" s="232" t="s">
        <v>338</v>
      </c>
      <c r="Z702" s="232" t="s">
        <v>324</v>
      </c>
      <c r="AA702" s="232" t="s">
        <v>25</v>
      </c>
      <c r="AB702" s="236">
        <v>6.0000000000000001E-3</v>
      </c>
      <c r="AC702" s="235"/>
      <c r="AD702" s="234"/>
      <c r="AE702" s="234"/>
      <c r="AF702" s="232" t="s">
        <v>77</v>
      </c>
      <c r="AG702" s="232" t="s">
        <v>350</v>
      </c>
      <c r="AH702" s="234" t="s">
        <v>317</v>
      </c>
      <c r="AJ702" s="234">
        <v>0</v>
      </c>
      <c r="AK702" s="224"/>
      <c r="AL702" s="234">
        <v>0</v>
      </c>
      <c r="AM702" s="224"/>
      <c r="AN702" s="234">
        <v>0</v>
      </c>
      <c r="AO702" s="234">
        <v>0</v>
      </c>
      <c r="AP702" s="234">
        <v>1</v>
      </c>
      <c r="AQ702" s="234">
        <v>0</v>
      </c>
      <c r="AR702" s="234">
        <v>0</v>
      </c>
      <c r="AS702" s="234">
        <v>0</v>
      </c>
      <c r="AT702" s="234">
        <v>0</v>
      </c>
      <c r="AU702" s="234">
        <v>0</v>
      </c>
      <c r="AV702" s="234">
        <v>0</v>
      </c>
      <c r="AW702" s="234">
        <v>1</v>
      </c>
      <c r="AX702" s="234">
        <v>0</v>
      </c>
      <c r="AY702" s="234">
        <v>0</v>
      </c>
      <c r="AZ702" s="234">
        <v>0</v>
      </c>
      <c r="BA702" s="234">
        <v>0</v>
      </c>
      <c r="BB702" s="234">
        <v>0</v>
      </c>
      <c r="BC702" s="234">
        <v>0</v>
      </c>
      <c r="BD702" s="234">
        <v>0</v>
      </c>
      <c r="BE702" s="234">
        <v>0</v>
      </c>
      <c r="BF702" s="234">
        <v>0</v>
      </c>
      <c r="BG702" s="234">
        <v>0</v>
      </c>
      <c r="BH702" s="234">
        <v>0</v>
      </c>
      <c r="BI702" s="234">
        <v>0</v>
      </c>
      <c r="BJ702" s="234">
        <v>0</v>
      </c>
      <c r="BK702" s="234">
        <v>0</v>
      </c>
      <c r="BL702" s="234">
        <v>0</v>
      </c>
      <c r="BM702" s="234">
        <v>0</v>
      </c>
      <c r="BN702" s="234">
        <v>0</v>
      </c>
      <c r="BO702" s="234">
        <v>0</v>
      </c>
      <c r="BP702" s="234"/>
      <c r="BQ702" s="234"/>
      <c r="BR702" s="237" t="s">
        <v>150</v>
      </c>
      <c r="BS702" s="238">
        <v>15</v>
      </c>
      <c r="BU702" s="239">
        <f t="shared" si="83"/>
        <v>0.25</v>
      </c>
      <c r="BV702" s="239">
        <f t="shared" si="78"/>
        <v>0.25</v>
      </c>
      <c r="BW702" s="239">
        <f t="shared" si="79"/>
        <v>0.25</v>
      </c>
      <c r="BX702" s="239">
        <f t="shared" si="80"/>
        <v>0.25</v>
      </c>
      <c r="CN702" s="238">
        <f t="shared" si="81"/>
        <v>1</v>
      </c>
      <c r="CO702" s="238">
        <f t="shared" si="82"/>
        <v>1</v>
      </c>
    </row>
    <row r="703" spans="1:93" ht="13.95" customHeight="1" x14ac:dyDescent="0.2">
      <c r="A703" s="231">
        <v>7336</v>
      </c>
      <c r="B703" s="232" t="s">
        <v>822</v>
      </c>
      <c r="C703" s="232" t="s">
        <v>2104</v>
      </c>
      <c r="D703" s="232" t="s">
        <v>2105</v>
      </c>
      <c r="E703" s="232" t="s">
        <v>317</v>
      </c>
      <c r="F703" s="231">
        <v>526970</v>
      </c>
      <c r="G703" s="231">
        <v>175172</v>
      </c>
      <c r="H703" s="232" t="s">
        <v>181</v>
      </c>
      <c r="I703" s="233"/>
      <c r="J703" s="231"/>
      <c r="K703" s="231">
        <v>0</v>
      </c>
      <c r="L703" s="231">
        <v>1</v>
      </c>
      <c r="M703" s="231">
        <v>1</v>
      </c>
      <c r="N703" s="231">
        <v>4</v>
      </c>
      <c r="O703" s="231">
        <v>3</v>
      </c>
      <c r="P703" s="234"/>
      <c r="Q703" s="232" t="s">
        <v>2106</v>
      </c>
      <c r="R703" s="234" t="s">
        <v>332</v>
      </c>
      <c r="S703" s="235">
        <v>43875</v>
      </c>
      <c r="T703" s="235">
        <v>43930</v>
      </c>
      <c r="U703" s="234"/>
      <c r="V703" s="232" t="s">
        <v>321</v>
      </c>
      <c r="W703" s="231"/>
      <c r="X703" s="232" t="s">
        <v>322</v>
      </c>
      <c r="Y703" s="232" t="s">
        <v>338</v>
      </c>
      <c r="Z703" s="232" t="s">
        <v>324</v>
      </c>
      <c r="AA703" s="232" t="s">
        <v>354</v>
      </c>
      <c r="AB703" s="236">
        <v>3.0000000000000001E-3</v>
      </c>
      <c r="AC703" s="235"/>
      <c r="AD703" s="234"/>
      <c r="AE703" s="234"/>
      <c r="AF703" s="232" t="s">
        <v>77</v>
      </c>
      <c r="AG703" s="232" t="s">
        <v>350</v>
      </c>
      <c r="AH703" s="234" t="s">
        <v>317</v>
      </c>
      <c r="AJ703" s="234">
        <v>0</v>
      </c>
      <c r="AK703" s="224"/>
      <c r="AL703" s="234">
        <v>0</v>
      </c>
      <c r="AM703" s="224"/>
      <c r="AN703" s="234">
        <v>0</v>
      </c>
      <c r="AO703" s="234">
        <v>1</v>
      </c>
      <c r="AP703" s="234">
        <v>0</v>
      </c>
      <c r="AQ703" s="234">
        <v>0</v>
      </c>
      <c r="AR703" s="234">
        <v>0</v>
      </c>
      <c r="AS703" s="234">
        <v>0</v>
      </c>
      <c r="AT703" s="234">
        <v>0</v>
      </c>
      <c r="AU703" s="234">
        <v>0</v>
      </c>
      <c r="AV703" s="234">
        <v>1</v>
      </c>
      <c r="AW703" s="234">
        <v>0</v>
      </c>
      <c r="AX703" s="234">
        <v>0</v>
      </c>
      <c r="AY703" s="234">
        <v>0</v>
      </c>
      <c r="AZ703" s="234">
        <v>0</v>
      </c>
      <c r="BA703" s="234">
        <v>0</v>
      </c>
      <c r="BB703" s="234">
        <v>0</v>
      </c>
      <c r="BC703" s="234">
        <v>0</v>
      </c>
      <c r="BD703" s="234">
        <v>0</v>
      </c>
      <c r="BE703" s="234">
        <v>0</v>
      </c>
      <c r="BF703" s="234">
        <v>0</v>
      </c>
      <c r="BG703" s="234">
        <v>0</v>
      </c>
      <c r="BH703" s="234">
        <v>0</v>
      </c>
      <c r="BI703" s="234">
        <v>0</v>
      </c>
      <c r="BJ703" s="234">
        <v>0</v>
      </c>
      <c r="BK703" s="234">
        <v>0</v>
      </c>
      <c r="BL703" s="234">
        <v>0</v>
      </c>
      <c r="BM703" s="234">
        <v>0</v>
      </c>
      <c r="BN703" s="234">
        <v>0</v>
      </c>
      <c r="BO703" s="234">
        <v>0</v>
      </c>
      <c r="BP703" s="234"/>
      <c r="BQ703" s="234"/>
      <c r="BR703" s="237" t="s">
        <v>150</v>
      </c>
      <c r="BS703" s="238">
        <v>15</v>
      </c>
      <c r="BU703" s="239">
        <f t="shared" si="83"/>
        <v>0.25</v>
      </c>
      <c r="BV703" s="239">
        <f t="shared" si="78"/>
        <v>0.25</v>
      </c>
      <c r="BW703" s="239">
        <f t="shared" si="79"/>
        <v>0.25</v>
      </c>
      <c r="BX703" s="239">
        <f t="shared" si="80"/>
        <v>0.25</v>
      </c>
      <c r="CN703" s="238">
        <f t="shared" si="81"/>
        <v>1</v>
      </c>
      <c r="CO703" s="238">
        <f t="shared" si="82"/>
        <v>1</v>
      </c>
    </row>
    <row r="704" spans="1:93" ht="13.95" customHeight="1" x14ac:dyDescent="0.2">
      <c r="A704" s="231">
        <v>7466</v>
      </c>
      <c r="B704" s="232" t="s">
        <v>822</v>
      </c>
      <c r="C704" s="232" t="s">
        <v>2107</v>
      </c>
      <c r="D704" s="232" t="s">
        <v>2108</v>
      </c>
      <c r="E704" s="232" t="s">
        <v>317</v>
      </c>
      <c r="F704" s="231">
        <v>527275</v>
      </c>
      <c r="G704" s="231">
        <v>175225</v>
      </c>
      <c r="H704" s="232" t="s">
        <v>167</v>
      </c>
      <c r="I704" s="233"/>
      <c r="J704" s="231"/>
      <c r="K704" s="231">
        <v>0</v>
      </c>
      <c r="L704" s="231">
        <v>1</v>
      </c>
      <c r="M704" s="231">
        <v>1</v>
      </c>
      <c r="N704" s="231">
        <v>2</v>
      </c>
      <c r="O704" s="231">
        <v>1</v>
      </c>
      <c r="P704" s="234"/>
      <c r="Q704" s="232" t="s">
        <v>2109</v>
      </c>
      <c r="R704" s="234" t="s">
        <v>332</v>
      </c>
      <c r="S704" s="235">
        <v>44064</v>
      </c>
      <c r="T704" s="235">
        <v>44162</v>
      </c>
      <c r="U704" s="234"/>
      <c r="V704" s="232" t="s">
        <v>321</v>
      </c>
      <c r="W704" s="231"/>
      <c r="X704" s="232" t="s">
        <v>322</v>
      </c>
      <c r="Y704" s="232" t="s">
        <v>338</v>
      </c>
      <c r="Z704" s="232" t="s">
        <v>324</v>
      </c>
      <c r="AA704" s="232" t="s">
        <v>411</v>
      </c>
      <c r="AB704" s="236">
        <v>8.9999999999999993E-3</v>
      </c>
      <c r="AC704" s="235"/>
      <c r="AD704" s="234"/>
      <c r="AE704" s="234"/>
      <c r="AF704" s="232" t="s">
        <v>77</v>
      </c>
      <c r="AG704" s="232" t="s">
        <v>350</v>
      </c>
      <c r="AH704" s="234" t="s">
        <v>317</v>
      </c>
      <c r="AJ704" s="234">
        <v>0</v>
      </c>
      <c r="AK704" s="224"/>
      <c r="AL704" s="234">
        <v>0</v>
      </c>
      <c r="AM704" s="224"/>
      <c r="AN704" s="234">
        <v>0</v>
      </c>
      <c r="AO704" s="234">
        <v>0</v>
      </c>
      <c r="AP704" s="234">
        <v>0</v>
      </c>
      <c r="AQ704" s="234">
        <v>1</v>
      </c>
      <c r="AR704" s="234">
        <v>0</v>
      </c>
      <c r="AS704" s="234">
        <v>0</v>
      </c>
      <c r="AT704" s="234">
        <v>0</v>
      </c>
      <c r="AU704" s="234">
        <v>0</v>
      </c>
      <c r="AV704" s="234">
        <v>0</v>
      </c>
      <c r="AW704" s="234">
        <v>0</v>
      </c>
      <c r="AX704" s="234">
        <v>1</v>
      </c>
      <c r="AY704" s="234">
        <v>0</v>
      </c>
      <c r="AZ704" s="234">
        <v>0</v>
      </c>
      <c r="BA704" s="234">
        <v>0</v>
      </c>
      <c r="BB704" s="234">
        <v>0</v>
      </c>
      <c r="BC704" s="234">
        <v>0</v>
      </c>
      <c r="BD704" s="234">
        <v>0</v>
      </c>
      <c r="BE704" s="234">
        <v>0</v>
      </c>
      <c r="BF704" s="234">
        <v>0</v>
      </c>
      <c r="BG704" s="234">
        <v>0</v>
      </c>
      <c r="BH704" s="234">
        <v>0</v>
      </c>
      <c r="BI704" s="234">
        <v>0</v>
      </c>
      <c r="BJ704" s="234">
        <v>0</v>
      </c>
      <c r="BK704" s="234">
        <v>0</v>
      </c>
      <c r="BL704" s="234">
        <v>0</v>
      </c>
      <c r="BM704" s="234">
        <v>0</v>
      </c>
      <c r="BN704" s="234">
        <v>0</v>
      </c>
      <c r="BO704" s="234">
        <v>0</v>
      </c>
      <c r="BP704" s="234"/>
      <c r="BQ704" s="234"/>
      <c r="BR704" s="237" t="s">
        <v>150</v>
      </c>
      <c r="BS704" s="238">
        <v>15</v>
      </c>
      <c r="BU704" s="239">
        <f t="shared" si="83"/>
        <v>0.25</v>
      </c>
      <c r="BV704" s="239">
        <f t="shared" si="78"/>
        <v>0.25</v>
      </c>
      <c r="BW704" s="239">
        <f t="shared" si="79"/>
        <v>0.25</v>
      </c>
      <c r="BX704" s="239">
        <f t="shared" si="80"/>
        <v>0.25</v>
      </c>
      <c r="CN704" s="238">
        <f t="shared" si="81"/>
        <v>1</v>
      </c>
      <c r="CO704" s="238">
        <f t="shared" si="82"/>
        <v>1</v>
      </c>
    </row>
    <row r="705" spans="1:93" ht="13.95" customHeight="1" x14ac:dyDescent="0.2">
      <c r="A705" s="231">
        <v>7662</v>
      </c>
      <c r="B705" s="232" t="s">
        <v>822</v>
      </c>
      <c r="C705" s="232" t="s">
        <v>2110</v>
      </c>
      <c r="D705" s="232" t="s">
        <v>2111</v>
      </c>
      <c r="E705" s="232" t="s">
        <v>317</v>
      </c>
      <c r="F705" s="231">
        <v>527933</v>
      </c>
      <c r="G705" s="231">
        <v>174081</v>
      </c>
      <c r="H705" s="232" t="s">
        <v>141</v>
      </c>
      <c r="I705" s="233"/>
      <c r="J705" s="231"/>
      <c r="K705" s="231">
        <v>2</v>
      </c>
      <c r="L705" s="231">
        <v>2</v>
      </c>
      <c r="M705" s="231">
        <v>0</v>
      </c>
      <c r="N705" s="231">
        <v>2</v>
      </c>
      <c r="O705" s="231">
        <v>0</v>
      </c>
      <c r="P705" s="234"/>
      <c r="Q705" s="232" t="s">
        <v>2112</v>
      </c>
      <c r="R705" s="234" t="s">
        <v>332</v>
      </c>
      <c r="S705" s="235">
        <v>44383</v>
      </c>
      <c r="T705" s="235">
        <v>44552</v>
      </c>
      <c r="U705" s="234"/>
      <c r="V705" s="232" t="s">
        <v>321</v>
      </c>
      <c r="W705" s="231"/>
      <c r="X705" s="232" t="s">
        <v>322</v>
      </c>
      <c r="Y705" s="232" t="s">
        <v>323</v>
      </c>
      <c r="Z705" s="232" t="s">
        <v>324</v>
      </c>
      <c r="AA705" s="232" t="s">
        <v>349</v>
      </c>
      <c r="AB705" s="236">
        <v>1.7874999999999999E-2</v>
      </c>
      <c r="AC705" s="235"/>
      <c r="AD705" s="234"/>
      <c r="AE705" s="234"/>
      <c r="AF705" s="232" t="s">
        <v>77</v>
      </c>
      <c r="AG705" s="232" t="s">
        <v>350</v>
      </c>
      <c r="AH705" s="234" t="s">
        <v>317</v>
      </c>
      <c r="AJ705" s="234">
        <v>0</v>
      </c>
      <c r="AK705" s="224"/>
      <c r="AL705" s="234">
        <v>0</v>
      </c>
      <c r="AM705" s="224"/>
      <c r="AN705" s="234">
        <v>0</v>
      </c>
      <c r="AO705" s="234">
        <v>0</v>
      </c>
      <c r="AP705" s="234">
        <v>0</v>
      </c>
      <c r="AQ705" s="234">
        <v>-2</v>
      </c>
      <c r="AR705" s="234">
        <v>2</v>
      </c>
      <c r="AS705" s="234">
        <v>0</v>
      </c>
      <c r="AT705" s="234">
        <v>0</v>
      </c>
      <c r="AU705" s="234">
        <v>0</v>
      </c>
      <c r="AV705" s="234">
        <v>0</v>
      </c>
      <c r="AW705" s="234">
        <v>0</v>
      </c>
      <c r="AX705" s="234">
        <v>0</v>
      </c>
      <c r="AY705" s="234">
        <v>0</v>
      </c>
      <c r="AZ705" s="234">
        <v>0</v>
      </c>
      <c r="BA705" s="234">
        <v>0</v>
      </c>
      <c r="BB705" s="234">
        <v>0</v>
      </c>
      <c r="BC705" s="234">
        <v>0</v>
      </c>
      <c r="BD705" s="234">
        <v>0</v>
      </c>
      <c r="BE705" s="234">
        <v>-2</v>
      </c>
      <c r="BF705" s="234">
        <v>2</v>
      </c>
      <c r="BG705" s="234">
        <v>0</v>
      </c>
      <c r="BH705" s="234">
        <v>0</v>
      </c>
      <c r="BI705" s="234">
        <v>0</v>
      </c>
      <c r="BJ705" s="234">
        <v>0</v>
      </c>
      <c r="BK705" s="234">
        <v>0</v>
      </c>
      <c r="BL705" s="234">
        <v>0</v>
      </c>
      <c r="BM705" s="234">
        <v>0</v>
      </c>
      <c r="BN705" s="234">
        <v>0</v>
      </c>
      <c r="BO705" s="234">
        <v>0</v>
      </c>
      <c r="BP705" s="234"/>
      <c r="BQ705" s="234"/>
      <c r="BR705" s="237" t="s">
        <v>334</v>
      </c>
      <c r="BS705" s="238">
        <v>7</v>
      </c>
      <c r="BV705" s="239">
        <f t="shared" si="78"/>
        <v>0</v>
      </c>
      <c r="BW705" s="239">
        <f t="shared" si="79"/>
        <v>0</v>
      </c>
      <c r="BX705" s="239">
        <f t="shared" si="80"/>
        <v>0</v>
      </c>
      <c r="BY705" s="239">
        <f>M705/4</f>
        <v>0</v>
      </c>
      <c r="CN705" s="238">
        <f t="shared" si="81"/>
        <v>0</v>
      </c>
      <c r="CO705" s="238">
        <f t="shared" si="82"/>
        <v>0</v>
      </c>
    </row>
    <row r="706" spans="1:93" ht="13.95" customHeight="1" x14ac:dyDescent="0.2">
      <c r="A706" s="231">
        <v>6798</v>
      </c>
      <c r="B706" s="232" t="s">
        <v>822</v>
      </c>
      <c r="C706" s="232" t="s">
        <v>2113</v>
      </c>
      <c r="D706" s="232" t="s">
        <v>2114</v>
      </c>
      <c r="E706" s="232" t="s">
        <v>317</v>
      </c>
      <c r="F706" s="231">
        <v>527317</v>
      </c>
      <c r="G706" s="231">
        <v>171519</v>
      </c>
      <c r="H706" s="232" t="s">
        <v>177</v>
      </c>
      <c r="I706" s="233"/>
      <c r="J706" s="231"/>
      <c r="K706" s="231">
        <v>0</v>
      </c>
      <c r="L706" s="231">
        <v>2</v>
      </c>
      <c r="M706" s="231">
        <v>2</v>
      </c>
      <c r="N706" s="231">
        <v>2</v>
      </c>
      <c r="O706" s="231">
        <v>2</v>
      </c>
      <c r="P706" s="234"/>
      <c r="Q706" s="232" t="s">
        <v>2115</v>
      </c>
      <c r="R706" s="234" t="s">
        <v>332</v>
      </c>
      <c r="S706" s="235">
        <v>44454</v>
      </c>
      <c r="T706" s="235">
        <v>44587</v>
      </c>
      <c r="U706" s="234"/>
      <c r="V706" s="232" t="s">
        <v>321</v>
      </c>
      <c r="W706" s="231"/>
      <c r="X706" s="232" t="s">
        <v>322</v>
      </c>
      <c r="Y706" s="232" t="s">
        <v>323</v>
      </c>
      <c r="Z706" s="232" t="s">
        <v>324</v>
      </c>
      <c r="AA706" s="232" t="s">
        <v>349</v>
      </c>
      <c r="AB706" s="236">
        <v>5.0666000000000001E-3</v>
      </c>
      <c r="AC706" s="235"/>
      <c r="AD706" s="234"/>
      <c r="AE706" s="234"/>
      <c r="AF706" s="232" t="s">
        <v>77</v>
      </c>
      <c r="AG706" s="232" t="s">
        <v>350</v>
      </c>
      <c r="AH706" s="234" t="s">
        <v>317</v>
      </c>
      <c r="AJ706" s="234">
        <v>0</v>
      </c>
      <c r="AK706" s="224"/>
      <c r="AL706" s="234">
        <v>0</v>
      </c>
      <c r="AM706" s="224"/>
      <c r="AN706" s="234">
        <v>0</v>
      </c>
      <c r="AO706" s="234">
        <v>1</v>
      </c>
      <c r="AP706" s="234">
        <v>0</v>
      </c>
      <c r="AQ706" s="234">
        <v>1</v>
      </c>
      <c r="AR706" s="234">
        <v>0</v>
      </c>
      <c r="AS706" s="234">
        <v>0</v>
      </c>
      <c r="AT706" s="234">
        <v>0</v>
      </c>
      <c r="AU706" s="234">
        <v>0</v>
      </c>
      <c r="AV706" s="234">
        <v>1</v>
      </c>
      <c r="AW706" s="234">
        <v>0</v>
      </c>
      <c r="AX706" s="234">
        <v>1</v>
      </c>
      <c r="AY706" s="234">
        <v>0</v>
      </c>
      <c r="AZ706" s="234">
        <v>0</v>
      </c>
      <c r="BA706" s="234">
        <v>0</v>
      </c>
      <c r="BB706" s="234">
        <v>0</v>
      </c>
      <c r="BC706" s="234">
        <v>0</v>
      </c>
      <c r="BD706" s="234">
        <v>0</v>
      </c>
      <c r="BE706" s="234">
        <v>0</v>
      </c>
      <c r="BF706" s="234">
        <v>0</v>
      </c>
      <c r="BG706" s="234">
        <v>0</v>
      </c>
      <c r="BH706" s="234">
        <v>0</v>
      </c>
      <c r="BI706" s="234">
        <v>0</v>
      </c>
      <c r="BJ706" s="234">
        <v>0</v>
      </c>
      <c r="BK706" s="234">
        <v>0</v>
      </c>
      <c r="BL706" s="234">
        <v>0</v>
      </c>
      <c r="BM706" s="234">
        <v>0</v>
      </c>
      <c r="BN706" s="234">
        <v>0</v>
      </c>
      <c r="BO706" s="234">
        <v>0</v>
      </c>
      <c r="BP706" s="234"/>
      <c r="BQ706" s="234"/>
      <c r="BR706" s="237" t="s">
        <v>144</v>
      </c>
      <c r="BS706" s="238">
        <v>7</v>
      </c>
      <c r="BV706" s="239">
        <f t="shared" si="78"/>
        <v>0.5</v>
      </c>
      <c r="BW706" s="239">
        <f t="shared" si="79"/>
        <v>0.5</v>
      </c>
      <c r="BX706" s="239">
        <f t="shared" si="80"/>
        <v>0.5</v>
      </c>
      <c r="BY706" s="239">
        <f>M706/4</f>
        <v>0.5</v>
      </c>
      <c r="CN706" s="238">
        <f t="shared" si="81"/>
        <v>2</v>
      </c>
      <c r="CO706" s="238">
        <f t="shared" si="82"/>
        <v>2</v>
      </c>
    </row>
    <row r="707" spans="1:93" ht="13.95" customHeight="1" x14ac:dyDescent="0.2">
      <c r="A707" s="231">
        <v>7860</v>
      </c>
      <c r="B707" s="232" t="s">
        <v>822</v>
      </c>
      <c r="C707" s="232" t="s">
        <v>2116</v>
      </c>
      <c r="D707" s="232" t="s">
        <v>2117</v>
      </c>
      <c r="E707" s="232" t="s">
        <v>317</v>
      </c>
      <c r="F707" s="231">
        <v>528722</v>
      </c>
      <c r="G707" s="231">
        <v>171376</v>
      </c>
      <c r="H707" s="232" t="s">
        <v>166</v>
      </c>
      <c r="I707" s="233"/>
      <c r="J707" s="231"/>
      <c r="K707" s="231">
        <v>0</v>
      </c>
      <c r="L707" s="231">
        <v>1</v>
      </c>
      <c r="M707" s="231">
        <v>1</v>
      </c>
      <c r="N707" s="231">
        <v>1</v>
      </c>
      <c r="O707" s="231">
        <v>1</v>
      </c>
      <c r="P707" s="234"/>
      <c r="Q707" s="232" t="s">
        <v>2118</v>
      </c>
      <c r="R707" s="234" t="s">
        <v>332</v>
      </c>
      <c r="S707" s="235">
        <v>44720</v>
      </c>
      <c r="T707" s="235">
        <v>44776</v>
      </c>
      <c r="U707" s="234" t="s">
        <v>318</v>
      </c>
      <c r="V707" s="232" t="s">
        <v>321</v>
      </c>
      <c r="W707" s="231"/>
      <c r="X707" s="232" t="s">
        <v>418</v>
      </c>
      <c r="Y707" s="232" t="s">
        <v>323</v>
      </c>
      <c r="Z707" s="232" t="s">
        <v>324</v>
      </c>
      <c r="AA707" s="232" t="s">
        <v>349</v>
      </c>
      <c r="AB707" s="236">
        <v>4.2399999999999998E-3</v>
      </c>
      <c r="AC707" s="235"/>
      <c r="AD707" s="234"/>
      <c r="AE707" s="234"/>
      <c r="AF707" s="232" t="s">
        <v>77</v>
      </c>
      <c r="AG707" s="232" t="s">
        <v>350</v>
      </c>
      <c r="AH707" s="234" t="s">
        <v>317</v>
      </c>
      <c r="AJ707" s="234">
        <v>0</v>
      </c>
      <c r="AK707" s="224"/>
      <c r="AL707" s="234">
        <v>0</v>
      </c>
      <c r="AM707" s="224"/>
      <c r="AN707" s="234">
        <v>0</v>
      </c>
      <c r="AO707" s="234">
        <v>1</v>
      </c>
      <c r="AP707" s="234">
        <v>0</v>
      </c>
      <c r="AQ707" s="234">
        <v>0</v>
      </c>
      <c r="AR707" s="234">
        <v>0</v>
      </c>
      <c r="AS707" s="234">
        <v>0</v>
      </c>
      <c r="AT707" s="234">
        <v>0</v>
      </c>
      <c r="AU707" s="234">
        <v>0</v>
      </c>
      <c r="AV707" s="234">
        <v>0</v>
      </c>
      <c r="AW707" s="234">
        <v>0</v>
      </c>
      <c r="AX707" s="234">
        <v>0</v>
      </c>
      <c r="AY707" s="234">
        <v>0</v>
      </c>
      <c r="AZ707" s="234">
        <v>0</v>
      </c>
      <c r="BA707" s="234">
        <v>0</v>
      </c>
      <c r="BB707" s="234">
        <v>0</v>
      </c>
      <c r="BC707" s="234">
        <v>1</v>
      </c>
      <c r="BD707" s="234">
        <v>0</v>
      </c>
      <c r="BE707" s="234">
        <v>0</v>
      </c>
      <c r="BF707" s="234">
        <v>0</v>
      </c>
      <c r="BG707" s="234">
        <v>0</v>
      </c>
      <c r="BH707" s="234">
        <v>0</v>
      </c>
      <c r="BI707" s="234">
        <v>0</v>
      </c>
      <c r="BJ707" s="234">
        <v>0</v>
      </c>
      <c r="BK707" s="234">
        <v>0</v>
      </c>
      <c r="BL707" s="234">
        <v>0</v>
      </c>
      <c r="BM707" s="234">
        <v>0</v>
      </c>
      <c r="BN707" s="234">
        <v>0</v>
      </c>
      <c r="BO707" s="234">
        <v>0</v>
      </c>
      <c r="BP707" s="234"/>
      <c r="BQ707" s="234"/>
      <c r="BR707" s="237" t="s">
        <v>334</v>
      </c>
      <c r="BS707" s="238">
        <v>7</v>
      </c>
      <c r="BV707" s="239">
        <f t="shared" si="78"/>
        <v>0.25</v>
      </c>
      <c r="BW707" s="239">
        <f t="shared" si="79"/>
        <v>0.25</v>
      </c>
      <c r="BX707" s="239">
        <f t="shared" si="80"/>
        <v>0.25</v>
      </c>
      <c r="BY707" s="239">
        <f>M707/4</f>
        <v>0.25</v>
      </c>
      <c r="CN707" s="238">
        <f t="shared" si="81"/>
        <v>1</v>
      </c>
      <c r="CO707" s="238">
        <f t="shared" si="82"/>
        <v>1</v>
      </c>
    </row>
    <row r="708" spans="1:93" ht="13.95" customHeight="1" x14ac:dyDescent="0.2">
      <c r="A708" s="231">
        <v>7869</v>
      </c>
      <c r="B708" s="232" t="s">
        <v>822</v>
      </c>
      <c r="C708" s="232" t="s">
        <v>2119</v>
      </c>
      <c r="D708" s="232" t="s">
        <v>2120</v>
      </c>
      <c r="E708" s="232" t="s">
        <v>317</v>
      </c>
      <c r="F708" s="231">
        <v>526537</v>
      </c>
      <c r="G708" s="231">
        <v>175110</v>
      </c>
      <c r="H708" s="232" t="s">
        <v>181</v>
      </c>
      <c r="I708" s="233"/>
      <c r="J708" s="231"/>
      <c r="K708" s="231">
        <v>0</v>
      </c>
      <c r="L708" s="231">
        <v>1</v>
      </c>
      <c r="M708" s="231">
        <v>1</v>
      </c>
      <c r="N708" s="231">
        <v>1</v>
      </c>
      <c r="O708" s="231">
        <v>1</v>
      </c>
      <c r="P708" s="234"/>
      <c r="Q708" s="232" t="s">
        <v>2121</v>
      </c>
      <c r="R708" s="234" t="s">
        <v>332</v>
      </c>
      <c r="S708" s="235">
        <v>44768</v>
      </c>
      <c r="T708" s="235">
        <v>44824</v>
      </c>
      <c r="U708" s="234" t="s">
        <v>318</v>
      </c>
      <c r="V708" s="232" t="s">
        <v>321</v>
      </c>
      <c r="W708" s="231"/>
      <c r="X708" s="232" t="s">
        <v>322</v>
      </c>
      <c r="Y708" s="232" t="s">
        <v>365</v>
      </c>
      <c r="Z708" s="232" t="s">
        <v>324</v>
      </c>
      <c r="AA708" s="232" t="s">
        <v>25</v>
      </c>
      <c r="AB708" s="236">
        <v>1.3599999999999999E-2</v>
      </c>
      <c r="AC708" s="235"/>
      <c r="AD708" s="234"/>
      <c r="AE708" s="234"/>
      <c r="AF708" s="232" t="s">
        <v>77</v>
      </c>
      <c r="AG708" s="232" t="s">
        <v>350</v>
      </c>
      <c r="AH708" s="234" t="s">
        <v>317</v>
      </c>
      <c r="AJ708" s="234">
        <v>0</v>
      </c>
      <c r="AK708" s="224"/>
      <c r="AL708" s="234">
        <v>0</v>
      </c>
      <c r="AM708" s="224"/>
      <c r="AN708" s="234">
        <v>0</v>
      </c>
      <c r="AO708" s="234">
        <v>0</v>
      </c>
      <c r="AP708" s="234">
        <v>0</v>
      </c>
      <c r="AQ708" s="234">
        <v>1</v>
      </c>
      <c r="AR708" s="234">
        <v>0</v>
      </c>
      <c r="AS708" s="234">
        <v>0</v>
      </c>
      <c r="AT708" s="234">
        <v>0</v>
      </c>
      <c r="AU708" s="234">
        <v>0</v>
      </c>
      <c r="AV708" s="234">
        <v>0</v>
      </c>
      <c r="AW708" s="234">
        <v>0</v>
      </c>
      <c r="AX708" s="234">
        <v>1</v>
      </c>
      <c r="AY708" s="234">
        <v>0</v>
      </c>
      <c r="AZ708" s="234">
        <v>0</v>
      </c>
      <c r="BA708" s="234">
        <v>0</v>
      </c>
      <c r="BB708" s="234">
        <v>0</v>
      </c>
      <c r="BC708" s="234">
        <v>0</v>
      </c>
      <c r="BD708" s="234">
        <v>0</v>
      </c>
      <c r="BE708" s="234">
        <v>0</v>
      </c>
      <c r="BF708" s="234">
        <v>0</v>
      </c>
      <c r="BG708" s="234">
        <v>0</v>
      </c>
      <c r="BH708" s="234">
        <v>0</v>
      </c>
      <c r="BI708" s="234">
        <v>0</v>
      </c>
      <c r="BJ708" s="234">
        <v>0</v>
      </c>
      <c r="BK708" s="234">
        <v>0</v>
      </c>
      <c r="BL708" s="234">
        <v>0</v>
      </c>
      <c r="BM708" s="234">
        <v>0</v>
      </c>
      <c r="BN708" s="234">
        <v>0</v>
      </c>
      <c r="BO708" s="234">
        <v>0</v>
      </c>
      <c r="BP708" s="234"/>
      <c r="BQ708" s="234"/>
      <c r="BR708" s="237" t="s">
        <v>334</v>
      </c>
      <c r="BS708" s="238">
        <v>15</v>
      </c>
      <c r="BU708" s="239">
        <f>M708/4</f>
        <v>0.25</v>
      </c>
      <c r="BV708" s="239">
        <f t="shared" si="78"/>
        <v>0.25</v>
      </c>
      <c r="BW708" s="239">
        <f t="shared" si="79"/>
        <v>0.25</v>
      </c>
      <c r="BX708" s="239">
        <f t="shared" si="80"/>
        <v>0.25</v>
      </c>
      <c r="CN708" s="238">
        <f t="shared" si="81"/>
        <v>1</v>
      </c>
      <c r="CO708" s="238">
        <f t="shared" si="82"/>
        <v>1</v>
      </c>
    </row>
    <row r="709" spans="1:93" ht="13.95" customHeight="1" x14ac:dyDescent="0.2">
      <c r="A709" s="231">
        <v>7460</v>
      </c>
      <c r="B709" s="232" t="s">
        <v>822</v>
      </c>
      <c r="C709" s="232" t="s">
        <v>2122</v>
      </c>
      <c r="D709" s="232" t="s">
        <v>2123</v>
      </c>
      <c r="E709" s="232" t="s">
        <v>317</v>
      </c>
      <c r="F709" s="231">
        <v>526862</v>
      </c>
      <c r="G709" s="231">
        <v>171849</v>
      </c>
      <c r="H709" s="232" t="s">
        <v>177</v>
      </c>
      <c r="I709" s="233"/>
      <c r="J709" s="231"/>
      <c r="K709" s="231">
        <v>1</v>
      </c>
      <c r="L709" s="231">
        <v>2</v>
      </c>
      <c r="M709" s="231">
        <v>1</v>
      </c>
      <c r="N709" s="231">
        <v>3</v>
      </c>
      <c r="O709" s="231">
        <v>2</v>
      </c>
      <c r="P709" s="234"/>
      <c r="Q709" s="232" t="s">
        <v>2124</v>
      </c>
      <c r="R709" s="234" t="s">
        <v>332</v>
      </c>
      <c r="S709" s="235">
        <v>44083</v>
      </c>
      <c r="T709" s="235">
        <v>44390</v>
      </c>
      <c r="U709" s="234"/>
      <c r="V709" s="232" t="s">
        <v>321</v>
      </c>
      <c r="W709" s="231"/>
      <c r="X709" s="232" t="s">
        <v>322</v>
      </c>
      <c r="Y709" s="232" t="s">
        <v>338</v>
      </c>
      <c r="Z709" s="232" t="s">
        <v>324</v>
      </c>
      <c r="AA709" s="232" t="s">
        <v>411</v>
      </c>
      <c r="AB709" s="236">
        <v>1.4999999999999999E-2</v>
      </c>
      <c r="AC709" s="235"/>
      <c r="AD709" s="234"/>
      <c r="AE709" s="234"/>
      <c r="AF709" s="232" t="s">
        <v>77</v>
      </c>
      <c r="AG709" s="232" t="s">
        <v>350</v>
      </c>
      <c r="AH709" s="234" t="s">
        <v>317</v>
      </c>
      <c r="AJ709" s="234">
        <v>0</v>
      </c>
      <c r="AK709" s="224"/>
      <c r="AL709" s="234">
        <v>0</v>
      </c>
      <c r="AM709" s="224"/>
      <c r="AN709" s="234">
        <v>0</v>
      </c>
      <c r="AO709" s="234">
        <v>2</v>
      </c>
      <c r="AP709" s="234">
        <v>-1</v>
      </c>
      <c r="AQ709" s="234">
        <v>0</v>
      </c>
      <c r="AR709" s="234">
        <v>0</v>
      </c>
      <c r="AS709" s="234">
        <v>0</v>
      </c>
      <c r="AT709" s="234">
        <v>0</v>
      </c>
      <c r="AU709" s="234">
        <v>0</v>
      </c>
      <c r="AV709" s="234">
        <v>2</v>
      </c>
      <c r="AW709" s="234">
        <v>-1</v>
      </c>
      <c r="AX709" s="234">
        <v>0</v>
      </c>
      <c r="AY709" s="234">
        <v>0</v>
      </c>
      <c r="AZ709" s="234">
        <v>0</v>
      </c>
      <c r="BA709" s="234">
        <v>0</v>
      </c>
      <c r="BB709" s="234">
        <v>0</v>
      </c>
      <c r="BC709" s="234">
        <v>0</v>
      </c>
      <c r="BD709" s="234">
        <v>0</v>
      </c>
      <c r="BE709" s="234">
        <v>0</v>
      </c>
      <c r="BF709" s="234">
        <v>0</v>
      </c>
      <c r="BG709" s="234">
        <v>0</v>
      </c>
      <c r="BH709" s="234">
        <v>0</v>
      </c>
      <c r="BI709" s="234">
        <v>0</v>
      </c>
      <c r="BJ709" s="234">
        <v>0</v>
      </c>
      <c r="BK709" s="234">
        <v>0</v>
      </c>
      <c r="BL709" s="234">
        <v>0</v>
      </c>
      <c r="BM709" s="234">
        <v>0</v>
      </c>
      <c r="BN709" s="234">
        <v>0</v>
      </c>
      <c r="BO709" s="234">
        <v>0</v>
      </c>
      <c r="BP709" s="234"/>
      <c r="BQ709" s="234"/>
      <c r="BR709" s="237" t="s">
        <v>334</v>
      </c>
      <c r="BS709" s="238">
        <v>15</v>
      </c>
      <c r="BU709" s="239">
        <f>M709/4</f>
        <v>0.25</v>
      </c>
      <c r="BV709" s="239">
        <f t="shared" si="78"/>
        <v>0.25</v>
      </c>
      <c r="BW709" s="239">
        <f t="shared" si="79"/>
        <v>0.25</v>
      </c>
      <c r="BX709" s="239">
        <f t="shared" si="80"/>
        <v>0.25</v>
      </c>
      <c r="CN709" s="238">
        <f t="shared" si="81"/>
        <v>1</v>
      </c>
      <c r="CO709" s="238">
        <f t="shared" si="82"/>
        <v>1</v>
      </c>
    </row>
    <row r="710" spans="1:93" ht="13.95" customHeight="1" x14ac:dyDescent="0.2">
      <c r="A710" s="231">
        <v>7460</v>
      </c>
      <c r="B710" s="232" t="s">
        <v>822</v>
      </c>
      <c r="C710" s="232" t="s">
        <v>2122</v>
      </c>
      <c r="D710" s="232" t="s">
        <v>2123</v>
      </c>
      <c r="E710" s="232" t="s">
        <v>317</v>
      </c>
      <c r="F710" s="231">
        <v>526862</v>
      </c>
      <c r="G710" s="231">
        <v>171849</v>
      </c>
      <c r="H710" s="232" t="s">
        <v>177</v>
      </c>
      <c r="I710" s="233"/>
      <c r="J710" s="231"/>
      <c r="K710" s="231">
        <v>0</v>
      </c>
      <c r="L710" s="231">
        <v>1</v>
      </c>
      <c r="M710" s="231">
        <v>1</v>
      </c>
      <c r="N710" s="231">
        <v>3</v>
      </c>
      <c r="O710" s="231">
        <v>2</v>
      </c>
      <c r="P710" s="234"/>
      <c r="Q710" s="232" t="s">
        <v>2124</v>
      </c>
      <c r="R710" s="234" t="s">
        <v>332</v>
      </c>
      <c r="S710" s="235">
        <v>44083</v>
      </c>
      <c r="T710" s="235">
        <v>44390</v>
      </c>
      <c r="U710" s="234"/>
      <c r="V710" s="232" t="s">
        <v>321</v>
      </c>
      <c r="W710" s="231"/>
      <c r="X710" s="232" t="s">
        <v>322</v>
      </c>
      <c r="Y710" s="232" t="s">
        <v>338</v>
      </c>
      <c r="Z710" s="232" t="s">
        <v>324</v>
      </c>
      <c r="AA710" s="232" t="s">
        <v>354</v>
      </c>
      <c r="AB710" s="236">
        <v>6.0000000000000001E-3</v>
      </c>
      <c r="AC710" s="235"/>
      <c r="AD710" s="234"/>
      <c r="AE710" s="234"/>
      <c r="AF710" s="232" t="s">
        <v>77</v>
      </c>
      <c r="AG710" s="232" t="s">
        <v>350</v>
      </c>
      <c r="AH710" s="234" t="s">
        <v>317</v>
      </c>
      <c r="AJ710" s="234">
        <v>0</v>
      </c>
      <c r="AK710" s="224"/>
      <c r="AL710" s="234">
        <v>0</v>
      </c>
      <c r="AM710" s="224"/>
      <c r="AN710" s="234">
        <v>0</v>
      </c>
      <c r="AO710" s="234">
        <v>1</v>
      </c>
      <c r="AP710" s="234">
        <v>0</v>
      </c>
      <c r="AQ710" s="234">
        <v>0</v>
      </c>
      <c r="AR710" s="234">
        <v>0</v>
      </c>
      <c r="AS710" s="234">
        <v>0</v>
      </c>
      <c r="AT710" s="234">
        <v>0</v>
      </c>
      <c r="AU710" s="234">
        <v>0</v>
      </c>
      <c r="AV710" s="234">
        <v>1</v>
      </c>
      <c r="AW710" s="234">
        <v>0</v>
      </c>
      <c r="AX710" s="234">
        <v>0</v>
      </c>
      <c r="AY710" s="234">
        <v>0</v>
      </c>
      <c r="AZ710" s="234">
        <v>0</v>
      </c>
      <c r="BA710" s="234">
        <v>0</v>
      </c>
      <c r="BB710" s="234">
        <v>0</v>
      </c>
      <c r="BC710" s="234">
        <v>0</v>
      </c>
      <c r="BD710" s="234">
        <v>0</v>
      </c>
      <c r="BE710" s="234">
        <v>0</v>
      </c>
      <c r="BF710" s="234">
        <v>0</v>
      </c>
      <c r="BG710" s="234">
        <v>0</v>
      </c>
      <c r="BH710" s="234">
        <v>0</v>
      </c>
      <c r="BI710" s="234">
        <v>0</v>
      </c>
      <c r="BJ710" s="234">
        <v>0</v>
      </c>
      <c r="BK710" s="234">
        <v>0</v>
      </c>
      <c r="BL710" s="234">
        <v>0</v>
      </c>
      <c r="BM710" s="234">
        <v>0</v>
      </c>
      <c r="BN710" s="234">
        <v>0</v>
      </c>
      <c r="BO710" s="234">
        <v>0</v>
      </c>
      <c r="BP710" s="234"/>
      <c r="BQ710" s="234"/>
      <c r="BR710" s="237" t="s">
        <v>334</v>
      </c>
      <c r="BS710" s="238">
        <v>15</v>
      </c>
      <c r="BU710" s="239">
        <f>M710/4</f>
        <v>0.25</v>
      </c>
      <c r="BV710" s="239">
        <f t="shared" si="78"/>
        <v>0.25</v>
      </c>
      <c r="BW710" s="239">
        <f t="shared" si="79"/>
        <v>0.25</v>
      </c>
      <c r="BX710" s="239">
        <f t="shared" si="80"/>
        <v>0.25</v>
      </c>
      <c r="CN710" s="238">
        <f t="shared" si="81"/>
        <v>1</v>
      </c>
      <c r="CO710" s="238">
        <f t="shared" si="82"/>
        <v>1</v>
      </c>
    </row>
    <row r="711" spans="1:93" ht="13.95" customHeight="1" x14ac:dyDescent="0.2">
      <c r="A711" s="231">
        <v>4565</v>
      </c>
      <c r="B711" s="232" t="s">
        <v>822</v>
      </c>
      <c r="C711" s="232" t="s">
        <v>2125</v>
      </c>
      <c r="D711" s="232" t="s">
        <v>2126</v>
      </c>
      <c r="E711" s="232" t="s">
        <v>317</v>
      </c>
      <c r="F711" s="231">
        <v>525828</v>
      </c>
      <c r="G711" s="231">
        <v>173035</v>
      </c>
      <c r="H711" s="232" t="s">
        <v>173</v>
      </c>
      <c r="I711" s="233"/>
      <c r="J711" s="231"/>
      <c r="K711" s="231">
        <v>1</v>
      </c>
      <c r="L711" s="231">
        <v>3</v>
      </c>
      <c r="M711" s="231">
        <v>2</v>
      </c>
      <c r="N711" s="231">
        <v>3</v>
      </c>
      <c r="O711" s="231">
        <v>2</v>
      </c>
      <c r="P711" s="234"/>
      <c r="Q711" s="232" t="s">
        <v>2127</v>
      </c>
      <c r="R711" s="234" t="s">
        <v>332</v>
      </c>
      <c r="S711" s="235">
        <v>44656</v>
      </c>
      <c r="T711" s="235">
        <v>44775</v>
      </c>
      <c r="U711" s="234" t="s">
        <v>318</v>
      </c>
      <c r="V711" s="232" t="s">
        <v>321</v>
      </c>
      <c r="W711" s="231"/>
      <c r="X711" s="232" t="s">
        <v>322</v>
      </c>
      <c r="Y711" s="232" t="s">
        <v>323</v>
      </c>
      <c r="Z711" s="232" t="s">
        <v>324</v>
      </c>
      <c r="AA711" s="232" t="s">
        <v>349</v>
      </c>
      <c r="AB711" s="236">
        <v>6.0000000000000001E-3</v>
      </c>
      <c r="AC711" s="235"/>
      <c r="AD711" s="234"/>
      <c r="AE711" s="234"/>
      <c r="AF711" s="232" t="s">
        <v>77</v>
      </c>
      <c r="AG711" s="232" t="s">
        <v>340</v>
      </c>
      <c r="AH711" s="234" t="s">
        <v>317</v>
      </c>
      <c r="AJ711" s="234">
        <v>0</v>
      </c>
      <c r="AK711" s="224"/>
      <c r="AL711" s="234">
        <v>0</v>
      </c>
      <c r="AM711" s="224"/>
      <c r="AN711" s="234">
        <v>0</v>
      </c>
      <c r="AO711" s="234">
        <v>1</v>
      </c>
      <c r="AP711" s="234">
        <v>1</v>
      </c>
      <c r="AQ711" s="234">
        <v>0</v>
      </c>
      <c r="AR711" s="234">
        <v>0</v>
      </c>
      <c r="AS711" s="234">
        <v>0</v>
      </c>
      <c r="AT711" s="234">
        <v>0</v>
      </c>
      <c r="AU711" s="234">
        <v>0</v>
      </c>
      <c r="AV711" s="234">
        <v>1</v>
      </c>
      <c r="AW711" s="234">
        <v>1</v>
      </c>
      <c r="AX711" s="234">
        <v>0</v>
      </c>
      <c r="AY711" s="234">
        <v>0</v>
      </c>
      <c r="AZ711" s="234">
        <v>0</v>
      </c>
      <c r="BA711" s="234">
        <v>0</v>
      </c>
      <c r="BB711" s="234">
        <v>0</v>
      </c>
      <c r="BC711" s="234">
        <v>0</v>
      </c>
      <c r="BD711" s="234">
        <v>0</v>
      </c>
      <c r="BE711" s="234">
        <v>0</v>
      </c>
      <c r="BF711" s="234">
        <v>0</v>
      </c>
      <c r="BG711" s="234">
        <v>0</v>
      </c>
      <c r="BH711" s="234">
        <v>0</v>
      </c>
      <c r="BI711" s="234">
        <v>0</v>
      </c>
      <c r="BJ711" s="234">
        <v>0</v>
      </c>
      <c r="BK711" s="234">
        <v>0</v>
      </c>
      <c r="BL711" s="234">
        <v>0</v>
      </c>
      <c r="BM711" s="234">
        <v>0</v>
      </c>
      <c r="BN711" s="234">
        <v>0</v>
      </c>
      <c r="BO711" s="234">
        <v>0</v>
      </c>
      <c r="BP711" s="234"/>
      <c r="BQ711" s="234"/>
      <c r="BR711" s="237" t="s">
        <v>154</v>
      </c>
      <c r="BS711" s="238">
        <v>7</v>
      </c>
      <c r="BV711" s="239">
        <f t="shared" si="78"/>
        <v>0.5</v>
      </c>
      <c r="BW711" s="239">
        <f t="shared" si="79"/>
        <v>0.5</v>
      </c>
      <c r="BX711" s="239">
        <f t="shared" si="80"/>
        <v>0.5</v>
      </c>
      <c r="BY711" s="239">
        <f>M711/4</f>
        <v>0.5</v>
      </c>
      <c r="CN711" s="238">
        <f t="shared" si="81"/>
        <v>2</v>
      </c>
      <c r="CO711" s="238">
        <f t="shared" si="82"/>
        <v>2</v>
      </c>
    </row>
    <row r="712" spans="1:93" ht="13.95" customHeight="1" x14ac:dyDescent="0.2">
      <c r="A712" s="231">
        <v>7528</v>
      </c>
      <c r="B712" s="232" t="s">
        <v>822</v>
      </c>
      <c r="C712" s="232" t="s">
        <v>2128</v>
      </c>
      <c r="D712" s="232" t="s">
        <v>2129</v>
      </c>
      <c r="E712" s="232" t="s">
        <v>317</v>
      </c>
      <c r="F712" s="231">
        <v>527858</v>
      </c>
      <c r="G712" s="231">
        <v>176582</v>
      </c>
      <c r="H712" s="232" t="s">
        <v>163</v>
      </c>
      <c r="I712" s="233"/>
      <c r="J712" s="231"/>
      <c r="K712" s="231">
        <v>0</v>
      </c>
      <c r="L712" s="231">
        <v>1</v>
      </c>
      <c r="M712" s="231">
        <v>1</v>
      </c>
      <c r="N712" s="231">
        <v>1</v>
      </c>
      <c r="O712" s="231">
        <v>1</v>
      </c>
      <c r="P712" s="234"/>
      <c r="Q712" s="232" t="s">
        <v>2130</v>
      </c>
      <c r="R712" s="234" t="s">
        <v>332</v>
      </c>
      <c r="S712" s="235">
        <v>44621</v>
      </c>
      <c r="T712" s="235">
        <v>44792</v>
      </c>
      <c r="U712" s="234" t="s">
        <v>318</v>
      </c>
      <c r="V712" s="232" t="s">
        <v>321</v>
      </c>
      <c r="W712" s="231"/>
      <c r="X712" s="232" t="s">
        <v>322</v>
      </c>
      <c r="Y712" s="232" t="s">
        <v>365</v>
      </c>
      <c r="Z712" s="232" t="s">
        <v>324</v>
      </c>
      <c r="AA712" s="232" t="s">
        <v>25</v>
      </c>
      <c r="AB712" s="236">
        <v>5.0000000000000001E-3</v>
      </c>
      <c r="AC712" s="235"/>
      <c r="AD712" s="234"/>
      <c r="AE712" s="234"/>
      <c r="AF712" s="232" t="s">
        <v>77</v>
      </c>
      <c r="AG712" s="232" t="s">
        <v>340</v>
      </c>
      <c r="AH712" s="234" t="s">
        <v>317</v>
      </c>
      <c r="AJ712" s="234">
        <v>0</v>
      </c>
      <c r="AK712" s="224"/>
      <c r="AL712" s="234">
        <v>0</v>
      </c>
      <c r="AM712" s="224"/>
      <c r="AN712" s="234">
        <v>0</v>
      </c>
      <c r="AO712" s="234">
        <v>0</v>
      </c>
      <c r="AP712" s="234">
        <v>1</v>
      </c>
      <c r="AQ712" s="234">
        <v>0</v>
      </c>
      <c r="AR712" s="234">
        <v>0</v>
      </c>
      <c r="AS712" s="234">
        <v>0</v>
      </c>
      <c r="AT712" s="234">
        <v>0</v>
      </c>
      <c r="AU712" s="234">
        <v>0</v>
      </c>
      <c r="AV712" s="234">
        <v>0</v>
      </c>
      <c r="AW712" s="234">
        <v>1</v>
      </c>
      <c r="AX712" s="234">
        <v>0</v>
      </c>
      <c r="AY712" s="234">
        <v>0</v>
      </c>
      <c r="AZ712" s="234">
        <v>0</v>
      </c>
      <c r="BA712" s="234">
        <v>0</v>
      </c>
      <c r="BB712" s="234">
        <v>0</v>
      </c>
      <c r="BC712" s="234">
        <v>0</v>
      </c>
      <c r="BD712" s="234">
        <v>0</v>
      </c>
      <c r="BE712" s="234">
        <v>0</v>
      </c>
      <c r="BF712" s="234">
        <v>0</v>
      </c>
      <c r="BG712" s="234">
        <v>0</v>
      </c>
      <c r="BH712" s="234">
        <v>0</v>
      </c>
      <c r="BI712" s="234">
        <v>0</v>
      </c>
      <c r="BJ712" s="234">
        <v>0</v>
      </c>
      <c r="BK712" s="234">
        <v>0</v>
      </c>
      <c r="BL712" s="234">
        <v>0</v>
      </c>
      <c r="BM712" s="234">
        <v>0</v>
      </c>
      <c r="BN712" s="234">
        <v>0</v>
      </c>
      <c r="BO712" s="234">
        <v>0</v>
      </c>
      <c r="BP712" s="234"/>
      <c r="BQ712" s="234"/>
      <c r="BR712" s="237" t="s">
        <v>334</v>
      </c>
      <c r="BS712" s="238">
        <v>15</v>
      </c>
      <c r="BU712" s="239">
        <f>M712/4</f>
        <v>0.25</v>
      </c>
      <c r="BV712" s="239">
        <f t="shared" si="78"/>
        <v>0.25</v>
      </c>
      <c r="BW712" s="239">
        <f t="shared" si="79"/>
        <v>0.25</v>
      </c>
      <c r="BX712" s="239">
        <f t="shared" si="80"/>
        <v>0.25</v>
      </c>
      <c r="CN712" s="238">
        <f t="shared" si="81"/>
        <v>1</v>
      </c>
      <c r="CO712" s="238">
        <f t="shared" si="82"/>
        <v>1</v>
      </c>
    </row>
    <row r="713" spans="1:93" ht="13.95" customHeight="1" x14ac:dyDescent="0.2">
      <c r="A713" s="231">
        <v>6711</v>
      </c>
      <c r="B713" s="232" t="s">
        <v>822</v>
      </c>
      <c r="C713" s="232" t="s">
        <v>2131</v>
      </c>
      <c r="D713" s="232" t="s">
        <v>2132</v>
      </c>
      <c r="E713" s="232" t="s">
        <v>317</v>
      </c>
      <c r="F713" s="231">
        <v>523785</v>
      </c>
      <c r="G713" s="231">
        <v>175744</v>
      </c>
      <c r="H713" s="232" t="s">
        <v>175</v>
      </c>
      <c r="I713" s="233"/>
      <c r="J713" s="231"/>
      <c r="K713" s="231">
        <v>0</v>
      </c>
      <c r="L713" s="231">
        <v>1</v>
      </c>
      <c r="M713" s="231">
        <v>1</v>
      </c>
      <c r="N713" s="231">
        <v>1</v>
      </c>
      <c r="O713" s="231">
        <v>1</v>
      </c>
      <c r="P713" s="234"/>
      <c r="Q713" s="232" t="s">
        <v>2133</v>
      </c>
      <c r="R713" s="234" t="s">
        <v>332</v>
      </c>
      <c r="S713" s="235">
        <v>44830</v>
      </c>
      <c r="T713" s="235">
        <v>44883</v>
      </c>
      <c r="U713" s="234" t="s">
        <v>318</v>
      </c>
      <c r="V713" s="232" t="s">
        <v>321</v>
      </c>
      <c r="W713" s="231"/>
      <c r="X713" s="232" t="s">
        <v>322</v>
      </c>
      <c r="Y713" s="232" t="s">
        <v>378</v>
      </c>
      <c r="Z713" s="232" t="s">
        <v>324</v>
      </c>
      <c r="AA713" s="232" t="s">
        <v>25</v>
      </c>
      <c r="AB713" s="236">
        <v>5.0000000000000001E-3</v>
      </c>
      <c r="AC713" s="235"/>
      <c r="AD713" s="234"/>
      <c r="AE713" s="234"/>
      <c r="AF713" s="232" t="s">
        <v>77</v>
      </c>
      <c r="AG713" s="232" t="s">
        <v>350</v>
      </c>
      <c r="AH713" s="234" t="s">
        <v>317</v>
      </c>
      <c r="AJ713" s="234">
        <v>0</v>
      </c>
      <c r="AK713" s="224"/>
      <c r="AL713" s="234">
        <v>0</v>
      </c>
      <c r="AM713" s="224"/>
      <c r="AN713" s="234">
        <v>0</v>
      </c>
      <c r="AO713" s="234">
        <v>1</v>
      </c>
      <c r="AP713" s="234">
        <v>0</v>
      </c>
      <c r="AQ713" s="234">
        <v>0</v>
      </c>
      <c r="AR713" s="234">
        <v>0</v>
      </c>
      <c r="AS713" s="234">
        <v>0</v>
      </c>
      <c r="AT713" s="234">
        <v>0</v>
      </c>
      <c r="AU713" s="234">
        <v>0</v>
      </c>
      <c r="AV713" s="234">
        <v>1</v>
      </c>
      <c r="AW713" s="234">
        <v>0</v>
      </c>
      <c r="AX713" s="234">
        <v>0</v>
      </c>
      <c r="AY713" s="234">
        <v>0</v>
      </c>
      <c r="AZ713" s="234">
        <v>0</v>
      </c>
      <c r="BA713" s="234">
        <v>0</v>
      </c>
      <c r="BB713" s="234">
        <v>0</v>
      </c>
      <c r="BC713" s="234">
        <v>0</v>
      </c>
      <c r="BD713" s="234">
        <v>0</v>
      </c>
      <c r="BE713" s="234">
        <v>0</v>
      </c>
      <c r="BF713" s="234">
        <v>0</v>
      </c>
      <c r="BG713" s="234">
        <v>0</v>
      </c>
      <c r="BH713" s="234">
        <v>0</v>
      </c>
      <c r="BI713" s="234">
        <v>0</v>
      </c>
      <c r="BJ713" s="234">
        <v>0</v>
      </c>
      <c r="BK713" s="234">
        <v>0</v>
      </c>
      <c r="BL713" s="234">
        <v>0</v>
      </c>
      <c r="BM713" s="234">
        <v>0</v>
      </c>
      <c r="BN713" s="234">
        <v>0</v>
      </c>
      <c r="BO713" s="234">
        <v>0</v>
      </c>
      <c r="BP713" s="234"/>
      <c r="BQ713" s="234"/>
      <c r="BR713" s="237" t="s">
        <v>334</v>
      </c>
      <c r="BS713" s="238">
        <v>15</v>
      </c>
      <c r="BU713" s="239">
        <f>M713/4</f>
        <v>0.25</v>
      </c>
      <c r="BV713" s="239">
        <f t="shared" si="78"/>
        <v>0.25</v>
      </c>
      <c r="BW713" s="239">
        <f t="shared" si="79"/>
        <v>0.25</v>
      </c>
      <c r="BX713" s="239">
        <f t="shared" si="80"/>
        <v>0.25</v>
      </c>
      <c r="CN713" s="238">
        <f t="shared" si="81"/>
        <v>1</v>
      </c>
      <c r="CO713" s="238">
        <f t="shared" si="82"/>
        <v>1</v>
      </c>
    </row>
    <row r="714" spans="1:93" ht="13.95" customHeight="1" x14ac:dyDescent="0.2">
      <c r="A714" s="231">
        <v>7643</v>
      </c>
      <c r="B714" s="232" t="s">
        <v>822</v>
      </c>
      <c r="C714" s="232" t="s">
        <v>2134</v>
      </c>
      <c r="D714" s="232" t="s">
        <v>2135</v>
      </c>
      <c r="E714" s="232" t="s">
        <v>317</v>
      </c>
      <c r="F714" s="231">
        <v>527806</v>
      </c>
      <c r="G714" s="231">
        <v>176545</v>
      </c>
      <c r="H714" s="232" t="s">
        <v>163</v>
      </c>
      <c r="I714" s="233"/>
      <c r="J714" s="231"/>
      <c r="K714" s="231">
        <v>0</v>
      </c>
      <c r="L714" s="231">
        <v>1</v>
      </c>
      <c r="M714" s="231">
        <v>1</v>
      </c>
      <c r="N714" s="231">
        <v>1</v>
      </c>
      <c r="O714" s="231">
        <v>1</v>
      </c>
      <c r="P714" s="234"/>
      <c r="Q714" s="232" t="s">
        <v>2136</v>
      </c>
      <c r="R714" s="234" t="s">
        <v>332</v>
      </c>
      <c r="S714" s="235">
        <v>44572</v>
      </c>
      <c r="T714" s="235">
        <v>44599</v>
      </c>
      <c r="U714" s="234"/>
      <c r="V714" s="232" t="s">
        <v>321</v>
      </c>
      <c r="W714" s="231"/>
      <c r="X714" s="232" t="s">
        <v>322</v>
      </c>
      <c r="Y714" s="232" t="s">
        <v>378</v>
      </c>
      <c r="Z714" s="232" t="s">
        <v>324</v>
      </c>
      <c r="AA714" s="232" t="s">
        <v>25</v>
      </c>
      <c r="AB714" s="236">
        <v>2E-3</v>
      </c>
      <c r="AC714" s="235"/>
      <c r="AD714" s="234"/>
      <c r="AE714" s="234"/>
      <c r="AF714" s="232" t="s">
        <v>77</v>
      </c>
      <c r="AG714" s="232" t="s">
        <v>350</v>
      </c>
      <c r="AH714" s="234" t="s">
        <v>317</v>
      </c>
      <c r="AJ714" s="234">
        <v>0</v>
      </c>
      <c r="AK714" s="224"/>
      <c r="AL714" s="234">
        <v>0</v>
      </c>
      <c r="AM714" s="224"/>
      <c r="AN714" s="234">
        <v>0</v>
      </c>
      <c r="AO714" s="234">
        <v>1</v>
      </c>
      <c r="AP714" s="234">
        <v>0</v>
      </c>
      <c r="AQ714" s="234">
        <v>0</v>
      </c>
      <c r="AR714" s="234">
        <v>0</v>
      </c>
      <c r="AS714" s="234">
        <v>0</v>
      </c>
      <c r="AT714" s="234">
        <v>0</v>
      </c>
      <c r="AU714" s="234">
        <v>0</v>
      </c>
      <c r="AV714" s="234">
        <v>1</v>
      </c>
      <c r="AW714" s="234">
        <v>0</v>
      </c>
      <c r="AX714" s="234">
        <v>0</v>
      </c>
      <c r="AY714" s="234">
        <v>0</v>
      </c>
      <c r="AZ714" s="234">
        <v>0</v>
      </c>
      <c r="BA714" s="234">
        <v>0</v>
      </c>
      <c r="BB714" s="234">
        <v>0</v>
      </c>
      <c r="BC714" s="234">
        <v>0</v>
      </c>
      <c r="BD714" s="234">
        <v>0</v>
      </c>
      <c r="BE714" s="234">
        <v>0</v>
      </c>
      <c r="BF714" s="234">
        <v>0</v>
      </c>
      <c r="BG714" s="234">
        <v>0</v>
      </c>
      <c r="BH714" s="234">
        <v>0</v>
      </c>
      <c r="BI714" s="234">
        <v>0</v>
      </c>
      <c r="BJ714" s="234">
        <v>0</v>
      </c>
      <c r="BK714" s="234">
        <v>0</v>
      </c>
      <c r="BL714" s="234">
        <v>0</v>
      </c>
      <c r="BM714" s="234">
        <v>0</v>
      </c>
      <c r="BN714" s="234">
        <v>0</v>
      </c>
      <c r="BO714" s="234">
        <v>0</v>
      </c>
      <c r="BP714" s="234"/>
      <c r="BQ714" s="234"/>
      <c r="BR714" s="237" t="s">
        <v>334</v>
      </c>
      <c r="BS714" s="238">
        <v>15</v>
      </c>
      <c r="BU714" s="239">
        <f>M714/4</f>
        <v>0.25</v>
      </c>
      <c r="BV714" s="239">
        <f t="shared" si="78"/>
        <v>0.25</v>
      </c>
      <c r="BW714" s="239">
        <f t="shared" si="79"/>
        <v>0.25</v>
      </c>
      <c r="BX714" s="239">
        <f t="shared" si="80"/>
        <v>0.25</v>
      </c>
      <c r="CN714" s="238">
        <f t="shared" si="81"/>
        <v>1</v>
      </c>
      <c r="CO714" s="238">
        <f t="shared" si="82"/>
        <v>1</v>
      </c>
    </row>
    <row r="715" spans="1:93" ht="13.95" customHeight="1" x14ac:dyDescent="0.2">
      <c r="A715" s="231">
        <v>5442</v>
      </c>
      <c r="B715" s="232" t="s">
        <v>822</v>
      </c>
      <c r="C715" s="232" t="s">
        <v>2137</v>
      </c>
      <c r="D715" s="232" t="s">
        <v>2138</v>
      </c>
      <c r="E715" s="232" t="s">
        <v>317</v>
      </c>
      <c r="F715" s="231">
        <v>525614</v>
      </c>
      <c r="G715" s="231">
        <v>172864</v>
      </c>
      <c r="H715" s="232" t="s">
        <v>173</v>
      </c>
      <c r="I715" s="233">
        <v>41729</v>
      </c>
      <c r="J715" s="231"/>
      <c r="K715" s="231">
        <v>0</v>
      </c>
      <c r="L715" s="231">
        <v>1</v>
      </c>
      <c r="M715" s="231">
        <v>1</v>
      </c>
      <c r="N715" s="231">
        <v>1</v>
      </c>
      <c r="O715" s="231">
        <v>1</v>
      </c>
      <c r="P715" s="234"/>
      <c r="Q715" s="232" t="s">
        <v>2139</v>
      </c>
      <c r="R715" s="234" t="s">
        <v>332</v>
      </c>
      <c r="S715" s="235">
        <v>41470</v>
      </c>
      <c r="T715" s="235">
        <v>41558</v>
      </c>
      <c r="U715" s="234"/>
      <c r="V715" s="232" t="s">
        <v>321</v>
      </c>
      <c r="W715" s="231"/>
      <c r="X715" s="232" t="s">
        <v>322</v>
      </c>
      <c r="Y715" s="232" t="s">
        <v>323</v>
      </c>
      <c r="Z715" s="232" t="s">
        <v>324</v>
      </c>
      <c r="AA715" s="232" t="s">
        <v>349</v>
      </c>
      <c r="AB715" s="236">
        <v>4.0000000000000001E-3</v>
      </c>
      <c r="AC715" s="235"/>
      <c r="AD715" s="234"/>
      <c r="AE715" s="234"/>
      <c r="AF715" s="232" t="s">
        <v>77</v>
      </c>
      <c r="AG715" s="232" t="s">
        <v>350</v>
      </c>
      <c r="AH715" s="234" t="s">
        <v>317</v>
      </c>
      <c r="AJ715" s="234">
        <v>0</v>
      </c>
      <c r="AK715" s="224"/>
      <c r="AL715" s="234">
        <v>0</v>
      </c>
      <c r="AM715" s="224"/>
      <c r="AN715" s="234">
        <v>0</v>
      </c>
      <c r="AO715" s="234">
        <v>1</v>
      </c>
      <c r="AP715" s="234">
        <v>0</v>
      </c>
      <c r="AQ715" s="234">
        <v>0</v>
      </c>
      <c r="AR715" s="234">
        <v>0</v>
      </c>
      <c r="AS715" s="234">
        <v>0</v>
      </c>
      <c r="AT715" s="234">
        <v>0</v>
      </c>
      <c r="AU715" s="234">
        <v>0</v>
      </c>
      <c r="AV715" s="234">
        <v>0</v>
      </c>
      <c r="AW715" s="234">
        <v>0</v>
      </c>
      <c r="AX715" s="234">
        <v>0</v>
      </c>
      <c r="AY715" s="234">
        <v>0</v>
      </c>
      <c r="AZ715" s="234">
        <v>0</v>
      </c>
      <c r="BA715" s="234">
        <v>0</v>
      </c>
      <c r="BB715" s="234">
        <v>0</v>
      </c>
      <c r="BC715" s="234">
        <v>1</v>
      </c>
      <c r="BD715" s="234">
        <v>0</v>
      </c>
      <c r="BE715" s="234">
        <v>0</v>
      </c>
      <c r="BF715" s="234">
        <v>0</v>
      </c>
      <c r="BG715" s="234">
        <v>0</v>
      </c>
      <c r="BH715" s="234">
        <v>0</v>
      </c>
      <c r="BI715" s="234">
        <v>0</v>
      </c>
      <c r="BJ715" s="234">
        <v>0</v>
      </c>
      <c r="BK715" s="234">
        <v>0</v>
      </c>
      <c r="BL715" s="234">
        <v>0</v>
      </c>
      <c r="BM715" s="234">
        <v>0</v>
      </c>
      <c r="BN715" s="234">
        <v>0</v>
      </c>
      <c r="BO715" s="234">
        <v>0</v>
      </c>
      <c r="BP715" s="234"/>
      <c r="BQ715" s="234"/>
      <c r="BR715" s="237" t="s">
        <v>154</v>
      </c>
      <c r="BS715" s="238">
        <v>7</v>
      </c>
      <c r="BV715" s="239">
        <f t="shared" si="78"/>
        <v>0.25</v>
      </c>
      <c r="BW715" s="239">
        <f t="shared" si="79"/>
        <v>0.25</v>
      </c>
      <c r="BX715" s="239">
        <f t="shared" si="80"/>
        <v>0.25</v>
      </c>
      <c r="BY715" s="239">
        <f>M715/4</f>
        <v>0.25</v>
      </c>
      <c r="CN715" s="238">
        <f t="shared" si="81"/>
        <v>1</v>
      </c>
      <c r="CO715" s="238">
        <f t="shared" si="82"/>
        <v>1</v>
      </c>
    </row>
    <row r="716" spans="1:93" ht="13.95" customHeight="1" x14ac:dyDescent="0.2">
      <c r="A716" s="231">
        <v>1765</v>
      </c>
      <c r="B716" s="232" t="s">
        <v>822</v>
      </c>
      <c r="C716" s="232" t="s">
        <v>2140</v>
      </c>
      <c r="D716" s="232" t="s">
        <v>2141</v>
      </c>
      <c r="E716" s="232" t="s">
        <v>317</v>
      </c>
      <c r="F716" s="231">
        <v>527401</v>
      </c>
      <c r="G716" s="231">
        <v>171784</v>
      </c>
      <c r="H716" s="232" t="s">
        <v>176</v>
      </c>
      <c r="I716" s="233"/>
      <c r="J716" s="231"/>
      <c r="K716" s="231">
        <v>0</v>
      </c>
      <c r="L716" s="231">
        <v>1</v>
      </c>
      <c r="M716" s="231">
        <v>1</v>
      </c>
      <c r="N716" s="231">
        <v>1</v>
      </c>
      <c r="O716" s="231">
        <v>1</v>
      </c>
      <c r="P716" s="234"/>
      <c r="Q716" s="232" t="s">
        <v>2142</v>
      </c>
      <c r="R716" s="234" t="s">
        <v>332</v>
      </c>
      <c r="S716" s="235">
        <v>43304</v>
      </c>
      <c r="T716" s="235">
        <v>43360</v>
      </c>
      <c r="U716" s="234"/>
      <c r="V716" s="232" t="s">
        <v>321</v>
      </c>
      <c r="W716" s="231"/>
      <c r="X716" s="232" t="s">
        <v>322</v>
      </c>
      <c r="Y716" s="232" t="s">
        <v>365</v>
      </c>
      <c r="Z716" s="232" t="s">
        <v>324</v>
      </c>
      <c r="AA716" s="232" t="s">
        <v>354</v>
      </c>
      <c r="AB716" s="236">
        <v>6.0000000000000001E-3</v>
      </c>
      <c r="AC716" s="235"/>
      <c r="AD716" s="234"/>
      <c r="AE716" s="234"/>
      <c r="AF716" s="232" t="s">
        <v>77</v>
      </c>
      <c r="AG716" s="232" t="s">
        <v>350</v>
      </c>
      <c r="AH716" s="234" t="s">
        <v>317</v>
      </c>
      <c r="AJ716" s="234">
        <v>0</v>
      </c>
      <c r="AK716" s="224"/>
      <c r="AL716" s="234">
        <v>0</v>
      </c>
      <c r="AM716" s="224"/>
      <c r="AN716" s="234">
        <v>1</v>
      </c>
      <c r="AO716" s="234">
        <v>0</v>
      </c>
      <c r="AP716" s="234">
        <v>0</v>
      </c>
      <c r="AQ716" s="234">
        <v>0</v>
      </c>
      <c r="AR716" s="234">
        <v>0</v>
      </c>
      <c r="AS716" s="234">
        <v>0</v>
      </c>
      <c r="AT716" s="234">
        <v>0</v>
      </c>
      <c r="AU716" s="234">
        <v>1</v>
      </c>
      <c r="AV716" s="234">
        <v>0</v>
      </c>
      <c r="AW716" s="234">
        <v>0</v>
      </c>
      <c r="AX716" s="234">
        <v>0</v>
      </c>
      <c r="AY716" s="234">
        <v>0</v>
      </c>
      <c r="AZ716" s="234">
        <v>0</v>
      </c>
      <c r="BA716" s="234">
        <v>0</v>
      </c>
      <c r="BB716" s="234">
        <v>0</v>
      </c>
      <c r="BC716" s="234">
        <v>0</v>
      </c>
      <c r="BD716" s="234">
        <v>0</v>
      </c>
      <c r="BE716" s="234">
        <v>0</v>
      </c>
      <c r="BF716" s="234">
        <v>0</v>
      </c>
      <c r="BG716" s="234">
        <v>0</v>
      </c>
      <c r="BH716" s="234">
        <v>0</v>
      </c>
      <c r="BI716" s="234">
        <v>0</v>
      </c>
      <c r="BJ716" s="234">
        <v>0</v>
      </c>
      <c r="BK716" s="234">
        <v>0</v>
      </c>
      <c r="BL716" s="234">
        <v>0</v>
      </c>
      <c r="BM716" s="234">
        <v>0</v>
      </c>
      <c r="BN716" s="234">
        <v>0</v>
      </c>
      <c r="BO716" s="234">
        <v>0</v>
      </c>
      <c r="BP716" s="234"/>
      <c r="BQ716" s="234"/>
      <c r="BR716" s="237" t="s">
        <v>334</v>
      </c>
      <c r="BS716" s="238">
        <v>15</v>
      </c>
      <c r="BU716" s="239">
        <f>M716/4</f>
        <v>0.25</v>
      </c>
      <c r="BV716" s="239">
        <f t="shared" si="78"/>
        <v>0.25</v>
      </c>
      <c r="BW716" s="239">
        <f t="shared" si="79"/>
        <v>0.25</v>
      </c>
      <c r="BX716" s="239">
        <f t="shared" si="80"/>
        <v>0.25</v>
      </c>
      <c r="CN716" s="238">
        <f t="shared" si="81"/>
        <v>1</v>
      </c>
      <c r="CO716" s="238">
        <f t="shared" si="82"/>
        <v>1</v>
      </c>
    </row>
    <row r="717" spans="1:93" ht="13.95" customHeight="1" x14ac:dyDescent="0.2">
      <c r="A717" s="231">
        <v>2390</v>
      </c>
      <c r="B717" s="232" t="s">
        <v>822</v>
      </c>
      <c r="C717" s="232" t="s">
        <v>2143</v>
      </c>
      <c r="D717" s="232" t="s">
        <v>2144</v>
      </c>
      <c r="E717" s="232" t="s">
        <v>317</v>
      </c>
      <c r="F717" s="231">
        <v>525245</v>
      </c>
      <c r="G717" s="231">
        <v>174192</v>
      </c>
      <c r="H717" s="232" t="s">
        <v>164</v>
      </c>
      <c r="I717" s="233"/>
      <c r="J717" s="231"/>
      <c r="K717" s="231">
        <v>0</v>
      </c>
      <c r="L717" s="231">
        <v>1</v>
      </c>
      <c r="M717" s="231">
        <v>1</v>
      </c>
      <c r="N717" s="231">
        <v>1</v>
      </c>
      <c r="O717" s="231">
        <v>1</v>
      </c>
      <c r="P717" s="234"/>
      <c r="Q717" s="232" t="s">
        <v>2145</v>
      </c>
      <c r="R717" s="234" t="s">
        <v>332</v>
      </c>
      <c r="S717" s="235">
        <v>43063</v>
      </c>
      <c r="T717" s="235">
        <v>43209</v>
      </c>
      <c r="U717" s="234"/>
      <c r="V717" s="232" t="s">
        <v>321</v>
      </c>
      <c r="W717" s="231"/>
      <c r="X717" s="232" t="s">
        <v>418</v>
      </c>
      <c r="Y717" s="232" t="s">
        <v>323</v>
      </c>
      <c r="Z717" s="232" t="s">
        <v>324</v>
      </c>
      <c r="AA717" s="232" t="s">
        <v>349</v>
      </c>
      <c r="AB717" s="236">
        <v>1.7000000000000001E-2</v>
      </c>
      <c r="AC717" s="235"/>
      <c r="AD717" s="234"/>
      <c r="AE717" s="234"/>
      <c r="AF717" s="232" t="s">
        <v>77</v>
      </c>
      <c r="AG717" s="232" t="s">
        <v>350</v>
      </c>
      <c r="AH717" s="234" t="s">
        <v>317</v>
      </c>
      <c r="AJ717" s="234">
        <v>0</v>
      </c>
      <c r="AK717" s="224"/>
      <c r="AL717" s="234">
        <v>0</v>
      </c>
      <c r="AM717" s="224"/>
      <c r="AN717" s="234">
        <v>0</v>
      </c>
      <c r="AO717" s="234">
        <v>0</v>
      </c>
      <c r="AP717" s="234">
        <v>0</v>
      </c>
      <c r="AQ717" s="234">
        <v>0</v>
      </c>
      <c r="AR717" s="234">
        <v>1</v>
      </c>
      <c r="AS717" s="234">
        <v>0</v>
      </c>
      <c r="AT717" s="234">
        <v>0</v>
      </c>
      <c r="AU717" s="234">
        <v>0</v>
      </c>
      <c r="AV717" s="234">
        <v>0</v>
      </c>
      <c r="AW717" s="234">
        <v>0</v>
      </c>
      <c r="AX717" s="234">
        <v>0</v>
      </c>
      <c r="AY717" s="234">
        <v>0</v>
      </c>
      <c r="AZ717" s="234">
        <v>0</v>
      </c>
      <c r="BA717" s="234">
        <v>0</v>
      </c>
      <c r="BB717" s="234">
        <v>0</v>
      </c>
      <c r="BC717" s="234">
        <v>0</v>
      </c>
      <c r="BD717" s="234">
        <v>0</v>
      </c>
      <c r="BE717" s="234">
        <v>0</v>
      </c>
      <c r="BF717" s="234">
        <v>1</v>
      </c>
      <c r="BG717" s="234">
        <v>0</v>
      </c>
      <c r="BH717" s="234">
        <v>0</v>
      </c>
      <c r="BI717" s="234">
        <v>0</v>
      </c>
      <c r="BJ717" s="234">
        <v>0</v>
      </c>
      <c r="BK717" s="234">
        <v>0</v>
      </c>
      <c r="BL717" s="234">
        <v>0</v>
      </c>
      <c r="BM717" s="234">
        <v>0</v>
      </c>
      <c r="BN717" s="234">
        <v>0</v>
      </c>
      <c r="BO717" s="234">
        <v>0</v>
      </c>
      <c r="BP717" s="234"/>
      <c r="BQ717" s="234"/>
      <c r="BR717" s="237" t="s">
        <v>334</v>
      </c>
      <c r="BS717" s="238">
        <v>7</v>
      </c>
      <c r="BV717" s="239">
        <f t="shared" si="78"/>
        <v>0.25</v>
      </c>
      <c r="BW717" s="239">
        <f t="shared" si="79"/>
        <v>0.25</v>
      </c>
      <c r="BX717" s="239">
        <f t="shared" si="80"/>
        <v>0.25</v>
      </c>
      <c r="BY717" s="239">
        <f>M717/4</f>
        <v>0.25</v>
      </c>
      <c r="CN717" s="238">
        <f t="shared" si="81"/>
        <v>1</v>
      </c>
      <c r="CO717" s="238">
        <f t="shared" si="82"/>
        <v>1</v>
      </c>
    </row>
    <row r="718" spans="1:93" ht="13.95" customHeight="1" x14ac:dyDescent="0.2">
      <c r="A718" s="231">
        <v>7455</v>
      </c>
      <c r="B718" s="232" t="s">
        <v>822</v>
      </c>
      <c r="C718" s="232" t="s">
        <v>2146</v>
      </c>
      <c r="D718" s="232" t="s">
        <v>2147</v>
      </c>
      <c r="E718" s="232" t="s">
        <v>317</v>
      </c>
      <c r="F718" s="231">
        <v>527895</v>
      </c>
      <c r="G718" s="231">
        <v>176598</v>
      </c>
      <c r="H718" s="232" t="s">
        <v>163</v>
      </c>
      <c r="I718" s="233"/>
      <c r="J718" s="231"/>
      <c r="K718" s="231">
        <v>1</v>
      </c>
      <c r="L718" s="231">
        <v>2</v>
      </c>
      <c r="M718" s="231">
        <v>1</v>
      </c>
      <c r="N718" s="231">
        <v>2</v>
      </c>
      <c r="O718" s="231">
        <v>1</v>
      </c>
      <c r="P718" s="234"/>
      <c r="Q718" s="232" t="s">
        <v>2148</v>
      </c>
      <c r="R718" s="234" t="s">
        <v>332</v>
      </c>
      <c r="S718" s="235">
        <v>44053</v>
      </c>
      <c r="T718" s="235">
        <v>44271</v>
      </c>
      <c r="U718" s="234"/>
      <c r="V718" s="232" t="s">
        <v>321</v>
      </c>
      <c r="W718" s="231"/>
      <c r="X718" s="232" t="s">
        <v>322</v>
      </c>
      <c r="Y718" s="232" t="s">
        <v>365</v>
      </c>
      <c r="Z718" s="232" t="s">
        <v>324</v>
      </c>
      <c r="AA718" s="232" t="s">
        <v>411</v>
      </c>
      <c r="AB718" s="236">
        <v>7.0000000000000001E-3</v>
      </c>
      <c r="AC718" s="235"/>
      <c r="AD718" s="234"/>
      <c r="AE718" s="234"/>
      <c r="AF718" s="232" t="s">
        <v>77</v>
      </c>
      <c r="AG718" s="232" t="s">
        <v>350</v>
      </c>
      <c r="AH718" s="234" t="s">
        <v>317</v>
      </c>
      <c r="AJ718" s="234">
        <v>0</v>
      </c>
      <c r="AK718" s="224"/>
      <c r="AL718" s="234">
        <v>0</v>
      </c>
      <c r="AM718" s="224"/>
      <c r="AN718" s="234">
        <v>0</v>
      </c>
      <c r="AO718" s="234">
        <v>2</v>
      </c>
      <c r="AP718" s="234">
        <v>0</v>
      </c>
      <c r="AQ718" s="234">
        <v>0</v>
      </c>
      <c r="AR718" s="234">
        <v>-1</v>
      </c>
      <c r="AS718" s="234">
        <v>0</v>
      </c>
      <c r="AT718" s="234">
        <v>0</v>
      </c>
      <c r="AU718" s="234">
        <v>0</v>
      </c>
      <c r="AV718" s="234">
        <v>2</v>
      </c>
      <c r="AW718" s="234">
        <v>0</v>
      </c>
      <c r="AX718" s="234">
        <v>0</v>
      </c>
      <c r="AY718" s="234">
        <v>-1</v>
      </c>
      <c r="AZ718" s="234">
        <v>0</v>
      </c>
      <c r="BA718" s="234">
        <v>0</v>
      </c>
      <c r="BB718" s="234">
        <v>0</v>
      </c>
      <c r="BC718" s="234">
        <v>0</v>
      </c>
      <c r="BD718" s="234">
        <v>0</v>
      </c>
      <c r="BE718" s="234">
        <v>0</v>
      </c>
      <c r="BF718" s="234">
        <v>0</v>
      </c>
      <c r="BG718" s="234">
        <v>0</v>
      </c>
      <c r="BH718" s="234">
        <v>0</v>
      </c>
      <c r="BI718" s="234">
        <v>0</v>
      </c>
      <c r="BJ718" s="234">
        <v>0</v>
      </c>
      <c r="BK718" s="234">
        <v>0</v>
      </c>
      <c r="BL718" s="234">
        <v>0</v>
      </c>
      <c r="BM718" s="234">
        <v>0</v>
      </c>
      <c r="BN718" s="234">
        <v>0</v>
      </c>
      <c r="BO718" s="234">
        <v>0</v>
      </c>
      <c r="BP718" s="234"/>
      <c r="BQ718" s="234"/>
      <c r="BR718" s="237" t="s">
        <v>334</v>
      </c>
      <c r="BS718" s="238">
        <v>15</v>
      </c>
      <c r="BU718" s="239">
        <f>M718/4</f>
        <v>0.25</v>
      </c>
      <c r="BV718" s="239">
        <f t="shared" si="78"/>
        <v>0.25</v>
      </c>
      <c r="BW718" s="239">
        <f t="shared" si="79"/>
        <v>0.25</v>
      </c>
      <c r="BX718" s="239">
        <f t="shared" si="80"/>
        <v>0.25</v>
      </c>
      <c r="CN718" s="238">
        <f t="shared" si="81"/>
        <v>1</v>
      </c>
      <c r="CO718" s="238">
        <f t="shared" si="82"/>
        <v>1</v>
      </c>
    </row>
    <row r="719" spans="1:93" ht="13.95" customHeight="1" x14ac:dyDescent="0.2">
      <c r="A719" s="231">
        <v>7248</v>
      </c>
      <c r="B719" s="232" t="s">
        <v>822</v>
      </c>
      <c r="C719" s="232" t="s">
        <v>2149</v>
      </c>
      <c r="D719" s="232" t="s">
        <v>2150</v>
      </c>
      <c r="E719" s="232" t="s">
        <v>317</v>
      </c>
      <c r="F719" s="231">
        <v>524095</v>
      </c>
      <c r="G719" s="231">
        <v>175524</v>
      </c>
      <c r="H719" s="232" t="s">
        <v>175</v>
      </c>
      <c r="I719" s="233"/>
      <c r="J719" s="231"/>
      <c r="K719" s="231">
        <v>1</v>
      </c>
      <c r="L719" s="231">
        <v>2</v>
      </c>
      <c r="M719" s="231">
        <v>1</v>
      </c>
      <c r="N719" s="231">
        <v>2</v>
      </c>
      <c r="O719" s="231">
        <v>1</v>
      </c>
      <c r="P719" s="234"/>
      <c r="Q719" s="232" t="s">
        <v>2151</v>
      </c>
      <c r="R719" s="234" t="s">
        <v>332</v>
      </c>
      <c r="S719" s="235">
        <v>43720</v>
      </c>
      <c r="T719" s="235">
        <v>43983</v>
      </c>
      <c r="U719" s="234"/>
      <c r="V719" s="232" t="s">
        <v>321</v>
      </c>
      <c r="W719" s="231"/>
      <c r="X719" s="232" t="s">
        <v>322</v>
      </c>
      <c r="Y719" s="232" t="s">
        <v>365</v>
      </c>
      <c r="Z719" s="232" t="s">
        <v>324</v>
      </c>
      <c r="AA719" s="232" t="s">
        <v>354</v>
      </c>
      <c r="AB719" s="236">
        <v>7.0000000000000001E-3</v>
      </c>
      <c r="AC719" s="235"/>
      <c r="AD719" s="234"/>
      <c r="AE719" s="234"/>
      <c r="AF719" s="232" t="s">
        <v>77</v>
      </c>
      <c r="AG719" s="232" t="s">
        <v>350</v>
      </c>
      <c r="AH719" s="234" t="s">
        <v>317</v>
      </c>
      <c r="AJ719" s="234">
        <v>0</v>
      </c>
      <c r="AK719" s="224"/>
      <c r="AL719" s="234">
        <v>0</v>
      </c>
      <c r="AM719" s="224"/>
      <c r="AN719" s="234">
        <v>0</v>
      </c>
      <c r="AO719" s="234">
        <v>1</v>
      </c>
      <c r="AP719" s="234">
        <v>0</v>
      </c>
      <c r="AQ719" s="234">
        <v>0</v>
      </c>
      <c r="AR719" s="234">
        <v>0</v>
      </c>
      <c r="AS719" s="234">
        <v>0</v>
      </c>
      <c r="AT719" s="234">
        <v>0</v>
      </c>
      <c r="AU719" s="234">
        <v>0</v>
      </c>
      <c r="AV719" s="234">
        <v>1</v>
      </c>
      <c r="AW719" s="234">
        <v>0</v>
      </c>
      <c r="AX719" s="234">
        <v>0</v>
      </c>
      <c r="AY719" s="234">
        <v>0</v>
      </c>
      <c r="AZ719" s="234">
        <v>0</v>
      </c>
      <c r="BA719" s="234">
        <v>0</v>
      </c>
      <c r="BB719" s="234">
        <v>0</v>
      </c>
      <c r="BC719" s="234">
        <v>0</v>
      </c>
      <c r="BD719" s="234">
        <v>0</v>
      </c>
      <c r="BE719" s="234">
        <v>0</v>
      </c>
      <c r="BF719" s="234">
        <v>0</v>
      </c>
      <c r="BG719" s="234">
        <v>0</v>
      </c>
      <c r="BH719" s="234">
        <v>0</v>
      </c>
      <c r="BI719" s="234">
        <v>0</v>
      </c>
      <c r="BJ719" s="234">
        <v>0</v>
      </c>
      <c r="BK719" s="234">
        <v>0</v>
      </c>
      <c r="BL719" s="234">
        <v>0</v>
      </c>
      <c r="BM719" s="234">
        <v>0</v>
      </c>
      <c r="BN719" s="234">
        <v>0</v>
      </c>
      <c r="BO719" s="234">
        <v>0</v>
      </c>
      <c r="BP719" s="234" t="s">
        <v>143</v>
      </c>
      <c r="BQ719" s="234"/>
      <c r="BR719" s="237" t="s">
        <v>152</v>
      </c>
      <c r="BS719" s="238">
        <v>15</v>
      </c>
      <c r="BU719" s="239">
        <f>M719/4</f>
        <v>0.25</v>
      </c>
      <c r="BV719" s="239">
        <f t="shared" si="78"/>
        <v>0.25</v>
      </c>
      <c r="BW719" s="239">
        <f t="shared" si="79"/>
        <v>0.25</v>
      </c>
      <c r="BX719" s="239">
        <f t="shared" si="80"/>
        <v>0.25</v>
      </c>
      <c r="CN719" s="238">
        <f t="shared" si="81"/>
        <v>1</v>
      </c>
      <c r="CO719" s="238">
        <f t="shared" si="82"/>
        <v>1</v>
      </c>
    </row>
    <row r="720" spans="1:93" ht="13.95" customHeight="1" x14ac:dyDescent="0.2">
      <c r="A720" s="231">
        <v>7846</v>
      </c>
      <c r="B720" s="232" t="s">
        <v>822</v>
      </c>
      <c r="C720" s="232" t="s">
        <v>2152</v>
      </c>
      <c r="D720" s="232" t="s">
        <v>2153</v>
      </c>
      <c r="E720" s="232" t="s">
        <v>317</v>
      </c>
      <c r="F720" s="231">
        <v>527522</v>
      </c>
      <c r="G720" s="231">
        <v>173097</v>
      </c>
      <c r="H720" s="232" t="s">
        <v>178</v>
      </c>
      <c r="I720" s="233"/>
      <c r="J720" s="231"/>
      <c r="K720" s="231">
        <v>0</v>
      </c>
      <c r="L720" s="231">
        <v>1</v>
      </c>
      <c r="M720" s="231">
        <v>1</v>
      </c>
      <c r="N720" s="231">
        <v>1</v>
      </c>
      <c r="O720" s="231">
        <v>1</v>
      </c>
      <c r="P720" s="234"/>
      <c r="Q720" s="232" t="s">
        <v>2154</v>
      </c>
      <c r="R720" s="234" t="s">
        <v>332</v>
      </c>
      <c r="S720" s="235">
        <v>44740</v>
      </c>
      <c r="T720" s="235">
        <v>44832</v>
      </c>
      <c r="U720" s="234" t="s">
        <v>318</v>
      </c>
      <c r="V720" s="232" t="s">
        <v>321</v>
      </c>
      <c r="W720" s="231"/>
      <c r="X720" s="232" t="s">
        <v>322</v>
      </c>
      <c r="Y720" s="232" t="s">
        <v>365</v>
      </c>
      <c r="Z720" s="232" t="s">
        <v>324</v>
      </c>
      <c r="AA720" s="232" t="s">
        <v>354</v>
      </c>
      <c r="AB720" s="236">
        <v>1.06E-2</v>
      </c>
      <c r="AC720" s="235"/>
      <c r="AD720" s="234"/>
      <c r="AE720" s="234"/>
      <c r="AF720" s="232" t="s">
        <v>77</v>
      </c>
      <c r="AG720" s="232" t="s">
        <v>350</v>
      </c>
      <c r="AH720" s="234" t="s">
        <v>317</v>
      </c>
      <c r="AJ720" s="234">
        <v>0</v>
      </c>
      <c r="AK720" s="224"/>
      <c r="AL720" s="234">
        <v>0</v>
      </c>
      <c r="AM720" s="224"/>
      <c r="AN720" s="234">
        <v>0</v>
      </c>
      <c r="AO720" s="234">
        <v>1</v>
      </c>
      <c r="AP720" s="234">
        <v>0</v>
      </c>
      <c r="AQ720" s="234">
        <v>0</v>
      </c>
      <c r="AR720" s="234">
        <v>0</v>
      </c>
      <c r="AS720" s="234">
        <v>0</v>
      </c>
      <c r="AT720" s="234">
        <v>0</v>
      </c>
      <c r="AU720" s="234">
        <v>0</v>
      </c>
      <c r="AV720" s="234">
        <v>1</v>
      </c>
      <c r="AW720" s="234">
        <v>0</v>
      </c>
      <c r="AX720" s="234">
        <v>0</v>
      </c>
      <c r="AY720" s="234">
        <v>0</v>
      </c>
      <c r="AZ720" s="234">
        <v>0</v>
      </c>
      <c r="BA720" s="234">
        <v>0</v>
      </c>
      <c r="BB720" s="234">
        <v>0</v>
      </c>
      <c r="BC720" s="234">
        <v>0</v>
      </c>
      <c r="BD720" s="234">
        <v>0</v>
      </c>
      <c r="BE720" s="234">
        <v>0</v>
      </c>
      <c r="BF720" s="234">
        <v>0</v>
      </c>
      <c r="BG720" s="234">
        <v>0</v>
      </c>
      <c r="BH720" s="234">
        <v>0</v>
      </c>
      <c r="BI720" s="234">
        <v>0</v>
      </c>
      <c r="BJ720" s="234">
        <v>0</v>
      </c>
      <c r="BK720" s="234">
        <v>0</v>
      </c>
      <c r="BL720" s="234">
        <v>0</v>
      </c>
      <c r="BM720" s="234">
        <v>0</v>
      </c>
      <c r="BN720" s="234">
        <v>0</v>
      </c>
      <c r="BO720" s="234">
        <v>0</v>
      </c>
      <c r="BP720" s="234"/>
      <c r="BQ720" s="234"/>
      <c r="BR720" s="237" t="s">
        <v>334</v>
      </c>
      <c r="BS720" s="238">
        <v>15</v>
      </c>
      <c r="BU720" s="239">
        <f>M720/4</f>
        <v>0.25</v>
      </c>
      <c r="BV720" s="239">
        <f t="shared" si="78"/>
        <v>0.25</v>
      </c>
      <c r="BW720" s="239">
        <f t="shared" si="79"/>
        <v>0.25</v>
      </c>
      <c r="BX720" s="239">
        <f t="shared" si="80"/>
        <v>0.25</v>
      </c>
      <c r="CN720" s="238">
        <f t="shared" si="81"/>
        <v>1</v>
      </c>
      <c r="CO720" s="238">
        <f t="shared" si="82"/>
        <v>1</v>
      </c>
    </row>
    <row r="721" spans="1:93" ht="13.95" customHeight="1" x14ac:dyDescent="0.2">
      <c r="A721" s="231">
        <v>6212</v>
      </c>
      <c r="B721" s="232" t="s">
        <v>822</v>
      </c>
      <c r="C721" s="232" t="s">
        <v>2155</v>
      </c>
      <c r="D721" s="232" t="s">
        <v>702</v>
      </c>
      <c r="E721" s="232" t="s">
        <v>317</v>
      </c>
      <c r="F721" s="231">
        <v>529084</v>
      </c>
      <c r="G721" s="231">
        <v>173102</v>
      </c>
      <c r="H721" s="232" t="s">
        <v>141</v>
      </c>
      <c r="I721" s="233"/>
      <c r="J721" s="231"/>
      <c r="K721" s="231">
        <v>0</v>
      </c>
      <c r="L721" s="231">
        <v>1</v>
      </c>
      <c r="M721" s="231">
        <v>1</v>
      </c>
      <c r="N721" s="231">
        <v>1</v>
      </c>
      <c r="O721" s="231">
        <v>1</v>
      </c>
      <c r="P721" s="234"/>
      <c r="Q721" s="232" t="s">
        <v>2156</v>
      </c>
      <c r="R721" s="234" t="s">
        <v>332</v>
      </c>
      <c r="S721" s="235">
        <v>43160</v>
      </c>
      <c r="T721" s="235">
        <v>43210</v>
      </c>
      <c r="U721" s="234"/>
      <c r="V721" s="232" t="s">
        <v>321</v>
      </c>
      <c r="W721" s="231"/>
      <c r="X721" s="232" t="s">
        <v>322</v>
      </c>
      <c r="Y721" s="232" t="s">
        <v>323</v>
      </c>
      <c r="Z721" s="232" t="s">
        <v>324</v>
      </c>
      <c r="AA721" s="232" t="s">
        <v>349</v>
      </c>
      <c r="AB721" s="236">
        <v>2.5000000000000001E-2</v>
      </c>
      <c r="AC721" s="235"/>
      <c r="AD721" s="234"/>
      <c r="AE721" s="234"/>
      <c r="AF721" s="232" t="s">
        <v>77</v>
      </c>
      <c r="AG721" s="232" t="s">
        <v>350</v>
      </c>
      <c r="AH721" s="234" t="s">
        <v>317</v>
      </c>
      <c r="AJ721" s="234">
        <v>0</v>
      </c>
      <c r="AK721" s="224"/>
      <c r="AL721" s="234">
        <v>0</v>
      </c>
      <c r="AM721" s="224"/>
      <c r="AN721" s="234">
        <v>0</v>
      </c>
      <c r="AO721" s="234">
        <v>0</v>
      </c>
      <c r="AP721" s="234">
        <v>1</v>
      </c>
      <c r="AQ721" s="234">
        <v>0</v>
      </c>
      <c r="AR721" s="234">
        <v>0</v>
      </c>
      <c r="AS721" s="234">
        <v>0</v>
      </c>
      <c r="AT721" s="234">
        <v>0</v>
      </c>
      <c r="AU721" s="234">
        <v>0</v>
      </c>
      <c r="AV721" s="234">
        <v>0</v>
      </c>
      <c r="AW721" s="234">
        <v>0</v>
      </c>
      <c r="AX721" s="234">
        <v>0</v>
      </c>
      <c r="AY721" s="234">
        <v>0</v>
      </c>
      <c r="AZ721" s="234">
        <v>0</v>
      </c>
      <c r="BA721" s="234">
        <v>0</v>
      </c>
      <c r="BB721" s="234">
        <v>0</v>
      </c>
      <c r="BC721" s="234">
        <v>0</v>
      </c>
      <c r="BD721" s="234">
        <v>1</v>
      </c>
      <c r="BE721" s="234">
        <v>0</v>
      </c>
      <c r="BF721" s="234">
        <v>0</v>
      </c>
      <c r="BG721" s="234">
        <v>0</v>
      </c>
      <c r="BH721" s="234">
        <v>0</v>
      </c>
      <c r="BI721" s="234">
        <v>0</v>
      </c>
      <c r="BJ721" s="234">
        <v>0</v>
      </c>
      <c r="BK721" s="234">
        <v>0</v>
      </c>
      <c r="BL721" s="234">
        <v>0</v>
      </c>
      <c r="BM721" s="234">
        <v>0</v>
      </c>
      <c r="BN721" s="234">
        <v>0</v>
      </c>
      <c r="BO721" s="234">
        <v>0</v>
      </c>
      <c r="BP721" s="234"/>
      <c r="BQ721" s="234"/>
      <c r="BR721" s="237" t="s">
        <v>334</v>
      </c>
      <c r="BS721" s="238">
        <v>7</v>
      </c>
      <c r="BV721" s="239">
        <f t="shared" si="78"/>
        <v>0.25</v>
      </c>
      <c r="BW721" s="239">
        <f t="shared" si="79"/>
        <v>0.25</v>
      </c>
      <c r="BX721" s="239">
        <f t="shared" si="80"/>
        <v>0.25</v>
      </c>
      <c r="BY721" s="239">
        <f>M721/4</f>
        <v>0.25</v>
      </c>
      <c r="CN721" s="238">
        <f t="shared" si="81"/>
        <v>1</v>
      </c>
      <c r="CO721" s="238">
        <f t="shared" si="82"/>
        <v>1</v>
      </c>
    </row>
    <row r="722" spans="1:93" ht="13.95" customHeight="1" x14ac:dyDescent="0.2">
      <c r="A722" s="231">
        <v>7871</v>
      </c>
      <c r="B722" s="232" t="s">
        <v>822</v>
      </c>
      <c r="C722" s="232" t="s">
        <v>2157</v>
      </c>
      <c r="D722" s="232" t="s">
        <v>2158</v>
      </c>
      <c r="E722" s="232" t="s">
        <v>317</v>
      </c>
      <c r="F722" s="231">
        <v>527933</v>
      </c>
      <c r="G722" s="231">
        <v>172591</v>
      </c>
      <c r="H722" s="232" t="s">
        <v>178</v>
      </c>
      <c r="I722" s="233"/>
      <c r="J722" s="231"/>
      <c r="K722" s="231">
        <v>0</v>
      </c>
      <c r="L722" s="231">
        <v>1</v>
      </c>
      <c r="M722" s="231">
        <v>1</v>
      </c>
      <c r="N722" s="231">
        <v>1</v>
      </c>
      <c r="O722" s="231">
        <v>1</v>
      </c>
      <c r="P722" s="234"/>
      <c r="Q722" s="232" t="s">
        <v>2159</v>
      </c>
      <c r="R722" s="234" t="s">
        <v>629</v>
      </c>
      <c r="S722" s="235">
        <v>44753</v>
      </c>
      <c r="T722" s="235">
        <v>44805</v>
      </c>
      <c r="U722" s="234" t="s">
        <v>318</v>
      </c>
      <c r="V722" s="232" t="s">
        <v>321</v>
      </c>
      <c r="W722" s="231"/>
      <c r="X722" s="232" t="s">
        <v>322</v>
      </c>
      <c r="Y722" s="232" t="s">
        <v>378</v>
      </c>
      <c r="Z722" s="232" t="s">
        <v>324</v>
      </c>
      <c r="AA722" s="232" t="s">
        <v>31</v>
      </c>
      <c r="AB722" s="236">
        <v>7.7000000000000002E-3</v>
      </c>
      <c r="AC722" s="235"/>
      <c r="AD722" s="234"/>
      <c r="AE722" s="234"/>
      <c r="AF722" s="232" t="s">
        <v>77</v>
      </c>
      <c r="AG722" s="232" t="s">
        <v>350</v>
      </c>
      <c r="AH722" s="234" t="s">
        <v>317</v>
      </c>
      <c r="AJ722" s="234">
        <v>0</v>
      </c>
      <c r="AK722" s="224"/>
      <c r="AL722" s="234">
        <v>0</v>
      </c>
      <c r="AM722" s="224"/>
      <c r="AN722" s="234">
        <v>0</v>
      </c>
      <c r="AO722" s="234">
        <v>0</v>
      </c>
      <c r="AP722" s="234">
        <v>1</v>
      </c>
      <c r="AQ722" s="234">
        <v>0</v>
      </c>
      <c r="AR722" s="234">
        <v>0</v>
      </c>
      <c r="AS722" s="234">
        <v>0</v>
      </c>
      <c r="AT722" s="234">
        <v>0</v>
      </c>
      <c r="AU722" s="234">
        <v>0</v>
      </c>
      <c r="AV722" s="234">
        <v>0</v>
      </c>
      <c r="AW722" s="234">
        <v>1</v>
      </c>
      <c r="AX722" s="234">
        <v>0</v>
      </c>
      <c r="AY722" s="234">
        <v>0</v>
      </c>
      <c r="AZ722" s="234">
        <v>0</v>
      </c>
      <c r="BA722" s="234">
        <v>0</v>
      </c>
      <c r="BB722" s="234">
        <v>0</v>
      </c>
      <c r="BC722" s="234">
        <v>0</v>
      </c>
      <c r="BD722" s="234">
        <v>0</v>
      </c>
      <c r="BE722" s="234">
        <v>0</v>
      </c>
      <c r="BF722" s="234">
        <v>0</v>
      </c>
      <c r="BG722" s="234">
        <v>0</v>
      </c>
      <c r="BH722" s="234">
        <v>0</v>
      </c>
      <c r="BI722" s="234">
        <v>0</v>
      </c>
      <c r="BJ722" s="234">
        <v>0</v>
      </c>
      <c r="BK722" s="234">
        <v>0</v>
      </c>
      <c r="BL722" s="234">
        <v>0</v>
      </c>
      <c r="BM722" s="234">
        <v>0</v>
      </c>
      <c r="BN722" s="234">
        <v>0</v>
      </c>
      <c r="BO722" s="234">
        <v>0</v>
      </c>
      <c r="BP722" s="234"/>
      <c r="BQ722" s="234"/>
      <c r="BR722" s="237" t="s">
        <v>334</v>
      </c>
      <c r="BS722" s="238">
        <v>15</v>
      </c>
      <c r="BU722" s="239">
        <f>M722/4</f>
        <v>0.25</v>
      </c>
      <c r="BV722" s="239">
        <f t="shared" si="78"/>
        <v>0.25</v>
      </c>
      <c r="BW722" s="239">
        <f t="shared" si="79"/>
        <v>0.25</v>
      </c>
      <c r="BX722" s="239">
        <f t="shared" si="80"/>
        <v>0.25</v>
      </c>
      <c r="CN722" s="238">
        <f t="shared" si="81"/>
        <v>1</v>
      </c>
      <c r="CO722" s="238">
        <f t="shared" si="82"/>
        <v>1</v>
      </c>
    </row>
    <row r="723" spans="1:93" ht="13.95" customHeight="1" x14ac:dyDescent="0.2">
      <c r="A723" s="231">
        <v>1587</v>
      </c>
      <c r="B723" s="232" t="s">
        <v>822</v>
      </c>
      <c r="C723" s="232" t="s">
        <v>2160</v>
      </c>
      <c r="D723" s="232" t="s">
        <v>2161</v>
      </c>
      <c r="E723" s="232" t="s">
        <v>317</v>
      </c>
      <c r="F723" s="231">
        <v>526103</v>
      </c>
      <c r="G723" s="231">
        <v>173307</v>
      </c>
      <c r="H723" s="232" t="s">
        <v>179</v>
      </c>
      <c r="I723" s="233"/>
      <c r="J723" s="231"/>
      <c r="K723" s="231">
        <v>0</v>
      </c>
      <c r="L723" s="231">
        <v>1</v>
      </c>
      <c r="M723" s="231">
        <v>1</v>
      </c>
      <c r="N723" s="231">
        <v>1</v>
      </c>
      <c r="O723" s="231">
        <v>1</v>
      </c>
      <c r="P723" s="234"/>
      <c r="Q723" s="232" t="s">
        <v>2162</v>
      </c>
      <c r="R723" s="234" t="s">
        <v>332</v>
      </c>
      <c r="S723" s="235">
        <v>43168</v>
      </c>
      <c r="T723" s="235">
        <v>43238</v>
      </c>
      <c r="U723" s="234"/>
      <c r="V723" s="232" t="s">
        <v>321</v>
      </c>
      <c r="W723" s="231"/>
      <c r="X723" s="232" t="s">
        <v>322</v>
      </c>
      <c r="Y723" s="232" t="s">
        <v>338</v>
      </c>
      <c r="Z723" s="232" t="s">
        <v>324</v>
      </c>
      <c r="AA723" s="232" t="s">
        <v>28</v>
      </c>
      <c r="AB723" s="236">
        <v>8.0000000000000002E-3</v>
      </c>
      <c r="AC723" s="235"/>
      <c r="AD723" s="234"/>
      <c r="AE723" s="234"/>
      <c r="AF723" s="232" t="s">
        <v>77</v>
      </c>
      <c r="AG723" s="232" t="s">
        <v>350</v>
      </c>
      <c r="AH723" s="234" t="s">
        <v>317</v>
      </c>
      <c r="AJ723" s="234">
        <v>0</v>
      </c>
      <c r="AK723" s="224"/>
      <c r="AL723" s="234">
        <v>0</v>
      </c>
      <c r="AM723" s="224"/>
      <c r="AN723" s="234">
        <v>0</v>
      </c>
      <c r="AO723" s="234">
        <v>1</v>
      </c>
      <c r="AP723" s="234">
        <v>0</v>
      </c>
      <c r="AQ723" s="234">
        <v>0</v>
      </c>
      <c r="AR723" s="234">
        <v>0</v>
      </c>
      <c r="AS723" s="234">
        <v>0</v>
      </c>
      <c r="AT723" s="234">
        <v>0</v>
      </c>
      <c r="AU723" s="234">
        <v>0</v>
      </c>
      <c r="AV723" s="234">
        <v>1</v>
      </c>
      <c r="AW723" s="234">
        <v>0</v>
      </c>
      <c r="AX723" s="234">
        <v>0</v>
      </c>
      <c r="AY723" s="234">
        <v>0</v>
      </c>
      <c r="AZ723" s="234">
        <v>0</v>
      </c>
      <c r="BA723" s="234">
        <v>0</v>
      </c>
      <c r="BB723" s="234">
        <v>0</v>
      </c>
      <c r="BC723" s="234">
        <v>0</v>
      </c>
      <c r="BD723" s="234">
        <v>0</v>
      </c>
      <c r="BE723" s="234">
        <v>0</v>
      </c>
      <c r="BF723" s="234">
        <v>0</v>
      </c>
      <c r="BG723" s="234">
        <v>0</v>
      </c>
      <c r="BH723" s="234">
        <v>0</v>
      </c>
      <c r="BI723" s="234">
        <v>0</v>
      </c>
      <c r="BJ723" s="234">
        <v>0</v>
      </c>
      <c r="BK723" s="234">
        <v>0</v>
      </c>
      <c r="BL723" s="234">
        <v>0</v>
      </c>
      <c r="BM723" s="234">
        <v>0</v>
      </c>
      <c r="BN723" s="234">
        <v>0</v>
      </c>
      <c r="BO723" s="234">
        <v>0</v>
      </c>
      <c r="BP723" s="234"/>
      <c r="BQ723" s="234"/>
      <c r="BR723" s="237" t="s">
        <v>334</v>
      </c>
      <c r="BS723" s="238">
        <v>15</v>
      </c>
      <c r="BU723" s="239">
        <f>M723/4</f>
        <v>0.25</v>
      </c>
      <c r="BV723" s="239">
        <f t="shared" si="78"/>
        <v>0.25</v>
      </c>
      <c r="BW723" s="239">
        <f t="shared" si="79"/>
        <v>0.25</v>
      </c>
      <c r="BX723" s="239">
        <f t="shared" si="80"/>
        <v>0.25</v>
      </c>
      <c r="CN723" s="238">
        <f t="shared" si="81"/>
        <v>1</v>
      </c>
      <c r="CO723" s="238">
        <f t="shared" si="82"/>
        <v>1</v>
      </c>
    </row>
    <row r="724" spans="1:93" ht="13.95" customHeight="1" x14ac:dyDescent="0.2">
      <c r="A724" s="231">
        <v>7664</v>
      </c>
      <c r="B724" s="232" t="s">
        <v>822</v>
      </c>
      <c r="C724" s="232" t="s">
        <v>2163</v>
      </c>
      <c r="D724" s="232" t="s">
        <v>2164</v>
      </c>
      <c r="E724" s="232" t="s">
        <v>317</v>
      </c>
      <c r="F724" s="231">
        <v>527706</v>
      </c>
      <c r="G724" s="231">
        <v>174318</v>
      </c>
      <c r="H724" s="232" t="s">
        <v>169</v>
      </c>
      <c r="I724" s="233"/>
      <c r="J724" s="231"/>
      <c r="K724" s="231">
        <v>0</v>
      </c>
      <c r="L724" s="231">
        <v>1</v>
      </c>
      <c r="M724" s="231">
        <v>1</v>
      </c>
      <c r="N724" s="231">
        <v>1</v>
      </c>
      <c r="O724" s="231">
        <v>1</v>
      </c>
      <c r="P724" s="234"/>
      <c r="Q724" s="232" t="s">
        <v>2165</v>
      </c>
      <c r="R724" s="234" t="s">
        <v>332</v>
      </c>
      <c r="S724" s="235">
        <v>44385</v>
      </c>
      <c r="T724" s="235">
        <v>44523</v>
      </c>
      <c r="U724" s="234"/>
      <c r="V724" s="232" t="s">
        <v>321</v>
      </c>
      <c r="W724" s="231"/>
      <c r="X724" s="232" t="s">
        <v>322</v>
      </c>
      <c r="Y724" s="232" t="s">
        <v>338</v>
      </c>
      <c r="Z724" s="232" t="s">
        <v>324</v>
      </c>
      <c r="AA724" s="232" t="s">
        <v>25</v>
      </c>
      <c r="AB724" s="236">
        <v>5.1999999999999998E-3</v>
      </c>
      <c r="AC724" s="235"/>
      <c r="AD724" s="234"/>
      <c r="AE724" s="234"/>
      <c r="AF724" s="232" t="s">
        <v>77</v>
      </c>
      <c r="AG724" s="232" t="s">
        <v>350</v>
      </c>
      <c r="AH724" s="234" t="s">
        <v>317</v>
      </c>
      <c r="AJ724" s="234">
        <v>0</v>
      </c>
      <c r="AK724" s="224"/>
      <c r="AL724" s="234">
        <v>0</v>
      </c>
      <c r="AM724" s="224"/>
      <c r="AN724" s="234">
        <v>0</v>
      </c>
      <c r="AO724" s="234">
        <v>1</v>
      </c>
      <c r="AP724" s="234">
        <v>0</v>
      </c>
      <c r="AQ724" s="234">
        <v>0</v>
      </c>
      <c r="AR724" s="234">
        <v>0</v>
      </c>
      <c r="AS724" s="234">
        <v>0</v>
      </c>
      <c r="AT724" s="234">
        <v>0</v>
      </c>
      <c r="AU724" s="234">
        <v>0</v>
      </c>
      <c r="AV724" s="234">
        <v>1</v>
      </c>
      <c r="AW724" s="234">
        <v>0</v>
      </c>
      <c r="AX724" s="234">
        <v>0</v>
      </c>
      <c r="AY724" s="234">
        <v>0</v>
      </c>
      <c r="AZ724" s="234">
        <v>0</v>
      </c>
      <c r="BA724" s="234">
        <v>0</v>
      </c>
      <c r="BB724" s="234">
        <v>0</v>
      </c>
      <c r="BC724" s="234">
        <v>0</v>
      </c>
      <c r="BD724" s="234">
        <v>0</v>
      </c>
      <c r="BE724" s="234">
        <v>0</v>
      </c>
      <c r="BF724" s="234">
        <v>0</v>
      </c>
      <c r="BG724" s="234">
        <v>0</v>
      </c>
      <c r="BH724" s="234">
        <v>0</v>
      </c>
      <c r="BI724" s="234">
        <v>0</v>
      </c>
      <c r="BJ724" s="234">
        <v>0</v>
      </c>
      <c r="BK724" s="234">
        <v>0</v>
      </c>
      <c r="BL724" s="234">
        <v>0</v>
      </c>
      <c r="BM724" s="234">
        <v>0</v>
      </c>
      <c r="BN724" s="234">
        <v>0</v>
      </c>
      <c r="BO724" s="234">
        <v>0</v>
      </c>
      <c r="BP724" s="234"/>
      <c r="BQ724" s="234"/>
      <c r="BR724" s="237" t="s">
        <v>334</v>
      </c>
      <c r="BS724" s="238">
        <v>15</v>
      </c>
      <c r="BU724" s="239">
        <f>M724/4</f>
        <v>0.25</v>
      </c>
      <c r="BV724" s="239">
        <f t="shared" si="78"/>
        <v>0.25</v>
      </c>
      <c r="BW724" s="239">
        <f t="shared" si="79"/>
        <v>0.25</v>
      </c>
      <c r="BX724" s="239">
        <f t="shared" si="80"/>
        <v>0.25</v>
      </c>
      <c r="CN724" s="238">
        <f t="shared" si="81"/>
        <v>1</v>
      </c>
      <c r="CO724" s="238">
        <f t="shared" si="82"/>
        <v>1</v>
      </c>
    </row>
    <row r="725" spans="1:93" ht="13.95" customHeight="1" x14ac:dyDescent="0.2">
      <c r="A725" s="231">
        <v>7855</v>
      </c>
      <c r="B725" s="232" t="s">
        <v>822</v>
      </c>
      <c r="C725" s="232" t="s">
        <v>2166</v>
      </c>
      <c r="D725" s="232" t="s">
        <v>2167</v>
      </c>
      <c r="E725" s="232" t="s">
        <v>317</v>
      </c>
      <c r="F725" s="231">
        <v>527835</v>
      </c>
      <c r="G725" s="231">
        <v>171006</v>
      </c>
      <c r="H725" s="232" t="s">
        <v>177</v>
      </c>
      <c r="I725" s="233"/>
      <c r="J725" s="231"/>
      <c r="K725" s="231">
        <v>0</v>
      </c>
      <c r="L725" s="231">
        <v>1</v>
      </c>
      <c r="M725" s="231">
        <v>1</v>
      </c>
      <c r="N725" s="231">
        <v>1</v>
      </c>
      <c r="O725" s="231">
        <v>1</v>
      </c>
      <c r="P725" s="234"/>
      <c r="Q725" s="232" t="s">
        <v>2168</v>
      </c>
      <c r="R725" s="234" t="s">
        <v>332</v>
      </c>
      <c r="S725" s="235">
        <v>44894</v>
      </c>
      <c r="T725" s="235">
        <v>45000</v>
      </c>
      <c r="U725" s="234" t="s">
        <v>318</v>
      </c>
      <c r="V725" s="232" t="s">
        <v>321</v>
      </c>
      <c r="W725" s="231"/>
      <c r="X725" s="232" t="s">
        <v>322</v>
      </c>
      <c r="Y725" s="232" t="s">
        <v>365</v>
      </c>
      <c r="Z725" s="232" t="s">
        <v>324</v>
      </c>
      <c r="AA725" s="232" t="s">
        <v>28</v>
      </c>
      <c r="AB725" s="236">
        <v>5.0000000000000001E-3</v>
      </c>
      <c r="AC725" s="235"/>
      <c r="AD725" s="234"/>
      <c r="AE725" s="234"/>
      <c r="AF725" s="232" t="s">
        <v>77</v>
      </c>
      <c r="AG725" s="232" t="s">
        <v>350</v>
      </c>
      <c r="AH725" s="234" t="s">
        <v>317</v>
      </c>
      <c r="AJ725" s="234">
        <v>0</v>
      </c>
      <c r="AK725" s="224"/>
      <c r="AL725" s="234">
        <v>0</v>
      </c>
      <c r="AM725" s="224"/>
      <c r="AN725" s="234">
        <v>0</v>
      </c>
      <c r="AO725" s="234">
        <v>0</v>
      </c>
      <c r="AP725" s="234">
        <v>1</v>
      </c>
      <c r="AQ725" s="234">
        <v>0</v>
      </c>
      <c r="AR725" s="234">
        <v>0</v>
      </c>
      <c r="AS725" s="234">
        <v>0</v>
      </c>
      <c r="AT725" s="234">
        <v>0</v>
      </c>
      <c r="AU725" s="234">
        <v>0</v>
      </c>
      <c r="AV725" s="234">
        <v>0</v>
      </c>
      <c r="AW725" s="234">
        <v>0</v>
      </c>
      <c r="AX725" s="234">
        <v>0</v>
      </c>
      <c r="AY725" s="234">
        <v>0</v>
      </c>
      <c r="AZ725" s="234">
        <v>0</v>
      </c>
      <c r="BA725" s="234">
        <v>0</v>
      </c>
      <c r="BB725" s="234">
        <v>0</v>
      </c>
      <c r="BC725" s="234">
        <v>0</v>
      </c>
      <c r="BD725" s="234">
        <v>1</v>
      </c>
      <c r="BE725" s="234">
        <v>0</v>
      </c>
      <c r="BF725" s="234">
        <v>0</v>
      </c>
      <c r="BG725" s="234">
        <v>0</v>
      </c>
      <c r="BH725" s="234">
        <v>0</v>
      </c>
      <c r="BI725" s="234">
        <v>0</v>
      </c>
      <c r="BJ725" s="234">
        <v>0</v>
      </c>
      <c r="BK725" s="234">
        <v>0</v>
      </c>
      <c r="BL725" s="234">
        <v>0</v>
      </c>
      <c r="BM725" s="234">
        <v>0</v>
      </c>
      <c r="BN725" s="234">
        <v>0</v>
      </c>
      <c r="BO725" s="234">
        <v>0</v>
      </c>
      <c r="BP725" s="234"/>
      <c r="BQ725" s="234"/>
      <c r="BR725" s="237" t="s">
        <v>144</v>
      </c>
      <c r="BS725" s="238">
        <v>15</v>
      </c>
      <c r="BU725" s="239">
        <f>M725/4</f>
        <v>0.25</v>
      </c>
      <c r="BV725" s="239">
        <f t="shared" si="78"/>
        <v>0.25</v>
      </c>
      <c r="BW725" s="239">
        <f t="shared" si="79"/>
        <v>0.25</v>
      </c>
      <c r="BX725" s="239">
        <f t="shared" si="80"/>
        <v>0.25</v>
      </c>
      <c r="CN725" s="238">
        <f t="shared" si="81"/>
        <v>1</v>
      </c>
      <c r="CO725" s="238">
        <f t="shared" si="82"/>
        <v>1</v>
      </c>
    </row>
    <row r="726" spans="1:93" ht="13.95" customHeight="1" x14ac:dyDescent="0.2">
      <c r="A726" s="231">
        <v>7855</v>
      </c>
      <c r="B726" s="232" t="s">
        <v>822</v>
      </c>
      <c r="C726" s="232" t="s">
        <v>2169</v>
      </c>
      <c r="D726" s="232" t="s">
        <v>2167</v>
      </c>
      <c r="E726" s="232" t="s">
        <v>317</v>
      </c>
      <c r="F726" s="231">
        <v>527835</v>
      </c>
      <c r="G726" s="231">
        <v>171006</v>
      </c>
      <c r="H726" s="232" t="s">
        <v>177</v>
      </c>
      <c r="I726" s="233"/>
      <c r="J726" s="231"/>
      <c r="K726" s="231">
        <v>0</v>
      </c>
      <c r="L726" s="231">
        <v>1</v>
      </c>
      <c r="M726" s="231">
        <v>1</v>
      </c>
      <c r="N726" s="231">
        <v>1</v>
      </c>
      <c r="O726" s="231">
        <v>1</v>
      </c>
      <c r="P726" s="234"/>
      <c r="Q726" s="232" t="s">
        <v>2170</v>
      </c>
      <c r="R726" s="234" t="s">
        <v>629</v>
      </c>
      <c r="S726" s="235">
        <v>44690</v>
      </c>
      <c r="T726" s="235">
        <v>44742</v>
      </c>
      <c r="U726" s="234" t="s">
        <v>318</v>
      </c>
      <c r="V726" s="232" t="s">
        <v>321</v>
      </c>
      <c r="W726" s="231"/>
      <c r="X726" s="232" t="s">
        <v>322</v>
      </c>
      <c r="Y726" s="232" t="s">
        <v>365</v>
      </c>
      <c r="Z726" s="232" t="s">
        <v>324</v>
      </c>
      <c r="AA726" s="232" t="s">
        <v>28</v>
      </c>
      <c r="AB726" s="236">
        <v>8.0700000000000008E-3</v>
      </c>
      <c r="AC726" s="235"/>
      <c r="AD726" s="234"/>
      <c r="AE726" s="234"/>
      <c r="AF726" s="232" t="s">
        <v>77</v>
      </c>
      <c r="AG726" s="232" t="s">
        <v>350</v>
      </c>
      <c r="AH726" s="234" t="s">
        <v>317</v>
      </c>
      <c r="AJ726" s="234">
        <v>0</v>
      </c>
      <c r="AK726" s="224"/>
      <c r="AL726" s="234">
        <v>0</v>
      </c>
      <c r="AM726" s="224"/>
      <c r="AN726" s="234">
        <v>0</v>
      </c>
      <c r="AO726" s="234">
        <v>1</v>
      </c>
      <c r="AP726" s="234">
        <v>0</v>
      </c>
      <c r="AQ726" s="234">
        <v>0</v>
      </c>
      <c r="AR726" s="234">
        <v>0</v>
      </c>
      <c r="AS726" s="234">
        <v>0</v>
      </c>
      <c r="AT726" s="234">
        <v>0</v>
      </c>
      <c r="AU726" s="234">
        <v>0</v>
      </c>
      <c r="AV726" s="234">
        <v>0</v>
      </c>
      <c r="AW726" s="234">
        <v>0</v>
      </c>
      <c r="AX726" s="234">
        <v>0</v>
      </c>
      <c r="AY726" s="234">
        <v>0</v>
      </c>
      <c r="AZ726" s="234">
        <v>0</v>
      </c>
      <c r="BA726" s="234">
        <v>0</v>
      </c>
      <c r="BB726" s="234">
        <v>0</v>
      </c>
      <c r="BC726" s="234">
        <v>1</v>
      </c>
      <c r="BD726" s="234">
        <v>0</v>
      </c>
      <c r="BE726" s="234">
        <v>0</v>
      </c>
      <c r="BF726" s="234">
        <v>0</v>
      </c>
      <c r="BG726" s="234">
        <v>0</v>
      </c>
      <c r="BH726" s="234">
        <v>0</v>
      </c>
      <c r="BI726" s="234">
        <v>0</v>
      </c>
      <c r="BJ726" s="234">
        <v>0</v>
      </c>
      <c r="BK726" s="234">
        <v>0</v>
      </c>
      <c r="BL726" s="234">
        <v>0</v>
      </c>
      <c r="BM726" s="234">
        <v>0</v>
      </c>
      <c r="BN726" s="234">
        <v>0</v>
      </c>
      <c r="BO726" s="234">
        <v>0</v>
      </c>
      <c r="BP726" s="234"/>
      <c r="BQ726" s="234"/>
      <c r="BR726" s="237" t="s">
        <v>144</v>
      </c>
      <c r="BS726" s="238">
        <v>15</v>
      </c>
      <c r="BU726" s="239">
        <f>M726/4</f>
        <v>0.25</v>
      </c>
      <c r="BV726" s="239">
        <f t="shared" ref="BV726:BV789" si="84">M726/4</f>
        <v>0.25</v>
      </c>
      <c r="BW726" s="239">
        <f t="shared" ref="BW726:BW789" si="85">M726/4</f>
        <v>0.25</v>
      </c>
      <c r="BX726" s="239">
        <f t="shared" ref="BX726:BX789" si="86">M726/4</f>
        <v>0.25</v>
      </c>
      <c r="CN726" s="238">
        <f t="shared" si="81"/>
        <v>1</v>
      </c>
      <c r="CO726" s="238">
        <f t="shared" si="82"/>
        <v>1</v>
      </c>
    </row>
    <row r="727" spans="1:93" ht="13.95" customHeight="1" x14ac:dyDescent="0.2">
      <c r="A727" s="231">
        <v>5887</v>
      </c>
      <c r="B727" s="232" t="s">
        <v>822</v>
      </c>
      <c r="C727" s="232" t="s">
        <v>2171</v>
      </c>
      <c r="D727" s="232" t="s">
        <v>2172</v>
      </c>
      <c r="E727" s="232" t="s">
        <v>317</v>
      </c>
      <c r="F727" s="231">
        <v>528584</v>
      </c>
      <c r="G727" s="231">
        <v>173489</v>
      </c>
      <c r="H727" s="232" t="s">
        <v>141</v>
      </c>
      <c r="I727" s="233"/>
      <c r="J727" s="231"/>
      <c r="K727" s="231">
        <v>0</v>
      </c>
      <c r="L727" s="231">
        <v>1</v>
      </c>
      <c r="M727" s="231">
        <v>1</v>
      </c>
      <c r="N727" s="231">
        <v>1</v>
      </c>
      <c r="O727" s="231">
        <v>1</v>
      </c>
      <c r="P727" s="234"/>
      <c r="Q727" s="232" t="s">
        <v>2173</v>
      </c>
      <c r="R727" s="234" t="s">
        <v>332</v>
      </c>
      <c r="S727" s="235">
        <v>43217</v>
      </c>
      <c r="T727" s="235">
        <v>43258</v>
      </c>
      <c r="U727" s="234"/>
      <c r="V727" s="232" t="s">
        <v>321</v>
      </c>
      <c r="W727" s="231"/>
      <c r="X727" s="232" t="s">
        <v>322</v>
      </c>
      <c r="Y727" s="232" t="s">
        <v>323</v>
      </c>
      <c r="Z727" s="232" t="s">
        <v>324</v>
      </c>
      <c r="AA727" s="232" t="s">
        <v>349</v>
      </c>
      <c r="AB727" s="236">
        <v>1.4999999999999999E-2</v>
      </c>
      <c r="AC727" s="235"/>
      <c r="AD727" s="234"/>
      <c r="AE727" s="234"/>
      <c r="AF727" s="232" t="s">
        <v>77</v>
      </c>
      <c r="AG727" s="232" t="s">
        <v>350</v>
      </c>
      <c r="AH727" s="234" t="s">
        <v>317</v>
      </c>
      <c r="AJ727" s="234">
        <v>0</v>
      </c>
      <c r="AK727" s="224"/>
      <c r="AL727" s="234">
        <v>0</v>
      </c>
      <c r="AM727" s="224"/>
      <c r="AN727" s="234">
        <v>0</v>
      </c>
      <c r="AO727" s="234">
        <v>0</v>
      </c>
      <c r="AP727" s="234">
        <v>0</v>
      </c>
      <c r="AQ727" s="234">
        <v>0</v>
      </c>
      <c r="AR727" s="234">
        <v>1</v>
      </c>
      <c r="AS727" s="234">
        <v>0</v>
      </c>
      <c r="AT727" s="234">
        <v>0</v>
      </c>
      <c r="AU727" s="234">
        <v>0</v>
      </c>
      <c r="AV727" s="234">
        <v>0</v>
      </c>
      <c r="AW727" s="234">
        <v>0</v>
      </c>
      <c r="AX727" s="234">
        <v>0</v>
      </c>
      <c r="AY727" s="234">
        <v>0</v>
      </c>
      <c r="AZ727" s="234">
        <v>0</v>
      </c>
      <c r="BA727" s="234">
        <v>0</v>
      </c>
      <c r="BB727" s="234">
        <v>0</v>
      </c>
      <c r="BC727" s="234">
        <v>0</v>
      </c>
      <c r="BD727" s="234">
        <v>0</v>
      </c>
      <c r="BE727" s="234">
        <v>0</v>
      </c>
      <c r="BF727" s="234">
        <v>1</v>
      </c>
      <c r="BG727" s="234">
        <v>0</v>
      </c>
      <c r="BH727" s="234">
        <v>0</v>
      </c>
      <c r="BI727" s="234">
        <v>0</v>
      </c>
      <c r="BJ727" s="234">
        <v>0</v>
      </c>
      <c r="BK727" s="234">
        <v>0</v>
      </c>
      <c r="BL727" s="234">
        <v>0</v>
      </c>
      <c r="BM727" s="234">
        <v>0</v>
      </c>
      <c r="BN727" s="234">
        <v>0</v>
      </c>
      <c r="BO727" s="234">
        <v>0</v>
      </c>
      <c r="BP727" s="234"/>
      <c r="BQ727" s="234"/>
      <c r="BR727" s="237" t="s">
        <v>141</v>
      </c>
      <c r="BS727" s="238">
        <v>7</v>
      </c>
      <c r="BV727" s="239">
        <f t="shared" si="84"/>
        <v>0.25</v>
      </c>
      <c r="BW727" s="239">
        <f t="shared" si="85"/>
        <v>0.25</v>
      </c>
      <c r="BX727" s="239">
        <f t="shared" si="86"/>
        <v>0.25</v>
      </c>
      <c r="BY727" s="239">
        <f>M727/4</f>
        <v>0.25</v>
      </c>
      <c r="CN727" s="238">
        <f t="shared" si="81"/>
        <v>1</v>
      </c>
      <c r="CO727" s="238">
        <f t="shared" si="82"/>
        <v>1</v>
      </c>
    </row>
    <row r="728" spans="1:93" ht="13.95" customHeight="1" x14ac:dyDescent="0.2">
      <c r="A728" s="231">
        <v>7010</v>
      </c>
      <c r="B728" s="232" t="s">
        <v>822</v>
      </c>
      <c r="C728" s="232" t="s">
        <v>2174</v>
      </c>
      <c r="D728" s="232" t="s">
        <v>2175</v>
      </c>
      <c r="E728" s="232" t="s">
        <v>317</v>
      </c>
      <c r="F728" s="231">
        <v>528787</v>
      </c>
      <c r="G728" s="231">
        <v>174236</v>
      </c>
      <c r="H728" s="232" t="s">
        <v>141</v>
      </c>
      <c r="I728" s="233"/>
      <c r="J728" s="231"/>
      <c r="K728" s="231">
        <v>0</v>
      </c>
      <c r="L728" s="231">
        <v>1</v>
      </c>
      <c r="M728" s="231">
        <v>1</v>
      </c>
      <c r="N728" s="231">
        <v>1</v>
      </c>
      <c r="O728" s="231">
        <v>1</v>
      </c>
      <c r="P728" s="234"/>
      <c r="Q728" s="232" t="s">
        <v>2176</v>
      </c>
      <c r="R728" s="234" t="s">
        <v>629</v>
      </c>
      <c r="S728" s="235">
        <v>43341</v>
      </c>
      <c r="T728" s="235">
        <v>43396</v>
      </c>
      <c r="U728" s="234"/>
      <c r="V728" s="232" t="s">
        <v>321</v>
      </c>
      <c r="W728" s="231"/>
      <c r="X728" s="232" t="s">
        <v>322</v>
      </c>
      <c r="Y728" s="232" t="s">
        <v>378</v>
      </c>
      <c r="Z728" s="232" t="s">
        <v>324</v>
      </c>
      <c r="AA728" s="232" t="s">
        <v>25</v>
      </c>
      <c r="AB728" s="236">
        <v>2E-3</v>
      </c>
      <c r="AC728" s="235"/>
      <c r="AD728" s="234"/>
      <c r="AE728" s="234"/>
      <c r="AF728" s="232" t="s">
        <v>77</v>
      </c>
      <c r="AG728" s="232" t="s">
        <v>350</v>
      </c>
      <c r="AH728" s="234" t="s">
        <v>317</v>
      </c>
      <c r="AJ728" s="234">
        <v>0</v>
      </c>
      <c r="AK728" s="224"/>
      <c r="AL728" s="234">
        <v>0</v>
      </c>
      <c r="AM728" s="224"/>
      <c r="AN728" s="234">
        <v>0</v>
      </c>
      <c r="AO728" s="234">
        <v>1</v>
      </c>
      <c r="AP728" s="234">
        <v>0</v>
      </c>
      <c r="AQ728" s="234">
        <v>0</v>
      </c>
      <c r="AR728" s="234">
        <v>0</v>
      </c>
      <c r="AS728" s="234">
        <v>0</v>
      </c>
      <c r="AT728" s="234">
        <v>0</v>
      </c>
      <c r="AU728" s="234">
        <v>0</v>
      </c>
      <c r="AV728" s="234">
        <v>1</v>
      </c>
      <c r="AW728" s="234">
        <v>0</v>
      </c>
      <c r="AX728" s="234">
        <v>0</v>
      </c>
      <c r="AY728" s="234">
        <v>0</v>
      </c>
      <c r="AZ728" s="234">
        <v>0</v>
      </c>
      <c r="BA728" s="234">
        <v>0</v>
      </c>
      <c r="BB728" s="234">
        <v>0</v>
      </c>
      <c r="BC728" s="234">
        <v>0</v>
      </c>
      <c r="BD728" s="234">
        <v>0</v>
      </c>
      <c r="BE728" s="234">
        <v>0</v>
      </c>
      <c r="BF728" s="234">
        <v>0</v>
      </c>
      <c r="BG728" s="234">
        <v>0</v>
      </c>
      <c r="BH728" s="234">
        <v>0</v>
      </c>
      <c r="BI728" s="234">
        <v>0</v>
      </c>
      <c r="BJ728" s="234">
        <v>0</v>
      </c>
      <c r="BK728" s="234">
        <v>0</v>
      </c>
      <c r="BL728" s="234">
        <v>0</v>
      </c>
      <c r="BM728" s="234">
        <v>0</v>
      </c>
      <c r="BN728" s="234">
        <v>0</v>
      </c>
      <c r="BO728" s="234">
        <v>0</v>
      </c>
      <c r="BP728" s="234"/>
      <c r="BQ728" s="234"/>
      <c r="BR728" s="237" t="s">
        <v>334</v>
      </c>
      <c r="BS728" s="238">
        <v>15</v>
      </c>
      <c r="BU728" s="239">
        <f>M728/4</f>
        <v>0.25</v>
      </c>
      <c r="BV728" s="239">
        <f t="shared" si="84"/>
        <v>0.25</v>
      </c>
      <c r="BW728" s="239">
        <f t="shared" si="85"/>
        <v>0.25</v>
      </c>
      <c r="BX728" s="239">
        <f t="shared" si="86"/>
        <v>0.25</v>
      </c>
      <c r="CN728" s="238">
        <f t="shared" si="81"/>
        <v>1</v>
      </c>
      <c r="CO728" s="238">
        <f t="shared" si="82"/>
        <v>1</v>
      </c>
    </row>
    <row r="729" spans="1:93" ht="13.95" customHeight="1" x14ac:dyDescent="0.2">
      <c r="A729" s="231">
        <v>2517</v>
      </c>
      <c r="B729" s="232" t="s">
        <v>822</v>
      </c>
      <c r="C729" s="232" t="s">
        <v>2177</v>
      </c>
      <c r="D729" s="232" t="s">
        <v>2178</v>
      </c>
      <c r="E729" s="232" t="s">
        <v>317</v>
      </c>
      <c r="F729" s="231">
        <v>525267</v>
      </c>
      <c r="G729" s="231">
        <v>174685</v>
      </c>
      <c r="H729" s="232" t="s">
        <v>164</v>
      </c>
      <c r="I729" s="233"/>
      <c r="J729" s="231"/>
      <c r="K729" s="231">
        <v>0</v>
      </c>
      <c r="L729" s="231">
        <v>1</v>
      </c>
      <c r="M729" s="231">
        <v>1</v>
      </c>
      <c r="N729" s="231">
        <v>1</v>
      </c>
      <c r="O729" s="231">
        <v>1</v>
      </c>
      <c r="P729" s="234"/>
      <c r="Q729" s="232" t="s">
        <v>2179</v>
      </c>
      <c r="R729" s="234" t="s">
        <v>332</v>
      </c>
      <c r="S729" s="235">
        <v>43291</v>
      </c>
      <c r="T729" s="235">
        <v>43392</v>
      </c>
      <c r="U729" s="234"/>
      <c r="V729" s="232" t="s">
        <v>321</v>
      </c>
      <c r="W729" s="231"/>
      <c r="X729" s="232" t="s">
        <v>322</v>
      </c>
      <c r="Y729" s="232" t="s">
        <v>323</v>
      </c>
      <c r="Z729" s="232" t="s">
        <v>324</v>
      </c>
      <c r="AA729" s="232" t="s">
        <v>349</v>
      </c>
      <c r="AB729" s="236">
        <v>8.0000000000000002E-3</v>
      </c>
      <c r="AC729" s="235"/>
      <c r="AD729" s="234"/>
      <c r="AE729" s="234"/>
      <c r="AF729" s="232" t="s">
        <v>77</v>
      </c>
      <c r="AG729" s="232" t="s">
        <v>350</v>
      </c>
      <c r="AH729" s="234" t="s">
        <v>317</v>
      </c>
      <c r="AJ729" s="234">
        <v>0</v>
      </c>
      <c r="AK729" s="224"/>
      <c r="AL729" s="234">
        <v>0</v>
      </c>
      <c r="AM729" s="224"/>
      <c r="AN729" s="234">
        <v>0</v>
      </c>
      <c r="AO729" s="234">
        <v>0</v>
      </c>
      <c r="AP729" s="234">
        <v>0</v>
      </c>
      <c r="AQ729" s="234">
        <v>1</v>
      </c>
      <c r="AR729" s="234">
        <v>0</v>
      </c>
      <c r="AS729" s="234">
        <v>0</v>
      </c>
      <c r="AT729" s="234">
        <v>0</v>
      </c>
      <c r="AU729" s="234">
        <v>0</v>
      </c>
      <c r="AV729" s="234">
        <v>0</v>
      </c>
      <c r="AW729" s="234">
        <v>0</v>
      </c>
      <c r="AX729" s="234">
        <v>0</v>
      </c>
      <c r="AY729" s="234">
        <v>0</v>
      </c>
      <c r="AZ729" s="234">
        <v>0</v>
      </c>
      <c r="BA729" s="234">
        <v>0</v>
      </c>
      <c r="BB729" s="234">
        <v>0</v>
      </c>
      <c r="BC729" s="234">
        <v>0</v>
      </c>
      <c r="BD729" s="234">
        <v>0</v>
      </c>
      <c r="BE729" s="234">
        <v>1</v>
      </c>
      <c r="BF729" s="234">
        <v>0</v>
      </c>
      <c r="BG729" s="234">
        <v>0</v>
      </c>
      <c r="BH729" s="234">
        <v>0</v>
      </c>
      <c r="BI729" s="234">
        <v>0</v>
      </c>
      <c r="BJ729" s="234">
        <v>0</v>
      </c>
      <c r="BK729" s="234">
        <v>0</v>
      </c>
      <c r="BL729" s="234">
        <v>0</v>
      </c>
      <c r="BM729" s="234">
        <v>0</v>
      </c>
      <c r="BN729" s="234">
        <v>0</v>
      </c>
      <c r="BO729" s="234">
        <v>0</v>
      </c>
      <c r="BP729" s="234"/>
      <c r="BQ729" s="234"/>
      <c r="BR729" s="237" t="s">
        <v>327</v>
      </c>
      <c r="BS729" s="238">
        <v>7</v>
      </c>
      <c r="BV729" s="239">
        <f t="shared" si="84"/>
        <v>0.25</v>
      </c>
      <c r="BW729" s="239">
        <f t="shared" si="85"/>
        <v>0.25</v>
      </c>
      <c r="BX729" s="239">
        <f t="shared" si="86"/>
        <v>0.25</v>
      </c>
      <c r="BY729" s="239">
        <f>M729/4</f>
        <v>0.25</v>
      </c>
      <c r="CN729" s="238">
        <f t="shared" si="81"/>
        <v>1</v>
      </c>
      <c r="CO729" s="238">
        <f t="shared" si="82"/>
        <v>1</v>
      </c>
    </row>
    <row r="730" spans="1:93" ht="13.95" customHeight="1" x14ac:dyDescent="0.2">
      <c r="A730" s="231">
        <v>2684</v>
      </c>
      <c r="B730" s="232" t="s">
        <v>822</v>
      </c>
      <c r="C730" s="232" t="s">
        <v>2180</v>
      </c>
      <c r="D730" s="232" t="s">
        <v>2181</v>
      </c>
      <c r="E730" s="232" t="s">
        <v>317</v>
      </c>
      <c r="F730" s="231">
        <v>527873</v>
      </c>
      <c r="G730" s="231">
        <v>171365</v>
      </c>
      <c r="H730" s="232" t="s">
        <v>177</v>
      </c>
      <c r="I730" s="233"/>
      <c r="J730" s="231"/>
      <c r="K730" s="231">
        <v>0</v>
      </c>
      <c r="L730" s="231">
        <v>1</v>
      </c>
      <c r="M730" s="231">
        <v>1</v>
      </c>
      <c r="N730" s="231">
        <v>1</v>
      </c>
      <c r="O730" s="231">
        <v>1</v>
      </c>
      <c r="P730" s="234"/>
      <c r="Q730" s="232" t="s">
        <v>2182</v>
      </c>
      <c r="R730" s="234" t="s">
        <v>332</v>
      </c>
      <c r="S730" s="235">
        <v>44805</v>
      </c>
      <c r="T730" s="235">
        <v>44866</v>
      </c>
      <c r="U730" s="234" t="s">
        <v>318</v>
      </c>
      <c r="V730" s="232" t="s">
        <v>321</v>
      </c>
      <c r="W730" s="231"/>
      <c r="X730" s="232" t="s">
        <v>322</v>
      </c>
      <c r="Y730" s="232" t="s">
        <v>365</v>
      </c>
      <c r="Z730" s="232" t="s">
        <v>324</v>
      </c>
      <c r="AA730" s="232" t="s">
        <v>28</v>
      </c>
      <c r="AB730" s="236">
        <v>4.7499999999999999E-3</v>
      </c>
      <c r="AC730" s="235"/>
      <c r="AD730" s="234"/>
      <c r="AE730" s="234"/>
      <c r="AF730" s="232" t="s">
        <v>77</v>
      </c>
      <c r="AG730" s="232" t="s">
        <v>350</v>
      </c>
      <c r="AH730" s="234" t="s">
        <v>317</v>
      </c>
      <c r="AJ730" s="234">
        <v>0</v>
      </c>
      <c r="AK730" s="224"/>
      <c r="AL730" s="234">
        <v>0</v>
      </c>
      <c r="AM730" s="224"/>
      <c r="AN730" s="234">
        <v>0</v>
      </c>
      <c r="AO730" s="234">
        <v>0</v>
      </c>
      <c r="AP730" s="234">
        <v>1</v>
      </c>
      <c r="AQ730" s="234">
        <v>0</v>
      </c>
      <c r="AR730" s="234">
        <v>0</v>
      </c>
      <c r="AS730" s="234">
        <v>0</v>
      </c>
      <c r="AT730" s="234">
        <v>0</v>
      </c>
      <c r="AU730" s="234">
        <v>0</v>
      </c>
      <c r="AV730" s="234">
        <v>0</v>
      </c>
      <c r="AW730" s="234">
        <v>0</v>
      </c>
      <c r="AX730" s="234">
        <v>0</v>
      </c>
      <c r="AY730" s="234">
        <v>0</v>
      </c>
      <c r="AZ730" s="234">
        <v>0</v>
      </c>
      <c r="BA730" s="234">
        <v>0</v>
      </c>
      <c r="BB730" s="234">
        <v>0</v>
      </c>
      <c r="BC730" s="234">
        <v>0</v>
      </c>
      <c r="BD730" s="234">
        <v>1</v>
      </c>
      <c r="BE730" s="234">
        <v>0</v>
      </c>
      <c r="BF730" s="234">
        <v>0</v>
      </c>
      <c r="BG730" s="234">
        <v>0</v>
      </c>
      <c r="BH730" s="234">
        <v>0</v>
      </c>
      <c r="BI730" s="234">
        <v>0</v>
      </c>
      <c r="BJ730" s="234">
        <v>0</v>
      </c>
      <c r="BK730" s="234">
        <v>0</v>
      </c>
      <c r="BL730" s="234">
        <v>0</v>
      </c>
      <c r="BM730" s="234">
        <v>0</v>
      </c>
      <c r="BN730" s="234">
        <v>0</v>
      </c>
      <c r="BO730" s="234">
        <v>0</v>
      </c>
      <c r="BP730" s="234"/>
      <c r="BQ730" s="234"/>
      <c r="BR730" s="237" t="s">
        <v>334</v>
      </c>
      <c r="BS730" s="238">
        <v>15</v>
      </c>
      <c r="BU730" s="239">
        <f>M730/4</f>
        <v>0.25</v>
      </c>
      <c r="BV730" s="239">
        <f t="shared" si="84"/>
        <v>0.25</v>
      </c>
      <c r="BW730" s="239">
        <f t="shared" si="85"/>
        <v>0.25</v>
      </c>
      <c r="BX730" s="239">
        <f t="shared" si="86"/>
        <v>0.25</v>
      </c>
      <c r="CN730" s="238">
        <f t="shared" si="81"/>
        <v>1</v>
      </c>
      <c r="CO730" s="238">
        <f t="shared" si="82"/>
        <v>1</v>
      </c>
    </row>
    <row r="731" spans="1:93" ht="13.95" customHeight="1" x14ac:dyDescent="0.2">
      <c r="A731" s="231">
        <v>7368</v>
      </c>
      <c r="B731" s="232" t="s">
        <v>822</v>
      </c>
      <c r="C731" s="232" t="s">
        <v>2183</v>
      </c>
      <c r="D731" s="232" t="s">
        <v>2184</v>
      </c>
      <c r="E731" s="232" t="s">
        <v>317</v>
      </c>
      <c r="F731" s="231">
        <v>526149</v>
      </c>
      <c r="G731" s="231">
        <v>172683</v>
      </c>
      <c r="H731" s="232" t="s">
        <v>180</v>
      </c>
      <c r="I731" s="233"/>
      <c r="J731" s="231"/>
      <c r="K731" s="231">
        <v>0</v>
      </c>
      <c r="L731" s="231">
        <v>1</v>
      </c>
      <c r="M731" s="231">
        <v>1</v>
      </c>
      <c r="N731" s="231">
        <v>1</v>
      </c>
      <c r="O731" s="231">
        <v>1</v>
      </c>
      <c r="P731" s="234"/>
      <c r="Q731" s="232" t="s">
        <v>2185</v>
      </c>
      <c r="R731" s="234" t="s">
        <v>332</v>
      </c>
      <c r="S731" s="235">
        <v>43362</v>
      </c>
      <c r="T731" s="235">
        <v>43418</v>
      </c>
      <c r="U731" s="234"/>
      <c r="V731" s="232" t="s">
        <v>321</v>
      </c>
      <c r="W731" s="231"/>
      <c r="X731" s="232" t="s">
        <v>322</v>
      </c>
      <c r="Y731" s="232" t="s">
        <v>323</v>
      </c>
      <c r="Z731" s="232" t="s">
        <v>324</v>
      </c>
      <c r="AA731" s="232" t="s">
        <v>349</v>
      </c>
      <c r="AB731" s="236">
        <v>6.0000000000000001E-3</v>
      </c>
      <c r="AC731" s="235"/>
      <c r="AD731" s="234"/>
      <c r="AE731" s="234"/>
      <c r="AF731" s="232" t="s">
        <v>77</v>
      </c>
      <c r="AG731" s="232" t="s">
        <v>350</v>
      </c>
      <c r="AH731" s="234" t="s">
        <v>317</v>
      </c>
      <c r="AJ731" s="234">
        <v>0</v>
      </c>
      <c r="AK731" s="224"/>
      <c r="AL731" s="234">
        <v>0</v>
      </c>
      <c r="AM731" s="224"/>
      <c r="AN731" s="234">
        <v>0</v>
      </c>
      <c r="AO731" s="234">
        <v>1</v>
      </c>
      <c r="AP731" s="234">
        <v>0</v>
      </c>
      <c r="AQ731" s="234">
        <v>0</v>
      </c>
      <c r="AR731" s="234">
        <v>0</v>
      </c>
      <c r="AS731" s="234">
        <v>0</v>
      </c>
      <c r="AT731" s="234">
        <v>0</v>
      </c>
      <c r="AU731" s="234">
        <v>0</v>
      </c>
      <c r="AV731" s="234">
        <v>0</v>
      </c>
      <c r="AW731" s="234">
        <v>0</v>
      </c>
      <c r="AX731" s="234">
        <v>0</v>
      </c>
      <c r="AY731" s="234">
        <v>0</v>
      </c>
      <c r="AZ731" s="234">
        <v>0</v>
      </c>
      <c r="BA731" s="234">
        <v>0</v>
      </c>
      <c r="BB731" s="234">
        <v>0</v>
      </c>
      <c r="BC731" s="234">
        <v>1</v>
      </c>
      <c r="BD731" s="234">
        <v>0</v>
      </c>
      <c r="BE731" s="234">
        <v>0</v>
      </c>
      <c r="BF731" s="234">
        <v>0</v>
      </c>
      <c r="BG731" s="234">
        <v>0</v>
      </c>
      <c r="BH731" s="234">
        <v>0</v>
      </c>
      <c r="BI731" s="234">
        <v>0</v>
      </c>
      <c r="BJ731" s="234">
        <v>0</v>
      </c>
      <c r="BK731" s="234">
        <v>0</v>
      </c>
      <c r="BL731" s="234">
        <v>0</v>
      </c>
      <c r="BM731" s="234">
        <v>0</v>
      </c>
      <c r="BN731" s="234">
        <v>0</v>
      </c>
      <c r="BO731" s="234">
        <v>0</v>
      </c>
      <c r="BP731" s="234"/>
      <c r="BQ731" s="234"/>
      <c r="BR731" s="237" t="s">
        <v>154</v>
      </c>
      <c r="BS731" s="238">
        <v>7</v>
      </c>
      <c r="BV731" s="239">
        <f t="shared" si="84"/>
        <v>0.25</v>
      </c>
      <c r="BW731" s="239">
        <f t="shared" si="85"/>
        <v>0.25</v>
      </c>
      <c r="BX731" s="239">
        <f t="shared" si="86"/>
        <v>0.25</v>
      </c>
      <c r="BY731" s="239">
        <f>M731/4</f>
        <v>0.25</v>
      </c>
      <c r="CN731" s="238">
        <f t="shared" si="81"/>
        <v>1</v>
      </c>
      <c r="CO731" s="238">
        <f t="shared" si="82"/>
        <v>1</v>
      </c>
    </row>
    <row r="732" spans="1:93" ht="13.95" customHeight="1" x14ac:dyDescent="0.2">
      <c r="A732" s="231">
        <v>7042</v>
      </c>
      <c r="B732" s="232" t="s">
        <v>822</v>
      </c>
      <c r="C732" s="232" t="s">
        <v>2186</v>
      </c>
      <c r="D732" s="232" t="s">
        <v>2187</v>
      </c>
      <c r="E732" s="232" t="s">
        <v>317</v>
      </c>
      <c r="F732" s="231">
        <v>522867</v>
      </c>
      <c r="G732" s="231">
        <v>174692</v>
      </c>
      <c r="H732" s="232" t="s">
        <v>183</v>
      </c>
      <c r="I732" s="233"/>
      <c r="J732" s="231"/>
      <c r="K732" s="231">
        <v>1</v>
      </c>
      <c r="L732" s="231">
        <v>1</v>
      </c>
      <c r="M732" s="231">
        <v>0</v>
      </c>
      <c r="N732" s="231">
        <v>1</v>
      </c>
      <c r="O732" s="231">
        <v>0</v>
      </c>
      <c r="P732" s="234"/>
      <c r="Q732" s="232" t="s">
        <v>2188</v>
      </c>
      <c r="R732" s="234" t="s">
        <v>332</v>
      </c>
      <c r="S732" s="235">
        <v>43396</v>
      </c>
      <c r="T732" s="235">
        <v>43524</v>
      </c>
      <c r="U732" s="234"/>
      <c r="V732" s="232" t="s">
        <v>321</v>
      </c>
      <c r="W732" s="231"/>
      <c r="X732" s="232" t="s">
        <v>322</v>
      </c>
      <c r="Y732" s="232" t="s">
        <v>323</v>
      </c>
      <c r="Z732" s="232" t="s">
        <v>324</v>
      </c>
      <c r="AA732" s="232" t="s">
        <v>349</v>
      </c>
      <c r="AB732" s="236">
        <v>5.2999999999999999E-2</v>
      </c>
      <c r="AC732" s="235"/>
      <c r="AD732" s="234"/>
      <c r="AE732" s="234"/>
      <c r="AF732" s="232" t="s">
        <v>77</v>
      </c>
      <c r="AG732" s="232" t="s">
        <v>350</v>
      </c>
      <c r="AH732" s="234" t="s">
        <v>317</v>
      </c>
      <c r="AJ732" s="234">
        <v>0</v>
      </c>
      <c r="AK732" s="224"/>
      <c r="AL732" s="234">
        <v>0</v>
      </c>
      <c r="AM732" s="224"/>
      <c r="AN732" s="234">
        <v>0</v>
      </c>
      <c r="AO732" s="234">
        <v>0</v>
      </c>
      <c r="AP732" s="234">
        <v>0</v>
      </c>
      <c r="AQ732" s="234">
        <v>0</v>
      </c>
      <c r="AR732" s="234">
        <v>-1</v>
      </c>
      <c r="AS732" s="234">
        <v>1</v>
      </c>
      <c r="AT732" s="234">
        <v>0</v>
      </c>
      <c r="AU732" s="234">
        <v>0</v>
      </c>
      <c r="AV732" s="234">
        <v>0</v>
      </c>
      <c r="AW732" s="234">
        <v>0</v>
      </c>
      <c r="AX732" s="234">
        <v>0</v>
      </c>
      <c r="AY732" s="234">
        <v>0</v>
      </c>
      <c r="AZ732" s="234">
        <v>0</v>
      </c>
      <c r="BA732" s="234">
        <v>0</v>
      </c>
      <c r="BB732" s="234">
        <v>0</v>
      </c>
      <c r="BC732" s="234">
        <v>0</v>
      </c>
      <c r="BD732" s="234">
        <v>0</v>
      </c>
      <c r="BE732" s="234">
        <v>0</v>
      </c>
      <c r="BF732" s="234">
        <v>-1</v>
      </c>
      <c r="BG732" s="234">
        <v>1</v>
      </c>
      <c r="BH732" s="234">
        <v>0</v>
      </c>
      <c r="BI732" s="234">
        <v>0</v>
      </c>
      <c r="BJ732" s="234">
        <v>0</v>
      </c>
      <c r="BK732" s="234">
        <v>0</v>
      </c>
      <c r="BL732" s="234">
        <v>0</v>
      </c>
      <c r="BM732" s="234">
        <v>0</v>
      </c>
      <c r="BN732" s="234">
        <v>0</v>
      </c>
      <c r="BO732" s="234">
        <v>0</v>
      </c>
      <c r="BP732" s="234"/>
      <c r="BQ732" s="234"/>
      <c r="BR732" s="237" t="s">
        <v>334</v>
      </c>
      <c r="BS732" s="238">
        <v>7</v>
      </c>
      <c r="BV732" s="239">
        <f t="shared" si="84"/>
        <v>0</v>
      </c>
      <c r="BW732" s="239">
        <f t="shared" si="85"/>
        <v>0</v>
      </c>
      <c r="BX732" s="239">
        <f t="shared" si="86"/>
        <v>0</v>
      </c>
      <c r="BY732" s="239">
        <f>M732/4</f>
        <v>0</v>
      </c>
      <c r="CN732" s="238">
        <f t="shared" si="81"/>
        <v>0</v>
      </c>
      <c r="CO732" s="238">
        <f t="shared" si="82"/>
        <v>0</v>
      </c>
    </row>
    <row r="733" spans="1:93" ht="13.95" customHeight="1" x14ac:dyDescent="0.2">
      <c r="A733" s="231">
        <v>6690</v>
      </c>
      <c r="B733" s="232" t="s">
        <v>822</v>
      </c>
      <c r="C733" s="232" t="s">
        <v>2189</v>
      </c>
      <c r="D733" s="232" t="s">
        <v>2190</v>
      </c>
      <c r="E733" s="232" t="s">
        <v>317</v>
      </c>
      <c r="F733" s="231">
        <v>523675</v>
      </c>
      <c r="G733" s="231">
        <v>175182</v>
      </c>
      <c r="H733" s="232" t="s">
        <v>183</v>
      </c>
      <c r="I733" s="233"/>
      <c r="J733" s="231"/>
      <c r="K733" s="231">
        <v>0</v>
      </c>
      <c r="L733" s="231">
        <v>1</v>
      </c>
      <c r="M733" s="231">
        <v>1</v>
      </c>
      <c r="N733" s="231">
        <v>1</v>
      </c>
      <c r="O733" s="231">
        <v>1</v>
      </c>
      <c r="P733" s="234"/>
      <c r="Q733" s="232" t="s">
        <v>2191</v>
      </c>
      <c r="R733" s="234" t="s">
        <v>332</v>
      </c>
      <c r="S733" s="235">
        <v>43418</v>
      </c>
      <c r="T733" s="235">
        <v>43486</v>
      </c>
      <c r="U733" s="234"/>
      <c r="V733" s="232" t="s">
        <v>321</v>
      </c>
      <c r="W733" s="231"/>
      <c r="X733" s="232" t="s">
        <v>322</v>
      </c>
      <c r="Y733" s="232" t="s">
        <v>323</v>
      </c>
      <c r="Z733" s="232" t="s">
        <v>324</v>
      </c>
      <c r="AA733" s="232" t="s">
        <v>349</v>
      </c>
      <c r="AB733" s="236">
        <v>5.0000000000000001E-3</v>
      </c>
      <c r="AC733" s="235"/>
      <c r="AD733" s="234"/>
      <c r="AE733" s="234"/>
      <c r="AF733" s="232" t="s">
        <v>77</v>
      </c>
      <c r="AG733" s="232" t="s">
        <v>350</v>
      </c>
      <c r="AH733" s="234" t="s">
        <v>317</v>
      </c>
      <c r="AJ733" s="234">
        <v>0</v>
      </c>
      <c r="AK733" s="224"/>
      <c r="AL733" s="234">
        <v>0</v>
      </c>
      <c r="AM733" s="224"/>
      <c r="AN733" s="234">
        <v>0</v>
      </c>
      <c r="AO733" s="234">
        <v>1</v>
      </c>
      <c r="AP733" s="234">
        <v>0</v>
      </c>
      <c r="AQ733" s="234">
        <v>0</v>
      </c>
      <c r="AR733" s="234">
        <v>0</v>
      </c>
      <c r="AS733" s="234">
        <v>0</v>
      </c>
      <c r="AT733" s="234">
        <v>0</v>
      </c>
      <c r="AU733" s="234">
        <v>0</v>
      </c>
      <c r="AV733" s="234">
        <v>0</v>
      </c>
      <c r="AW733" s="234">
        <v>0</v>
      </c>
      <c r="AX733" s="234">
        <v>0</v>
      </c>
      <c r="AY733" s="234">
        <v>0</v>
      </c>
      <c r="AZ733" s="234">
        <v>0</v>
      </c>
      <c r="BA733" s="234">
        <v>0</v>
      </c>
      <c r="BB733" s="234">
        <v>0</v>
      </c>
      <c r="BC733" s="234">
        <v>1</v>
      </c>
      <c r="BD733" s="234">
        <v>0</v>
      </c>
      <c r="BE733" s="234">
        <v>0</v>
      </c>
      <c r="BF733" s="234">
        <v>0</v>
      </c>
      <c r="BG733" s="234">
        <v>0</v>
      </c>
      <c r="BH733" s="234">
        <v>0</v>
      </c>
      <c r="BI733" s="234">
        <v>0</v>
      </c>
      <c r="BJ733" s="234">
        <v>0</v>
      </c>
      <c r="BK733" s="234">
        <v>0</v>
      </c>
      <c r="BL733" s="234">
        <v>0</v>
      </c>
      <c r="BM733" s="234">
        <v>0</v>
      </c>
      <c r="BN733" s="234">
        <v>0</v>
      </c>
      <c r="BO733" s="234">
        <v>0</v>
      </c>
      <c r="BP733" s="234" t="s">
        <v>143</v>
      </c>
      <c r="BQ733" s="234"/>
      <c r="BR733" s="237" t="s">
        <v>152</v>
      </c>
      <c r="BS733" s="238">
        <v>7</v>
      </c>
      <c r="BV733" s="239">
        <f t="shared" si="84"/>
        <v>0.25</v>
      </c>
      <c r="BW733" s="239">
        <f t="shared" si="85"/>
        <v>0.25</v>
      </c>
      <c r="BX733" s="239">
        <f t="shared" si="86"/>
        <v>0.25</v>
      </c>
      <c r="BY733" s="239">
        <f>M733/4</f>
        <v>0.25</v>
      </c>
      <c r="CN733" s="238">
        <f t="shared" si="81"/>
        <v>1</v>
      </c>
      <c r="CO733" s="238">
        <f t="shared" si="82"/>
        <v>1</v>
      </c>
    </row>
    <row r="734" spans="1:93" ht="13.95" customHeight="1" x14ac:dyDescent="0.2">
      <c r="A734" s="231">
        <v>5607</v>
      </c>
      <c r="B734" s="232" t="s">
        <v>822</v>
      </c>
      <c r="C734" s="232" t="s">
        <v>2192</v>
      </c>
      <c r="D734" s="232" t="s">
        <v>2193</v>
      </c>
      <c r="E734" s="232" t="s">
        <v>317</v>
      </c>
      <c r="F734" s="231">
        <v>528038</v>
      </c>
      <c r="G734" s="231">
        <v>174028</v>
      </c>
      <c r="H734" s="232" t="s">
        <v>141</v>
      </c>
      <c r="I734" s="233"/>
      <c r="J734" s="231"/>
      <c r="K734" s="231">
        <v>1</v>
      </c>
      <c r="L734" s="231">
        <v>2</v>
      </c>
      <c r="M734" s="231">
        <v>1</v>
      </c>
      <c r="N734" s="231">
        <v>2</v>
      </c>
      <c r="O734" s="231">
        <v>-1</v>
      </c>
      <c r="P734" s="234"/>
      <c r="Q734" s="232" t="s">
        <v>2194</v>
      </c>
      <c r="R734" s="234" t="s">
        <v>332</v>
      </c>
      <c r="S734" s="235">
        <v>43580</v>
      </c>
      <c r="T734" s="235">
        <v>43767</v>
      </c>
      <c r="U734" s="234"/>
      <c r="V734" s="232" t="s">
        <v>321</v>
      </c>
      <c r="W734" s="231"/>
      <c r="X734" s="232" t="s">
        <v>322</v>
      </c>
      <c r="Y734" s="232" t="s">
        <v>338</v>
      </c>
      <c r="Z734" s="232" t="s">
        <v>324</v>
      </c>
      <c r="AA734" s="232" t="s">
        <v>354</v>
      </c>
      <c r="AB734" s="236">
        <v>1.03E-2</v>
      </c>
      <c r="AC734" s="235"/>
      <c r="AD734" s="234"/>
      <c r="AE734" s="234"/>
      <c r="AF734" s="232" t="s">
        <v>77</v>
      </c>
      <c r="AG734" s="232" t="s">
        <v>350</v>
      </c>
      <c r="AH734" s="234" t="s">
        <v>317</v>
      </c>
      <c r="AJ734" s="234">
        <v>0</v>
      </c>
      <c r="AK734" s="224"/>
      <c r="AL734" s="234">
        <v>0</v>
      </c>
      <c r="AM734" s="224"/>
      <c r="AN734" s="234">
        <v>0</v>
      </c>
      <c r="AO734" s="234">
        <v>0</v>
      </c>
      <c r="AP734" s="234">
        <v>1</v>
      </c>
      <c r="AQ734" s="234">
        <v>0</v>
      </c>
      <c r="AR734" s="234">
        <v>0</v>
      </c>
      <c r="AS734" s="234">
        <v>0</v>
      </c>
      <c r="AT734" s="234">
        <v>0</v>
      </c>
      <c r="AU734" s="234">
        <v>0</v>
      </c>
      <c r="AV734" s="234">
        <v>0</v>
      </c>
      <c r="AW734" s="234">
        <v>1</v>
      </c>
      <c r="AX734" s="234">
        <v>0</v>
      </c>
      <c r="AY734" s="234">
        <v>0</v>
      </c>
      <c r="AZ734" s="234">
        <v>0</v>
      </c>
      <c r="BA734" s="234">
        <v>0</v>
      </c>
      <c r="BB734" s="234">
        <v>0</v>
      </c>
      <c r="BC734" s="234">
        <v>0</v>
      </c>
      <c r="BD734" s="234">
        <v>0</v>
      </c>
      <c r="BE734" s="234">
        <v>0</v>
      </c>
      <c r="BF734" s="234">
        <v>0</v>
      </c>
      <c r="BG734" s="234">
        <v>0</v>
      </c>
      <c r="BH734" s="234">
        <v>0</v>
      </c>
      <c r="BI734" s="234">
        <v>0</v>
      </c>
      <c r="BJ734" s="234">
        <v>0</v>
      </c>
      <c r="BK734" s="234">
        <v>0</v>
      </c>
      <c r="BL734" s="234">
        <v>0</v>
      </c>
      <c r="BM734" s="234">
        <v>0</v>
      </c>
      <c r="BN734" s="234">
        <v>0</v>
      </c>
      <c r="BO734" s="234">
        <v>0</v>
      </c>
      <c r="BP734" s="234"/>
      <c r="BQ734" s="234"/>
      <c r="BR734" s="237" t="s">
        <v>334</v>
      </c>
      <c r="BS734" s="238">
        <v>15</v>
      </c>
      <c r="BU734" s="239">
        <f>M734/4</f>
        <v>0.25</v>
      </c>
      <c r="BV734" s="239">
        <f t="shared" si="84"/>
        <v>0.25</v>
      </c>
      <c r="BW734" s="239">
        <f t="shared" si="85"/>
        <v>0.25</v>
      </c>
      <c r="BX734" s="239">
        <f t="shared" si="86"/>
        <v>0.25</v>
      </c>
      <c r="CN734" s="238">
        <f t="shared" si="81"/>
        <v>1</v>
      </c>
      <c r="CO734" s="238">
        <f t="shared" si="82"/>
        <v>1</v>
      </c>
    </row>
    <row r="735" spans="1:93" ht="13.95" customHeight="1" x14ac:dyDescent="0.2">
      <c r="A735" s="231">
        <v>6503</v>
      </c>
      <c r="B735" s="232" t="s">
        <v>822</v>
      </c>
      <c r="C735" s="232" t="s">
        <v>2195</v>
      </c>
      <c r="D735" s="232" t="s">
        <v>2196</v>
      </c>
      <c r="E735" s="232" t="s">
        <v>317</v>
      </c>
      <c r="F735" s="231">
        <v>527225</v>
      </c>
      <c r="G735" s="231">
        <v>175866</v>
      </c>
      <c r="H735" s="232" t="s">
        <v>165</v>
      </c>
      <c r="I735" s="233"/>
      <c r="J735" s="231"/>
      <c r="K735" s="231">
        <v>0</v>
      </c>
      <c r="L735" s="231">
        <v>1</v>
      </c>
      <c r="M735" s="231">
        <v>1</v>
      </c>
      <c r="N735" s="231">
        <v>1</v>
      </c>
      <c r="O735" s="231">
        <v>1</v>
      </c>
      <c r="P735" s="234"/>
      <c r="Q735" s="232" t="s">
        <v>2197</v>
      </c>
      <c r="R735" s="234" t="s">
        <v>332</v>
      </c>
      <c r="S735" s="235">
        <v>43406</v>
      </c>
      <c r="T735" s="235">
        <v>43553</v>
      </c>
      <c r="U735" s="234"/>
      <c r="V735" s="232" t="s">
        <v>321</v>
      </c>
      <c r="W735" s="231"/>
      <c r="X735" s="232" t="s">
        <v>322</v>
      </c>
      <c r="Y735" s="232" t="s">
        <v>323</v>
      </c>
      <c r="Z735" s="232" t="s">
        <v>324</v>
      </c>
      <c r="AA735" s="232" t="s">
        <v>349</v>
      </c>
      <c r="AB735" s="236">
        <v>3.5000000000000003E-2</v>
      </c>
      <c r="AC735" s="235"/>
      <c r="AD735" s="234"/>
      <c r="AE735" s="234"/>
      <c r="AF735" s="232" t="s">
        <v>77</v>
      </c>
      <c r="AG735" s="232" t="s">
        <v>350</v>
      </c>
      <c r="AH735" s="234" t="s">
        <v>317</v>
      </c>
      <c r="AJ735" s="234">
        <v>0</v>
      </c>
      <c r="AK735" s="234">
        <v>1</v>
      </c>
      <c r="AL735" s="234">
        <v>0</v>
      </c>
      <c r="AM735" s="224"/>
      <c r="AN735" s="234">
        <v>0</v>
      </c>
      <c r="AO735" s="234">
        <v>0</v>
      </c>
      <c r="AP735" s="234">
        <v>0</v>
      </c>
      <c r="AQ735" s="234">
        <v>1</v>
      </c>
      <c r="AR735" s="234">
        <v>0</v>
      </c>
      <c r="AS735" s="234">
        <v>0</v>
      </c>
      <c r="AT735" s="234">
        <v>0</v>
      </c>
      <c r="AU735" s="234">
        <v>0</v>
      </c>
      <c r="AV735" s="234">
        <v>0</v>
      </c>
      <c r="AW735" s="234">
        <v>0</v>
      </c>
      <c r="AX735" s="234">
        <v>0</v>
      </c>
      <c r="AY735" s="234">
        <v>0</v>
      </c>
      <c r="AZ735" s="234">
        <v>0</v>
      </c>
      <c r="BA735" s="234">
        <v>0</v>
      </c>
      <c r="BB735" s="234">
        <v>0</v>
      </c>
      <c r="BC735" s="234">
        <v>0</v>
      </c>
      <c r="BD735" s="234">
        <v>0</v>
      </c>
      <c r="BE735" s="234">
        <v>1</v>
      </c>
      <c r="BF735" s="234">
        <v>0</v>
      </c>
      <c r="BG735" s="234">
        <v>0</v>
      </c>
      <c r="BH735" s="234">
        <v>0</v>
      </c>
      <c r="BI735" s="234">
        <v>0</v>
      </c>
      <c r="BJ735" s="234">
        <v>0</v>
      </c>
      <c r="BK735" s="234">
        <v>0</v>
      </c>
      <c r="BL735" s="234">
        <v>0</v>
      </c>
      <c r="BM735" s="234">
        <v>0</v>
      </c>
      <c r="BN735" s="234">
        <v>0</v>
      </c>
      <c r="BO735" s="234">
        <v>0</v>
      </c>
      <c r="BP735" s="234"/>
      <c r="BQ735" s="234"/>
      <c r="BR735" s="237" t="s">
        <v>150</v>
      </c>
      <c r="BS735" s="238">
        <v>7</v>
      </c>
      <c r="BV735" s="239">
        <f t="shared" si="84"/>
        <v>0.25</v>
      </c>
      <c r="BW735" s="239">
        <f t="shared" si="85"/>
        <v>0.25</v>
      </c>
      <c r="BX735" s="239">
        <f t="shared" si="86"/>
        <v>0.25</v>
      </c>
      <c r="BY735" s="239">
        <f>M735/4</f>
        <v>0.25</v>
      </c>
      <c r="CN735" s="238">
        <f t="shared" si="81"/>
        <v>1</v>
      </c>
      <c r="CO735" s="238">
        <f t="shared" si="82"/>
        <v>1</v>
      </c>
    </row>
    <row r="736" spans="1:93" ht="13.95" customHeight="1" x14ac:dyDescent="0.2">
      <c r="A736" s="231">
        <v>7532</v>
      </c>
      <c r="B736" s="232" t="s">
        <v>822</v>
      </c>
      <c r="C736" s="232" t="s">
        <v>2198</v>
      </c>
      <c r="D736" s="232" t="s">
        <v>2199</v>
      </c>
      <c r="E736" s="232" t="s">
        <v>317</v>
      </c>
      <c r="F736" s="231">
        <v>527567</v>
      </c>
      <c r="G736" s="231">
        <v>174875</v>
      </c>
      <c r="H736" s="232" t="s">
        <v>169</v>
      </c>
      <c r="I736" s="233"/>
      <c r="J736" s="231"/>
      <c r="K736" s="231">
        <v>0</v>
      </c>
      <c r="L736" s="231">
        <v>1</v>
      </c>
      <c r="M736" s="231">
        <v>1</v>
      </c>
      <c r="N736" s="231">
        <v>1</v>
      </c>
      <c r="O736" s="231">
        <v>1</v>
      </c>
      <c r="P736" s="234"/>
      <c r="Q736" s="232" t="s">
        <v>2200</v>
      </c>
      <c r="R736" s="234" t="s">
        <v>332</v>
      </c>
      <c r="S736" s="235">
        <v>44124</v>
      </c>
      <c r="T736" s="235">
        <v>44180</v>
      </c>
      <c r="U736" s="234"/>
      <c r="V736" s="232" t="s">
        <v>321</v>
      </c>
      <c r="W736" s="231"/>
      <c r="X736" s="232" t="s">
        <v>322</v>
      </c>
      <c r="Y736" s="232" t="s">
        <v>338</v>
      </c>
      <c r="Z736" s="232" t="s">
        <v>324</v>
      </c>
      <c r="AA736" s="232" t="s">
        <v>25</v>
      </c>
      <c r="AB736" s="236">
        <v>0.01</v>
      </c>
      <c r="AC736" s="235"/>
      <c r="AD736" s="234"/>
      <c r="AE736" s="234"/>
      <c r="AF736" s="232" t="s">
        <v>77</v>
      </c>
      <c r="AG736" s="232" t="s">
        <v>350</v>
      </c>
      <c r="AH736" s="234" t="s">
        <v>317</v>
      </c>
      <c r="AJ736" s="234">
        <v>0</v>
      </c>
      <c r="AK736" s="224"/>
      <c r="AL736" s="234">
        <v>0</v>
      </c>
      <c r="AM736" s="224"/>
      <c r="AN736" s="234">
        <v>0</v>
      </c>
      <c r="AO736" s="234">
        <v>0</v>
      </c>
      <c r="AP736" s="234">
        <v>1</v>
      </c>
      <c r="AQ736" s="234">
        <v>0</v>
      </c>
      <c r="AR736" s="234">
        <v>0</v>
      </c>
      <c r="AS736" s="234">
        <v>0</v>
      </c>
      <c r="AT736" s="234">
        <v>0</v>
      </c>
      <c r="AU736" s="234">
        <v>0</v>
      </c>
      <c r="AV736" s="234">
        <v>0</v>
      </c>
      <c r="AW736" s="234">
        <v>0</v>
      </c>
      <c r="AX736" s="234">
        <v>0</v>
      </c>
      <c r="AY736" s="234">
        <v>0</v>
      </c>
      <c r="AZ736" s="234">
        <v>0</v>
      </c>
      <c r="BA736" s="234">
        <v>0</v>
      </c>
      <c r="BB736" s="234">
        <v>0</v>
      </c>
      <c r="BC736" s="234">
        <v>0</v>
      </c>
      <c r="BD736" s="234">
        <v>1</v>
      </c>
      <c r="BE736" s="234">
        <v>0</v>
      </c>
      <c r="BF736" s="234">
        <v>0</v>
      </c>
      <c r="BG736" s="234">
        <v>0</v>
      </c>
      <c r="BH736" s="234">
        <v>0</v>
      </c>
      <c r="BI736" s="234">
        <v>0</v>
      </c>
      <c r="BJ736" s="234">
        <v>0</v>
      </c>
      <c r="BK736" s="234">
        <v>0</v>
      </c>
      <c r="BL736" s="234">
        <v>0</v>
      </c>
      <c r="BM736" s="234">
        <v>0</v>
      </c>
      <c r="BN736" s="234">
        <v>0</v>
      </c>
      <c r="BO736" s="234">
        <v>0</v>
      </c>
      <c r="BP736" s="234"/>
      <c r="BQ736" s="234"/>
      <c r="BR736" s="237" t="s">
        <v>150</v>
      </c>
      <c r="BS736" s="238">
        <v>15</v>
      </c>
      <c r="BU736" s="239">
        <f t="shared" ref="BU736:BU742" si="87">M736/4</f>
        <v>0.25</v>
      </c>
      <c r="BV736" s="239">
        <f t="shared" si="84"/>
        <v>0.25</v>
      </c>
      <c r="BW736" s="239">
        <f t="shared" si="85"/>
        <v>0.25</v>
      </c>
      <c r="BX736" s="239">
        <f t="shared" si="86"/>
        <v>0.25</v>
      </c>
      <c r="CN736" s="238">
        <f t="shared" si="81"/>
        <v>1</v>
      </c>
      <c r="CO736" s="238">
        <f t="shared" si="82"/>
        <v>1</v>
      </c>
    </row>
    <row r="737" spans="1:93" ht="13.95" customHeight="1" x14ac:dyDescent="0.2">
      <c r="A737" s="231">
        <v>7484</v>
      </c>
      <c r="B737" s="232" t="s">
        <v>822</v>
      </c>
      <c r="C737" s="232" t="s">
        <v>2201</v>
      </c>
      <c r="D737" s="232" t="s">
        <v>2202</v>
      </c>
      <c r="E737" s="232" t="s">
        <v>317</v>
      </c>
      <c r="F737" s="231">
        <v>527470</v>
      </c>
      <c r="G737" s="231">
        <v>177172</v>
      </c>
      <c r="H737" s="232" t="s">
        <v>163</v>
      </c>
      <c r="I737" s="233"/>
      <c r="J737" s="231"/>
      <c r="K737" s="231">
        <v>0</v>
      </c>
      <c r="L737" s="231">
        <v>1</v>
      </c>
      <c r="M737" s="231">
        <v>1</v>
      </c>
      <c r="N737" s="231">
        <v>1</v>
      </c>
      <c r="O737" s="231">
        <v>1</v>
      </c>
      <c r="P737" s="234"/>
      <c r="Q737" s="232" t="s">
        <v>2203</v>
      </c>
      <c r="R737" s="234" t="s">
        <v>332</v>
      </c>
      <c r="S737" s="235">
        <v>44131</v>
      </c>
      <c r="T737" s="235">
        <v>44414</v>
      </c>
      <c r="U737" s="234"/>
      <c r="V737" s="232" t="s">
        <v>321</v>
      </c>
      <c r="W737" s="231"/>
      <c r="X737" s="232" t="s">
        <v>322</v>
      </c>
      <c r="Y737" s="232" t="s">
        <v>339</v>
      </c>
      <c r="Z737" s="232" t="s">
        <v>324</v>
      </c>
      <c r="AA737" s="232" t="s">
        <v>349</v>
      </c>
      <c r="AB737" s="236">
        <v>0.02</v>
      </c>
      <c r="AC737" s="235"/>
      <c r="AD737" s="234"/>
      <c r="AE737" s="234"/>
      <c r="AF737" s="232" t="s">
        <v>77</v>
      </c>
      <c r="AG737" s="232" t="s">
        <v>350</v>
      </c>
      <c r="AH737" s="234" t="s">
        <v>317</v>
      </c>
      <c r="AJ737" s="234">
        <v>0</v>
      </c>
      <c r="AK737" s="224"/>
      <c r="AL737" s="234">
        <v>0</v>
      </c>
      <c r="AM737" s="224"/>
      <c r="AN737" s="234">
        <v>0</v>
      </c>
      <c r="AO737" s="234">
        <v>0</v>
      </c>
      <c r="AP737" s="234">
        <v>0</v>
      </c>
      <c r="AQ737" s="234">
        <v>1</v>
      </c>
      <c r="AR737" s="234">
        <v>0</v>
      </c>
      <c r="AS737" s="234">
        <v>0</v>
      </c>
      <c r="AT737" s="234">
        <v>0</v>
      </c>
      <c r="AU737" s="234">
        <v>0</v>
      </c>
      <c r="AV737" s="234">
        <v>0</v>
      </c>
      <c r="AW737" s="234">
        <v>0</v>
      </c>
      <c r="AX737" s="234">
        <v>1</v>
      </c>
      <c r="AY737" s="234">
        <v>0</v>
      </c>
      <c r="AZ737" s="234">
        <v>0</v>
      </c>
      <c r="BA737" s="234">
        <v>0</v>
      </c>
      <c r="BB737" s="234">
        <v>0</v>
      </c>
      <c r="BC737" s="234">
        <v>0</v>
      </c>
      <c r="BD737" s="234">
        <v>0</v>
      </c>
      <c r="BE737" s="234">
        <v>0</v>
      </c>
      <c r="BF737" s="234">
        <v>0</v>
      </c>
      <c r="BG737" s="234">
        <v>0</v>
      </c>
      <c r="BH737" s="234">
        <v>0</v>
      </c>
      <c r="BI737" s="234">
        <v>0</v>
      </c>
      <c r="BJ737" s="234">
        <v>0</v>
      </c>
      <c r="BK737" s="234">
        <v>0</v>
      </c>
      <c r="BL737" s="234">
        <v>0</v>
      </c>
      <c r="BM737" s="234">
        <v>0</v>
      </c>
      <c r="BN737" s="234">
        <v>0</v>
      </c>
      <c r="BO737" s="234">
        <v>0</v>
      </c>
      <c r="BP737" s="234"/>
      <c r="BQ737" s="234"/>
      <c r="BR737" s="237" t="s">
        <v>481</v>
      </c>
      <c r="BS737" s="238">
        <v>15</v>
      </c>
      <c r="BU737" s="239">
        <f t="shared" si="87"/>
        <v>0.25</v>
      </c>
      <c r="BV737" s="239">
        <f t="shared" si="84"/>
        <v>0.25</v>
      </c>
      <c r="BW737" s="239">
        <f t="shared" si="85"/>
        <v>0.25</v>
      </c>
      <c r="BX737" s="239">
        <f t="shared" si="86"/>
        <v>0.25</v>
      </c>
      <c r="CN737" s="238">
        <f t="shared" si="81"/>
        <v>1</v>
      </c>
      <c r="CO737" s="238">
        <f t="shared" si="82"/>
        <v>1</v>
      </c>
    </row>
    <row r="738" spans="1:93" ht="13.95" customHeight="1" x14ac:dyDescent="0.2">
      <c r="A738" s="231">
        <v>5218</v>
      </c>
      <c r="B738" s="232" t="s">
        <v>822</v>
      </c>
      <c r="C738" s="232" t="s">
        <v>2204</v>
      </c>
      <c r="D738" s="232" t="s">
        <v>2205</v>
      </c>
      <c r="E738" s="232" t="s">
        <v>317</v>
      </c>
      <c r="F738" s="231">
        <v>529350</v>
      </c>
      <c r="G738" s="231">
        <v>171755</v>
      </c>
      <c r="H738" s="232" t="s">
        <v>166</v>
      </c>
      <c r="I738" s="233"/>
      <c r="J738" s="231"/>
      <c r="K738" s="231">
        <v>0</v>
      </c>
      <c r="L738" s="231">
        <v>1</v>
      </c>
      <c r="M738" s="231">
        <v>1</v>
      </c>
      <c r="N738" s="231">
        <v>1</v>
      </c>
      <c r="O738" s="231">
        <v>1</v>
      </c>
      <c r="P738" s="234"/>
      <c r="Q738" s="232" t="s">
        <v>2206</v>
      </c>
      <c r="R738" s="234" t="s">
        <v>332</v>
      </c>
      <c r="S738" s="235">
        <v>43333</v>
      </c>
      <c r="T738" s="235">
        <v>43389</v>
      </c>
      <c r="U738" s="234"/>
      <c r="V738" s="232" t="s">
        <v>321</v>
      </c>
      <c r="W738" s="231"/>
      <c r="X738" s="232" t="s">
        <v>322</v>
      </c>
      <c r="Y738" s="232" t="s">
        <v>378</v>
      </c>
      <c r="Z738" s="232" t="s">
        <v>324</v>
      </c>
      <c r="AA738" s="232" t="s">
        <v>31</v>
      </c>
      <c r="AB738" s="236">
        <v>4.0000000000000001E-3</v>
      </c>
      <c r="AC738" s="235"/>
      <c r="AD738" s="234"/>
      <c r="AE738" s="234"/>
      <c r="AF738" s="232" t="s">
        <v>57</v>
      </c>
      <c r="AG738" s="232" t="s">
        <v>333</v>
      </c>
      <c r="AH738" s="234" t="s">
        <v>317</v>
      </c>
      <c r="AJ738" s="234">
        <v>0</v>
      </c>
      <c r="AK738" s="224"/>
      <c r="AL738" s="234">
        <v>0</v>
      </c>
      <c r="AM738" s="224"/>
      <c r="AN738" s="234">
        <v>0</v>
      </c>
      <c r="AO738" s="234">
        <v>1</v>
      </c>
      <c r="AP738" s="234">
        <v>0</v>
      </c>
      <c r="AQ738" s="234">
        <v>0</v>
      </c>
      <c r="AR738" s="234">
        <v>0</v>
      </c>
      <c r="AS738" s="234">
        <v>0</v>
      </c>
      <c r="AT738" s="234">
        <v>0</v>
      </c>
      <c r="AU738" s="234">
        <v>0</v>
      </c>
      <c r="AV738" s="234">
        <v>1</v>
      </c>
      <c r="AW738" s="234">
        <v>0</v>
      </c>
      <c r="AX738" s="234">
        <v>0</v>
      </c>
      <c r="AY738" s="234">
        <v>0</v>
      </c>
      <c r="AZ738" s="234">
        <v>0</v>
      </c>
      <c r="BA738" s="234">
        <v>0</v>
      </c>
      <c r="BB738" s="234">
        <v>0</v>
      </c>
      <c r="BC738" s="234">
        <v>0</v>
      </c>
      <c r="BD738" s="234">
        <v>0</v>
      </c>
      <c r="BE738" s="234">
        <v>0</v>
      </c>
      <c r="BF738" s="234">
        <v>0</v>
      </c>
      <c r="BG738" s="234">
        <v>0</v>
      </c>
      <c r="BH738" s="234">
        <v>0</v>
      </c>
      <c r="BI738" s="234">
        <v>0</v>
      </c>
      <c r="BJ738" s="234">
        <v>0</v>
      </c>
      <c r="BK738" s="234">
        <v>0</v>
      </c>
      <c r="BL738" s="234">
        <v>0</v>
      </c>
      <c r="BM738" s="234">
        <v>0</v>
      </c>
      <c r="BN738" s="234">
        <v>0</v>
      </c>
      <c r="BO738" s="234">
        <v>0</v>
      </c>
      <c r="BP738" s="234"/>
      <c r="BQ738" s="234"/>
      <c r="BR738" s="237" t="s">
        <v>334</v>
      </c>
      <c r="BS738" s="238">
        <v>15</v>
      </c>
      <c r="BU738" s="239">
        <f t="shared" si="87"/>
        <v>0.25</v>
      </c>
      <c r="BV738" s="239">
        <f t="shared" si="84"/>
        <v>0.25</v>
      </c>
      <c r="BW738" s="239">
        <f t="shared" si="85"/>
        <v>0.25</v>
      </c>
      <c r="BX738" s="239">
        <f t="shared" si="86"/>
        <v>0.25</v>
      </c>
      <c r="CN738" s="238">
        <f t="shared" si="81"/>
        <v>1</v>
      </c>
      <c r="CO738" s="238">
        <f t="shared" si="82"/>
        <v>1</v>
      </c>
    </row>
    <row r="739" spans="1:93" ht="13.95" customHeight="1" x14ac:dyDescent="0.2">
      <c r="A739" s="231">
        <v>7898</v>
      </c>
      <c r="B739" s="232" t="s">
        <v>822</v>
      </c>
      <c r="C739" s="232" t="s">
        <v>2207</v>
      </c>
      <c r="D739" s="232" t="s">
        <v>2208</v>
      </c>
      <c r="E739" s="232" t="s">
        <v>317</v>
      </c>
      <c r="F739" s="231">
        <v>528686</v>
      </c>
      <c r="G739" s="231">
        <v>173938</v>
      </c>
      <c r="H739" s="232" t="s">
        <v>141</v>
      </c>
      <c r="I739" s="233"/>
      <c r="J739" s="231"/>
      <c r="K739" s="231">
        <v>0</v>
      </c>
      <c r="L739" s="231">
        <v>1</v>
      </c>
      <c r="M739" s="231">
        <v>1</v>
      </c>
      <c r="N739" s="231">
        <v>1</v>
      </c>
      <c r="O739" s="231">
        <v>1</v>
      </c>
      <c r="P739" s="234"/>
      <c r="Q739" s="232" t="s">
        <v>2209</v>
      </c>
      <c r="R739" s="234" t="s">
        <v>629</v>
      </c>
      <c r="S739" s="235">
        <v>44839</v>
      </c>
      <c r="T739" s="235">
        <v>44894</v>
      </c>
      <c r="U739" s="234" t="s">
        <v>318</v>
      </c>
      <c r="V739" s="232" t="s">
        <v>321</v>
      </c>
      <c r="W739" s="231"/>
      <c r="X739" s="232" t="s">
        <v>322</v>
      </c>
      <c r="Y739" s="232" t="s">
        <v>378</v>
      </c>
      <c r="Z739" s="232" t="s">
        <v>324</v>
      </c>
      <c r="AA739" s="232" t="s">
        <v>28</v>
      </c>
      <c r="AB739" s="236">
        <v>1.5100000000000001E-2</v>
      </c>
      <c r="AC739" s="235"/>
      <c r="AD739" s="234"/>
      <c r="AE739" s="234"/>
      <c r="AF739" s="232" t="s">
        <v>77</v>
      </c>
      <c r="AG739" s="232" t="s">
        <v>350</v>
      </c>
      <c r="AH739" s="234" t="s">
        <v>317</v>
      </c>
      <c r="AJ739" s="234">
        <v>0</v>
      </c>
      <c r="AK739" s="224"/>
      <c r="AL739" s="234">
        <v>0</v>
      </c>
      <c r="AM739" s="224"/>
      <c r="AN739" s="234">
        <v>0</v>
      </c>
      <c r="AO739" s="234">
        <v>0</v>
      </c>
      <c r="AP739" s="234">
        <v>0</v>
      </c>
      <c r="AQ739" s="234">
        <v>1</v>
      </c>
      <c r="AR739" s="234">
        <v>0</v>
      </c>
      <c r="AS739" s="234">
        <v>0</v>
      </c>
      <c r="AT739" s="234">
        <v>0</v>
      </c>
      <c r="AU739" s="234">
        <v>0</v>
      </c>
      <c r="AV739" s="234">
        <v>0</v>
      </c>
      <c r="AW739" s="234">
        <v>0</v>
      </c>
      <c r="AX739" s="234">
        <v>1</v>
      </c>
      <c r="AY739" s="234">
        <v>0</v>
      </c>
      <c r="AZ739" s="234">
        <v>0</v>
      </c>
      <c r="BA739" s="234">
        <v>0</v>
      </c>
      <c r="BB739" s="234">
        <v>0</v>
      </c>
      <c r="BC739" s="234">
        <v>0</v>
      </c>
      <c r="BD739" s="234">
        <v>0</v>
      </c>
      <c r="BE739" s="234">
        <v>0</v>
      </c>
      <c r="BF739" s="234">
        <v>0</v>
      </c>
      <c r="BG739" s="234">
        <v>0</v>
      </c>
      <c r="BH739" s="234">
        <v>0</v>
      </c>
      <c r="BI739" s="234">
        <v>0</v>
      </c>
      <c r="BJ739" s="234">
        <v>0</v>
      </c>
      <c r="BK739" s="234">
        <v>0</v>
      </c>
      <c r="BL739" s="234">
        <v>0</v>
      </c>
      <c r="BM739" s="234">
        <v>0</v>
      </c>
      <c r="BN739" s="234">
        <v>0</v>
      </c>
      <c r="BO739" s="234">
        <v>0</v>
      </c>
      <c r="BP739" s="234"/>
      <c r="BQ739" s="234"/>
      <c r="BR739" s="237" t="s">
        <v>334</v>
      </c>
      <c r="BS739" s="238">
        <v>15</v>
      </c>
      <c r="BU739" s="239">
        <f t="shared" si="87"/>
        <v>0.25</v>
      </c>
      <c r="BV739" s="239">
        <f t="shared" si="84"/>
        <v>0.25</v>
      </c>
      <c r="BW739" s="239">
        <f t="shared" si="85"/>
        <v>0.25</v>
      </c>
      <c r="BX739" s="239">
        <f t="shared" si="86"/>
        <v>0.25</v>
      </c>
      <c r="CN739" s="238">
        <f t="shared" si="81"/>
        <v>1</v>
      </c>
      <c r="CO739" s="238">
        <f t="shared" si="82"/>
        <v>1</v>
      </c>
    </row>
    <row r="740" spans="1:93" ht="13.95" customHeight="1" x14ac:dyDescent="0.2">
      <c r="A740" s="231">
        <v>6822</v>
      </c>
      <c r="B740" s="232" t="s">
        <v>822</v>
      </c>
      <c r="C740" s="232" t="s">
        <v>2210</v>
      </c>
      <c r="D740" s="232" t="s">
        <v>2211</v>
      </c>
      <c r="E740" s="232" t="s">
        <v>317</v>
      </c>
      <c r="F740" s="231">
        <v>527295</v>
      </c>
      <c r="G740" s="231">
        <v>177182</v>
      </c>
      <c r="H740" s="232" t="s">
        <v>163</v>
      </c>
      <c r="I740" s="233"/>
      <c r="J740" s="231"/>
      <c r="K740" s="231">
        <v>0</v>
      </c>
      <c r="L740" s="231">
        <v>1</v>
      </c>
      <c r="M740" s="231">
        <v>1</v>
      </c>
      <c r="N740" s="231">
        <v>1</v>
      </c>
      <c r="O740" s="231">
        <v>1</v>
      </c>
      <c r="P740" s="234"/>
      <c r="Q740" s="232" t="s">
        <v>2212</v>
      </c>
      <c r="R740" s="234" t="s">
        <v>428</v>
      </c>
      <c r="S740" s="235">
        <v>43151</v>
      </c>
      <c r="T740" s="235">
        <v>43196</v>
      </c>
      <c r="U740" s="234"/>
      <c r="V740" s="232" t="s">
        <v>321</v>
      </c>
      <c r="W740" s="231"/>
      <c r="X740" s="232" t="s">
        <v>322</v>
      </c>
      <c r="Y740" s="232" t="s">
        <v>378</v>
      </c>
      <c r="Z740" s="232" t="s">
        <v>324</v>
      </c>
      <c r="AA740" s="232" t="s">
        <v>28</v>
      </c>
      <c r="AB740" s="236">
        <v>1.4E-2</v>
      </c>
      <c r="AC740" s="235"/>
      <c r="AD740" s="234"/>
      <c r="AE740" s="234"/>
      <c r="AF740" s="232" t="s">
        <v>77</v>
      </c>
      <c r="AG740" s="232" t="s">
        <v>350</v>
      </c>
      <c r="AH740" s="234" t="s">
        <v>317</v>
      </c>
      <c r="AJ740" s="234">
        <v>0</v>
      </c>
      <c r="AK740" s="224"/>
      <c r="AL740" s="234">
        <v>0</v>
      </c>
      <c r="AM740" s="224"/>
      <c r="AN740" s="234">
        <v>1</v>
      </c>
      <c r="AO740" s="234">
        <v>0</v>
      </c>
      <c r="AP740" s="234">
        <v>0</v>
      </c>
      <c r="AQ740" s="234">
        <v>0</v>
      </c>
      <c r="AR740" s="234">
        <v>0</v>
      </c>
      <c r="AS740" s="234">
        <v>0</v>
      </c>
      <c r="AT740" s="234">
        <v>0</v>
      </c>
      <c r="AU740" s="234">
        <v>1</v>
      </c>
      <c r="AV740" s="234">
        <v>0</v>
      </c>
      <c r="AW740" s="234">
        <v>0</v>
      </c>
      <c r="AX740" s="234">
        <v>0</v>
      </c>
      <c r="AY740" s="234">
        <v>0</v>
      </c>
      <c r="AZ740" s="234">
        <v>0</v>
      </c>
      <c r="BA740" s="234">
        <v>0</v>
      </c>
      <c r="BB740" s="234">
        <v>0</v>
      </c>
      <c r="BC740" s="234">
        <v>0</v>
      </c>
      <c r="BD740" s="234">
        <v>0</v>
      </c>
      <c r="BE740" s="234">
        <v>0</v>
      </c>
      <c r="BF740" s="234">
        <v>0</v>
      </c>
      <c r="BG740" s="234">
        <v>0</v>
      </c>
      <c r="BH740" s="234">
        <v>0</v>
      </c>
      <c r="BI740" s="234">
        <v>0</v>
      </c>
      <c r="BJ740" s="234">
        <v>0</v>
      </c>
      <c r="BK740" s="234">
        <v>0</v>
      </c>
      <c r="BL740" s="234">
        <v>0</v>
      </c>
      <c r="BM740" s="234">
        <v>0</v>
      </c>
      <c r="BN740" s="234">
        <v>0</v>
      </c>
      <c r="BO740" s="234">
        <v>0</v>
      </c>
      <c r="BP740" s="234"/>
      <c r="BQ740" s="234"/>
      <c r="BR740" s="237" t="s">
        <v>481</v>
      </c>
      <c r="BS740" s="238">
        <v>15</v>
      </c>
      <c r="BU740" s="239">
        <f t="shared" si="87"/>
        <v>0.25</v>
      </c>
      <c r="BV740" s="239">
        <f t="shared" si="84"/>
        <v>0.25</v>
      </c>
      <c r="BW740" s="239">
        <f t="shared" si="85"/>
        <v>0.25</v>
      </c>
      <c r="BX740" s="239">
        <f t="shared" si="86"/>
        <v>0.25</v>
      </c>
      <c r="CN740" s="238">
        <f t="shared" si="81"/>
        <v>1</v>
      </c>
      <c r="CO740" s="238">
        <f t="shared" si="82"/>
        <v>1</v>
      </c>
    </row>
    <row r="741" spans="1:93" ht="13.95" customHeight="1" x14ac:dyDescent="0.2">
      <c r="A741" s="231">
        <v>5605</v>
      </c>
      <c r="B741" s="232" t="s">
        <v>822</v>
      </c>
      <c r="C741" s="232" t="s">
        <v>2213</v>
      </c>
      <c r="D741" s="232" t="s">
        <v>2214</v>
      </c>
      <c r="E741" s="232" t="s">
        <v>317</v>
      </c>
      <c r="F741" s="231">
        <v>526468</v>
      </c>
      <c r="G741" s="231">
        <v>175725</v>
      </c>
      <c r="H741" s="232" t="s">
        <v>174</v>
      </c>
      <c r="I741" s="233"/>
      <c r="J741" s="231"/>
      <c r="K741" s="231">
        <v>0</v>
      </c>
      <c r="L741" s="231">
        <v>1</v>
      </c>
      <c r="M741" s="231">
        <v>1</v>
      </c>
      <c r="N741" s="231">
        <v>1</v>
      </c>
      <c r="O741" s="231">
        <v>1</v>
      </c>
      <c r="P741" s="234"/>
      <c r="Q741" s="232" t="s">
        <v>2215</v>
      </c>
      <c r="R741" s="234" t="s">
        <v>629</v>
      </c>
      <c r="S741" s="235">
        <v>43895</v>
      </c>
      <c r="T741" s="235">
        <v>43938</v>
      </c>
      <c r="U741" s="234"/>
      <c r="V741" s="232" t="s">
        <v>321</v>
      </c>
      <c r="W741" s="231"/>
      <c r="X741" s="232" t="s">
        <v>322</v>
      </c>
      <c r="Y741" s="232" t="s">
        <v>378</v>
      </c>
      <c r="Z741" s="232" t="s">
        <v>324</v>
      </c>
      <c r="AA741" s="232" t="s">
        <v>28</v>
      </c>
      <c r="AB741" s="236">
        <v>6.0000000000000001E-3</v>
      </c>
      <c r="AC741" s="235"/>
      <c r="AD741" s="234"/>
      <c r="AE741" s="234"/>
      <c r="AF741" s="232" t="s">
        <v>77</v>
      </c>
      <c r="AG741" s="232" t="s">
        <v>350</v>
      </c>
      <c r="AH741" s="234" t="s">
        <v>1513</v>
      </c>
      <c r="AJ741" s="234">
        <v>0</v>
      </c>
      <c r="AK741" s="224"/>
      <c r="AL741" s="234">
        <v>0</v>
      </c>
      <c r="AM741" s="224"/>
      <c r="AN741" s="234">
        <v>0</v>
      </c>
      <c r="AO741" s="234">
        <v>0</v>
      </c>
      <c r="AP741" s="234">
        <v>1</v>
      </c>
      <c r="AQ741" s="234">
        <v>0</v>
      </c>
      <c r="AR741" s="234">
        <v>0</v>
      </c>
      <c r="AS741" s="234">
        <v>0</v>
      </c>
      <c r="AT741" s="234">
        <v>0</v>
      </c>
      <c r="AU741" s="234">
        <v>0</v>
      </c>
      <c r="AV741" s="234">
        <v>0</v>
      </c>
      <c r="AW741" s="234">
        <v>1</v>
      </c>
      <c r="AX741" s="234">
        <v>0</v>
      </c>
      <c r="AY741" s="234">
        <v>0</v>
      </c>
      <c r="AZ741" s="234">
        <v>0</v>
      </c>
      <c r="BA741" s="234">
        <v>0</v>
      </c>
      <c r="BB741" s="234">
        <v>0</v>
      </c>
      <c r="BC741" s="234">
        <v>0</v>
      </c>
      <c r="BD741" s="234">
        <v>0</v>
      </c>
      <c r="BE741" s="234">
        <v>0</v>
      </c>
      <c r="BF741" s="234">
        <v>0</v>
      </c>
      <c r="BG741" s="234">
        <v>0</v>
      </c>
      <c r="BH741" s="234">
        <v>0</v>
      </c>
      <c r="BI741" s="234">
        <v>0</v>
      </c>
      <c r="BJ741" s="234">
        <v>0</v>
      </c>
      <c r="BK741" s="234">
        <v>0</v>
      </c>
      <c r="BL741" s="234">
        <v>0</v>
      </c>
      <c r="BM741" s="234">
        <v>0</v>
      </c>
      <c r="BN741" s="234">
        <v>0</v>
      </c>
      <c r="BO741" s="234">
        <v>0</v>
      </c>
      <c r="BP741" s="234"/>
      <c r="BQ741" s="234"/>
      <c r="BR741" s="237" t="s">
        <v>481</v>
      </c>
      <c r="BS741" s="238">
        <v>15</v>
      </c>
      <c r="BU741" s="239">
        <f t="shared" si="87"/>
        <v>0.25</v>
      </c>
      <c r="BV741" s="239">
        <f t="shared" si="84"/>
        <v>0.25</v>
      </c>
      <c r="BW741" s="239">
        <f t="shared" si="85"/>
        <v>0.25</v>
      </c>
      <c r="BX741" s="239">
        <f t="shared" si="86"/>
        <v>0.25</v>
      </c>
      <c r="CN741" s="238">
        <f t="shared" si="81"/>
        <v>1</v>
      </c>
      <c r="CO741" s="238">
        <f t="shared" si="82"/>
        <v>1</v>
      </c>
    </row>
    <row r="742" spans="1:93" ht="13.95" customHeight="1" x14ac:dyDescent="0.2">
      <c r="A742" s="231">
        <v>4980</v>
      </c>
      <c r="B742" s="232" t="s">
        <v>822</v>
      </c>
      <c r="C742" s="232" t="s">
        <v>2216</v>
      </c>
      <c r="D742" s="232" t="s">
        <v>2217</v>
      </c>
      <c r="E742" s="232" t="s">
        <v>317</v>
      </c>
      <c r="F742" s="231">
        <v>527292</v>
      </c>
      <c r="G742" s="231">
        <v>177189</v>
      </c>
      <c r="H742" s="232" t="s">
        <v>163</v>
      </c>
      <c r="I742" s="233"/>
      <c r="J742" s="231"/>
      <c r="K742" s="231">
        <v>0</v>
      </c>
      <c r="L742" s="231">
        <v>1</v>
      </c>
      <c r="M742" s="231">
        <v>1</v>
      </c>
      <c r="N742" s="231">
        <v>1</v>
      </c>
      <c r="O742" s="231">
        <v>1</v>
      </c>
      <c r="P742" s="234"/>
      <c r="Q742" s="232" t="s">
        <v>2218</v>
      </c>
      <c r="R742" s="234" t="s">
        <v>428</v>
      </c>
      <c r="S742" s="235">
        <v>43151</v>
      </c>
      <c r="T742" s="235">
        <v>43195</v>
      </c>
      <c r="U742" s="234"/>
      <c r="V742" s="232" t="s">
        <v>321</v>
      </c>
      <c r="W742" s="231"/>
      <c r="X742" s="232" t="s">
        <v>322</v>
      </c>
      <c r="Y742" s="232" t="s">
        <v>378</v>
      </c>
      <c r="Z742" s="232" t="s">
        <v>324</v>
      </c>
      <c r="AA742" s="232" t="s">
        <v>28</v>
      </c>
      <c r="AB742" s="236">
        <v>7.0000000000000001E-3</v>
      </c>
      <c r="AC742" s="235"/>
      <c r="AD742" s="234"/>
      <c r="AE742" s="234"/>
      <c r="AF742" s="232" t="s">
        <v>77</v>
      </c>
      <c r="AG742" s="232" t="s">
        <v>350</v>
      </c>
      <c r="AH742" s="234" t="s">
        <v>317</v>
      </c>
      <c r="AJ742" s="234">
        <v>0</v>
      </c>
      <c r="AK742" s="224"/>
      <c r="AL742" s="234">
        <v>0</v>
      </c>
      <c r="AM742" s="224"/>
      <c r="AN742" s="234">
        <v>0</v>
      </c>
      <c r="AO742" s="234">
        <v>1</v>
      </c>
      <c r="AP742" s="234">
        <v>0</v>
      </c>
      <c r="AQ742" s="234">
        <v>0</v>
      </c>
      <c r="AR742" s="234">
        <v>0</v>
      </c>
      <c r="AS742" s="234">
        <v>0</v>
      </c>
      <c r="AT742" s="234">
        <v>0</v>
      </c>
      <c r="AU742" s="234">
        <v>0</v>
      </c>
      <c r="AV742" s="234">
        <v>1</v>
      </c>
      <c r="AW742" s="234">
        <v>0</v>
      </c>
      <c r="AX742" s="234">
        <v>0</v>
      </c>
      <c r="AY742" s="234">
        <v>0</v>
      </c>
      <c r="AZ742" s="234">
        <v>0</v>
      </c>
      <c r="BA742" s="234">
        <v>0</v>
      </c>
      <c r="BB742" s="234">
        <v>0</v>
      </c>
      <c r="BC742" s="234">
        <v>0</v>
      </c>
      <c r="BD742" s="234">
        <v>0</v>
      </c>
      <c r="BE742" s="234">
        <v>0</v>
      </c>
      <c r="BF742" s="234">
        <v>0</v>
      </c>
      <c r="BG742" s="234">
        <v>0</v>
      </c>
      <c r="BH742" s="234">
        <v>0</v>
      </c>
      <c r="BI742" s="234">
        <v>0</v>
      </c>
      <c r="BJ742" s="234">
        <v>0</v>
      </c>
      <c r="BK742" s="234">
        <v>0</v>
      </c>
      <c r="BL742" s="234">
        <v>0</v>
      </c>
      <c r="BM742" s="234">
        <v>0</v>
      </c>
      <c r="BN742" s="234">
        <v>0</v>
      </c>
      <c r="BO742" s="234">
        <v>0</v>
      </c>
      <c r="BP742" s="234"/>
      <c r="BQ742" s="234"/>
      <c r="BR742" s="237" t="s">
        <v>481</v>
      </c>
      <c r="BS742" s="238">
        <v>15</v>
      </c>
      <c r="BU742" s="239">
        <f t="shared" si="87"/>
        <v>0.25</v>
      </c>
      <c r="BV742" s="239">
        <f t="shared" si="84"/>
        <v>0.25</v>
      </c>
      <c r="BW742" s="239">
        <f t="shared" si="85"/>
        <v>0.25</v>
      </c>
      <c r="BX742" s="239">
        <f t="shared" si="86"/>
        <v>0.25</v>
      </c>
      <c r="CN742" s="238">
        <f t="shared" si="81"/>
        <v>1</v>
      </c>
      <c r="CO742" s="238">
        <f t="shared" si="82"/>
        <v>1</v>
      </c>
    </row>
    <row r="743" spans="1:93" ht="13.95" customHeight="1" x14ac:dyDescent="0.2">
      <c r="A743" s="231">
        <v>2318</v>
      </c>
      <c r="B743" s="232" t="s">
        <v>822</v>
      </c>
      <c r="C743" s="232" t="s">
        <v>2219</v>
      </c>
      <c r="D743" s="232" t="s">
        <v>2220</v>
      </c>
      <c r="E743" s="232" t="s">
        <v>317</v>
      </c>
      <c r="F743" s="231">
        <v>522870</v>
      </c>
      <c r="G743" s="231">
        <v>174041</v>
      </c>
      <c r="H743" s="232" t="s">
        <v>183</v>
      </c>
      <c r="I743" s="233"/>
      <c r="J743" s="231"/>
      <c r="K743" s="231">
        <v>1</v>
      </c>
      <c r="L743" s="231">
        <v>1</v>
      </c>
      <c r="M743" s="231">
        <v>0</v>
      </c>
      <c r="N743" s="231">
        <v>1</v>
      </c>
      <c r="O743" s="231">
        <v>0</v>
      </c>
      <c r="P743" s="234"/>
      <c r="Q743" s="232" t="s">
        <v>2221</v>
      </c>
      <c r="R743" s="234" t="s">
        <v>332</v>
      </c>
      <c r="S743" s="235">
        <v>43409</v>
      </c>
      <c r="T743" s="235">
        <v>43524</v>
      </c>
      <c r="U743" s="234"/>
      <c r="V743" s="232" t="s">
        <v>321</v>
      </c>
      <c r="W743" s="231"/>
      <c r="X743" s="232" t="s">
        <v>322</v>
      </c>
      <c r="Y743" s="232" t="s">
        <v>323</v>
      </c>
      <c r="Z743" s="232" t="s">
        <v>324</v>
      </c>
      <c r="AA743" s="232" t="s">
        <v>349</v>
      </c>
      <c r="AB743" s="236">
        <v>1.7999999999999999E-2</v>
      </c>
      <c r="AC743" s="235"/>
      <c r="AD743" s="234"/>
      <c r="AE743" s="234"/>
      <c r="AF743" s="232" t="s">
        <v>77</v>
      </c>
      <c r="AG743" s="232" t="s">
        <v>350</v>
      </c>
      <c r="AH743" s="234" t="s">
        <v>317</v>
      </c>
      <c r="AJ743" s="234">
        <v>0</v>
      </c>
      <c r="AK743" s="224"/>
      <c r="AL743" s="234">
        <v>0</v>
      </c>
      <c r="AM743" s="224"/>
      <c r="AN743" s="234">
        <v>0</v>
      </c>
      <c r="AO743" s="234">
        <v>0</v>
      </c>
      <c r="AP743" s="234">
        <v>0</v>
      </c>
      <c r="AQ743" s="234">
        <v>0</v>
      </c>
      <c r="AR743" s="234">
        <v>0</v>
      </c>
      <c r="AS743" s="234">
        <v>0</v>
      </c>
      <c r="AT743" s="234">
        <v>0</v>
      </c>
      <c r="AU743" s="234">
        <v>0</v>
      </c>
      <c r="AV743" s="234">
        <v>0</v>
      </c>
      <c r="AW743" s="234">
        <v>0</v>
      </c>
      <c r="AX743" s="234">
        <v>0</v>
      </c>
      <c r="AY743" s="234">
        <v>0</v>
      </c>
      <c r="AZ743" s="234">
        <v>0</v>
      </c>
      <c r="BA743" s="234">
        <v>0</v>
      </c>
      <c r="BB743" s="234">
        <v>0</v>
      </c>
      <c r="BC743" s="234">
        <v>0</v>
      </c>
      <c r="BD743" s="234">
        <v>0</v>
      </c>
      <c r="BE743" s="234">
        <v>0</v>
      </c>
      <c r="BF743" s="234">
        <v>0</v>
      </c>
      <c r="BG743" s="234">
        <v>0</v>
      </c>
      <c r="BH743" s="234">
        <v>0</v>
      </c>
      <c r="BI743" s="234">
        <v>0</v>
      </c>
      <c r="BJ743" s="234">
        <v>0</v>
      </c>
      <c r="BK743" s="234">
        <v>0</v>
      </c>
      <c r="BL743" s="234">
        <v>0</v>
      </c>
      <c r="BM743" s="234">
        <v>0</v>
      </c>
      <c r="BN743" s="234">
        <v>0</v>
      </c>
      <c r="BO743" s="234">
        <v>0</v>
      </c>
      <c r="BP743" s="234"/>
      <c r="BQ743" s="234"/>
      <c r="BR743" s="237" t="s">
        <v>334</v>
      </c>
      <c r="BS743" s="238">
        <v>7</v>
      </c>
      <c r="BV743" s="239">
        <f t="shared" si="84"/>
        <v>0</v>
      </c>
      <c r="BW743" s="239">
        <f t="shared" si="85"/>
        <v>0</v>
      </c>
      <c r="BX743" s="239">
        <f t="shared" si="86"/>
        <v>0</v>
      </c>
      <c r="BY743" s="239">
        <f>M743/4</f>
        <v>0</v>
      </c>
      <c r="CN743" s="238">
        <f t="shared" si="81"/>
        <v>0</v>
      </c>
      <c r="CO743" s="238">
        <f t="shared" si="82"/>
        <v>0</v>
      </c>
    </row>
    <row r="744" spans="1:93" ht="13.95" customHeight="1" x14ac:dyDescent="0.2">
      <c r="A744" s="231">
        <v>6523</v>
      </c>
      <c r="B744" s="232" t="s">
        <v>822</v>
      </c>
      <c r="C744" s="232" t="s">
        <v>2222</v>
      </c>
      <c r="D744" s="232" t="s">
        <v>2223</v>
      </c>
      <c r="E744" s="232" t="s">
        <v>317</v>
      </c>
      <c r="F744" s="231">
        <v>528682</v>
      </c>
      <c r="G744" s="231">
        <v>173943</v>
      </c>
      <c r="H744" s="232" t="s">
        <v>141</v>
      </c>
      <c r="I744" s="233"/>
      <c r="J744" s="231"/>
      <c r="K744" s="231">
        <v>0</v>
      </c>
      <c r="L744" s="231">
        <v>1</v>
      </c>
      <c r="M744" s="231">
        <v>1</v>
      </c>
      <c r="N744" s="231">
        <v>1</v>
      </c>
      <c r="O744" s="231">
        <v>1</v>
      </c>
      <c r="P744" s="234"/>
      <c r="Q744" s="232" t="s">
        <v>2224</v>
      </c>
      <c r="R744" s="234" t="s">
        <v>629</v>
      </c>
      <c r="S744" s="235">
        <v>43447</v>
      </c>
      <c r="T744" s="235">
        <v>43495</v>
      </c>
      <c r="U744" s="234"/>
      <c r="V744" s="232" t="s">
        <v>321</v>
      </c>
      <c r="W744" s="231"/>
      <c r="X744" s="232" t="s">
        <v>322</v>
      </c>
      <c r="Y744" s="232" t="s">
        <v>378</v>
      </c>
      <c r="Z744" s="232" t="s">
        <v>324</v>
      </c>
      <c r="AA744" s="232" t="s">
        <v>28</v>
      </c>
      <c r="AB744" s="236">
        <v>6.0999999999999999E-2</v>
      </c>
      <c r="AC744" s="235"/>
      <c r="AD744" s="234"/>
      <c r="AE744" s="234"/>
      <c r="AF744" s="232" t="s">
        <v>77</v>
      </c>
      <c r="AG744" s="232" t="s">
        <v>350</v>
      </c>
      <c r="AH744" s="234" t="s">
        <v>317</v>
      </c>
      <c r="AJ744" s="234">
        <v>0</v>
      </c>
      <c r="AK744" s="224"/>
      <c r="AL744" s="234">
        <v>0</v>
      </c>
      <c r="AM744" s="224"/>
      <c r="AN744" s="234">
        <v>0</v>
      </c>
      <c r="AO744" s="234">
        <v>1</v>
      </c>
      <c r="AP744" s="234">
        <v>0</v>
      </c>
      <c r="AQ744" s="234">
        <v>0</v>
      </c>
      <c r="AR744" s="234">
        <v>0</v>
      </c>
      <c r="AS744" s="234">
        <v>0</v>
      </c>
      <c r="AT744" s="234">
        <v>0</v>
      </c>
      <c r="AU744" s="234">
        <v>0</v>
      </c>
      <c r="AV744" s="234">
        <v>1</v>
      </c>
      <c r="AW744" s="234">
        <v>0</v>
      </c>
      <c r="AX744" s="234">
        <v>0</v>
      </c>
      <c r="AY744" s="234">
        <v>0</v>
      </c>
      <c r="AZ744" s="234">
        <v>0</v>
      </c>
      <c r="BA744" s="234">
        <v>0</v>
      </c>
      <c r="BB744" s="234">
        <v>0</v>
      </c>
      <c r="BC744" s="234">
        <v>0</v>
      </c>
      <c r="BD744" s="234">
        <v>0</v>
      </c>
      <c r="BE744" s="234">
        <v>0</v>
      </c>
      <c r="BF744" s="234">
        <v>0</v>
      </c>
      <c r="BG744" s="234">
        <v>0</v>
      </c>
      <c r="BH744" s="234">
        <v>0</v>
      </c>
      <c r="BI744" s="234">
        <v>0</v>
      </c>
      <c r="BJ744" s="234">
        <v>0</v>
      </c>
      <c r="BK744" s="234">
        <v>0</v>
      </c>
      <c r="BL744" s="234">
        <v>0</v>
      </c>
      <c r="BM744" s="234">
        <v>0</v>
      </c>
      <c r="BN744" s="234">
        <v>0</v>
      </c>
      <c r="BO744" s="234">
        <v>0</v>
      </c>
      <c r="BP744" s="234"/>
      <c r="BQ744" s="234"/>
      <c r="BR744" s="237" t="s">
        <v>334</v>
      </c>
      <c r="BS744" s="238">
        <v>15</v>
      </c>
      <c r="BU744" s="239">
        <f>M744/4</f>
        <v>0.25</v>
      </c>
      <c r="BV744" s="239">
        <f t="shared" si="84"/>
        <v>0.25</v>
      </c>
      <c r="BW744" s="239">
        <f t="shared" si="85"/>
        <v>0.25</v>
      </c>
      <c r="BX744" s="239">
        <f t="shared" si="86"/>
        <v>0.25</v>
      </c>
      <c r="CN744" s="238">
        <f t="shared" si="81"/>
        <v>1</v>
      </c>
      <c r="CO744" s="238">
        <f t="shared" si="82"/>
        <v>1</v>
      </c>
    </row>
    <row r="745" spans="1:93" ht="13.95" customHeight="1" x14ac:dyDescent="0.2">
      <c r="A745" s="231">
        <v>7341</v>
      </c>
      <c r="B745" s="232" t="s">
        <v>822</v>
      </c>
      <c r="C745" s="232" t="s">
        <v>2225</v>
      </c>
      <c r="D745" s="232" t="s">
        <v>2226</v>
      </c>
      <c r="E745" s="232" t="s">
        <v>317</v>
      </c>
      <c r="F745" s="231">
        <v>526448</v>
      </c>
      <c r="G745" s="231">
        <v>175829</v>
      </c>
      <c r="H745" s="232" t="s">
        <v>174</v>
      </c>
      <c r="I745" s="233"/>
      <c r="J745" s="231"/>
      <c r="K745" s="231">
        <v>0</v>
      </c>
      <c r="L745" s="231">
        <v>1</v>
      </c>
      <c r="M745" s="231">
        <v>1</v>
      </c>
      <c r="N745" s="231">
        <v>1</v>
      </c>
      <c r="O745" s="231">
        <v>1</v>
      </c>
      <c r="P745" s="234"/>
      <c r="Q745" s="232" t="s">
        <v>2227</v>
      </c>
      <c r="R745" s="234" t="s">
        <v>629</v>
      </c>
      <c r="S745" s="235">
        <v>44806</v>
      </c>
      <c r="T745" s="235">
        <v>44855</v>
      </c>
      <c r="U745" s="234" t="s">
        <v>318</v>
      </c>
      <c r="V745" s="232" t="s">
        <v>321</v>
      </c>
      <c r="W745" s="231"/>
      <c r="X745" s="232" t="s">
        <v>322</v>
      </c>
      <c r="Y745" s="232" t="s">
        <v>365</v>
      </c>
      <c r="Z745" s="232" t="s">
        <v>324</v>
      </c>
      <c r="AA745" s="232" t="s">
        <v>28</v>
      </c>
      <c r="AB745" s="236">
        <v>6.4000000000000003E-3</v>
      </c>
      <c r="AC745" s="235"/>
      <c r="AD745" s="234"/>
      <c r="AE745" s="234"/>
      <c r="AF745" s="232" t="s">
        <v>77</v>
      </c>
      <c r="AG745" s="232" t="s">
        <v>350</v>
      </c>
      <c r="AH745" s="234" t="s">
        <v>317</v>
      </c>
      <c r="AJ745" s="234">
        <v>0</v>
      </c>
      <c r="AK745" s="224"/>
      <c r="AL745" s="234">
        <v>0</v>
      </c>
      <c r="AM745" s="224"/>
      <c r="AN745" s="234">
        <v>0</v>
      </c>
      <c r="AO745" s="234">
        <v>1</v>
      </c>
      <c r="AP745" s="234">
        <v>0</v>
      </c>
      <c r="AQ745" s="234">
        <v>0</v>
      </c>
      <c r="AR745" s="234">
        <v>0</v>
      </c>
      <c r="AS745" s="234">
        <v>0</v>
      </c>
      <c r="AT745" s="234">
        <v>0</v>
      </c>
      <c r="AU745" s="234">
        <v>0</v>
      </c>
      <c r="AV745" s="234">
        <v>1</v>
      </c>
      <c r="AW745" s="234">
        <v>0</v>
      </c>
      <c r="AX745" s="234">
        <v>0</v>
      </c>
      <c r="AY745" s="234">
        <v>0</v>
      </c>
      <c r="AZ745" s="234">
        <v>0</v>
      </c>
      <c r="BA745" s="234">
        <v>0</v>
      </c>
      <c r="BB745" s="234">
        <v>0</v>
      </c>
      <c r="BC745" s="234">
        <v>0</v>
      </c>
      <c r="BD745" s="234">
        <v>0</v>
      </c>
      <c r="BE745" s="234">
        <v>0</v>
      </c>
      <c r="BF745" s="234">
        <v>0</v>
      </c>
      <c r="BG745" s="234">
        <v>0</v>
      </c>
      <c r="BH745" s="234">
        <v>0</v>
      </c>
      <c r="BI745" s="234">
        <v>0</v>
      </c>
      <c r="BJ745" s="234">
        <v>0</v>
      </c>
      <c r="BK745" s="234">
        <v>0</v>
      </c>
      <c r="BL745" s="234">
        <v>0</v>
      </c>
      <c r="BM745" s="234">
        <v>0</v>
      </c>
      <c r="BN745" s="234">
        <v>0</v>
      </c>
      <c r="BO745" s="234">
        <v>0</v>
      </c>
      <c r="BP745" s="234"/>
      <c r="BQ745" s="234"/>
      <c r="BR745" s="237" t="s">
        <v>481</v>
      </c>
      <c r="BS745" s="238">
        <v>15</v>
      </c>
      <c r="BU745" s="239">
        <f>M745/4</f>
        <v>0.25</v>
      </c>
      <c r="BV745" s="239">
        <f t="shared" si="84"/>
        <v>0.25</v>
      </c>
      <c r="BW745" s="239">
        <f t="shared" si="85"/>
        <v>0.25</v>
      </c>
      <c r="BX745" s="239">
        <f t="shared" si="86"/>
        <v>0.25</v>
      </c>
      <c r="CN745" s="238">
        <f t="shared" si="81"/>
        <v>1</v>
      </c>
      <c r="CO745" s="238">
        <f t="shared" si="82"/>
        <v>1</v>
      </c>
    </row>
    <row r="746" spans="1:93" ht="13.95" customHeight="1" x14ac:dyDescent="0.2">
      <c r="A746" s="231">
        <v>7962</v>
      </c>
      <c r="B746" s="232" t="s">
        <v>822</v>
      </c>
      <c r="C746" s="232" t="s">
        <v>2228</v>
      </c>
      <c r="D746" s="232" t="s">
        <v>2229</v>
      </c>
      <c r="E746" s="232" t="s">
        <v>317</v>
      </c>
      <c r="F746" s="231">
        <v>528809</v>
      </c>
      <c r="G746" s="231">
        <v>173792</v>
      </c>
      <c r="H746" s="232" t="s">
        <v>141</v>
      </c>
      <c r="I746" s="233"/>
      <c r="J746" s="231"/>
      <c r="K746" s="231">
        <v>1</v>
      </c>
      <c r="L746" s="231">
        <v>1</v>
      </c>
      <c r="M746" s="231">
        <v>0</v>
      </c>
      <c r="N746" s="231">
        <v>1</v>
      </c>
      <c r="O746" s="231">
        <v>0</v>
      </c>
      <c r="P746" s="234"/>
      <c r="Q746" s="232" t="s">
        <v>2230</v>
      </c>
      <c r="R746" s="234" t="s">
        <v>332</v>
      </c>
      <c r="S746" s="235">
        <v>44021</v>
      </c>
      <c r="T746" s="235">
        <v>44116</v>
      </c>
      <c r="U746" s="234"/>
      <c r="V746" s="232" t="s">
        <v>321</v>
      </c>
      <c r="W746" s="231"/>
      <c r="X746" s="232" t="s">
        <v>322</v>
      </c>
      <c r="Y746" s="232" t="s">
        <v>378</v>
      </c>
      <c r="Z746" s="232" t="s">
        <v>324</v>
      </c>
      <c r="AA746" s="232" t="s">
        <v>28</v>
      </c>
      <c r="AB746" s="236">
        <v>6.0000000000000001E-3</v>
      </c>
      <c r="AC746" s="235"/>
      <c r="AD746" s="234"/>
      <c r="AE746" s="234"/>
      <c r="AF746" s="232" t="s">
        <v>77</v>
      </c>
      <c r="AG746" s="232" t="s">
        <v>350</v>
      </c>
      <c r="AH746" s="234" t="s">
        <v>317</v>
      </c>
      <c r="AJ746" s="234">
        <v>0</v>
      </c>
      <c r="AK746" s="224"/>
      <c r="AL746" s="234">
        <v>0</v>
      </c>
      <c r="AM746" s="224"/>
      <c r="AN746" s="234">
        <v>0</v>
      </c>
      <c r="AO746" s="234">
        <v>-1</v>
      </c>
      <c r="AP746" s="234">
        <v>1</v>
      </c>
      <c r="AQ746" s="234">
        <v>0</v>
      </c>
      <c r="AR746" s="234">
        <v>0</v>
      </c>
      <c r="AS746" s="234">
        <v>0</v>
      </c>
      <c r="AT746" s="234">
        <v>0</v>
      </c>
      <c r="AU746" s="234">
        <v>0</v>
      </c>
      <c r="AV746" s="234">
        <v>0</v>
      </c>
      <c r="AW746" s="234">
        <v>0</v>
      </c>
      <c r="AX746" s="234">
        <v>0</v>
      </c>
      <c r="AY746" s="234">
        <v>0</v>
      </c>
      <c r="AZ746" s="234">
        <v>0</v>
      </c>
      <c r="BA746" s="234">
        <v>0</v>
      </c>
      <c r="BB746" s="234">
        <v>0</v>
      </c>
      <c r="BC746" s="234">
        <v>0</v>
      </c>
      <c r="BD746" s="234">
        <v>1</v>
      </c>
      <c r="BE746" s="234">
        <v>0</v>
      </c>
      <c r="BF746" s="234">
        <v>0</v>
      </c>
      <c r="BG746" s="234">
        <v>0</v>
      </c>
      <c r="BH746" s="234">
        <v>0</v>
      </c>
      <c r="BI746" s="234">
        <v>0</v>
      </c>
      <c r="BJ746" s="234">
        <v>-1</v>
      </c>
      <c r="BK746" s="234">
        <v>0</v>
      </c>
      <c r="BL746" s="234">
        <v>0</v>
      </c>
      <c r="BM746" s="234">
        <v>0</v>
      </c>
      <c r="BN746" s="234">
        <v>0</v>
      </c>
      <c r="BO746" s="234">
        <v>0</v>
      </c>
      <c r="BP746" s="234"/>
      <c r="BQ746" s="234"/>
      <c r="BR746" s="237" t="s">
        <v>334</v>
      </c>
      <c r="BS746" s="238">
        <v>15</v>
      </c>
      <c r="BU746" s="239">
        <f>M746/4</f>
        <v>0</v>
      </c>
      <c r="BV746" s="239">
        <f t="shared" si="84"/>
        <v>0</v>
      </c>
      <c r="BW746" s="239">
        <f t="shared" si="85"/>
        <v>0</v>
      </c>
      <c r="BX746" s="239">
        <f t="shared" si="86"/>
        <v>0</v>
      </c>
      <c r="CN746" s="238">
        <f t="shared" si="81"/>
        <v>0</v>
      </c>
      <c r="CO746" s="238">
        <f t="shared" si="82"/>
        <v>0</v>
      </c>
    </row>
    <row r="747" spans="1:93" ht="13.95" customHeight="1" x14ac:dyDescent="0.2">
      <c r="A747" s="231">
        <v>7709</v>
      </c>
      <c r="B747" s="232" t="s">
        <v>822</v>
      </c>
      <c r="C747" s="232" t="s">
        <v>2231</v>
      </c>
      <c r="D747" s="232" t="s">
        <v>2232</v>
      </c>
      <c r="E747" s="232" t="s">
        <v>317</v>
      </c>
      <c r="F747" s="231">
        <v>527842</v>
      </c>
      <c r="G747" s="231">
        <v>174955</v>
      </c>
      <c r="H747" s="232" t="s">
        <v>169</v>
      </c>
      <c r="I747" s="233"/>
      <c r="J747" s="231"/>
      <c r="K747" s="231">
        <v>1</v>
      </c>
      <c r="L747" s="231">
        <v>1</v>
      </c>
      <c r="M747" s="231">
        <v>0</v>
      </c>
      <c r="N747" s="231">
        <v>1</v>
      </c>
      <c r="O747" s="231">
        <v>0</v>
      </c>
      <c r="P747" s="234"/>
      <c r="Q747" s="232" t="s">
        <v>2233</v>
      </c>
      <c r="R747" s="234" t="s">
        <v>332</v>
      </c>
      <c r="S747" s="235">
        <v>44344</v>
      </c>
      <c r="T747" s="235">
        <v>44417</v>
      </c>
      <c r="U747" s="234"/>
      <c r="V747" s="232" t="s">
        <v>321</v>
      </c>
      <c r="W747" s="231"/>
      <c r="X747" s="232" t="s">
        <v>322</v>
      </c>
      <c r="Y747" s="232" t="s">
        <v>338</v>
      </c>
      <c r="Z747" s="232" t="s">
        <v>324</v>
      </c>
      <c r="AA747" s="232" t="s">
        <v>349</v>
      </c>
      <c r="AB747" s="236">
        <v>6.3749999999999996E-3</v>
      </c>
      <c r="AC747" s="235"/>
      <c r="AD747" s="234"/>
      <c r="AE747" s="234"/>
      <c r="AF747" s="232" t="s">
        <v>77</v>
      </c>
      <c r="AG747" s="232" t="s">
        <v>350</v>
      </c>
      <c r="AH747" s="234" t="s">
        <v>317</v>
      </c>
      <c r="AJ747" s="234">
        <v>0</v>
      </c>
      <c r="AK747" s="224"/>
      <c r="AL747" s="234">
        <v>0</v>
      </c>
      <c r="AM747" s="224"/>
      <c r="AN747" s="234">
        <v>0</v>
      </c>
      <c r="AO747" s="234">
        <v>0</v>
      </c>
      <c r="AP747" s="234">
        <v>0</v>
      </c>
      <c r="AQ747" s="234">
        <v>0</v>
      </c>
      <c r="AR747" s="234">
        <v>-1</v>
      </c>
      <c r="AS747" s="234">
        <v>1</v>
      </c>
      <c r="AT747" s="234">
        <v>0</v>
      </c>
      <c r="AU747" s="234">
        <v>0</v>
      </c>
      <c r="AV747" s="234">
        <v>0</v>
      </c>
      <c r="AW747" s="234">
        <v>0</v>
      </c>
      <c r="AX747" s="234">
        <v>0</v>
      </c>
      <c r="AY747" s="234">
        <v>0</v>
      </c>
      <c r="AZ747" s="234">
        <v>0</v>
      </c>
      <c r="BA747" s="234">
        <v>0</v>
      </c>
      <c r="BB747" s="234">
        <v>0</v>
      </c>
      <c r="BC747" s="234">
        <v>0</v>
      </c>
      <c r="BD747" s="234">
        <v>0</v>
      </c>
      <c r="BE747" s="234">
        <v>0</v>
      </c>
      <c r="BF747" s="234">
        <v>-1</v>
      </c>
      <c r="BG747" s="234">
        <v>1</v>
      </c>
      <c r="BH747" s="234">
        <v>0</v>
      </c>
      <c r="BI747" s="234">
        <v>0</v>
      </c>
      <c r="BJ747" s="234">
        <v>0</v>
      </c>
      <c r="BK747" s="234">
        <v>0</v>
      </c>
      <c r="BL747" s="234">
        <v>0</v>
      </c>
      <c r="BM747" s="234">
        <v>0</v>
      </c>
      <c r="BN747" s="234">
        <v>0</v>
      </c>
      <c r="BO747" s="234">
        <v>0</v>
      </c>
      <c r="BP747" s="234"/>
      <c r="BQ747" s="234"/>
      <c r="BR747" s="237" t="s">
        <v>334</v>
      </c>
      <c r="BS747" s="238">
        <v>15</v>
      </c>
      <c r="BU747" s="239">
        <f>M747/4</f>
        <v>0</v>
      </c>
      <c r="BV747" s="239">
        <f t="shared" si="84"/>
        <v>0</v>
      </c>
      <c r="BW747" s="239">
        <f t="shared" si="85"/>
        <v>0</v>
      </c>
      <c r="BX747" s="239">
        <f t="shared" si="86"/>
        <v>0</v>
      </c>
      <c r="CN747" s="238">
        <f t="shared" si="81"/>
        <v>0</v>
      </c>
      <c r="CO747" s="238">
        <f t="shared" si="82"/>
        <v>0</v>
      </c>
    </row>
    <row r="748" spans="1:93" ht="13.95" customHeight="1" x14ac:dyDescent="0.2">
      <c r="A748" s="231">
        <v>7034</v>
      </c>
      <c r="B748" s="232" t="s">
        <v>822</v>
      </c>
      <c r="C748" s="232" t="s">
        <v>2234</v>
      </c>
      <c r="D748" s="232" t="s">
        <v>2235</v>
      </c>
      <c r="E748" s="232" t="s">
        <v>317</v>
      </c>
      <c r="F748" s="231">
        <v>527877</v>
      </c>
      <c r="G748" s="231">
        <v>175239</v>
      </c>
      <c r="H748" s="232" t="s">
        <v>167</v>
      </c>
      <c r="I748" s="233"/>
      <c r="J748" s="231"/>
      <c r="K748" s="231">
        <v>1</v>
      </c>
      <c r="L748" s="231">
        <v>1</v>
      </c>
      <c r="M748" s="231">
        <v>0</v>
      </c>
      <c r="N748" s="231">
        <v>1</v>
      </c>
      <c r="O748" s="231">
        <v>0</v>
      </c>
      <c r="P748" s="234"/>
      <c r="Q748" s="232" t="s">
        <v>2236</v>
      </c>
      <c r="R748" s="234" t="s">
        <v>332</v>
      </c>
      <c r="S748" s="235">
        <v>43396</v>
      </c>
      <c r="T748" s="235">
        <v>43452</v>
      </c>
      <c r="U748" s="234"/>
      <c r="V748" s="232" t="s">
        <v>321</v>
      </c>
      <c r="W748" s="231"/>
      <c r="X748" s="232" t="s">
        <v>322</v>
      </c>
      <c r="Y748" s="232" t="s">
        <v>378</v>
      </c>
      <c r="Z748" s="232" t="s">
        <v>324</v>
      </c>
      <c r="AA748" s="232" t="s">
        <v>34</v>
      </c>
      <c r="AB748" s="236">
        <v>1.2E-2</v>
      </c>
      <c r="AC748" s="235"/>
      <c r="AD748" s="234"/>
      <c r="AE748" s="234"/>
      <c r="AF748" s="232" t="s">
        <v>77</v>
      </c>
      <c r="AG748" s="232" t="s">
        <v>350</v>
      </c>
      <c r="AH748" s="234" t="s">
        <v>317</v>
      </c>
      <c r="AJ748" s="234">
        <v>0</v>
      </c>
      <c r="AK748" s="224"/>
      <c r="AL748" s="234">
        <v>0</v>
      </c>
      <c r="AM748" s="224"/>
      <c r="AN748" s="234">
        <v>0</v>
      </c>
      <c r="AO748" s="234">
        <v>0</v>
      </c>
      <c r="AP748" s="234">
        <v>0</v>
      </c>
      <c r="AQ748" s="234">
        <v>0</v>
      </c>
      <c r="AR748" s="234">
        <v>0</v>
      </c>
      <c r="AS748" s="234">
        <v>0</v>
      </c>
      <c r="AT748" s="234">
        <v>0</v>
      </c>
      <c r="AU748" s="234">
        <v>0</v>
      </c>
      <c r="AV748" s="234">
        <v>0</v>
      </c>
      <c r="AW748" s="234">
        <v>0</v>
      </c>
      <c r="AX748" s="234">
        <v>0</v>
      </c>
      <c r="AY748" s="234">
        <v>0</v>
      </c>
      <c r="AZ748" s="234">
        <v>1</v>
      </c>
      <c r="BA748" s="234">
        <v>0</v>
      </c>
      <c r="BB748" s="234">
        <v>0</v>
      </c>
      <c r="BC748" s="234">
        <v>0</v>
      </c>
      <c r="BD748" s="234">
        <v>0</v>
      </c>
      <c r="BE748" s="234">
        <v>0</v>
      </c>
      <c r="BF748" s="234">
        <v>0</v>
      </c>
      <c r="BG748" s="234">
        <v>-1</v>
      </c>
      <c r="BH748" s="234">
        <v>0</v>
      </c>
      <c r="BI748" s="234">
        <v>0</v>
      </c>
      <c r="BJ748" s="234">
        <v>0</v>
      </c>
      <c r="BK748" s="234">
        <v>0</v>
      </c>
      <c r="BL748" s="234">
        <v>0</v>
      </c>
      <c r="BM748" s="234">
        <v>0</v>
      </c>
      <c r="BN748" s="234">
        <v>0</v>
      </c>
      <c r="BO748" s="234">
        <v>0</v>
      </c>
      <c r="BP748" s="234"/>
      <c r="BQ748" s="234"/>
      <c r="BR748" s="237" t="s">
        <v>150</v>
      </c>
      <c r="BS748" s="238">
        <v>15</v>
      </c>
      <c r="BU748" s="239">
        <f>M748/4</f>
        <v>0</v>
      </c>
      <c r="BV748" s="239">
        <f t="shared" si="84"/>
        <v>0</v>
      </c>
      <c r="BW748" s="239">
        <f t="shared" si="85"/>
        <v>0</v>
      </c>
      <c r="BX748" s="239">
        <f t="shared" si="86"/>
        <v>0</v>
      </c>
      <c r="CN748" s="238">
        <f t="shared" si="81"/>
        <v>0</v>
      </c>
      <c r="CO748" s="238">
        <f t="shared" si="82"/>
        <v>0</v>
      </c>
    </row>
    <row r="749" spans="1:93" ht="13.95" customHeight="1" x14ac:dyDescent="0.2">
      <c r="A749" s="231">
        <v>6744</v>
      </c>
      <c r="B749" s="232" t="s">
        <v>822</v>
      </c>
      <c r="C749" s="232" t="s">
        <v>2237</v>
      </c>
      <c r="D749" s="232" t="s">
        <v>2238</v>
      </c>
      <c r="E749" s="232" t="s">
        <v>317</v>
      </c>
      <c r="F749" s="231">
        <v>528468</v>
      </c>
      <c r="G749" s="231">
        <v>171491</v>
      </c>
      <c r="H749" s="232" t="s">
        <v>176</v>
      </c>
      <c r="I749" s="233"/>
      <c r="J749" s="231"/>
      <c r="K749" s="231">
        <v>0</v>
      </c>
      <c r="L749" s="231">
        <v>1</v>
      </c>
      <c r="M749" s="231">
        <v>1</v>
      </c>
      <c r="N749" s="231">
        <v>1</v>
      </c>
      <c r="O749" s="231">
        <v>1</v>
      </c>
      <c r="P749" s="234"/>
      <c r="Q749" s="232" t="s">
        <v>2239</v>
      </c>
      <c r="R749" s="234" t="s">
        <v>320</v>
      </c>
      <c r="S749" s="235">
        <v>43446</v>
      </c>
      <c r="T749" s="235">
        <v>44046</v>
      </c>
      <c r="U749" s="234"/>
      <c r="V749" s="232" t="s">
        <v>321</v>
      </c>
      <c r="W749" s="231"/>
      <c r="X749" s="232" t="s">
        <v>322</v>
      </c>
      <c r="Y749" s="232" t="s">
        <v>323</v>
      </c>
      <c r="Z749" s="232" t="s">
        <v>324</v>
      </c>
      <c r="AA749" s="232" t="s">
        <v>349</v>
      </c>
      <c r="AB749" s="236">
        <v>6.0000000000000001E-3</v>
      </c>
      <c r="AC749" s="235"/>
      <c r="AD749" s="234"/>
      <c r="AE749" s="234"/>
      <c r="AF749" s="232" t="s">
        <v>77</v>
      </c>
      <c r="AG749" s="232" t="s">
        <v>350</v>
      </c>
      <c r="AH749" s="234" t="s">
        <v>317</v>
      </c>
      <c r="AJ749" s="234">
        <v>0</v>
      </c>
      <c r="AK749" s="224"/>
      <c r="AL749" s="234">
        <v>0</v>
      </c>
      <c r="AM749" s="224"/>
      <c r="AN749" s="234">
        <v>0</v>
      </c>
      <c r="AO749" s="234">
        <v>1</v>
      </c>
      <c r="AP749" s="234">
        <v>0</v>
      </c>
      <c r="AQ749" s="234">
        <v>0</v>
      </c>
      <c r="AR749" s="234">
        <v>0</v>
      </c>
      <c r="AS749" s="234">
        <v>0</v>
      </c>
      <c r="AT749" s="234">
        <v>0</v>
      </c>
      <c r="AU749" s="234">
        <v>0</v>
      </c>
      <c r="AV749" s="234">
        <v>0</v>
      </c>
      <c r="AW749" s="234">
        <v>0</v>
      </c>
      <c r="AX749" s="234">
        <v>0</v>
      </c>
      <c r="AY749" s="234">
        <v>0</v>
      </c>
      <c r="AZ749" s="234">
        <v>0</v>
      </c>
      <c r="BA749" s="234">
        <v>0</v>
      </c>
      <c r="BB749" s="234">
        <v>0</v>
      </c>
      <c r="BC749" s="234">
        <v>1</v>
      </c>
      <c r="BD749" s="234">
        <v>0</v>
      </c>
      <c r="BE749" s="234">
        <v>0</v>
      </c>
      <c r="BF749" s="234">
        <v>0</v>
      </c>
      <c r="BG749" s="234">
        <v>0</v>
      </c>
      <c r="BH749" s="234">
        <v>0</v>
      </c>
      <c r="BI749" s="234">
        <v>0</v>
      </c>
      <c r="BJ749" s="234">
        <v>0</v>
      </c>
      <c r="BK749" s="234">
        <v>0</v>
      </c>
      <c r="BL749" s="234">
        <v>0</v>
      </c>
      <c r="BM749" s="234">
        <v>0</v>
      </c>
      <c r="BN749" s="234">
        <v>0</v>
      </c>
      <c r="BO749" s="234">
        <v>0</v>
      </c>
      <c r="BP749" s="234"/>
      <c r="BQ749" s="234"/>
      <c r="BR749" s="237" t="s">
        <v>334</v>
      </c>
      <c r="BS749" s="238">
        <v>7</v>
      </c>
      <c r="BV749" s="239">
        <f t="shared" si="84"/>
        <v>0.25</v>
      </c>
      <c r="BW749" s="239">
        <f t="shared" si="85"/>
        <v>0.25</v>
      </c>
      <c r="BX749" s="239">
        <f t="shared" si="86"/>
        <v>0.25</v>
      </c>
      <c r="BY749" s="239">
        <f>M749/4</f>
        <v>0.25</v>
      </c>
      <c r="CN749" s="238">
        <f t="shared" si="81"/>
        <v>1</v>
      </c>
      <c r="CO749" s="238">
        <f t="shared" si="82"/>
        <v>1</v>
      </c>
    </row>
    <row r="750" spans="1:93" ht="13.95" customHeight="1" x14ac:dyDescent="0.2">
      <c r="A750" s="231">
        <v>3246</v>
      </c>
      <c r="B750" s="232" t="s">
        <v>822</v>
      </c>
      <c r="C750" s="232" t="s">
        <v>1888</v>
      </c>
      <c r="D750" s="232" t="s">
        <v>1889</v>
      </c>
      <c r="E750" s="232" t="s">
        <v>317</v>
      </c>
      <c r="F750" s="231">
        <v>523446</v>
      </c>
      <c r="G750" s="231">
        <v>175860</v>
      </c>
      <c r="H750" s="232" t="s">
        <v>175</v>
      </c>
      <c r="I750" s="233"/>
      <c r="J750" s="231"/>
      <c r="K750" s="231">
        <v>1</v>
      </c>
      <c r="L750" s="231">
        <v>1</v>
      </c>
      <c r="M750" s="231">
        <v>0</v>
      </c>
      <c r="N750" s="231">
        <v>2</v>
      </c>
      <c r="O750" s="231">
        <v>1</v>
      </c>
      <c r="P750" s="234"/>
      <c r="Q750" s="232" t="s">
        <v>1890</v>
      </c>
      <c r="R750" s="234" t="s">
        <v>332</v>
      </c>
      <c r="S750" s="235">
        <v>43928</v>
      </c>
      <c r="T750" s="235">
        <v>43983</v>
      </c>
      <c r="U750" s="234"/>
      <c r="V750" s="232" t="s">
        <v>321</v>
      </c>
      <c r="W750" s="231"/>
      <c r="X750" s="232" t="s">
        <v>322</v>
      </c>
      <c r="Y750" s="232" t="s">
        <v>338</v>
      </c>
      <c r="Z750" s="232" t="s">
        <v>324</v>
      </c>
      <c r="AA750" s="232" t="s">
        <v>553</v>
      </c>
      <c r="AB750" s="236">
        <v>4.0000000000000001E-3</v>
      </c>
      <c r="AC750" s="235"/>
      <c r="AD750" s="234"/>
      <c r="AE750" s="234"/>
      <c r="AF750" s="232" t="s">
        <v>77</v>
      </c>
      <c r="AG750" s="232" t="s">
        <v>350</v>
      </c>
      <c r="AH750" s="234" t="s">
        <v>317</v>
      </c>
      <c r="AJ750" s="234">
        <v>0</v>
      </c>
      <c r="AK750" s="224"/>
      <c r="AL750" s="234">
        <v>0</v>
      </c>
      <c r="AM750" s="224"/>
      <c r="AN750" s="234">
        <v>0</v>
      </c>
      <c r="AO750" s="234">
        <v>1</v>
      </c>
      <c r="AP750" s="234">
        <v>-1</v>
      </c>
      <c r="AQ750" s="234">
        <v>0</v>
      </c>
      <c r="AR750" s="234">
        <v>0</v>
      </c>
      <c r="AS750" s="234">
        <v>0</v>
      </c>
      <c r="AT750" s="234">
        <v>0</v>
      </c>
      <c r="AU750" s="234">
        <v>0</v>
      </c>
      <c r="AV750" s="234">
        <v>1</v>
      </c>
      <c r="AW750" s="234">
        <v>-1</v>
      </c>
      <c r="AX750" s="234">
        <v>0</v>
      </c>
      <c r="AY750" s="234">
        <v>0</v>
      </c>
      <c r="AZ750" s="234">
        <v>0</v>
      </c>
      <c r="BA750" s="234">
        <v>0</v>
      </c>
      <c r="BB750" s="234">
        <v>0</v>
      </c>
      <c r="BC750" s="234">
        <v>0</v>
      </c>
      <c r="BD750" s="234">
        <v>0</v>
      </c>
      <c r="BE750" s="234">
        <v>0</v>
      </c>
      <c r="BF750" s="234">
        <v>0</v>
      </c>
      <c r="BG750" s="234">
        <v>0</v>
      </c>
      <c r="BH750" s="234">
        <v>0</v>
      </c>
      <c r="BI750" s="234">
        <v>0</v>
      </c>
      <c r="BJ750" s="234">
        <v>0</v>
      </c>
      <c r="BK750" s="234">
        <v>0</v>
      </c>
      <c r="BL750" s="234">
        <v>0</v>
      </c>
      <c r="BM750" s="234">
        <v>0</v>
      </c>
      <c r="BN750" s="234">
        <v>0</v>
      </c>
      <c r="BO750" s="234">
        <v>0</v>
      </c>
      <c r="BP750" s="234"/>
      <c r="BQ750" s="234"/>
      <c r="BR750" s="237" t="s">
        <v>334</v>
      </c>
      <c r="BS750" s="238">
        <v>15</v>
      </c>
      <c r="BU750" s="239">
        <f>M750/4</f>
        <v>0</v>
      </c>
      <c r="BV750" s="239">
        <f t="shared" si="84"/>
        <v>0</v>
      </c>
      <c r="BW750" s="239">
        <f t="shared" si="85"/>
        <v>0</v>
      </c>
      <c r="BX750" s="239">
        <f t="shared" si="86"/>
        <v>0</v>
      </c>
      <c r="CN750" s="238">
        <f t="shared" si="81"/>
        <v>0</v>
      </c>
      <c r="CO750" s="238">
        <f t="shared" si="82"/>
        <v>0</v>
      </c>
    </row>
    <row r="751" spans="1:93" ht="13.95" customHeight="1" x14ac:dyDescent="0.2">
      <c r="A751" s="231">
        <v>7396</v>
      </c>
      <c r="B751" s="232" t="s">
        <v>822</v>
      </c>
      <c r="C751" s="232" t="s">
        <v>2240</v>
      </c>
      <c r="D751" s="232" t="s">
        <v>1895</v>
      </c>
      <c r="E751" s="232" t="s">
        <v>317</v>
      </c>
      <c r="F751" s="231">
        <v>527053</v>
      </c>
      <c r="G751" s="231">
        <v>176220</v>
      </c>
      <c r="H751" s="232" t="s">
        <v>174</v>
      </c>
      <c r="I751" s="233"/>
      <c r="J751" s="231"/>
      <c r="K751" s="231">
        <v>1</v>
      </c>
      <c r="L751" s="231">
        <v>1</v>
      </c>
      <c r="M751" s="231">
        <v>0</v>
      </c>
      <c r="N751" s="231">
        <v>1</v>
      </c>
      <c r="O751" s="231">
        <v>0</v>
      </c>
      <c r="P751" s="234"/>
      <c r="Q751" s="232" t="s">
        <v>2241</v>
      </c>
      <c r="R751" s="234" t="s">
        <v>332</v>
      </c>
      <c r="S751" s="235">
        <v>43997</v>
      </c>
      <c r="T751" s="235">
        <v>44062</v>
      </c>
      <c r="U751" s="234"/>
      <c r="V751" s="232" t="s">
        <v>321</v>
      </c>
      <c r="W751" s="231"/>
      <c r="X751" s="232" t="s">
        <v>322</v>
      </c>
      <c r="Y751" s="232" t="s">
        <v>339</v>
      </c>
      <c r="Z751" s="232" t="s">
        <v>324</v>
      </c>
      <c r="AA751" s="232" t="s">
        <v>25</v>
      </c>
      <c r="AB751" s="236">
        <v>5.0000000000000001E-3</v>
      </c>
      <c r="AC751" s="235"/>
      <c r="AD751" s="234"/>
      <c r="AE751" s="234"/>
      <c r="AF751" s="232" t="s">
        <v>77</v>
      </c>
      <c r="AG751" s="232" t="s">
        <v>350</v>
      </c>
      <c r="AH751" s="234" t="s">
        <v>317</v>
      </c>
      <c r="AJ751" s="234">
        <v>0</v>
      </c>
      <c r="AK751" s="224"/>
      <c r="AL751" s="234">
        <v>0</v>
      </c>
      <c r="AM751" s="224"/>
      <c r="AN751" s="234">
        <v>0</v>
      </c>
      <c r="AO751" s="234">
        <v>0</v>
      </c>
      <c r="AP751" s="234">
        <v>-1</v>
      </c>
      <c r="AQ751" s="234">
        <v>0</v>
      </c>
      <c r="AR751" s="234">
        <v>1</v>
      </c>
      <c r="AS751" s="234">
        <v>0</v>
      </c>
      <c r="AT751" s="234">
        <v>0</v>
      </c>
      <c r="AU751" s="234">
        <v>0</v>
      </c>
      <c r="AV751" s="234">
        <v>0</v>
      </c>
      <c r="AW751" s="234">
        <v>-1</v>
      </c>
      <c r="AX751" s="234">
        <v>0</v>
      </c>
      <c r="AY751" s="234">
        <v>1</v>
      </c>
      <c r="AZ751" s="234">
        <v>0</v>
      </c>
      <c r="BA751" s="234">
        <v>0</v>
      </c>
      <c r="BB751" s="234">
        <v>0</v>
      </c>
      <c r="BC751" s="234">
        <v>0</v>
      </c>
      <c r="BD751" s="234">
        <v>0</v>
      </c>
      <c r="BE751" s="234">
        <v>0</v>
      </c>
      <c r="BF751" s="234">
        <v>0</v>
      </c>
      <c r="BG751" s="234">
        <v>0</v>
      </c>
      <c r="BH751" s="234">
        <v>0</v>
      </c>
      <c r="BI751" s="234">
        <v>0</v>
      </c>
      <c r="BJ751" s="234">
        <v>0</v>
      </c>
      <c r="BK751" s="234">
        <v>0</v>
      </c>
      <c r="BL751" s="234">
        <v>0</v>
      </c>
      <c r="BM751" s="234">
        <v>0</v>
      </c>
      <c r="BN751" s="234">
        <v>0</v>
      </c>
      <c r="BO751" s="234">
        <v>0</v>
      </c>
      <c r="BP751" s="234"/>
      <c r="BQ751" s="234"/>
      <c r="BR751" s="237" t="s">
        <v>334</v>
      </c>
      <c r="BS751" s="238">
        <v>15</v>
      </c>
      <c r="BU751" s="239">
        <f>M751/4</f>
        <v>0</v>
      </c>
      <c r="BV751" s="239">
        <f t="shared" si="84"/>
        <v>0</v>
      </c>
      <c r="BW751" s="239">
        <f t="shared" si="85"/>
        <v>0</v>
      </c>
      <c r="BX751" s="239">
        <f t="shared" si="86"/>
        <v>0</v>
      </c>
      <c r="CN751" s="238">
        <f t="shared" si="81"/>
        <v>0</v>
      </c>
      <c r="CO751" s="238">
        <f t="shared" si="82"/>
        <v>0</v>
      </c>
    </row>
    <row r="752" spans="1:93" ht="13.95" customHeight="1" x14ac:dyDescent="0.2">
      <c r="A752" s="231">
        <v>7024</v>
      </c>
      <c r="B752" s="232" t="s">
        <v>822</v>
      </c>
      <c r="C752" s="232" t="s">
        <v>2242</v>
      </c>
      <c r="D752" s="232" t="s">
        <v>1545</v>
      </c>
      <c r="E752" s="232" t="s">
        <v>317</v>
      </c>
      <c r="F752" s="231">
        <v>526226</v>
      </c>
      <c r="G752" s="231">
        <v>174119</v>
      </c>
      <c r="H752" s="232" t="s">
        <v>179</v>
      </c>
      <c r="I752" s="233"/>
      <c r="J752" s="231"/>
      <c r="K752" s="231">
        <v>5</v>
      </c>
      <c r="L752" s="231">
        <v>5</v>
      </c>
      <c r="M752" s="231">
        <v>0</v>
      </c>
      <c r="N752" s="231">
        <v>5</v>
      </c>
      <c r="O752" s="231">
        <v>0</v>
      </c>
      <c r="P752" s="234"/>
      <c r="Q752" s="232" t="s">
        <v>2243</v>
      </c>
      <c r="R752" s="234" t="s">
        <v>332</v>
      </c>
      <c r="S752" s="235">
        <v>43607</v>
      </c>
      <c r="T752" s="235">
        <v>43767</v>
      </c>
      <c r="U752" s="234"/>
      <c r="V752" s="232" t="s">
        <v>321</v>
      </c>
      <c r="W752" s="231"/>
      <c r="X752" s="232" t="s">
        <v>322</v>
      </c>
      <c r="Y752" s="232" t="s">
        <v>365</v>
      </c>
      <c r="Z752" s="232" t="s">
        <v>324</v>
      </c>
      <c r="AA752" s="232" t="s">
        <v>411</v>
      </c>
      <c r="AB752" s="236">
        <v>4.3999999999999997E-2</v>
      </c>
      <c r="AC752" s="235"/>
      <c r="AD752" s="234"/>
      <c r="AE752" s="234"/>
      <c r="AF752" s="232" t="s">
        <v>77</v>
      </c>
      <c r="AG752" s="232" t="s">
        <v>350</v>
      </c>
      <c r="AH752" s="234" t="s">
        <v>317</v>
      </c>
      <c r="AJ752" s="234">
        <v>0</v>
      </c>
      <c r="AK752" s="224"/>
      <c r="AL752" s="234">
        <v>0</v>
      </c>
      <c r="AM752" s="224"/>
      <c r="AN752" s="234">
        <v>-1</v>
      </c>
      <c r="AO752" s="234">
        <v>-1</v>
      </c>
      <c r="AP752" s="234">
        <v>2</v>
      </c>
      <c r="AQ752" s="234">
        <v>0</v>
      </c>
      <c r="AR752" s="234">
        <v>0</v>
      </c>
      <c r="AS752" s="234">
        <v>0</v>
      </c>
      <c r="AT752" s="234">
        <v>0</v>
      </c>
      <c r="AU752" s="234">
        <v>-1</v>
      </c>
      <c r="AV752" s="234">
        <v>-1</v>
      </c>
      <c r="AW752" s="234">
        <v>2</v>
      </c>
      <c r="AX752" s="234">
        <v>0</v>
      </c>
      <c r="AY752" s="234">
        <v>0</v>
      </c>
      <c r="AZ752" s="234">
        <v>0</v>
      </c>
      <c r="BA752" s="234">
        <v>0</v>
      </c>
      <c r="BB752" s="234">
        <v>0</v>
      </c>
      <c r="BC752" s="234">
        <v>0</v>
      </c>
      <c r="BD752" s="234">
        <v>0</v>
      </c>
      <c r="BE752" s="234">
        <v>0</v>
      </c>
      <c r="BF752" s="234">
        <v>0</v>
      </c>
      <c r="BG752" s="234">
        <v>0</v>
      </c>
      <c r="BH752" s="234">
        <v>0</v>
      </c>
      <c r="BI752" s="234">
        <v>0</v>
      </c>
      <c r="BJ752" s="234">
        <v>0</v>
      </c>
      <c r="BK752" s="234">
        <v>0</v>
      </c>
      <c r="BL752" s="234">
        <v>0</v>
      </c>
      <c r="BM752" s="234">
        <v>0</v>
      </c>
      <c r="BN752" s="234">
        <v>0</v>
      </c>
      <c r="BO752" s="234">
        <v>0</v>
      </c>
      <c r="BP752" s="234"/>
      <c r="BQ752" s="234"/>
      <c r="BR752" s="237" t="s">
        <v>334</v>
      </c>
      <c r="BS752" s="238">
        <v>15</v>
      </c>
      <c r="BU752" s="239">
        <f>M752/4</f>
        <v>0</v>
      </c>
      <c r="BV752" s="239">
        <f t="shared" si="84"/>
        <v>0</v>
      </c>
      <c r="BW752" s="239">
        <f t="shared" si="85"/>
        <v>0</v>
      </c>
      <c r="BX752" s="239">
        <f t="shared" si="86"/>
        <v>0</v>
      </c>
      <c r="CN752" s="238">
        <f t="shared" si="81"/>
        <v>0</v>
      </c>
      <c r="CO752" s="238">
        <f t="shared" si="82"/>
        <v>0</v>
      </c>
    </row>
    <row r="753" spans="1:93" ht="13.95" customHeight="1" x14ac:dyDescent="0.2">
      <c r="A753" s="231">
        <v>2060</v>
      </c>
      <c r="B753" s="232" t="s">
        <v>822</v>
      </c>
      <c r="C753" s="232" t="s">
        <v>1583</v>
      </c>
      <c r="D753" s="232" t="s">
        <v>1584</v>
      </c>
      <c r="E753" s="232" t="s">
        <v>317</v>
      </c>
      <c r="F753" s="231">
        <v>525346</v>
      </c>
      <c r="G753" s="231">
        <v>174649</v>
      </c>
      <c r="H753" s="232" t="s">
        <v>181</v>
      </c>
      <c r="I753" s="233"/>
      <c r="J753" s="231"/>
      <c r="K753" s="231">
        <v>3</v>
      </c>
      <c r="L753" s="231">
        <v>3</v>
      </c>
      <c r="M753" s="231">
        <v>0</v>
      </c>
      <c r="N753" s="231">
        <v>6</v>
      </c>
      <c r="O753" s="231">
        <v>3</v>
      </c>
      <c r="P753" s="234"/>
      <c r="Q753" s="232" t="s">
        <v>1585</v>
      </c>
      <c r="R753" s="234" t="s">
        <v>332</v>
      </c>
      <c r="S753" s="235">
        <v>44071</v>
      </c>
      <c r="T753" s="235">
        <v>44127</v>
      </c>
      <c r="U753" s="234"/>
      <c r="V753" s="232" t="s">
        <v>321</v>
      </c>
      <c r="W753" s="231"/>
      <c r="X753" s="232" t="s">
        <v>322</v>
      </c>
      <c r="Y753" s="232" t="s">
        <v>338</v>
      </c>
      <c r="Z753" s="232" t="s">
        <v>324</v>
      </c>
      <c r="AA753" s="232" t="s">
        <v>411</v>
      </c>
      <c r="AB753" s="236">
        <v>6.0000000000000001E-3</v>
      </c>
      <c r="AC753" s="235"/>
      <c r="AD753" s="234"/>
      <c r="AE753" s="234"/>
      <c r="AF753" s="232" t="s">
        <v>77</v>
      </c>
      <c r="AG753" s="232" t="s">
        <v>350</v>
      </c>
      <c r="AH753" s="234" t="s">
        <v>317</v>
      </c>
      <c r="AJ753" s="234">
        <v>0</v>
      </c>
      <c r="AK753" s="224"/>
      <c r="AL753" s="234">
        <v>0</v>
      </c>
      <c r="AM753" s="224"/>
      <c r="AN753" s="234">
        <v>1</v>
      </c>
      <c r="AO753" s="234">
        <v>2</v>
      </c>
      <c r="AP753" s="234">
        <v>-1</v>
      </c>
      <c r="AQ753" s="234">
        <v>-2</v>
      </c>
      <c r="AR753" s="234">
        <v>0</v>
      </c>
      <c r="AS753" s="234">
        <v>0</v>
      </c>
      <c r="AT753" s="234">
        <v>0</v>
      </c>
      <c r="AU753" s="234">
        <v>1</v>
      </c>
      <c r="AV753" s="234">
        <v>2</v>
      </c>
      <c r="AW753" s="234">
        <v>-1</v>
      </c>
      <c r="AX753" s="234">
        <v>-2</v>
      </c>
      <c r="AY753" s="234">
        <v>0</v>
      </c>
      <c r="AZ753" s="234">
        <v>0</v>
      </c>
      <c r="BA753" s="234">
        <v>0</v>
      </c>
      <c r="BB753" s="234">
        <v>0</v>
      </c>
      <c r="BC753" s="234">
        <v>0</v>
      </c>
      <c r="BD753" s="234">
        <v>0</v>
      </c>
      <c r="BE753" s="234">
        <v>0</v>
      </c>
      <c r="BF753" s="234">
        <v>0</v>
      </c>
      <c r="BG753" s="234">
        <v>0</v>
      </c>
      <c r="BH753" s="234">
        <v>0</v>
      </c>
      <c r="BI753" s="234">
        <v>0</v>
      </c>
      <c r="BJ753" s="234">
        <v>0</v>
      </c>
      <c r="BK753" s="234">
        <v>0</v>
      </c>
      <c r="BL753" s="234">
        <v>0</v>
      </c>
      <c r="BM753" s="234">
        <v>0</v>
      </c>
      <c r="BN753" s="234">
        <v>0</v>
      </c>
      <c r="BO753" s="234">
        <v>0</v>
      </c>
      <c r="BP753" s="234" t="s">
        <v>145</v>
      </c>
      <c r="BQ753" s="234"/>
      <c r="BR753" s="237" t="s">
        <v>327</v>
      </c>
      <c r="BS753" s="238">
        <v>15</v>
      </c>
      <c r="BU753" s="239">
        <f>M753/4</f>
        <v>0</v>
      </c>
      <c r="BV753" s="239">
        <f t="shared" si="84"/>
        <v>0</v>
      </c>
      <c r="BW753" s="239">
        <f t="shared" si="85"/>
        <v>0</v>
      </c>
      <c r="BX753" s="239">
        <f t="shared" si="86"/>
        <v>0</v>
      </c>
      <c r="CN753" s="238">
        <f t="shared" si="81"/>
        <v>0</v>
      </c>
      <c r="CO753" s="238">
        <f t="shared" si="82"/>
        <v>0</v>
      </c>
    </row>
    <row r="754" spans="1:93" ht="13.95" customHeight="1" x14ac:dyDescent="0.2">
      <c r="A754" s="231">
        <v>7134</v>
      </c>
      <c r="B754" s="232" t="s">
        <v>822</v>
      </c>
      <c r="C754" s="232" t="s">
        <v>2244</v>
      </c>
      <c r="D754" s="232" t="s">
        <v>2245</v>
      </c>
      <c r="E754" s="232" t="s">
        <v>317</v>
      </c>
      <c r="F754" s="231">
        <v>522411</v>
      </c>
      <c r="G754" s="231">
        <v>173805</v>
      </c>
      <c r="H754" s="232" t="s">
        <v>170</v>
      </c>
      <c r="I754" s="233"/>
      <c r="J754" s="231"/>
      <c r="K754" s="231">
        <v>0</v>
      </c>
      <c r="L754" s="231">
        <v>1</v>
      </c>
      <c r="M754" s="231">
        <v>1</v>
      </c>
      <c r="N754" s="231">
        <v>1</v>
      </c>
      <c r="O754" s="231">
        <v>1</v>
      </c>
      <c r="P754" s="234"/>
      <c r="Q754" s="232" t="s">
        <v>2246</v>
      </c>
      <c r="R754" s="234" t="s">
        <v>332</v>
      </c>
      <c r="S754" s="235">
        <v>43545</v>
      </c>
      <c r="T754" s="235">
        <v>43752</v>
      </c>
      <c r="U754" s="234"/>
      <c r="V754" s="232" t="s">
        <v>321</v>
      </c>
      <c r="W754" s="231"/>
      <c r="X754" s="232" t="s">
        <v>322</v>
      </c>
      <c r="Y754" s="232" t="s">
        <v>323</v>
      </c>
      <c r="Z754" s="232" t="s">
        <v>324</v>
      </c>
      <c r="AA754" s="232" t="s">
        <v>349</v>
      </c>
      <c r="AB754" s="236">
        <v>6.0000000000000001E-3</v>
      </c>
      <c r="AC754" s="235"/>
      <c r="AD754" s="234"/>
      <c r="AE754" s="234"/>
      <c r="AF754" s="232" t="s">
        <v>77</v>
      </c>
      <c r="AG754" s="232" t="s">
        <v>350</v>
      </c>
      <c r="AH754" s="234" t="s">
        <v>317</v>
      </c>
      <c r="AJ754" s="234">
        <v>0</v>
      </c>
      <c r="AK754" s="224"/>
      <c r="AL754" s="234">
        <v>0</v>
      </c>
      <c r="AM754" s="224"/>
      <c r="AN754" s="234">
        <v>0</v>
      </c>
      <c r="AO754" s="234">
        <v>1</v>
      </c>
      <c r="AP754" s="234">
        <v>0</v>
      </c>
      <c r="AQ754" s="234">
        <v>0</v>
      </c>
      <c r="AR754" s="234">
        <v>0</v>
      </c>
      <c r="AS754" s="234">
        <v>0</v>
      </c>
      <c r="AT754" s="234">
        <v>0</v>
      </c>
      <c r="AU754" s="234">
        <v>0</v>
      </c>
      <c r="AV754" s="234">
        <v>0</v>
      </c>
      <c r="AW754" s="234">
        <v>0</v>
      </c>
      <c r="AX754" s="234">
        <v>0</v>
      </c>
      <c r="AY754" s="234">
        <v>0</v>
      </c>
      <c r="AZ754" s="234">
        <v>0</v>
      </c>
      <c r="BA754" s="234">
        <v>0</v>
      </c>
      <c r="BB754" s="234">
        <v>0</v>
      </c>
      <c r="BC754" s="234">
        <v>1</v>
      </c>
      <c r="BD754" s="234">
        <v>0</v>
      </c>
      <c r="BE754" s="234">
        <v>0</v>
      </c>
      <c r="BF754" s="234">
        <v>0</v>
      </c>
      <c r="BG754" s="234">
        <v>0</v>
      </c>
      <c r="BH754" s="234">
        <v>0</v>
      </c>
      <c r="BI754" s="234">
        <v>0</v>
      </c>
      <c r="BJ754" s="234">
        <v>0</v>
      </c>
      <c r="BK754" s="234">
        <v>0</v>
      </c>
      <c r="BL754" s="234">
        <v>0</v>
      </c>
      <c r="BM754" s="234">
        <v>0</v>
      </c>
      <c r="BN754" s="234">
        <v>0</v>
      </c>
      <c r="BO754" s="234">
        <v>0</v>
      </c>
      <c r="BP754" s="234"/>
      <c r="BQ754" s="234"/>
      <c r="BR754" s="237" t="s">
        <v>153</v>
      </c>
      <c r="BS754" s="238">
        <v>7</v>
      </c>
      <c r="BV754" s="239">
        <f t="shared" si="84"/>
        <v>0.25</v>
      </c>
      <c r="BW754" s="239">
        <f t="shared" si="85"/>
        <v>0.25</v>
      </c>
      <c r="BX754" s="239">
        <f t="shared" si="86"/>
        <v>0.25</v>
      </c>
      <c r="BY754" s="239">
        <f>M754/4</f>
        <v>0.25</v>
      </c>
      <c r="CN754" s="238">
        <f t="shared" si="81"/>
        <v>1</v>
      </c>
      <c r="CO754" s="238">
        <f t="shared" si="82"/>
        <v>1</v>
      </c>
    </row>
    <row r="755" spans="1:93" ht="13.95" customHeight="1" x14ac:dyDescent="0.2">
      <c r="A755" s="231">
        <v>2274</v>
      </c>
      <c r="B755" s="232" t="s">
        <v>822</v>
      </c>
      <c r="C755" s="232" t="s">
        <v>2247</v>
      </c>
      <c r="D755" s="232" t="s">
        <v>2248</v>
      </c>
      <c r="E755" s="232" t="s">
        <v>317</v>
      </c>
      <c r="F755" s="231">
        <v>527891</v>
      </c>
      <c r="G755" s="231">
        <v>171427</v>
      </c>
      <c r="H755" s="232" t="s">
        <v>176</v>
      </c>
      <c r="I755" s="233"/>
      <c r="J755" s="231"/>
      <c r="K755" s="231">
        <v>0</v>
      </c>
      <c r="L755" s="231">
        <v>1</v>
      </c>
      <c r="M755" s="231">
        <v>1</v>
      </c>
      <c r="N755" s="231">
        <v>1</v>
      </c>
      <c r="O755" s="231">
        <v>1</v>
      </c>
      <c r="P755" s="234"/>
      <c r="Q755" s="232" t="s">
        <v>2249</v>
      </c>
      <c r="R755" s="234" t="s">
        <v>332</v>
      </c>
      <c r="S755" s="235">
        <v>43606</v>
      </c>
      <c r="T755" s="235">
        <v>43662</v>
      </c>
      <c r="U755" s="234"/>
      <c r="V755" s="232" t="s">
        <v>321</v>
      </c>
      <c r="W755" s="231"/>
      <c r="X755" s="232" t="s">
        <v>322</v>
      </c>
      <c r="Y755" s="232" t="s">
        <v>323</v>
      </c>
      <c r="Z755" s="232" t="s">
        <v>324</v>
      </c>
      <c r="AA755" s="232" t="s">
        <v>349</v>
      </c>
      <c r="AB755" s="236">
        <v>1.7999999999999999E-2</v>
      </c>
      <c r="AC755" s="235"/>
      <c r="AD755" s="234"/>
      <c r="AE755" s="234"/>
      <c r="AF755" s="232" t="s">
        <v>77</v>
      </c>
      <c r="AG755" s="232" t="s">
        <v>350</v>
      </c>
      <c r="AH755" s="234" t="s">
        <v>317</v>
      </c>
      <c r="AJ755" s="234">
        <v>0</v>
      </c>
      <c r="AK755" s="224"/>
      <c r="AL755" s="234">
        <v>0</v>
      </c>
      <c r="AM755" s="224"/>
      <c r="AN755" s="234">
        <v>0</v>
      </c>
      <c r="AO755" s="234">
        <v>0</v>
      </c>
      <c r="AP755" s="234">
        <v>0</v>
      </c>
      <c r="AQ755" s="234">
        <v>1</v>
      </c>
      <c r="AR755" s="234">
        <v>0</v>
      </c>
      <c r="AS755" s="234">
        <v>0</v>
      </c>
      <c r="AT755" s="234">
        <v>0</v>
      </c>
      <c r="AU755" s="234">
        <v>0</v>
      </c>
      <c r="AV755" s="234">
        <v>0</v>
      </c>
      <c r="AW755" s="234">
        <v>0</v>
      </c>
      <c r="AX755" s="234">
        <v>0</v>
      </c>
      <c r="AY755" s="234">
        <v>0</v>
      </c>
      <c r="AZ755" s="234">
        <v>0</v>
      </c>
      <c r="BA755" s="234">
        <v>0</v>
      </c>
      <c r="BB755" s="234">
        <v>0</v>
      </c>
      <c r="BC755" s="234">
        <v>0</v>
      </c>
      <c r="BD755" s="234">
        <v>0</v>
      </c>
      <c r="BE755" s="234">
        <v>1</v>
      </c>
      <c r="BF755" s="234">
        <v>0</v>
      </c>
      <c r="BG755" s="234">
        <v>0</v>
      </c>
      <c r="BH755" s="234">
        <v>0</v>
      </c>
      <c r="BI755" s="234">
        <v>0</v>
      </c>
      <c r="BJ755" s="234">
        <v>0</v>
      </c>
      <c r="BK755" s="234">
        <v>0</v>
      </c>
      <c r="BL755" s="234">
        <v>0</v>
      </c>
      <c r="BM755" s="234">
        <v>0</v>
      </c>
      <c r="BN755" s="234">
        <v>0</v>
      </c>
      <c r="BO755" s="234">
        <v>0</v>
      </c>
      <c r="BP755" s="234"/>
      <c r="BQ755" s="234"/>
      <c r="BR755" s="237" t="s">
        <v>334</v>
      </c>
      <c r="BS755" s="238">
        <v>7</v>
      </c>
      <c r="BV755" s="239">
        <f t="shared" si="84"/>
        <v>0.25</v>
      </c>
      <c r="BW755" s="239">
        <f t="shared" si="85"/>
        <v>0.25</v>
      </c>
      <c r="BX755" s="239">
        <f t="shared" si="86"/>
        <v>0.25</v>
      </c>
      <c r="BY755" s="239">
        <f>M755/4</f>
        <v>0.25</v>
      </c>
      <c r="CN755" s="238">
        <f t="shared" si="81"/>
        <v>1</v>
      </c>
      <c r="CO755" s="238">
        <f t="shared" si="82"/>
        <v>1</v>
      </c>
    </row>
    <row r="756" spans="1:93" ht="13.95" customHeight="1" x14ac:dyDescent="0.2">
      <c r="A756" s="231">
        <v>5699</v>
      </c>
      <c r="B756" s="232" t="s">
        <v>822</v>
      </c>
      <c r="C756" s="232" t="s">
        <v>2250</v>
      </c>
      <c r="D756" s="232" t="s">
        <v>2251</v>
      </c>
      <c r="E756" s="232" t="s">
        <v>317</v>
      </c>
      <c r="F756" s="231">
        <v>523902</v>
      </c>
      <c r="G756" s="231">
        <v>174030</v>
      </c>
      <c r="H756" s="232" t="s">
        <v>164</v>
      </c>
      <c r="I756" s="233"/>
      <c r="J756" s="231"/>
      <c r="K756" s="231">
        <v>0</v>
      </c>
      <c r="L756" s="231">
        <v>1</v>
      </c>
      <c r="M756" s="231">
        <v>1</v>
      </c>
      <c r="N756" s="231">
        <v>1</v>
      </c>
      <c r="O756" s="231">
        <v>1</v>
      </c>
      <c r="P756" s="234"/>
      <c r="Q756" s="232" t="s">
        <v>2252</v>
      </c>
      <c r="R756" s="234" t="s">
        <v>332</v>
      </c>
      <c r="S756" s="235">
        <v>43663</v>
      </c>
      <c r="T756" s="235">
        <v>43742</v>
      </c>
      <c r="U756" s="234"/>
      <c r="V756" s="232" t="s">
        <v>321</v>
      </c>
      <c r="W756" s="231"/>
      <c r="X756" s="232" t="s">
        <v>322</v>
      </c>
      <c r="Y756" s="232" t="s">
        <v>323</v>
      </c>
      <c r="Z756" s="232" t="s">
        <v>324</v>
      </c>
      <c r="AA756" s="232" t="s">
        <v>349</v>
      </c>
      <c r="AB756" s="236">
        <v>1.0999999999999999E-2</v>
      </c>
      <c r="AC756" s="235"/>
      <c r="AD756" s="234"/>
      <c r="AE756" s="234"/>
      <c r="AF756" s="232" t="s">
        <v>77</v>
      </c>
      <c r="AG756" s="232" t="s">
        <v>350</v>
      </c>
      <c r="AH756" s="234" t="s">
        <v>317</v>
      </c>
      <c r="AJ756" s="234">
        <v>0</v>
      </c>
      <c r="AK756" s="224"/>
      <c r="AL756" s="234">
        <v>0</v>
      </c>
      <c r="AM756" s="224"/>
      <c r="AN756" s="234">
        <v>0</v>
      </c>
      <c r="AO756" s="234">
        <v>0</v>
      </c>
      <c r="AP756" s="234">
        <v>1</v>
      </c>
      <c r="AQ756" s="234">
        <v>0</v>
      </c>
      <c r="AR756" s="234">
        <v>0</v>
      </c>
      <c r="AS756" s="234">
        <v>0</v>
      </c>
      <c r="AT756" s="234">
        <v>0</v>
      </c>
      <c r="AU756" s="234">
        <v>0</v>
      </c>
      <c r="AV756" s="234">
        <v>0</v>
      </c>
      <c r="AW756" s="234">
        <v>0</v>
      </c>
      <c r="AX756" s="234">
        <v>0</v>
      </c>
      <c r="AY756" s="234">
        <v>0</v>
      </c>
      <c r="AZ756" s="234">
        <v>0</v>
      </c>
      <c r="BA756" s="234">
        <v>0</v>
      </c>
      <c r="BB756" s="234">
        <v>0</v>
      </c>
      <c r="BC756" s="234">
        <v>0</v>
      </c>
      <c r="BD756" s="234">
        <v>1</v>
      </c>
      <c r="BE756" s="234">
        <v>0</v>
      </c>
      <c r="BF756" s="234">
        <v>0</v>
      </c>
      <c r="BG756" s="234">
        <v>0</v>
      </c>
      <c r="BH756" s="234">
        <v>0</v>
      </c>
      <c r="BI756" s="234">
        <v>0</v>
      </c>
      <c r="BJ756" s="234">
        <v>0</v>
      </c>
      <c r="BK756" s="234">
        <v>0</v>
      </c>
      <c r="BL756" s="234">
        <v>0</v>
      </c>
      <c r="BM756" s="234">
        <v>0</v>
      </c>
      <c r="BN756" s="234">
        <v>0</v>
      </c>
      <c r="BO756" s="234">
        <v>0</v>
      </c>
      <c r="BP756" s="234"/>
      <c r="BQ756" s="234"/>
      <c r="BR756" s="237" t="s">
        <v>334</v>
      </c>
      <c r="BS756" s="238">
        <v>7</v>
      </c>
      <c r="BV756" s="239">
        <f t="shared" si="84"/>
        <v>0.25</v>
      </c>
      <c r="BW756" s="239">
        <f t="shared" si="85"/>
        <v>0.25</v>
      </c>
      <c r="BX756" s="239">
        <f t="shared" si="86"/>
        <v>0.25</v>
      </c>
      <c r="BY756" s="239">
        <f>M756/4</f>
        <v>0.25</v>
      </c>
      <c r="CN756" s="238">
        <f t="shared" si="81"/>
        <v>1</v>
      </c>
      <c r="CO756" s="238">
        <f t="shared" si="82"/>
        <v>1</v>
      </c>
    </row>
    <row r="757" spans="1:93" ht="13.95" customHeight="1" x14ac:dyDescent="0.2">
      <c r="A757" s="231">
        <v>5995</v>
      </c>
      <c r="B757" s="232" t="s">
        <v>822</v>
      </c>
      <c r="C757" s="232" t="s">
        <v>2253</v>
      </c>
      <c r="D757" s="232" t="s">
        <v>2254</v>
      </c>
      <c r="E757" s="232" t="s">
        <v>317</v>
      </c>
      <c r="F757" s="231">
        <v>521248</v>
      </c>
      <c r="G757" s="231">
        <v>174669</v>
      </c>
      <c r="H757" s="232" t="s">
        <v>170</v>
      </c>
      <c r="I757" s="233"/>
      <c r="J757" s="231"/>
      <c r="K757" s="231">
        <v>1</v>
      </c>
      <c r="L757" s="231">
        <v>1</v>
      </c>
      <c r="M757" s="231">
        <v>0</v>
      </c>
      <c r="N757" s="231">
        <v>1</v>
      </c>
      <c r="O757" s="231">
        <v>0</v>
      </c>
      <c r="P757" s="234"/>
      <c r="Q757" s="232" t="s">
        <v>2255</v>
      </c>
      <c r="R757" s="234" t="s">
        <v>332</v>
      </c>
      <c r="S757" s="235">
        <v>43686</v>
      </c>
      <c r="T757" s="235">
        <v>43734</v>
      </c>
      <c r="U757" s="234"/>
      <c r="V757" s="232" t="s">
        <v>321</v>
      </c>
      <c r="W757" s="231"/>
      <c r="X757" s="232" t="s">
        <v>322</v>
      </c>
      <c r="Y757" s="232" t="s">
        <v>323</v>
      </c>
      <c r="Z757" s="232" t="s">
        <v>324</v>
      </c>
      <c r="AA757" s="232" t="s">
        <v>349</v>
      </c>
      <c r="AB757" s="236">
        <v>0.123</v>
      </c>
      <c r="AC757" s="235"/>
      <c r="AD757" s="234"/>
      <c r="AE757" s="234"/>
      <c r="AF757" s="232" t="s">
        <v>77</v>
      </c>
      <c r="AG757" s="232" t="s">
        <v>350</v>
      </c>
      <c r="AH757" s="234" t="s">
        <v>317</v>
      </c>
      <c r="AJ757" s="234">
        <v>0</v>
      </c>
      <c r="AK757" s="224"/>
      <c r="AL757" s="234">
        <v>0</v>
      </c>
      <c r="AM757" s="224"/>
      <c r="AN757" s="234">
        <v>0</v>
      </c>
      <c r="AO757" s="234">
        <v>0</v>
      </c>
      <c r="AP757" s="234">
        <v>0</v>
      </c>
      <c r="AQ757" s="234">
        <v>0</v>
      </c>
      <c r="AR757" s="234">
        <v>0</v>
      </c>
      <c r="AS757" s="234">
        <v>0</v>
      </c>
      <c r="AT757" s="234">
        <v>0</v>
      </c>
      <c r="AU757" s="234">
        <v>0</v>
      </c>
      <c r="AV757" s="234">
        <v>0</v>
      </c>
      <c r="AW757" s="234">
        <v>0</v>
      </c>
      <c r="AX757" s="234">
        <v>0</v>
      </c>
      <c r="AY757" s="234">
        <v>0</v>
      </c>
      <c r="AZ757" s="234">
        <v>0</v>
      </c>
      <c r="BA757" s="234">
        <v>0</v>
      </c>
      <c r="BB757" s="234">
        <v>0</v>
      </c>
      <c r="BC757" s="234">
        <v>0</v>
      </c>
      <c r="BD757" s="234">
        <v>0</v>
      </c>
      <c r="BE757" s="234">
        <v>0</v>
      </c>
      <c r="BF757" s="234">
        <v>0</v>
      </c>
      <c r="BG757" s="234">
        <v>0</v>
      </c>
      <c r="BH757" s="234">
        <v>0</v>
      </c>
      <c r="BI757" s="234">
        <v>0</v>
      </c>
      <c r="BJ757" s="234">
        <v>0</v>
      </c>
      <c r="BK757" s="234">
        <v>0</v>
      </c>
      <c r="BL757" s="234">
        <v>0</v>
      </c>
      <c r="BM757" s="234">
        <v>0</v>
      </c>
      <c r="BN757" s="234">
        <v>0</v>
      </c>
      <c r="BO757" s="234">
        <v>0</v>
      </c>
      <c r="BP757" s="234"/>
      <c r="BQ757" s="234"/>
      <c r="BR757" s="237" t="s">
        <v>334</v>
      </c>
      <c r="BS757" s="238">
        <v>7</v>
      </c>
      <c r="BV757" s="239">
        <f t="shared" si="84"/>
        <v>0</v>
      </c>
      <c r="BW757" s="239">
        <f t="shared" si="85"/>
        <v>0</v>
      </c>
      <c r="BX757" s="239">
        <f t="shared" si="86"/>
        <v>0</v>
      </c>
      <c r="BY757" s="239">
        <f>M757/4</f>
        <v>0</v>
      </c>
      <c r="CN757" s="238">
        <f t="shared" ref="CN757:CN820" si="88">SUM(BU757:BY757)</f>
        <v>0</v>
      </c>
      <c r="CO757" s="238">
        <f t="shared" ref="CO757:CO820" si="89">SUM(BU757:CD757)</f>
        <v>0</v>
      </c>
    </row>
    <row r="758" spans="1:93" ht="13.95" customHeight="1" x14ac:dyDescent="0.2">
      <c r="A758" s="231">
        <v>5353</v>
      </c>
      <c r="B758" s="232" t="s">
        <v>822</v>
      </c>
      <c r="C758" s="232" t="s">
        <v>2256</v>
      </c>
      <c r="D758" s="232" t="s">
        <v>2257</v>
      </c>
      <c r="E758" s="232" t="s">
        <v>317</v>
      </c>
      <c r="F758" s="231">
        <v>527084</v>
      </c>
      <c r="G758" s="231">
        <v>170956</v>
      </c>
      <c r="H758" s="232" t="s">
        <v>177</v>
      </c>
      <c r="I758" s="233"/>
      <c r="J758" s="231"/>
      <c r="K758" s="231">
        <v>1</v>
      </c>
      <c r="L758" s="231">
        <v>1</v>
      </c>
      <c r="M758" s="231">
        <v>0</v>
      </c>
      <c r="N758" s="231">
        <v>1</v>
      </c>
      <c r="O758" s="231">
        <v>0</v>
      </c>
      <c r="P758" s="234"/>
      <c r="Q758" s="232" t="s">
        <v>2258</v>
      </c>
      <c r="R758" s="234" t="s">
        <v>332</v>
      </c>
      <c r="S758" s="235">
        <v>44412</v>
      </c>
      <c r="T758" s="235">
        <v>44503</v>
      </c>
      <c r="U758" s="234"/>
      <c r="V758" s="232" t="s">
        <v>321</v>
      </c>
      <c r="W758" s="231"/>
      <c r="X758" s="232" t="s">
        <v>322</v>
      </c>
      <c r="Y758" s="232" t="s">
        <v>338</v>
      </c>
      <c r="Z758" s="232" t="s">
        <v>324</v>
      </c>
      <c r="AA758" s="232" t="s">
        <v>25</v>
      </c>
      <c r="AB758" s="236">
        <v>1.17E-2</v>
      </c>
      <c r="AC758" s="235"/>
      <c r="AD758" s="234"/>
      <c r="AE758" s="234"/>
      <c r="AF758" s="232" t="s">
        <v>77</v>
      </c>
      <c r="AG758" s="232" t="s">
        <v>350</v>
      </c>
      <c r="AH758" s="234" t="s">
        <v>317</v>
      </c>
      <c r="AJ758" s="234">
        <v>0</v>
      </c>
      <c r="AK758" s="224"/>
      <c r="AL758" s="234">
        <v>0</v>
      </c>
      <c r="AM758" s="224"/>
      <c r="AN758" s="234">
        <v>0</v>
      </c>
      <c r="AO758" s="234">
        <v>0</v>
      </c>
      <c r="AP758" s="234">
        <v>-1</v>
      </c>
      <c r="AQ758" s="234">
        <v>1</v>
      </c>
      <c r="AR758" s="234">
        <v>0</v>
      </c>
      <c r="AS758" s="234">
        <v>0</v>
      </c>
      <c r="AT758" s="234">
        <v>0</v>
      </c>
      <c r="AU758" s="234">
        <v>0</v>
      </c>
      <c r="AV758" s="234">
        <v>0</v>
      </c>
      <c r="AW758" s="234">
        <v>-1</v>
      </c>
      <c r="AX758" s="234">
        <v>0</v>
      </c>
      <c r="AY758" s="234">
        <v>0</v>
      </c>
      <c r="AZ758" s="234">
        <v>0</v>
      </c>
      <c r="BA758" s="234">
        <v>0</v>
      </c>
      <c r="BB758" s="234">
        <v>0</v>
      </c>
      <c r="BC758" s="234">
        <v>0</v>
      </c>
      <c r="BD758" s="234">
        <v>0</v>
      </c>
      <c r="BE758" s="234">
        <v>1</v>
      </c>
      <c r="BF758" s="234">
        <v>0</v>
      </c>
      <c r="BG758" s="234">
        <v>0</v>
      </c>
      <c r="BH758" s="234">
        <v>0</v>
      </c>
      <c r="BI758" s="234">
        <v>0</v>
      </c>
      <c r="BJ758" s="234">
        <v>0</v>
      </c>
      <c r="BK758" s="234">
        <v>0</v>
      </c>
      <c r="BL758" s="234">
        <v>0</v>
      </c>
      <c r="BM758" s="234">
        <v>0</v>
      </c>
      <c r="BN758" s="234">
        <v>0</v>
      </c>
      <c r="BO758" s="234">
        <v>0</v>
      </c>
      <c r="BP758" s="234"/>
      <c r="BQ758" s="234"/>
      <c r="BR758" s="237" t="s">
        <v>334</v>
      </c>
      <c r="BS758" s="238">
        <v>15</v>
      </c>
      <c r="BU758" s="239">
        <f>M758/4</f>
        <v>0</v>
      </c>
      <c r="BV758" s="239">
        <f t="shared" si="84"/>
        <v>0</v>
      </c>
      <c r="BW758" s="239">
        <f t="shared" si="85"/>
        <v>0</v>
      </c>
      <c r="BX758" s="239">
        <f t="shared" si="86"/>
        <v>0</v>
      </c>
      <c r="CN758" s="238">
        <f t="shared" si="88"/>
        <v>0</v>
      </c>
      <c r="CO758" s="238">
        <f t="shared" si="89"/>
        <v>0</v>
      </c>
    </row>
    <row r="759" spans="1:93" ht="13.95" customHeight="1" x14ac:dyDescent="0.2">
      <c r="A759" s="231">
        <v>7300</v>
      </c>
      <c r="B759" s="232" t="s">
        <v>822</v>
      </c>
      <c r="C759" s="232" t="s">
        <v>2259</v>
      </c>
      <c r="D759" s="232" t="s">
        <v>2260</v>
      </c>
      <c r="E759" s="232" t="s">
        <v>317</v>
      </c>
      <c r="F759" s="231">
        <v>523807</v>
      </c>
      <c r="G759" s="231">
        <v>172574</v>
      </c>
      <c r="H759" s="232" t="s">
        <v>182</v>
      </c>
      <c r="I759" s="233"/>
      <c r="J759" s="231"/>
      <c r="K759" s="231">
        <v>0</v>
      </c>
      <c r="L759" s="231">
        <v>1</v>
      </c>
      <c r="M759" s="231">
        <v>1</v>
      </c>
      <c r="N759" s="231">
        <v>1</v>
      </c>
      <c r="O759" s="231">
        <v>1</v>
      </c>
      <c r="P759" s="234"/>
      <c r="Q759" s="232" t="s">
        <v>2261</v>
      </c>
      <c r="R759" s="234" t="s">
        <v>332</v>
      </c>
      <c r="S759" s="235">
        <v>43789</v>
      </c>
      <c r="T759" s="235">
        <v>44124</v>
      </c>
      <c r="U759" s="234"/>
      <c r="V759" s="232" t="s">
        <v>321</v>
      </c>
      <c r="W759" s="231"/>
      <c r="X759" s="232" t="s">
        <v>322</v>
      </c>
      <c r="Y759" s="232" t="s">
        <v>323</v>
      </c>
      <c r="Z759" s="232" t="s">
        <v>324</v>
      </c>
      <c r="AA759" s="232" t="s">
        <v>349</v>
      </c>
      <c r="AB759" s="236">
        <v>0.01</v>
      </c>
      <c r="AC759" s="235"/>
      <c r="AD759" s="234"/>
      <c r="AE759" s="234"/>
      <c r="AF759" s="232" t="s">
        <v>77</v>
      </c>
      <c r="AG759" s="232" t="s">
        <v>350</v>
      </c>
      <c r="AH759" s="234" t="s">
        <v>317</v>
      </c>
      <c r="AJ759" s="234">
        <v>0</v>
      </c>
      <c r="AK759" s="224"/>
      <c r="AL759" s="234">
        <v>0</v>
      </c>
      <c r="AM759" s="224"/>
      <c r="AN759" s="234">
        <v>0</v>
      </c>
      <c r="AO759" s="234">
        <v>0</v>
      </c>
      <c r="AP759" s="234">
        <v>0</v>
      </c>
      <c r="AQ759" s="234">
        <v>0</v>
      </c>
      <c r="AR759" s="234">
        <v>0</v>
      </c>
      <c r="AS759" s="234">
        <v>1</v>
      </c>
      <c r="AT759" s="234">
        <v>0</v>
      </c>
      <c r="AU759" s="234">
        <v>0</v>
      </c>
      <c r="AV759" s="234">
        <v>0</v>
      </c>
      <c r="AW759" s="234">
        <v>0</v>
      </c>
      <c r="AX759" s="234">
        <v>0</v>
      </c>
      <c r="AY759" s="234">
        <v>0</v>
      </c>
      <c r="AZ759" s="234">
        <v>0</v>
      </c>
      <c r="BA759" s="234">
        <v>0</v>
      </c>
      <c r="BB759" s="234">
        <v>0</v>
      </c>
      <c r="BC759" s="234">
        <v>0</v>
      </c>
      <c r="BD759" s="234">
        <v>0</v>
      </c>
      <c r="BE759" s="234">
        <v>0</v>
      </c>
      <c r="BF759" s="234">
        <v>0</v>
      </c>
      <c r="BG759" s="234">
        <v>1</v>
      </c>
      <c r="BH759" s="234">
        <v>0</v>
      </c>
      <c r="BI759" s="234">
        <v>0</v>
      </c>
      <c r="BJ759" s="234">
        <v>0</v>
      </c>
      <c r="BK759" s="234">
        <v>0</v>
      </c>
      <c r="BL759" s="234">
        <v>0</v>
      </c>
      <c r="BM759" s="234">
        <v>0</v>
      </c>
      <c r="BN759" s="234">
        <v>0</v>
      </c>
      <c r="BO759" s="234">
        <v>0</v>
      </c>
      <c r="BP759" s="234"/>
      <c r="BQ759" s="234"/>
      <c r="BR759" s="237" t="s">
        <v>334</v>
      </c>
      <c r="BS759" s="238">
        <v>7</v>
      </c>
      <c r="BV759" s="239">
        <f t="shared" si="84"/>
        <v>0.25</v>
      </c>
      <c r="BW759" s="239">
        <f t="shared" si="85"/>
        <v>0.25</v>
      </c>
      <c r="BX759" s="239">
        <f t="shared" si="86"/>
        <v>0.25</v>
      </c>
      <c r="BY759" s="239">
        <f>M759/4</f>
        <v>0.25</v>
      </c>
      <c r="CN759" s="238">
        <f t="shared" si="88"/>
        <v>1</v>
      </c>
      <c r="CO759" s="238">
        <f t="shared" si="89"/>
        <v>1</v>
      </c>
    </row>
    <row r="760" spans="1:93" ht="13.95" customHeight="1" x14ac:dyDescent="0.2">
      <c r="A760" s="231">
        <v>211</v>
      </c>
      <c r="B760" s="232" t="s">
        <v>822</v>
      </c>
      <c r="C760" s="232" t="s">
        <v>2262</v>
      </c>
      <c r="D760" s="232" t="s">
        <v>2263</v>
      </c>
      <c r="E760" s="232" t="s">
        <v>317</v>
      </c>
      <c r="F760" s="231">
        <v>527282</v>
      </c>
      <c r="G760" s="231">
        <v>176235</v>
      </c>
      <c r="H760" s="232" t="s">
        <v>165</v>
      </c>
      <c r="I760" s="233"/>
      <c r="J760" s="231"/>
      <c r="K760" s="231">
        <v>0</v>
      </c>
      <c r="L760" s="231">
        <v>1</v>
      </c>
      <c r="M760" s="231">
        <v>1</v>
      </c>
      <c r="N760" s="231">
        <v>1</v>
      </c>
      <c r="O760" s="231">
        <v>1</v>
      </c>
      <c r="P760" s="234"/>
      <c r="Q760" s="232" t="s">
        <v>2264</v>
      </c>
      <c r="R760" s="234" t="s">
        <v>332</v>
      </c>
      <c r="S760" s="235">
        <v>43804</v>
      </c>
      <c r="T760" s="235">
        <v>43837</v>
      </c>
      <c r="U760" s="234"/>
      <c r="V760" s="232" t="s">
        <v>321</v>
      </c>
      <c r="W760" s="231"/>
      <c r="X760" s="232" t="s">
        <v>322</v>
      </c>
      <c r="Y760" s="232" t="s">
        <v>323</v>
      </c>
      <c r="Z760" s="232" t="s">
        <v>324</v>
      </c>
      <c r="AA760" s="232" t="s">
        <v>349</v>
      </c>
      <c r="AB760" s="236">
        <v>0.107</v>
      </c>
      <c r="AC760" s="235"/>
      <c r="AD760" s="234"/>
      <c r="AE760" s="234"/>
      <c r="AF760" s="232" t="s">
        <v>77</v>
      </c>
      <c r="AG760" s="232" t="s">
        <v>350</v>
      </c>
      <c r="AH760" s="234" t="s">
        <v>317</v>
      </c>
      <c r="AJ760" s="234">
        <v>0</v>
      </c>
      <c r="AK760" s="224"/>
      <c r="AL760" s="234">
        <v>0</v>
      </c>
      <c r="AM760" s="224"/>
      <c r="AN760" s="234">
        <v>0</v>
      </c>
      <c r="AO760" s="234">
        <v>0</v>
      </c>
      <c r="AP760" s="234">
        <v>0</v>
      </c>
      <c r="AQ760" s="234">
        <v>1</v>
      </c>
      <c r="AR760" s="234">
        <v>0</v>
      </c>
      <c r="AS760" s="234">
        <v>0</v>
      </c>
      <c r="AT760" s="234">
        <v>0</v>
      </c>
      <c r="AU760" s="234">
        <v>0</v>
      </c>
      <c r="AV760" s="234">
        <v>0</v>
      </c>
      <c r="AW760" s="234">
        <v>0</v>
      </c>
      <c r="AX760" s="234">
        <v>0</v>
      </c>
      <c r="AY760" s="234">
        <v>0</v>
      </c>
      <c r="AZ760" s="234">
        <v>0</v>
      </c>
      <c r="BA760" s="234">
        <v>0</v>
      </c>
      <c r="BB760" s="234">
        <v>0</v>
      </c>
      <c r="BC760" s="234">
        <v>0</v>
      </c>
      <c r="BD760" s="234">
        <v>0</v>
      </c>
      <c r="BE760" s="234">
        <v>1</v>
      </c>
      <c r="BF760" s="234">
        <v>0</v>
      </c>
      <c r="BG760" s="234">
        <v>0</v>
      </c>
      <c r="BH760" s="234">
        <v>0</v>
      </c>
      <c r="BI760" s="234">
        <v>0</v>
      </c>
      <c r="BJ760" s="234">
        <v>0</v>
      </c>
      <c r="BK760" s="234">
        <v>0</v>
      </c>
      <c r="BL760" s="234">
        <v>0</v>
      </c>
      <c r="BM760" s="234">
        <v>0</v>
      </c>
      <c r="BN760" s="234">
        <v>0</v>
      </c>
      <c r="BO760" s="234">
        <v>0</v>
      </c>
      <c r="BP760" s="234"/>
      <c r="BQ760" s="234"/>
      <c r="BR760" s="237" t="s">
        <v>334</v>
      </c>
      <c r="BS760" s="238">
        <v>7</v>
      </c>
      <c r="BV760" s="239">
        <f t="shared" si="84"/>
        <v>0.25</v>
      </c>
      <c r="BW760" s="239">
        <f t="shared" si="85"/>
        <v>0.25</v>
      </c>
      <c r="BX760" s="239">
        <f t="shared" si="86"/>
        <v>0.25</v>
      </c>
      <c r="BY760" s="239">
        <f>M760/4</f>
        <v>0.25</v>
      </c>
      <c r="CN760" s="238">
        <f t="shared" si="88"/>
        <v>1</v>
      </c>
      <c r="CO760" s="238">
        <f t="shared" si="89"/>
        <v>1</v>
      </c>
    </row>
    <row r="761" spans="1:93" ht="13.95" customHeight="1" x14ac:dyDescent="0.2">
      <c r="A761" s="231">
        <v>3268</v>
      </c>
      <c r="B761" s="232" t="s">
        <v>822</v>
      </c>
      <c r="C761" s="232" t="s">
        <v>2265</v>
      </c>
      <c r="D761" s="232" t="s">
        <v>2266</v>
      </c>
      <c r="E761" s="232" t="s">
        <v>317</v>
      </c>
      <c r="F761" s="231">
        <v>528819</v>
      </c>
      <c r="G761" s="231">
        <v>171232</v>
      </c>
      <c r="H761" s="232" t="s">
        <v>166</v>
      </c>
      <c r="I761" s="233"/>
      <c r="J761" s="231"/>
      <c r="K761" s="231">
        <v>0</v>
      </c>
      <c r="L761" s="231">
        <v>1</v>
      </c>
      <c r="M761" s="231">
        <v>1</v>
      </c>
      <c r="N761" s="231">
        <v>1</v>
      </c>
      <c r="O761" s="231">
        <v>1</v>
      </c>
      <c r="P761" s="234"/>
      <c r="Q761" s="232" t="s">
        <v>2267</v>
      </c>
      <c r="R761" s="234" t="s">
        <v>332</v>
      </c>
      <c r="S761" s="235">
        <v>43845</v>
      </c>
      <c r="T761" s="235">
        <v>43871</v>
      </c>
      <c r="U761" s="234"/>
      <c r="V761" s="232" t="s">
        <v>321</v>
      </c>
      <c r="W761" s="231"/>
      <c r="X761" s="232" t="s">
        <v>322</v>
      </c>
      <c r="Y761" s="232" t="s">
        <v>323</v>
      </c>
      <c r="Z761" s="232" t="s">
        <v>324</v>
      </c>
      <c r="AA761" s="232" t="s">
        <v>349</v>
      </c>
      <c r="AB761" s="236">
        <v>8.0000000000000002E-3</v>
      </c>
      <c r="AC761" s="235"/>
      <c r="AD761" s="234"/>
      <c r="AE761" s="234"/>
      <c r="AF761" s="232" t="s">
        <v>77</v>
      </c>
      <c r="AG761" s="232" t="s">
        <v>350</v>
      </c>
      <c r="AH761" s="234" t="s">
        <v>317</v>
      </c>
      <c r="AJ761" s="234">
        <v>0</v>
      </c>
      <c r="AK761" s="224"/>
      <c r="AL761" s="234">
        <v>0</v>
      </c>
      <c r="AM761" s="224"/>
      <c r="AN761" s="234">
        <v>0</v>
      </c>
      <c r="AO761" s="234">
        <v>0</v>
      </c>
      <c r="AP761" s="234">
        <v>1</v>
      </c>
      <c r="AQ761" s="234">
        <v>0</v>
      </c>
      <c r="AR761" s="234">
        <v>0</v>
      </c>
      <c r="AS761" s="234">
        <v>0</v>
      </c>
      <c r="AT761" s="234">
        <v>0</v>
      </c>
      <c r="AU761" s="234">
        <v>0</v>
      </c>
      <c r="AV761" s="234">
        <v>0</v>
      </c>
      <c r="AW761" s="234">
        <v>0</v>
      </c>
      <c r="AX761" s="234">
        <v>0</v>
      </c>
      <c r="AY761" s="234">
        <v>0</v>
      </c>
      <c r="AZ761" s="234">
        <v>0</v>
      </c>
      <c r="BA761" s="234">
        <v>0</v>
      </c>
      <c r="BB761" s="234">
        <v>0</v>
      </c>
      <c r="BC761" s="234">
        <v>0</v>
      </c>
      <c r="BD761" s="234">
        <v>1</v>
      </c>
      <c r="BE761" s="234">
        <v>0</v>
      </c>
      <c r="BF761" s="234">
        <v>0</v>
      </c>
      <c r="BG761" s="234">
        <v>0</v>
      </c>
      <c r="BH761" s="234">
        <v>0</v>
      </c>
      <c r="BI761" s="234">
        <v>0</v>
      </c>
      <c r="BJ761" s="234">
        <v>0</v>
      </c>
      <c r="BK761" s="234">
        <v>0</v>
      </c>
      <c r="BL761" s="234">
        <v>0</v>
      </c>
      <c r="BM761" s="234">
        <v>0</v>
      </c>
      <c r="BN761" s="234">
        <v>0</v>
      </c>
      <c r="BO761" s="234">
        <v>0</v>
      </c>
      <c r="BP761" s="234"/>
      <c r="BQ761" s="234"/>
      <c r="BR761" s="237" t="s">
        <v>334</v>
      </c>
      <c r="BS761" s="238">
        <v>7</v>
      </c>
      <c r="BV761" s="239">
        <f t="shared" si="84"/>
        <v>0.25</v>
      </c>
      <c r="BW761" s="239">
        <f t="shared" si="85"/>
        <v>0.25</v>
      </c>
      <c r="BX761" s="239">
        <f t="shared" si="86"/>
        <v>0.25</v>
      </c>
      <c r="BY761" s="239">
        <f>M761/4</f>
        <v>0.25</v>
      </c>
      <c r="CN761" s="238">
        <f t="shared" si="88"/>
        <v>1</v>
      </c>
      <c r="CO761" s="238">
        <f t="shared" si="89"/>
        <v>1</v>
      </c>
    </row>
    <row r="762" spans="1:93" ht="13.95" customHeight="1" x14ac:dyDescent="0.2">
      <c r="A762" s="231">
        <v>7953</v>
      </c>
      <c r="B762" s="232" t="s">
        <v>822</v>
      </c>
      <c r="C762" s="232" t="s">
        <v>2268</v>
      </c>
      <c r="D762" s="232" t="s">
        <v>2269</v>
      </c>
      <c r="E762" s="232" t="s">
        <v>317</v>
      </c>
      <c r="F762" s="231">
        <v>527838</v>
      </c>
      <c r="G762" s="231">
        <v>170943</v>
      </c>
      <c r="H762" s="232" t="s">
        <v>177</v>
      </c>
      <c r="I762" s="233"/>
      <c r="J762" s="231"/>
      <c r="K762" s="231">
        <v>1</v>
      </c>
      <c r="L762" s="231">
        <v>1</v>
      </c>
      <c r="M762" s="231">
        <v>0</v>
      </c>
      <c r="N762" s="231">
        <v>1</v>
      </c>
      <c r="O762" s="231">
        <v>0</v>
      </c>
      <c r="P762" s="234"/>
      <c r="Q762" s="232" t="s">
        <v>2270</v>
      </c>
      <c r="R762" s="234" t="s">
        <v>332</v>
      </c>
      <c r="S762" s="235">
        <v>44958</v>
      </c>
      <c r="T762" s="235">
        <v>45014</v>
      </c>
      <c r="U762" s="234" t="s">
        <v>318</v>
      </c>
      <c r="V762" s="232" t="s">
        <v>321</v>
      </c>
      <c r="W762" s="231"/>
      <c r="X762" s="232" t="s">
        <v>322</v>
      </c>
      <c r="Y762" s="232" t="s">
        <v>338</v>
      </c>
      <c r="Z762" s="232" t="s">
        <v>324</v>
      </c>
      <c r="AA762" s="232" t="s">
        <v>354</v>
      </c>
      <c r="AB762" s="236">
        <v>5.45E-3</v>
      </c>
      <c r="AC762" s="235"/>
      <c r="AD762" s="234"/>
      <c r="AE762" s="234"/>
      <c r="AF762" s="232" t="s">
        <v>77</v>
      </c>
      <c r="AG762" s="232" t="s">
        <v>340</v>
      </c>
      <c r="AH762" s="234" t="s">
        <v>317</v>
      </c>
      <c r="AJ762" s="234">
        <v>0</v>
      </c>
      <c r="AK762" s="224"/>
      <c r="AL762" s="234">
        <v>0</v>
      </c>
      <c r="AM762" s="224"/>
      <c r="AN762" s="234">
        <v>0</v>
      </c>
      <c r="AO762" s="234">
        <v>0</v>
      </c>
      <c r="AP762" s="234">
        <v>-1</v>
      </c>
      <c r="AQ762" s="234">
        <v>0</v>
      </c>
      <c r="AR762" s="234">
        <v>1</v>
      </c>
      <c r="AS762" s="234">
        <v>0</v>
      </c>
      <c r="AT762" s="234">
        <v>0</v>
      </c>
      <c r="AU762" s="234">
        <v>0</v>
      </c>
      <c r="AV762" s="234">
        <v>0</v>
      </c>
      <c r="AW762" s="234">
        <v>-1</v>
      </c>
      <c r="AX762" s="234">
        <v>0</v>
      </c>
      <c r="AY762" s="234">
        <v>1</v>
      </c>
      <c r="AZ762" s="234">
        <v>0</v>
      </c>
      <c r="BA762" s="234">
        <v>0</v>
      </c>
      <c r="BB762" s="234">
        <v>0</v>
      </c>
      <c r="BC762" s="234">
        <v>0</v>
      </c>
      <c r="BD762" s="234">
        <v>0</v>
      </c>
      <c r="BE762" s="234">
        <v>0</v>
      </c>
      <c r="BF762" s="234">
        <v>0</v>
      </c>
      <c r="BG762" s="234">
        <v>0</v>
      </c>
      <c r="BH762" s="234">
        <v>0</v>
      </c>
      <c r="BI762" s="234">
        <v>0</v>
      </c>
      <c r="BJ762" s="234">
        <v>0</v>
      </c>
      <c r="BK762" s="234">
        <v>0</v>
      </c>
      <c r="BL762" s="234">
        <v>0</v>
      </c>
      <c r="BM762" s="234">
        <v>0</v>
      </c>
      <c r="BN762" s="234">
        <v>0</v>
      </c>
      <c r="BO762" s="234">
        <v>0</v>
      </c>
      <c r="BP762" s="234"/>
      <c r="BQ762" s="234"/>
      <c r="BR762" s="237" t="s">
        <v>334</v>
      </c>
      <c r="BS762" s="238">
        <v>15</v>
      </c>
      <c r="BU762" s="239">
        <f>M762/4</f>
        <v>0</v>
      </c>
      <c r="BV762" s="239">
        <f t="shared" si="84"/>
        <v>0</v>
      </c>
      <c r="BW762" s="239">
        <f t="shared" si="85"/>
        <v>0</v>
      </c>
      <c r="BX762" s="239">
        <f t="shared" si="86"/>
        <v>0</v>
      </c>
      <c r="CN762" s="238">
        <f t="shared" si="88"/>
        <v>0</v>
      </c>
      <c r="CO762" s="238">
        <f t="shared" si="89"/>
        <v>0</v>
      </c>
    </row>
    <row r="763" spans="1:93" ht="13.95" customHeight="1" x14ac:dyDescent="0.2">
      <c r="A763" s="231">
        <v>7697</v>
      </c>
      <c r="B763" s="232" t="s">
        <v>822</v>
      </c>
      <c r="C763" s="232" t="s">
        <v>2271</v>
      </c>
      <c r="D763" s="232" t="s">
        <v>2272</v>
      </c>
      <c r="E763" s="232" t="s">
        <v>317</v>
      </c>
      <c r="F763" s="231">
        <v>528911</v>
      </c>
      <c r="G763" s="231">
        <v>174102</v>
      </c>
      <c r="H763" s="232" t="s">
        <v>141</v>
      </c>
      <c r="I763" s="233"/>
      <c r="J763" s="231"/>
      <c r="K763" s="231">
        <v>1</v>
      </c>
      <c r="L763" s="231">
        <v>1</v>
      </c>
      <c r="M763" s="231">
        <v>0</v>
      </c>
      <c r="N763" s="231">
        <v>1</v>
      </c>
      <c r="O763" s="231">
        <v>0</v>
      </c>
      <c r="P763" s="234"/>
      <c r="Q763" s="232" t="s">
        <v>2273</v>
      </c>
      <c r="R763" s="234" t="s">
        <v>673</v>
      </c>
      <c r="S763" s="235">
        <v>44404</v>
      </c>
      <c r="T763" s="235">
        <v>44460</v>
      </c>
      <c r="U763" s="234"/>
      <c r="V763" s="232" t="s">
        <v>321</v>
      </c>
      <c r="W763" s="231"/>
      <c r="X763" s="232" t="s">
        <v>322</v>
      </c>
      <c r="Y763" s="232" t="s">
        <v>378</v>
      </c>
      <c r="Z763" s="232" t="s">
        <v>324</v>
      </c>
      <c r="AA763" s="232" t="s">
        <v>607</v>
      </c>
      <c r="AB763" s="236">
        <v>1.23E-2</v>
      </c>
      <c r="AC763" s="235"/>
      <c r="AD763" s="234"/>
      <c r="AE763" s="234"/>
      <c r="AF763" s="232" t="s">
        <v>77</v>
      </c>
      <c r="AG763" s="232" t="s">
        <v>340</v>
      </c>
      <c r="AH763" s="234" t="s">
        <v>317</v>
      </c>
      <c r="AJ763" s="234">
        <v>0</v>
      </c>
      <c r="AK763" s="224"/>
      <c r="AL763" s="234">
        <v>0</v>
      </c>
      <c r="AM763" s="224"/>
      <c r="AN763" s="234">
        <v>0</v>
      </c>
      <c r="AO763" s="234">
        <v>0</v>
      </c>
      <c r="AP763" s="234">
        <v>0</v>
      </c>
      <c r="AQ763" s="234">
        <v>0</v>
      </c>
      <c r="AR763" s="234">
        <v>0</v>
      </c>
      <c r="AS763" s="234">
        <v>0</v>
      </c>
      <c r="AT763" s="234">
        <v>0</v>
      </c>
      <c r="AU763" s="234">
        <v>0</v>
      </c>
      <c r="AV763" s="234">
        <v>0</v>
      </c>
      <c r="AW763" s="234">
        <v>0</v>
      </c>
      <c r="AX763" s="234">
        <v>0</v>
      </c>
      <c r="AY763" s="234">
        <v>0</v>
      </c>
      <c r="AZ763" s="234">
        <v>0</v>
      </c>
      <c r="BA763" s="234">
        <v>0</v>
      </c>
      <c r="BB763" s="234">
        <v>0</v>
      </c>
      <c r="BC763" s="234">
        <v>0</v>
      </c>
      <c r="BD763" s="234">
        <v>0</v>
      </c>
      <c r="BE763" s="234">
        <v>0</v>
      </c>
      <c r="BF763" s="234">
        <v>0</v>
      </c>
      <c r="BG763" s="234">
        <v>0</v>
      </c>
      <c r="BH763" s="234">
        <v>0</v>
      </c>
      <c r="BI763" s="234">
        <v>0</v>
      </c>
      <c r="BJ763" s="234">
        <v>0</v>
      </c>
      <c r="BK763" s="234">
        <v>0</v>
      </c>
      <c r="BL763" s="234">
        <v>0</v>
      </c>
      <c r="BM763" s="234">
        <v>0</v>
      </c>
      <c r="BN763" s="234">
        <v>0</v>
      </c>
      <c r="BO763" s="234">
        <v>0</v>
      </c>
      <c r="BP763" s="234"/>
      <c r="BQ763" s="234"/>
      <c r="BR763" s="237" t="s">
        <v>334</v>
      </c>
      <c r="BS763" s="238">
        <v>15</v>
      </c>
      <c r="BU763" s="239">
        <f>M763/4</f>
        <v>0</v>
      </c>
      <c r="BV763" s="239">
        <f t="shared" si="84"/>
        <v>0</v>
      </c>
      <c r="BW763" s="239">
        <f t="shared" si="85"/>
        <v>0</v>
      </c>
      <c r="BX763" s="239">
        <f t="shared" si="86"/>
        <v>0</v>
      </c>
      <c r="CN763" s="238">
        <f t="shared" si="88"/>
        <v>0</v>
      </c>
      <c r="CO763" s="238">
        <f t="shared" si="89"/>
        <v>0</v>
      </c>
    </row>
    <row r="764" spans="1:93" ht="13.95" customHeight="1" x14ac:dyDescent="0.2">
      <c r="A764" s="231">
        <v>7533</v>
      </c>
      <c r="B764" s="232" t="s">
        <v>822</v>
      </c>
      <c r="C764" s="232" t="s">
        <v>2274</v>
      </c>
      <c r="D764" s="232" t="s">
        <v>2275</v>
      </c>
      <c r="E764" s="232" t="s">
        <v>317</v>
      </c>
      <c r="F764" s="231">
        <v>522503</v>
      </c>
      <c r="G764" s="231">
        <v>175408</v>
      </c>
      <c r="H764" s="232" t="s">
        <v>183</v>
      </c>
      <c r="I764" s="233"/>
      <c r="J764" s="231"/>
      <c r="K764" s="231">
        <v>1</v>
      </c>
      <c r="L764" s="231">
        <v>1</v>
      </c>
      <c r="M764" s="231">
        <v>0</v>
      </c>
      <c r="N764" s="231">
        <v>1</v>
      </c>
      <c r="O764" s="231">
        <v>0</v>
      </c>
      <c r="P764" s="234"/>
      <c r="Q764" s="232" t="s">
        <v>2276</v>
      </c>
      <c r="R764" s="234" t="s">
        <v>332</v>
      </c>
      <c r="S764" s="235">
        <v>44145</v>
      </c>
      <c r="T764" s="235">
        <v>44200</v>
      </c>
      <c r="U764" s="234"/>
      <c r="V764" s="232" t="s">
        <v>321</v>
      </c>
      <c r="W764" s="231"/>
      <c r="X764" s="232" t="s">
        <v>322</v>
      </c>
      <c r="Y764" s="232" t="s">
        <v>339</v>
      </c>
      <c r="Z764" s="232" t="s">
        <v>324</v>
      </c>
      <c r="AA764" s="232" t="s">
        <v>22</v>
      </c>
      <c r="AB764" s="236">
        <v>3.0000000000000001E-3</v>
      </c>
      <c r="AC764" s="235"/>
      <c r="AD764" s="234"/>
      <c r="AE764" s="234"/>
      <c r="AF764" s="232" t="s">
        <v>77</v>
      </c>
      <c r="AG764" s="232" t="s">
        <v>350</v>
      </c>
      <c r="AH764" s="234" t="s">
        <v>317</v>
      </c>
      <c r="AJ764" s="234">
        <v>0</v>
      </c>
      <c r="AK764" s="224"/>
      <c r="AL764" s="234">
        <v>0</v>
      </c>
      <c r="AM764" s="224"/>
      <c r="AN764" s="234">
        <v>0</v>
      </c>
      <c r="AO764" s="234">
        <v>-1</v>
      </c>
      <c r="AP764" s="234">
        <v>0</v>
      </c>
      <c r="AQ764" s="234">
        <v>1</v>
      </c>
      <c r="AR764" s="234">
        <v>0</v>
      </c>
      <c r="AS764" s="234">
        <v>0</v>
      </c>
      <c r="AT764" s="234">
        <v>0</v>
      </c>
      <c r="AU764" s="234">
        <v>0</v>
      </c>
      <c r="AV764" s="234">
        <v>-1</v>
      </c>
      <c r="AW764" s="234">
        <v>0</v>
      </c>
      <c r="AX764" s="234">
        <v>1</v>
      </c>
      <c r="AY764" s="234">
        <v>0</v>
      </c>
      <c r="AZ764" s="234">
        <v>0</v>
      </c>
      <c r="BA764" s="234">
        <v>0</v>
      </c>
      <c r="BB764" s="234">
        <v>0</v>
      </c>
      <c r="BC764" s="234">
        <v>0</v>
      </c>
      <c r="BD764" s="234">
        <v>0</v>
      </c>
      <c r="BE764" s="234">
        <v>0</v>
      </c>
      <c r="BF764" s="234">
        <v>0</v>
      </c>
      <c r="BG764" s="234">
        <v>0</v>
      </c>
      <c r="BH764" s="234">
        <v>0</v>
      </c>
      <c r="BI764" s="234">
        <v>0</v>
      </c>
      <c r="BJ764" s="234">
        <v>0</v>
      </c>
      <c r="BK764" s="234">
        <v>0</v>
      </c>
      <c r="BL764" s="234">
        <v>0</v>
      </c>
      <c r="BM764" s="234">
        <v>0</v>
      </c>
      <c r="BN764" s="234">
        <v>0</v>
      </c>
      <c r="BO764" s="234">
        <v>0</v>
      </c>
      <c r="BP764" s="234"/>
      <c r="BQ764" s="234"/>
      <c r="BR764" s="237" t="s">
        <v>334</v>
      </c>
      <c r="BS764" s="238">
        <v>15</v>
      </c>
      <c r="BU764" s="239">
        <f>M764/4</f>
        <v>0</v>
      </c>
      <c r="BV764" s="239">
        <f t="shared" si="84"/>
        <v>0</v>
      </c>
      <c r="BW764" s="239">
        <f t="shared" si="85"/>
        <v>0</v>
      </c>
      <c r="BX764" s="239">
        <f t="shared" si="86"/>
        <v>0</v>
      </c>
      <c r="CN764" s="238">
        <f t="shared" si="88"/>
        <v>0</v>
      </c>
      <c r="CO764" s="238">
        <f t="shared" si="89"/>
        <v>0</v>
      </c>
    </row>
    <row r="765" spans="1:93" ht="13.95" customHeight="1" x14ac:dyDescent="0.2">
      <c r="A765" s="231">
        <v>7830</v>
      </c>
      <c r="B765" s="232" t="s">
        <v>822</v>
      </c>
      <c r="C765" s="232" t="s">
        <v>2277</v>
      </c>
      <c r="D765" s="232" t="s">
        <v>2278</v>
      </c>
      <c r="E765" s="232" t="s">
        <v>317</v>
      </c>
      <c r="F765" s="231">
        <v>528791</v>
      </c>
      <c r="G765" s="231">
        <v>176757</v>
      </c>
      <c r="H765" s="232" t="s">
        <v>171</v>
      </c>
      <c r="I765" s="233"/>
      <c r="J765" s="231"/>
      <c r="K765" s="231">
        <v>1</v>
      </c>
      <c r="L765" s="231">
        <v>1</v>
      </c>
      <c r="M765" s="231">
        <v>0</v>
      </c>
      <c r="N765" s="231">
        <v>1</v>
      </c>
      <c r="O765" s="231">
        <v>0</v>
      </c>
      <c r="P765" s="234"/>
      <c r="Q765" s="232" t="s">
        <v>2279</v>
      </c>
      <c r="R765" s="234" t="s">
        <v>332</v>
      </c>
      <c r="S765" s="235">
        <v>44705</v>
      </c>
      <c r="T765" s="235">
        <v>44819</v>
      </c>
      <c r="U765" s="234" t="s">
        <v>318</v>
      </c>
      <c r="V765" s="232" t="s">
        <v>321</v>
      </c>
      <c r="W765" s="231"/>
      <c r="X765" s="232" t="s">
        <v>322</v>
      </c>
      <c r="Y765" s="232" t="s">
        <v>338</v>
      </c>
      <c r="Z765" s="232" t="s">
        <v>324</v>
      </c>
      <c r="AA765" s="232" t="s">
        <v>15</v>
      </c>
      <c r="AB765" s="236">
        <v>3.725E-3</v>
      </c>
      <c r="AC765" s="235"/>
      <c r="AD765" s="234"/>
      <c r="AE765" s="234"/>
      <c r="AF765" s="232" t="s">
        <v>77</v>
      </c>
      <c r="AG765" s="232" t="s">
        <v>340</v>
      </c>
      <c r="AH765" s="234" t="s">
        <v>317</v>
      </c>
      <c r="AJ765" s="234">
        <v>0</v>
      </c>
      <c r="AK765" s="224"/>
      <c r="AL765" s="234">
        <v>0</v>
      </c>
      <c r="AM765" s="224"/>
      <c r="AN765" s="234">
        <v>0</v>
      </c>
      <c r="AO765" s="234">
        <v>0</v>
      </c>
      <c r="AP765" s="234">
        <v>0</v>
      </c>
      <c r="AQ765" s="234">
        <v>0</v>
      </c>
      <c r="AR765" s="234">
        <v>-1</v>
      </c>
      <c r="AS765" s="234">
        <v>1</v>
      </c>
      <c r="AT765" s="234">
        <v>0</v>
      </c>
      <c r="AU765" s="234">
        <v>0</v>
      </c>
      <c r="AV765" s="234">
        <v>0</v>
      </c>
      <c r="AW765" s="234">
        <v>0</v>
      </c>
      <c r="AX765" s="234">
        <v>0</v>
      </c>
      <c r="AY765" s="234">
        <v>0</v>
      </c>
      <c r="AZ765" s="234">
        <v>1</v>
      </c>
      <c r="BA765" s="234">
        <v>0</v>
      </c>
      <c r="BB765" s="234">
        <v>0</v>
      </c>
      <c r="BC765" s="234">
        <v>0</v>
      </c>
      <c r="BD765" s="234">
        <v>0</v>
      </c>
      <c r="BE765" s="234">
        <v>0</v>
      </c>
      <c r="BF765" s="234">
        <v>-1</v>
      </c>
      <c r="BG765" s="234">
        <v>0</v>
      </c>
      <c r="BH765" s="234">
        <v>0</v>
      </c>
      <c r="BI765" s="234">
        <v>0</v>
      </c>
      <c r="BJ765" s="234">
        <v>0</v>
      </c>
      <c r="BK765" s="234">
        <v>0</v>
      </c>
      <c r="BL765" s="234">
        <v>0</v>
      </c>
      <c r="BM765" s="234">
        <v>0</v>
      </c>
      <c r="BN765" s="234">
        <v>0</v>
      </c>
      <c r="BO765" s="234">
        <v>0</v>
      </c>
      <c r="BP765" s="234"/>
      <c r="BQ765" s="234" t="s">
        <v>318</v>
      </c>
      <c r="BR765" s="237" t="s">
        <v>151</v>
      </c>
      <c r="BS765" s="238">
        <v>15</v>
      </c>
      <c r="BU765" s="239">
        <f>M765/4</f>
        <v>0</v>
      </c>
      <c r="BV765" s="239">
        <f t="shared" si="84"/>
        <v>0</v>
      </c>
      <c r="BW765" s="239">
        <f t="shared" si="85"/>
        <v>0</v>
      </c>
      <c r="BX765" s="239">
        <f t="shared" si="86"/>
        <v>0</v>
      </c>
      <c r="CN765" s="238">
        <f t="shared" si="88"/>
        <v>0</v>
      </c>
      <c r="CO765" s="238">
        <f t="shared" si="89"/>
        <v>0</v>
      </c>
    </row>
    <row r="766" spans="1:93" ht="13.95" customHeight="1" x14ac:dyDescent="0.2">
      <c r="A766" s="231">
        <v>5684</v>
      </c>
      <c r="B766" s="232" t="s">
        <v>822</v>
      </c>
      <c r="C766" s="232" t="s">
        <v>2280</v>
      </c>
      <c r="D766" s="232" t="s">
        <v>2281</v>
      </c>
      <c r="E766" s="232" t="s">
        <v>317</v>
      </c>
      <c r="F766" s="231">
        <v>527218</v>
      </c>
      <c r="G766" s="231">
        <v>173669</v>
      </c>
      <c r="H766" s="232" t="s">
        <v>180</v>
      </c>
      <c r="I766" s="233"/>
      <c r="J766" s="231"/>
      <c r="K766" s="231">
        <v>1</v>
      </c>
      <c r="L766" s="231">
        <v>1</v>
      </c>
      <c r="M766" s="231">
        <v>0</v>
      </c>
      <c r="N766" s="231">
        <v>1</v>
      </c>
      <c r="O766" s="231">
        <v>0</v>
      </c>
      <c r="P766" s="234"/>
      <c r="Q766" s="232" t="s">
        <v>2282</v>
      </c>
      <c r="R766" s="234" t="s">
        <v>332</v>
      </c>
      <c r="S766" s="235">
        <v>43851</v>
      </c>
      <c r="T766" s="235">
        <v>43888</v>
      </c>
      <c r="U766" s="234"/>
      <c r="V766" s="232" t="s">
        <v>321</v>
      </c>
      <c r="W766" s="231"/>
      <c r="X766" s="232" t="s">
        <v>322</v>
      </c>
      <c r="Y766" s="232" t="s">
        <v>323</v>
      </c>
      <c r="Z766" s="232" t="s">
        <v>324</v>
      </c>
      <c r="AA766" s="232" t="s">
        <v>349</v>
      </c>
      <c r="AB766" s="236">
        <v>4.7E-2</v>
      </c>
      <c r="AC766" s="235"/>
      <c r="AD766" s="234"/>
      <c r="AE766" s="234"/>
      <c r="AF766" s="232" t="s">
        <v>77</v>
      </c>
      <c r="AG766" s="232" t="s">
        <v>350</v>
      </c>
      <c r="AH766" s="234" t="s">
        <v>317</v>
      </c>
      <c r="AJ766" s="234">
        <v>0</v>
      </c>
      <c r="AK766" s="224"/>
      <c r="AL766" s="234">
        <v>0</v>
      </c>
      <c r="AM766" s="224"/>
      <c r="AN766" s="234">
        <v>0</v>
      </c>
      <c r="AO766" s="234">
        <v>0</v>
      </c>
      <c r="AP766" s="234">
        <v>0</v>
      </c>
      <c r="AQ766" s="234">
        <v>-1</v>
      </c>
      <c r="AR766" s="234">
        <v>1</v>
      </c>
      <c r="AS766" s="234">
        <v>0</v>
      </c>
      <c r="AT766" s="234">
        <v>0</v>
      </c>
      <c r="AU766" s="234">
        <v>0</v>
      </c>
      <c r="AV766" s="234">
        <v>0</v>
      </c>
      <c r="AW766" s="234">
        <v>0</v>
      </c>
      <c r="AX766" s="234">
        <v>0</v>
      </c>
      <c r="AY766" s="234">
        <v>0</v>
      </c>
      <c r="AZ766" s="234">
        <v>0</v>
      </c>
      <c r="BA766" s="234">
        <v>0</v>
      </c>
      <c r="BB766" s="234">
        <v>0</v>
      </c>
      <c r="BC766" s="234">
        <v>0</v>
      </c>
      <c r="BD766" s="234">
        <v>0</v>
      </c>
      <c r="BE766" s="234">
        <v>-1</v>
      </c>
      <c r="BF766" s="234">
        <v>1</v>
      </c>
      <c r="BG766" s="234">
        <v>0</v>
      </c>
      <c r="BH766" s="234">
        <v>0</v>
      </c>
      <c r="BI766" s="234">
        <v>0</v>
      </c>
      <c r="BJ766" s="234">
        <v>0</v>
      </c>
      <c r="BK766" s="234">
        <v>0</v>
      </c>
      <c r="BL766" s="234">
        <v>0</v>
      </c>
      <c r="BM766" s="234">
        <v>0</v>
      </c>
      <c r="BN766" s="234">
        <v>0</v>
      </c>
      <c r="BO766" s="234">
        <v>0</v>
      </c>
      <c r="BP766" s="234"/>
      <c r="BQ766" s="234"/>
      <c r="BR766" s="237" t="s">
        <v>334</v>
      </c>
      <c r="BS766" s="238">
        <v>7</v>
      </c>
      <c r="BV766" s="239">
        <f t="shared" si="84"/>
        <v>0</v>
      </c>
      <c r="BW766" s="239">
        <f t="shared" si="85"/>
        <v>0</v>
      </c>
      <c r="BX766" s="239">
        <f t="shared" si="86"/>
        <v>0</v>
      </c>
      <c r="BY766" s="239">
        <f>M766/4</f>
        <v>0</v>
      </c>
      <c r="CN766" s="238">
        <f t="shared" si="88"/>
        <v>0</v>
      </c>
      <c r="CO766" s="238">
        <f t="shared" si="89"/>
        <v>0</v>
      </c>
    </row>
    <row r="767" spans="1:93" ht="13.95" customHeight="1" x14ac:dyDescent="0.2">
      <c r="A767" s="231">
        <v>6022</v>
      </c>
      <c r="B767" s="232" t="s">
        <v>822</v>
      </c>
      <c r="C767" s="232" t="s">
        <v>2283</v>
      </c>
      <c r="D767" s="232" t="s">
        <v>2284</v>
      </c>
      <c r="E767" s="232" t="s">
        <v>317</v>
      </c>
      <c r="F767" s="231">
        <v>527477</v>
      </c>
      <c r="G767" s="231">
        <v>176443</v>
      </c>
      <c r="H767" s="232" t="s">
        <v>174</v>
      </c>
      <c r="I767" s="233"/>
      <c r="J767" s="231"/>
      <c r="K767" s="231">
        <v>0</v>
      </c>
      <c r="L767" s="231">
        <v>1</v>
      </c>
      <c r="M767" s="231">
        <v>1</v>
      </c>
      <c r="N767" s="231">
        <v>1</v>
      </c>
      <c r="O767" s="231">
        <v>1</v>
      </c>
      <c r="P767" s="234"/>
      <c r="Q767" s="232" t="s">
        <v>2285</v>
      </c>
      <c r="R767" s="234" t="s">
        <v>332</v>
      </c>
      <c r="S767" s="235">
        <v>43930</v>
      </c>
      <c r="T767" s="235">
        <v>44344</v>
      </c>
      <c r="U767" s="234"/>
      <c r="V767" s="232" t="s">
        <v>321</v>
      </c>
      <c r="W767" s="231"/>
      <c r="X767" s="232" t="s">
        <v>322</v>
      </c>
      <c r="Y767" s="232" t="s">
        <v>323</v>
      </c>
      <c r="Z767" s="232" t="s">
        <v>324</v>
      </c>
      <c r="AA767" s="232" t="s">
        <v>349</v>
      </c>
      <c r="AB767" s="236">
        <v>1.4E-2</v>
      </c>
      <c r="AC767" s="235"/>
      <c r="AD767" s="234"/>
      <c r="AE767" s="234"/>
      <c r="AF767" s="232" t="s">
        <v>77</v>
      </c>
      <c r="AG767" s="232" t="s">
        <v>350</v>
      </c>
      <c r="AH767" s="234" t="s">
        <v>317</v>
      </c>
      <c r="AJ767" s="234">
        <v>0</v>
      </c>
      <c r="AK767" s="224"/>
      <c r="AL767" s="234">
        <v>0</v>
      </c>
      <c r="AM767" s="224"/>
      <c r="AN767" s="234">
        <v>0</v>
      </c>
      <c r="AO767" s="234">
        <v>1</v>
      </c>
      <c r="AP767" s="234">
        <v>0</v>
      </c>
      <c r="AQ767" s="234">
        <v>0</v>
      </c>
      <c r="AR767" s="234">
        <v>0</v>
      </c>
      <c r="AS767" s="234">
        <v>0</v>
      </c>
      <c r="AT767" s="234">
        <v>0</v>
      </c>
      <c r="AU767" s="234">
        <v>0</v>
      </c>
      <c r="AV767" s="234">
        <v>0</v>
      </c>
      <c r="AW767" s="234">
        <v>0</v>
      </c>
      <c r="AX767" s="234">
        <v>0</v>
      </c>
      <c r="AY767" s="234">
        <v>0</v>
      </c>
      <c r="AZ767" s="234">
        <v>0</v>
      </c>
      <c r="BA767" s="234">
        <v>0</v>
      </c>
      <c r="BB767" s="234">
        <v>0</v>
      </c>
      <c r="BC767" s="234">
        <v>1</v>
      </c>
      <c r="BD767" s="234">
        <v>0</v>
      </c>
      <c r="BE767" s="234">
        <v>0</v>
      </c>
      <c r="BF767" s="234">
        <v>0</v>
      </c>
      <c r="BG767" s="234">
        <v>0</v>
      </c>
      <c r="BH767" s="234">
        <v>0</v>
      </c>
      <c r="BI767" s="234">
        <v>0</v>
      </c>
      <c r="BJ767" s="234">
        <v>0</v>
      </c>
      <c r="BK767" s="234">
        <v>0</v>
      </c>
      <c r="BL767" s="234">
        <v>0</v>
      </c>
      <c r="BM767" s="234">
        <v>0</v>
      </c>
      <c r="BN767" s="234">
        <v>0</v>
      </c>
      <c r="BO767" s="234">
        <v>0</v>
      </c>
      <c r="BP767" s="234"/>
      <c r="BQ767" s="234"/>
      <c r="BR767" s="237" t="s">
        <v>334</v>
      </c>
      <c r="BS767" s="238">
        <v>7</v>
      </c>
      <c r="BV767" s="239">
        <f t="shared" si="84"/>
        <v>0.25</v>
      </c>
      <c r="BW767" s="239">
        <f t="shared" si="85"/>
        <v>0.25</v>
      </c>
      <c r="BX767" s="239">
        <f t="shared" si="86"/>
        <v>0.25</v>
      </c>
      <c r="BY767" s="239">
        <f>M767/4</f>
        <v>0.25</v>
      </c>
      <c r="CN767" s="238">
        <f t="shared" si="88"/>
        <v>1</v>
      </c>
      <c r="CO767" s="238">
        <f t="shared" si="89"/>
        <v>1</v>
      </c>
    </row>
    <row r="768" spans="1:93" ht="13.95" customHeight="1" x14ac:dyDescent="0.2">
      <c r="A768" s="231">
        <v>2846</v>
      </c>
      <c r="B768" s="232" t="s">
        <v>822</v>
      </c>
      <c r="C768" s="232" t="s">
        <v>2286</v>
      </c>
      <c r="D768" s="232" t="s">
        <v>2287</v>
      </c>
      <c r="E768" s="232" t="s">
        <v>317</v>
      </c>
      <c r="F768" s="231">
        <v>523883</v>
      </c>
      <c r="G768" s="231">
        <v>175563</v>
      </c>
      <c r="H768" s="232" t="s">
        <v>175</v>
      </c>
      <c r="I768" s="233"/>
      <c r="J768" s="231"/>
      <c r="K768" s="231">
        <v>1</v>
      </c>
      <c r="L768" s="231">
        <v>1</v>
      </c>
      <c r="M768" s="231">
        <v>0</v>
      </c>
      <c r="N768" s="231">
        <v>1</v>
      </c>
      <c r="O768" s="231">
        <v>0</v>
      </c>
      <c r="P768" s="234"/>
      <c r="Q768" s="232" t="s">
        <v>2288</v>
      </c>
      <c r="R768" s="234" t="s">
        <v>332</v>
      </c>
      <c r="S768" s="235">
        <v>44461</v>
      </c>
      <c r="T768" s="235">
        <v>44586</v>
      </c>
      <c r="U768" s="234"/>
      <c r="V768" s="232" t="s">
        <v>321</v>
      </c>
      <c r="W768" s="231"/>
      <c r="X768" s="232" t="s">
        <v>322</v>
      </c>
      <c r="Y768" s="232" t="s">
        <v>365</v>
      </c>
      <c r="Z768" s="232" t="s">
        <v>324</v>
      </c>
      <c r="AA768" s="232" t="s">
        <v>17</v>
      </c>
      <c r="AB768" s="236">
        <v>3.3600000000000001E-3</v>
      </c>
      <c r="AC768" s="235"/>
      <c r="AD768" s="234"/>
      <c r="AE768" s="234"/>
      <c r="AF768" s="232" t="s">
        <v>77</v>
      </c>
      <c r="AG768" s="232" t="s">
        <v>340</v>
      </c>
      <c r="AH768" s="234" t="s">
        <v>317</v>
      </c>
      <c r="AJ768" s="234">
        <v>0</v>
      </c>
      <c r="AK768" s="224"/>
      <c r="AL768" s="234">
        <v>0</v>
      </c>
      <c r="AM768" s="224"/>
      <c r="AN768" s="234">
        <v>0</v>
      </c>
      <c r="AO768" s="234">
        <v>0</v>
      </c>
      <c r="AP768" s="234">
        <v>-1</v>
      </c>
      <c r="AQ768" s="234">
        <v>0</v>
      </c>
      <c r="AR768" s="234">
        <v>0</v>
      </c>
      <c r="AS768" s="234">
        <v>1</v>
      </c>
      <c r="AT768" s="234">
        <v>0</v>
      </c>
      <c r="AU768" s="234">
        <v>0</v>
      </c>
      <c r="AV768" s="234">
        <v>0</v>
      </c>
      <c r="AW768" s="234">
        <v>-1</v>
      </c>
      <c r="AX768" s="234">
        <v>0</v>
      </c>
      <c r="AY768" s="234">
        <v>0</v>
      </c>
      <c r="AZ768" s="234">
        <v>0</v>
      </c>
      <c r="BA768" s="234">
        <v>0</v>
      </c>
      <c r="BB768" s="234">
        <v>0</v>
      </c>
      <c r="BC768" s="234">
        <v>0</v>
      </c>
      <c r="BD768" s="234">
        <v>0</v>
      </c>
      <c r="BE768" s="234">
        <v>0</v>
      </c>
      <c r="BF768" s="234">
        <v>0</v>
      </c>
      <c r="BG768" s="234">
        <v>1</v>
      </c>
      <c r="BH768" s="234">
        <v>0</v>
      </c>
      <c r="BI768" s="234">
        <v>0</v>
      </c>
      <c r="BJ768" s="234">
        <v>0</v>
      </c>
      <c r="BK768" s="234">
        <v>0</v>
      </c>
      <c r="BL768" s="234">
        <v>0</v>
      </c>
      <c r="BM768" s="234">
        <v>0</v>
      </c>
      <c r="BN768" s="234">
        <v>0</v>
      </c>
      <c r="BO768" s="234">
        <v>0</v>
      </c>
      <c r="BP768" s="234"/>
      <c r="BQ768" s="234"/>
      <c r="BR768" s="237" t="s">
        <v>334</v>
      </c>
      <c r="BS768" s="238">
        <v>15</v>
      </c>
      <c r="BU768" s="239">
        <f>M768/4</f>
        <v>0</v>
      </c>
      <c r="BV768" s="239">
        <f t="shared" si="84"/>
        <v>0</v>
      </c>
      <c r="BW768" s="239">
        <f t="shared" si="85"/>
        <v>0</v>
      </c>
      <c r="BX768" s="239">
        <f t="shared" si="86"/>
        <v>0</v>
      </c>
      <c r="CN768" s="238">
        <f t="shared" si="88"/>
        <v>0</v>
      </c>
      <c r="CO768" s="238">
        <f t="shared" si="89"/>
        <v>0</v>
      </c>
    </row>
    <row r="769" spans="1:93" ht="13.95" customHeight="1" x14ac:dyDescent="0.2">
      <c r="A769" s="231">
        <v>5903</v>
      </c>
      <c r="B769" s="232" t="s">
        <v>822</v>
      </c>
      <c r="C769" s="232" t="s">
        <v>2289</v>
      </c>
      <c r="D769" s="232" t="s">
        <v>2290</v>
      </c>
      <c r="E769" s="232" t="s">
        <v>317</v>
      </c>
      <c r="F769" s="231">
        <v>525997</v>
      </c>
      <c r="G769" s="231">
        <v>173088</v>
      </c>
      <c r="H769" s="232" t="s">
        <v>179</v>
      </c>
      <c r="I769" s="233"/>
      <c r="J769" s="231"/>
      <c r="K769" s="231">
        <v>1</v>
      </c>
      <c r="L769" s="231">
        <v>1</v>
      </c>
      <c r="M769" s="231">
        <v>0</v>
      </c>
      <c r="N769" s="231">
        <v>1</v>
      </c>
      <c r="O769" s="231">
        <v>0</v>
      </c>
      <c r="P769" s="234"/>
      <c r="Q769" s="232" t="s">
        <v>2291</v>
      </c>
      <c r="R769" s="234" t="s">
        <v>673</v>
      </c>
      <c r="S769" s="235">
        <v>44337</v>
      </c>
      <c r="T769" s="235">
        <v>44390</v>
      </c>
      <c r="U769" s="234"/>
      <c r="V769" s="232" t="s">
        <v>321</v>
      </c>
      <c r="W769" s="231"/>
      <c r="X769" s="232" t="s">
        <v>322</v>
      </c>
      <c r="Y769" s="232" t="s">
        <v>378</v>
      </c>
      <c r="Z769" s="232" t="s">
        <v>324</v>
      </c>
      <c r="AA769" s="232" t="s">
        <v>411</v>
      </c>
      <c r="AB769" s="236">
        <v>1.03E-2</v>
      </c>
      <c r="AC769" s="235"/>
      <c r="AD769" s="234"/>
      <c r="AE769" s="234"/>
      <c r="AF769" s="232" t="s">
        <v>77</v>
      </c>
      <c r="AG769" s="232" t="s">
        <v>340</v>
      </c>
      <c r="AH769" s="234" t="s">
        <v>317</v>
      </c>
      <c r="AJ769" s="234">
        <v>0</v>
      </c>
      <c r="AK769" s="224"/>
      <c r="AL769" s="234">
        <v>0</v>
      </c>
      <c r="AM769" s="224"/>
      <c r="AN769" s="234">
        <v>0</v>
      </c>
      <c r="AO769" s="234">
        <v>0</v>
      </c>
      <c r="AP769" s="234">
        <v>0</v>
      </c>
      <c r="AQ769" s="234">
        <v>-1</v>
      </c>
      <c r="AR769" s="234">
        <v>1</v>
      </c>
      <c r="AS769" s="234">
        <v>0</v>
      </c>
      <c r="AT769" s="234">
        <v>0</v>
      </c>
      <c r="AU769" s="234">
        <v>0</v>
      </c>
      <c r="AV769" s="234">
        <v>0</v>
      </c>
      <c r="AW769" s="234">
        <v>0</v>
      </c>
      <c r="AX769" s="234">
        <v>-1</v>
      </c>
      <c r="AY769" s="234">
        <v>1</v>
      </c>
      <c r="AZ769" s="234">
        <v>0</v>
      </c>
      <c r="BA769" s="234">
        <v>0</v>
      </c>
      <c r="BB769" s="234">
        <v>0</v>
      </c>
      <c r="BC769" s="234">
        <v>0</v>
      </c>
      <c r="BD769" s="234">
        <v>0</v>
      </c>
      <c r="BE769" s="234">
        <v>0</v>
      </c>
      <c r="BF769" s="234">
        <v>0</v>
      </c>
      <c r="BG769" s="234">
        <v>0</v>
      </c>
      <c r="BH769" s="234">
        <v>0</v>
      </c>
      <c r="BI769" s="234">
        <v>0</v>
      </c>
      <c r="BJ769" s="234">
        <v>0</v>
      </c>
      <c r="BK769" s="234">
        <v>0</v>
      </c>
      <c r="BL769" s="234">
        <v>0</v>
      </c>
      <c r="BM769" s="234">
        <v>0</v>
      </c>
      <c r="BN769" s="234">
        <v>0</v>
      </c>
      <c r="BO769" s="234">
        <v>0</v>
      </c>
      <c r="BP769" s="234"/>
      <c r="BQ769" s="234"/>
      <c r="BR769" s="237" t="s">
        <v>154</v>
      </c>
      <c r="BS769" s="238">
        <v>15</v>
      </c>
      <c r="BU769" s="239">
        <f>M769/4</f>
        <v>0</v>
      </c>
      <c r="BV769" s="239">
        <f t="shared" si="84"/>
        <v>0</v>
      </c>
      <c r="BW769" s="239">
        <f t="shared" si="85"/>
        <v>0</v>
      </c>
      <c r="BX769" s="239">
        <f t="shared" si="86"/>
        <v>0</v>
      </c>
      <c r="CN769" s="238">
        <f t="shared" si="88"/>
        <v>0</v>
      </c>
      <c r="CO769" s="238">
        <f t="shared" si="89"/>
        <v>0</v>
      </c>
    </row>
    <row r="770" spans="1:93" ht="13.95" customHeight="1" x14ac:dyDescent="0.2">
      <c r="A770" s="231">
        <v>7143</v>
      </c>
      <c r="B770" s="232" t="s">
        <v>822</v>
      </c>
      <c r="C770" s="232" t="s">
        <v>2292</v>
      </c>
      <c r="D770" s="232" t="s">
        <v>705</v>
      </c>
      <c r="E770" s="232" t="s">
        <v>317</v>
      </c>
      <c r="F770" s="231">
        <v>527274</v>
      </c>
      <c r="G770" s="231">
        <v>174744</v>
      </c>
      <c r="H770" s="232" t="s">
        <v>169</v>
      </c>
      <c r="I770" s="233"/>
      <c r="J770" s="231"/>
      <c r="K770" s="231">
        <v>0</v>
      </c>
      <c r="L770" s="231">
        <v>1</v>
      </c>
      <c r="M770" s="231">
        <v>1</v>
      </c>
      <c r="N770" s="231">
        <v>1</v>
      </c>
      <c r="O770" s="231">
        <v>1</v>
      </c>
      <c r="P770" s="234"/>
      <c r="Q770" s="232" t="s">
        <v>2293</v>
      </c>
      <c r="R770" s="234" t="s">
        <v>332</v>
      </c>
      <c r="S770" s="235">
        <v>43924</v>
      </c>
      <c r="T770" s="235">
        <v>44056</v>
      </c>
      <c r="U770" s="234"/>
      <c r="V770" s="232" t="s">
        <v>321</v>
      </c>
      <c r="W770" s="231"/>
      <c r="X770" s="232" t="s">
        <v>322</v>
      </c>
      <c r="Y770" s="232" t="s">
        <v>323</v>
      </c>
      <c r="Z770" s="232" t="s">
        <v>324</v>
      </c>
      <c r="AA770" s="232" t="s">
        <v>349</v>
      </c>
      <c r="AB770" s="236">
        <v>2.8000000000000001E-2</v>
      </c>
      <c r="AC770" s="235"/>
      <c r="AD770" s="234"/>
      <c r="AE770" s="234"/>
      <c r="AF770" s="232" t="s">
        <v>77</v>
      </c>
      <c r="AG770" s="232" t="s">
        <v>350</v>
      </c>
      <c r="AH770" s="234" t="s">
        <v>317</v>
      </c>
      <c r="AJ770" s="234">
        <v>0</v>
      </c>
      <c r="AK770" s="224"/>
      <c r="AL770" s="234">
        <v>0</v>
      </c>
      <c r="AM770" s="224"/>
      <c r="AN770" s="234">
        <v>0</v>
      </c>
      <c r="AO770" s="234">
        <v>1</v>
      </c>
      <c r="AP770" s="234">
        <v>0</v>
      </c>
      <c r="AQ770" s="234">
        <v>0</v>
      </c>
      <c r="AR770" s="234">
        <v>0</v>
      </c>
      <c r="AS770" s="234">
        <v>0</v>
      </c>
      <c r="AT770" s="234">
        <v>0</v>
      </c>
      <c r="AU770" s="234">
        <v>0</v>
      </c>
      <c r="AV770" s="234">
        <v>0</v>
      </c>
      <c r="AW770" s="234">
        <v>0</v>
      </c>
      <c r="AX770" s="234">
        <v>0</v>
      </c>
      <c r="AY770" s="234">
        <v>0</v>
      </c>
      <c r="AZ770" s="234">
        <v>0</v>
      </c>
      <c r="BA770" s="234">
        <v>0</v>
      </c>
      <c r="BB770" s="234">
        <v>0</v>
      </c>
      <c r="BC770" s="234">
        <v>1</v>
      </c>
      <c r="BD770" s="234">
        <v>0</v>
      </c>
      <c r="BE770" s="234">
        <v>0</v>
      </c>
      <c r="BF770" s="234">
        <v>0</v>
      </c>
      <c r="BG770" s="234">
        <v>0</v>
      </c>
      <c r="BH770" s="234">
        <v>0</v>
      </c>
      <c r="BI770" s="234">
        <v>0</v>
      </c>
      <c r="BJ770" s="234">
        <v>0</v>
      </c>
      <c r="BK770" s="234">
        <v>0</v>
      </c>
      <c r="BL770" s="234">
        <v>0</v>
      </c>
      <c r="BM770" s="234">
        <v>0</v>
      </c>
      <c r="BN770" s="234">
        <v>0</v>
      </c>
      <c r="BO770" s="234">
        <v>0</v>
      </c>
      <c r="BP770" s="234"/>
      <c r="BQ770" s="234"/>
      <c r="BR770" s="237" t="s">
        <v>334</v>
      </c>
      <c r="BS770" s="238">
        <v>7</v>
      </c>
      <c r="BV770" s="239">
        <f t="shared" si="84"/>
        <v>0.25</v>
      </c>
      <c r="BW770" s="239">
        <f t="shared" si="85"/>
        <v>0.25</v>
      </c>
      <c r="BX770" s="239">
        <f t="shared" si="86"/>
        <v>0.25</v>
      </c>
      <c r="BY770" s="239">
        <f>M770/4</f>
        <v>0.25</v>
      </c>
      <c r="CN770" s="238">
        <f t="shared" si="88"/>
        <v>1</v>
      </c>
      <c r="CO770" s="238">
        <f t="shared" si="89"/>
        <v>1</v>
      </c>
    </row>
    <row r="771" spans="1:93" ht="13.95" customHeight="1" x14ac:dyDescent="0.2">
      <c r="A771" s="231">
        <v>7487</v>
      </c>
      <c r="B771" s="232" t="s">
        <v>822</v>
      </c>
      <c r="C771" s="232" t="s">
        <v>2019</v>
      </c>
      <c r="D771" s="232" t="s">
        <v>2020</v>
      </c>
      <c r="E771" s="232" t="s">
        <v>317</v>
      </c>
      <c r="F771" s="231">
        <v>527564</v>
      </c>
      <c r="G771" s="231">
        <v>170910</v>
      </c>
      <c r="H771" s="232" t="s">
        <v>177</v>
      </c>
      <c r="I771" s="233"/>
      <c r="J771" s="231"/>
      <c r="K771" s="231">
        <v>1</v>
      </c>
      <c r="L771" s="231">
        <v>1</v>
      </c>
      <c r="M771" s="231">
        <v>0</v>
      </c>
      <c r="N771" s="231">
        <v>2</v>
      </c>
      <c r="O771" s="231">
        <v>1</v>
      </c>
      <c r="P771" s="234"/>
      <c r="Q771" s="232" t="s">
        <v>2021</v>
      </c>
      <c r="R771" s="234" t="s">
        <v>332</v>
      </c>
      <c r="S771" s="235">
        <v>44155</v>
      </c>
      <c r="T771" s="235">
        <v>44300</v>
      </c>
      <c r="U771" s="234"/>
      <c r="V771" s="232" t="s">
        <v>321</v>
      </c>
      <c r="W771" s="231"/>
      <c r="X771" s="232" t="s">
        <v>322</v>
      </c>
      <c r="Y771" s="232" t="s">
        <v>338</v>
      </c>
      <c r="Z771" s="232" t="s">
        <v>324</v>
      </c>
      <c r="AA771" s="232" t="s">
        <v>411</v>
      </c>
      <c r="AB771" s="236">
        <v>8.0000000000000002E-3</v>
      </c>
      <c r="AC771" s="235"/>
      <c r="AD771" s="234"/>
      <c r="AE771" s="234"/>
      <c r="AF771" s="232" t="s">
        <v>77</v>
      </c>
      <c r="AG771" s="232" t="s">
        <v>350</v>
      </c>
      <c r="AH771" s="234" t="s">
        <v>317</v>
      </c>
      <c r="AJ771" s="234">
        <v>0</v>
      </c>
      <c r="AK771" s="224"/>
      <c r="AL771" s="234">
        <v>0</v>
      </c>
      <c r="AM771" s="224"/>
      <c r="AN771" s="234">
        <v>0</v>
      </c>
      <c r="AO771" s="234">
        <v>0</v>
      </c>
      <c r="AP771" s="234">
        <v>1</v>
      </c>
      <c r="AQ771" s="234">
        <v>-1</v>
      </c>
      <c r="AR771" s="234">
        <v>0</v>
      </c>
      <c r="AS771" s="234">
        <v>0</v>
      </c>
      <c r="AT771" s="234">
        <v>0</v>
      </c>
      <c r="AU771" s="234">
        <v>0</v>
      </c>
      <c r="AV771" s="234">
        <v>0</v>
      </c>
      <c r="AW771" s="234">
        <v>1</v>
      </c>
      <c r="AX771" s="234">
        <v>-1</v>
      </c>
      <c r="AY771" s="234">
        <v>0</v>
      </c>
      <c r="AZ771" s="234">
        <v>0</v>
      </c>
      <c r="BA771" s="234">
        <v>0</v>
      </c>
      <c r="BB771" s="234">
        <v>0</v>
      </c>
      <c r="BC771" s="234">
        <v>0</v>
      </c>
      <c r="BD771" s="234">
        <v>0</v>
      </c>
      <c r="BE771" s="234">
        <v>0</v>
      </c>
      <c r="BF771" s="234">
        <v>0</v>
      </c>
      <c r="BG771" s="234">
        <v>0</v>
      </c>
      <c r="BH771" s="234">
        <v>0</v>
      </c>
      <c r="BI771" s="234">
        <v>0</v>
      </c>
      <c r="BJ771" s="234">
        <v>0</v>
      </c>
      <c r="BK771" s="234">
        <v>0</v>
      </c>
      <c r="BL771" s="234">
        <v>0</v>
      </c>
      <c r="BM771" s="234">
        <v>0</v>
      </c>
      <c r="BN771" s="234">
        <v>0</v>
      </c>
      <c r="BO771" s="234">
        <v>0</v>
      </c>
      <c r="BP771" s="234"/>
      <c r="BQ771" s="234"/>
      <c r="BR771" s="237" t="s">
        <v>334</v>
      </c>
      <c r="BS771" s="238">
        <v>15</v>
      </c>
      <c r="BU771" s="239">
        <f>M771/4</f>
        <v>0</v>
      </c>
      <c r="BV771" s="239">
        <f t="shared" si="84"/>
        <v>0</v>
      </c>
      <c r="BW771" s="239">
        <f t="shared" si="85"/>
        <v>0</v>
      </c>
      <c r="BX771" s="239">
        <f t="shared" si="86"/>
        <v>0</v>
      </c>
      <c r="CN771" s="238">
        <f t="shared" si="88"/>
        <v>0</v>
      </c>
      <c r="CO771" s="238">
        <f t="shared" si="89"/>
        <v>0</v>
      </c>
    </row>
    <row r="772" spans="1:93" ht="13.95" customHeight="1" x14ac:dyDescent="0.2">
      <c r="A772" s="231">
        <v>7130</v>
      </c>
      <c r="B772" s="232" t="s">
        <v>822</v>
      </c>
      <c r="C772" s="232" t="s">
        <v>2022</v>
      </c>
      <c r="D772" s="232" t="s">
        <v>2023</v>
      </c>
      <c r="E772" s="232" t="s">
        <v>317</v>
      </c>
      <c r="F772" s="231">
        <v>527830</v>
      </c>
      <c r="G772" s="231">
        <v>174273</v>
      </c>
      <c r="H772" s="232" t="s">
        <v>169</v>
      </c>
      <c r="I772" s="233"/>
      <c r="J772" s="231"/>
      <c r="K772" s="231">
        <v>1</v>
      </c>
      <c r="L772" s="231">
        <v>1</v>
      </c>
      <c r="M772" s="231">
        <v>0</v>
      </c>
      <c r="N772" s="231">
        <v>2</v>
      </c>
      <c r="O772" s="231">
        <v>1</v>
      </c>
      <c r="P772" s="234"/>
      <c r="Q772" s="232" t="s">
        <v>2024</v>
      </c>
      <c r="R772" s="234" t="s">
        <v>332</v>
      </c>
      <c r="S772" s="235">
        <v>43676</v>
      </c>
      <c r="T772" s="235">
        <v>43725</v>
      </c>
      <c r="U772" s="234"/>
      <c r="V772" s="232" t="s">
        <v>321</v>
      </c>
      <c r="W772" s="231"/>
      <c r="X772" s="232" t="s">
        <v>322</v>
      </c>
      <c r="Y772" s="232" t="s">
        <v>338</v>
      </c>
      <c r="Z772" s="232" t="s">
        <v>324</v>
      </c>
      <c r="AA772" s="232" t="s">
        <v>15</v>
      </c>
      <c r="AB772" s="236">
        <v>7.0000000000000001E-3</v>
      </c>
      <c r="AC772" s="235"/>
      <c r="AD772" s="234"/>
      <c r="AE772" s="234"/>
      <c r="AF772" s="232" t="s">
        <v>77</v>
      </c>
      <c r="AG772" s="232" t="s">
        <v>350</v>
      </c>
      <c r="AH772" s="234" t="s">
        <v>317</v>
      </c>
      <c r="AJ772" s="234">
        <v>0</v>
      </c>
      <c r="AK772" s="224"/>
      <c r="AL772" s="234">
        <v>0</v>
      </c>
      <c r="AM772" s="224"/>
      <c r="AN772" s="234">
        <v>0</v>
      </c>
      <c r="AO772" s="234">
        <v>0</v>
      </c>
      <c r="AP772" s="234">
        <v>0</v>
      </c>
      <c r="AQ772" s="234">
        <v>1</v>
      </c>
      <c r="AR772" s="234">
        <v>-1</v>
      </c>
      <c r="AS772" s="234">
        <v>0</v>
      </c>
      <c r="AT772" s="234">
        <v>0</v>
      </c>
      <c r="AU772" s="234">
        <v>0</v>
      </c>
      <c r="AV772" s="234">
        <v>0</v>
      </c>
      <c r="AW772" s="234">
        <v>0</v>
      </c>
      <c r="AX772" s="234">
        <v>1</v>
      </c>
      <c r="AY772" s="234">
        <v>0</v>
      </c>
      <c r="AZ772" s="234">
        <v>0</v>
      </c>
      <c r="BA772" s="234">
        <v>0</v>
      </c>
      <c r="BB772" s="234">
        <v>0</v>
      </c>
      <c r="BC772" s="234">
        <v>0</v>
      </c>
      <c r="BD772" s="234">
        <v>0</v>
      </c>
      <c r="BE772" s="234">
        <v>0</v>
      </c>
      <c r="BF772" s="234">
        <v>-1</v>
      </c>
      <c r="BG772" s="234">
        <v>0</v>
      </c>
      <c r="BH772" s="234">
        <v>0</v>
      </c>
      <c r="BI772" s="234">
        <v>0</v>
      </c>
      <c r="BJ772" s="234">
        <v>0</v>
      </c>
      <c r="BK772" s="234">
        <v>0</v>
      </c>
      <c r="BL772" s="234">
        <v>0</v>
      </c>
      <c r="BM772" s="234">
        <v>0</v>
      </c>
      <c r="BN772" s="234">
        <v>0</v>
      </c>
      <c r="BO772" s="234">
        <v>0</v>
      </c>
      <c r="BP772" s="234"/>
      <c r="BQ772" s="234"/>
      <c r="BR772" s="237" t="s">
        <v>334</v>
      </c>
      <c r="BS772" s="238">
        <v>15</v>
      </c>
      <c r="BU772" s="239">
        <f>M772/4</f>
        <v>0</v>
      </c>
      <c r="BV772" s="239">
        <f t="shared" si="84"/>
        <v>0</v>
      </c>
      <c r="BW772" s="239">
        <f t="shared" si="85"/>
        <v>0</v>
      </c>
      <c r="BX772" s="239">
        <f t="shared" si="86"/>
        <v>0</v>
      </c>
      <c r="CN772" s="238">
        <f t="shared" si="88"/>
        <v>0</v>
      </c>
      <c r="CO772" s="238">
        <f t="shared" si="89"/>
        <v>0</v>
      </c>
    </row>
    <row r="773" spans="1:93" ht="13.95" customHeight="1" x14ac:dyDescent="0.2">
      <c r="A773" s="231">
        <v>7522</v>
      </c>
      <c r="B773" s="232" t="s">
        <v>822</v>
      </c>
      <c r="C773" s="232" t="s">
        <v>2294</v>
      </c>
      <c r="D773" s="232" t="s">
        <v>2295</v>
      </c>
      <c r="E773" s="232" t="s">
        <v>317</v>
      </c>
      <c r="F773" s="231">
        <v>523648</v>
      </c>
      <c r="G773" s="231">
        <v>176066</v>
      </c>
      <c r="H773" s="232" t="s">
        <v>175</v>
      </c>
      <c r="I773" s="233"/>
      <c r="J773" s="231"/>
      <c r="K773" s="231">
        <v>0</v>
      </c>
      <c r="L773" s="231">
        <v>1</v>
      </c>
      <c r="M773" s="231">
        <v>1</v>
      </c>
      <c r="N773" s="231">
        <v>1</v>
      </c>
      <c r="O773" s="231">
        <v>1</v>
      </c>
      <c r="P773" s="234"/>
      <c r="Q773" s="232" t="s">
        <v>2296</v>
      </c>
      <c r="R773" s="234" t="s">
        <v>332</v>
      </c>
      <c r="S773" s="235">
        <v>43991</v>
      </c>
      <c r="T773" s="235">
        <v>44263</v>
      </c>
      <c r="U773" s="234"/>
      <c r="V773" s="232" t="s">
        <v>321</v>
      </c>
      <c r="W773" s="231"/>
      <c r="X773" s="232" t="s">
        <v>322</v>
      </c>
      <c r="Y773" s="232" t="s">
        <v>323</v>
      </c>
      <c r="Z773" s="232" t="s">
        <v>324</v>
      </c>
      <c r="AA773" s="232" t="s">
        <v>349</v>
      </c>
      <c r="AB773" s="236">
        <v>1.9E-2</v>
      </c>
      <c r="AC773" s="235"/>
      <c r="AD773" s="234"/>
      <c r="AE773" s="234"/>
      <c r="AF773" s="232" t="s">
        <v>77</v>
      </c>
      <c r="AG773" s="232" t="s">
        <v>350</v>
      </c>
      <c r="AH773" s="234" t="s">
        <v>317</v>
      </c>
      <c r="AJ773" s="234">
        <v>0</v>
      </c>
      <c r="AK773" s="224"/>
      <c r="AL773" s="234">
        <v>0</v>
      </c>
      <c r="AM773" s="224"/>
      <c r="AN773" s="234">
        <v>0</v>
      </c>
      <c r="AO773" s="234">
        <v>0</v>
      </c>
      <c r="AP773" s="234">
        <v>1</v>
      </c>
      <c r="AQ773" s="234">
        <v>0</v>
      </c>
      <c r="AR773" s="234">
        <v>0</v>
      </c>
      <c r="AS773" s="234">
        <v>0</v>
      </c>
      <c r="AT773" s="234">
        <v>0</v>
      </c>
      <c r="AU773" s="234">
        <v>0</v>
      </c>
      <c r="AV773" s="234">
        <v>0</v>
      </c>
      <c r="AW773" s="234">
        <v>0</v>
      </c>
      <c r="AX773" s="234">
        <v>0</v>
      </c>
      <c r="AY773" s="234">
        <v>0</v>
      </c>
      <c r="AZ773" s="234">
        <v>0</v>
      </c>
      <c r="BA773" s="234">
        <v>0</v>
      </c>
      <c r="BB773" s="234">
        <v>0</v>
      </c>
      <c r="BC773" s="234">
        <v>0</v>
      </c>
      <c r="BD773" s="234">
        <v>1</v>
      </c>
      <c r="BE773" s="234">
        <v>0</v>
      </c>
      <c r="BF773" s="234">
        <v>0</v>
      </c>
      <c r="BG773" s="234">
        <v>0</v>
      </c>
      <c r="BH773" s="234">
        <v>0</v>
      </c>
      <c r="BI773" s="234">
        <v>0</v>
      </c>
      <c r="BJ773" s="234">
        <v>0</v>
      </c>
      <c r="BK773" s="234">
        <v>0</v>
      </c>
      <c r="BL773" s="234">
        <v>0</v>
      </c>
      <c r="BM773" s="234">
        <v>0</v>
      </c>
      <c r="BN773" s="234">
        <v>0</v>
      </c>
      <c r="BO773" s="234">
        <v>0</v>
      </c>
      <c r="BP773" s="234"/>
      <c r="BQ773" s="234"/>
      <c r="BR773" s="237" t="s">
        <v>481</v>
      </c>
      <c r="BS773" s="238">
        <v>7</v>
      </c>
      <c r="BV773" s="239">
        <f t="shared" si="84"/>
        <v>0.25</v>
      </c>
      <c r="BW773" s="239">
        <f t="shared" si="85"/>
        <v>0.25</v>
      </c>
      <c r="BX773" s="239">
        <f t="shared" si="86"/>
        <v>0.25</v>
      </c>
      <c r="BY773" s="239">
        <f>M773/4</f>
        <v>0.25</v>
      </c>
      <c r="CN773" s="238">
        <f t="shared" si="88"/>
        <v>1</v>
      </c>
      <c r="CO773" s="238">
        <f t="shared" si="89"/>
        <v>1</v>
      </c>
    </row>
    <row r="774" spans="1:93" ht="13.95" customHeight="1" x14ac:dyDescent="0.2">
      <c r="A774" s="231">
        <v>7152</v>
      </c>
      <c r="B774" s="232" t="s">
        <v>822</v>
      </c>
      <c r="C774" s="232" t="s">
        <v>2048</v>
      </c>
      <c r="D774" s="232" t="s">
        <v>2049</v>
      </c>
      <c r="E774" s="232" t="s">
        <v>317</v>
      </c>
      <c r="F774" s="231">
        <v>526518</v>
      </c>
      <c r="G774" s="231">
        <v>174839</v>
      </c>
      <c r="H774" s="232" t="s">
        <v>181</v>
      </c>
      <c r="I774" s="233"/>
      <c r="J774" s="231"/>
      <c r="K774" s="231">
        <v>1</v>
      </c>
      <c r="L774" s="231">
        <v>1</v>
      </c>
      <c r="M774" s="231">
        <v>0</v>
      </c>
      <c r="N774" s="231">
        <v>2</v>
      </c>
      <c r="O774" s="231">
        <v>1</v>
      </c>
      <c r="P774" s="234"/>
      <c r="Q774" s="232" t="s">
        <v>2050</v>
      </c>
      <c r="R774" s="234" t="s">
        <v>332</v>
      </c>
      <c r="S774" s="235">
        <v>43444</v>
      </c>
      <c r="T774" s="235">
        <v>43549</v>
      </c>
      <c r="U774" s="234"/>
      <c r="V774" s="232" t="s">
        <v>321</v>
      </c>
      <c r="W774" s="231"/>
      <c r="X774" s="232" t="s">
        <v>322</v>
      </c>
      <c r="Y774" s="232" t="s">
        <v>365</v>
      </c>
      <c r="Z774" s="232" t="s">
        <v>324</v>
      </c>
      <c r="AA774" s="232" t="s">
        <v>15</v>
      </c>
      <c r="AB774" s="236">
        <v>3.0000000000000001E-3</v>
      </c>
      <c r="AC774" s="235"/>
      <c r="AD774" s="234"/>
      <c r="AE774" s="234"/>
      <c r="AF774" s="232" t="s">
        <v>77</v>
      </c>
      <c r="AG774" s="232" t="s">
        <v>350</v>
      </c>
      <c r="AH774" s="234" t="s">
        <v>317</v>
      </c>
      <c r="AJ774" s="234">
        <v>0</v>
      </c>
      <c r="AK774" s="224"/>
      <c r="AL774" s="234">
        <v>0</v>
      </c>
      <c r="AM774" s="224"/>
      <c r="AN774" s="234">
        <v>0</v>
      </c>
      <c r="AO774" s="234">
        <v>1</v>
      </c>
      <c r="AP774" s="234">
        <v>0</v>
      </c>
      <c r="AQ774" s="234">
        <v>0</v>
      </c>
      <c r="AR774" s="234">
        <v>0</v>
      </c>
      <c r="AS774" s="234">
        <v>-1</v>
      </c>
      <c r="AT774" s="234">
        <v>0</v>
      </c>
      <c r="AU774" s="234">
        <v>0</v>
      </c>
      <c r="AV774" s="234">
        <v>1</v>
      </c>
      <c r="AW774" s="234">
        <v>0</v>
      </c>
      <c r="AX774" s="234">
        <v>0</v>
      </c>
      <c r="AY774" s="234">
        <v>0</v>
      </c>
      <c r="AZ774" s="234">
        <v>0</v>
      </c>
      <c r="BA774" s="234">
        <v>0</v>
      </c>
      <c r="BB774" s="234">
        <v>0</v>
      </c>
      <c r="BC774" s="234">
        <v>0</v>
      </c>
      <c r="BD774" s="234">
        <v>0</v>
      </c>
      <c r="BE774" s="234">
        <v>0</v>
      </c>
      <c r="BF774" s="234">
        <v>0</v>
      </c>
      <c r="BG774" s="234">
        <v>-1</v>
      </c>
      <c r="BH774" s="234">
        <v>0</v>
      </c>
      <c r="BI774" s="234">
        <v>0</v>
      </c>
      <c r="BJ774" s="234">
        <v>0</v>
      </c>
      <c r="BK774" s="234">
        <v>0</v>
      </c>
      <c r="BL774" s="234">
        <v>0</v>
      </c>
      <c r="BM774" s="234">
        <v>0</v>
      </c>
      <c r="BN774" s="234">
        <v>0</v>
      </c>
      <c r="BO774" s="234">
        <v>0</v>
      </c>
      <c r="BP774" s="234"/>
      <c r="BQ774" s="234"/>
      <c r="BR774" s="237" t="s">
        <v>334</v>
      </c>
      <c r="BS774" s="238">
        <v>15</v>
      </c>
      <c r="BU774" s="239">
        <f>M774/4</f>
        <v>0</v>
      </c>
      <c r="BV774" s="239">
        <f t="shared" si="84"/>
        <v>0</v>
      </c>
      <c r="BW774" s="239">
        <f t="shared" si="85"/>
        <v>0</v>
      </c>
      <c r="BX774" s="239">
        <f t="shared" si="86"/>
        <v>0</v>
      </c>
      <c r="CN774" s="238">
        <f t="shared" si="88"/>
        <v>0</v>
      </c>
      <c r="CO774" s="238">
        <f t="shared" si="89"/>
        <v>0</v>
      </c>
    </row>
    <row r="775" spans="1:93" ht="13.95" customHeight="1" x14ac:dyDescent="0.2">
      <c r="A775" s="231">
        <v>7468</v>
      </c>
      <c r="B775" s="232" t="s">
        <v>822</v>
      </c>
      <c r="C775" s="232" t="s">
        <v>2297</v>
      </c>
      <c r="D775" s="232" t="s">
        <v>2298</v>
      </c>
      <c r="E775" s="232" t="s">
        <v>317</v>
      </c>
      <c r="F775" s="231">
        <v>524935</v>
      </c>
      <c r="G775" s="231">
        <v>172719</v>
      </c>
      <c r="H775" s="232" t="s">
        <v>173</v>
      </c>
      <c r="I775" s="233">
        <v>44743</v>
      </c>
      <c r="J775" s="231"/>
      <c r="K775" s="231">
        <v>0</v>
      </c>
      <c r="L775" s="231">
        <v>1</v>
      </c>
      <c r="M775" s="231">
        <v>1</v>
      </c>
      <c r="N775" s="231">
        <v>1</v>
      </c>
      <c r="O775" s="231">
        <v>1</v>
      </c>
      <c r="P775" s="234"/>
      <c r="Q775" s="232" t="s">
        <v>2299</v>
      </c>
      <c r="R775" s="234" t="s">
        <v>332</v>
      </c>
      <c r="S775" s="235">
        <v>44083</v>
      </c>
      <c r="T775" s="235">
        <v>44181</v>
      </c>
      <c r="U775" s="234"/>
      <c r="V775" s="232" t="s">
        <v>321</v>
      </c>
      <c r="W775" s="231"/>
      <c r="X775" s="232" t="s">
        <v>322</v>
      </c>
      <c r="Y775" s="232" t="s">
        <v>323</v>
      </c>
      <c r="Z775" s="232" t="s">
        <v>324</v>
      </c>
      <c r="AA775" s="232" t="s">
        <v>349</v>
      </c>
      <c r="AB775" s="236">
        <v>1.7999999999999999E-2</v>
      </c>
      <c r="AC775" s="235"/>
      <c r="AD775" s="234"/>
      <c r="AE775" s="234"/>
      <c r="AF775" s="232" t="s">
        <v>77</v>
      </c>
      <c r="AG775" s="232" t="s">
        <v>350</v>
      </c>
      <c r="AH775" s="234" t="s">
        <v>317</v>
      </c>
      <c r="AJ775" s="234">
        <v>0</v>
      </c>
      <c r="AK775" s="224"/>
      <c r="AL775" s="234">
        <v>0</v>
      </c>
      <c r="AM775" s="224"/>
      <c r="AN775" s="234">
        <v>0</v>
      </c>
      <c r="AO775" s="234">
        <v>0</v>
      </c>
      <c r="AP775" s="234">
        <v>0</v>
      </c>
      <c r="AQ775" s="234">
        <v>0</v>
      </c>
      <c r="AR775" s="234">
        <v>0</v>
      </c>
      <c r="AS775" s="234">
        <v>1</v>
      </c>
      <c r="AT775" s="234">
        <v>0</v>
      </c>
      <c r="AU775" s="234">
        <v>0</v>
      </c>
      <c r="AV775" s="234">
        <v>0</v>
      </c>
      <c r="AW775" s="234">
        <v>0</v>
      </c>
      <c r="AX775" s="234">
        <v>0</v>
      </c>
      <c r="AY775" s="234">
        <v>0</v>
      </c>
      <c r="AZ775" s="234">
        <v>0</v>
      </c>
      <c r="BA775" s="234">
        <v>0</v>
      </c>
      <c r="BB775" s="234">
        <v>0</v>
      </c>
      <c r="BC775" s="234">
        <v>0</v>
      </c>
      <c r="BD775" s="234">
        <v>0</v>
      </c>
      <c r="BE775" s="234">
        <v>0</v>
      </c>
      <c r="BF775" s="234">
        <v>0</v>
      </c>
      <c r="BG775" s="234">
        <v>1</v>
      </c>
      <c r="BH775" s="234">
        <v>0</v>
      </c>
      <c r="BI775" s="234">
        <v>0</v>
      </c>
      <c r="BJ775" s="234">
        <v>0</v>
      </c>
      <c r="BK775" s="234">
        <v>0</v>
      </c>
      <c r="BL775" s="234">
        <v>0</v>
      </c>
      <c r="BM775" s="234">
        <v>0</v>
      </c>
      <c r="BN775" s="234">
        <v>0</v>
      </c>
      <c r="BO775" s="234">
        <v>0</v>
      </c>
      <c r="BP775" s="234"/>
      <c r="BQ775" s="234"/>
      <c r="BR775" s="237" t="s">
        <v>334</v>
      </c>
      <c r="BS775" s="238">
        <v>7</v>
      </c>
      <c r="BV775" s="239">
        <f t="shared" si="84"/>
        <v>0.25</v>
      </c>
      <c r="BW775" s="239">
        <f t="shared" si="85"/>
        <v>0.25</v>
      </c>
      <c r="BX775" s="239">
        <f t="shared" si="86"/>
        <v>0.25</v>
      </c>
      <c r="BY775" s="239">
        <f>M775/4</f>
        <v>0.25</v>
      </c>
      <c r="CN775" s="238">
        <f t="shared" si="88"/>
        <v>1</v>
      </c>
      <c r="CO775" s="238">
        <f t="shared" si="89"/>
        <v>1</v>
      </c>
    </row>
    <row r="776" spans="1:93" ht="13.95" customHeight="1" x14ac:dyDescent="0.2">
      <c r="A776" s="231">
        <v>7466</v>
      </c>
      <c r="B776" s="232" t="s">
        <v>822</v>
      </c>
      <c r="C776" s="232" t="s">
        <v>2107</v>
      </c>
      <c r="D776" s="232" t="s">
        <v>2108</v>
      </c>
      <c r="E776" s="232" t="s">
        <v>317</v>
      </c>
      <c r="F776" s="231">
        <v>527275</v>
      </c>
      <c r="G776" s="231">
        <v>175225</v>
      </c>
      <c r="H776" s="232" t="s">
        <v>167</v>
      </c>
      <c r="I776" s="233"/>
      <c r="J776" s="231"/>
      <c r="K776" s="231">
        <v>1</v>
      </c>
      <c r="L776" s="231">
        <v>1</v>
      </c>
      <c r="M776" s="231">
        <v>0</v>
      </c>
      <c r="N776" s="231">
        <v>2</v>
      </c>
      <c r="O776" s="231">
        <v>1</v>
      </c>
      <c r="P776" s="234"/>
      <c r="Q776" s="232" t="s">
        <v>2109</v>
      </c>
      <c r="R776" s="234" t="s">
        <v>332</v>
      </c>
      <c r="S776" s="235">
        <v>44064</v>
      </c>
      <c r="T776" s="235">
        <v>44162</v>
      </c>
      <c r="U776" s="234"/>
      <c r="V776" s="232" t="s">
        <v>321</v>
      </c>
      <c r="W776" s="231"/>
      <c r="X776" s="232" t="s">
        <v>322</v>
      </c>
      <c r="Y776" s="232" t="s">
        <v>338</v>
      </c>
      <c r="Z776" s="232" t="s">
        <v>324</v>
      </c>
      <c r="AA776" s="232" t="s">
        <v>354</v>
      </c>
      <c r="AB776" s="236">
        <v>6.0000000000000001E-3</v>
      </c>
      <c r="AC776" s="235"/>
      <c r="AD776" s="234"/>
      <c r="AE776" s="234"/>
      <c r="AF776" s="232" t="s">
        <v>77</v>
      </c>
      <c r="AG776" s="232" t="s">
        <v>350</v>
      </c>
      <c r="AH776" s="234" t="s">
        <v>317</v>
      </c>
      <c r="AJ776" s="234">
        <v>0</v>
      </c>
      <c r="AK776" s="224"/>
      <c r="AL776" s="234">
        <v>0</v>
      </c>
      <c r="AM776" s="224"/>
      <c r="AN776" s="234">
        <v>0</v>
      </c>
      <c r="AO776" s="234">
        <v>1</v>
      </c>
      <c r="AP776" s="234">
        <v>0</v>
      </c>
      <c r="AQ776" s="234">
        <v>0</v>
      </c>
      <c r="AR776" s="234">
        <v>-1</v>
      </c>
      <c r="AS776" s="234">
        <v>0</v>
      </c>
      <c r="AT776" s="234">
        <v>0</v>
      </c>
      <c r="AU776" s="234">
        <v>0</v>
      </c>
      <c r="AV776" s="234">
        <v>1</v>
      </c>
      <c r="AW776" s="234">
        <v>0</v>
      </c>
      <c r="AX776" s="234">
        <v>0</v>
      </c>
      <c r="AY776" s="234">
        <v>-1</v>
      </c>
      <c r="AZ776" s="234">
        <v>0</v>
      </c>
      <c r="BA776" s="234">
        <v>0</v>
      </c>
      <c r="BB776" s="234">
        <v>0</v>
      </c>
      <c r="BC776" s="234">
        <v>0</v>
      </c>
      <c r="BD776" s="234">
        <v>0</v>
      </c>
      <c r="BE776" s="234">
        <v>0</v>
      </c>
      <c r="BF776" s="234">
        <v>0</v>
      </c>
      <c r="BG776" s="234">
        <v>0</v>
      </c>
      <c r="BH776" s="234">
        <v>0</v>
      </c>
      <c r="BI776" s="234">
        <v>0</v>
      </c>
      <c r="BJ776" s="234">
        <v>0</v>
      </c>
      <c r="BK776" s="234">
        <v>0</v>
      </c>
      <c r="BL776" s="234">
        <v>0</v>
      </c>
      <c r="BM776" s="234">
        <v>0</v>
      </c>
      <c r="BN776" s="234">
        <v>0</v>
      </c>
      <c r="BO776" s="234">
        <v>0</v>
      </c>
      <c r="BP776" s="234"/>
      <c r="BQ776" s="234"/>
      <c r="BR776" s="237" t="s">
        <v>150</v>
      </c>
      <c r="BS776" s="238">
        <v>15</v>
      </c>
      <c r="BU776" s="239">
        <f t="shared" ref="BU776:BU785" si="90">M776/4</f>
        <v>0</v>
      </c>
      <c r="BV776" s="239">
        <f t="shared" si="84"/>
        <v>0</v>
      </c>
      <c r="BW776" s="239">
        <f t="shared" si="85"/>
        <v>0</v>
      </c>
      <c r="BX776" s="239">
        <f t="shared" si="86"/>
        <v>0</v>
      </c>
      <c r="CN776" s="238">
        <f t="shared" si="88"/>
        <v>0</v>
      </c>
      <c r="CO776" s="238">
        <f t="shared" si="89"/>
        <v>0</v>
      </c>
    </row>
    <row r="777" spans="1:93" ht="13.95" customHeight="1" x14ac:dyDescent="0.2">
      <c r="A777" s="231">
        <v>7864</v>
      </c>
      <c r="B777" s="232" t="s">
        <v>822</v>
      </c>
      <c r="C777" s="232" t="s">
        <v>2300</v>
      </c>
      <c r="D777" s="232" t="s">
        <v>2301</v>
      </c>
      <c r="E777" s="232" t="s">
        <v>317</v>
      </c>
      <c r="F777" s="231">
        <v>522892</v>
      </c>
      <c r="G777" s="231">
        <v>175932</v>
      </c>
      <c r="H777" s="232" t="s">
        <v>175</v>
      </c>
      <c r="I777" s="233"/>
      <c r="J777" s="231"/>
      <c r="K777" s="231">
        <v>1</v>
      </c>
      <c r="L777" s="231">
        <v>1</v>
      </c>
      <c r="M777" s="231">
        <v>0</v>
      </c>
      <c r="N777" s="231">
        <v>1</v>
      </c>
      <c r="O777" s="231">
        <v>0</v>
      </c>
      <c r="P777" s="234"/>
      <c r="Q777" s="232" t="s">
        <v>2302</v>
      </c>
      <c r="R777" s="234" t="s">
        <v>332</v>
      </c>
      <c r="S777" s="235">
        <v>44763</v>
      </c>
      <c r="T777" s="235">
        <v>44827</v>
      </c>
      <c r="U777" s="234" t="s">
        <v>318</v>
      </c>
      <c r="V777" s="232" t="s">
        <v>321</v>
      </c>
      <c r="W777" s="231"/>
      <c r="X777" s="232" t="s">
        <v>322</v>
      </c>
      <c r="Y777" s="232" t="s">
        <v>365</v>
      </c>
      <c r="Z777" s="232" t="s">
        <v>324</v>
      </c>
      <c r="AA777" s="232" t="s">
        <v>34</v>
      </c>
      <c r="AB777" s="236">
        <v>3.5000000000000001E-3</v>
      </c>
      <c r="AC777" s="235"/>
      <c r="AD777" s="234"/>
      <c r="AE777" s="234"/>
      <c r="AF777" s="232" t="s">
        <v>77</v>
      </c>
      <c r="AG777" s="232" t="s">
        <v>350</v>
      </c>
      <c r="AH777" s="234" t="s">
        <v>317</v>
      </c>
      <c r="AJ777" s="234">
        <v>0</v>
      </c>
      <c r="AK777" s="224"/>
      <c r="AL777" s="234">
        <v>0</v>
      </c>
      <c r="AM777" s="224"/>
      <c r="AN777" s="234">
        <v>0</v>
      </c>
      <c r="AO777" s="234">
        <v>1</v>
      </c>
      <c r="AP777" s="234">
        <v>-1</v>
      </c>
      <c r="AQ777" s="234">
        <v>0</v>
      </c>
      <c r="AR777" s="234">
        <v>0</v>
      </c>
      <c r="AS777" s="234">
        <v>0</v>
      </c>
      <c r="AT777" s="234">
        <v>0</v>
      </c>
      <c r="AU777" s="234">
        <v>0</v>
      </c>
      <c r="AV777" s="234">
        <v>1</v>
      </c>
      <c r="AW777" s="234">
        <v>0</v>
      </c>
      <c r="AX777" s="234">
        <v>0</v>
      </c>
      <c r="AY777" s="234">
        <v>0</v>
      </c>
      <c r="AZ777" s="234">
        <v>0</v>
      </c>
      <c r="BA777" s="234">
        <v>0</v>
      </c>
      <c r="BB777" s="234">
        <v>0</v>
      </c>
      <c r="BC777" s="234">
        <v>0</v>
      </c>
      <c r="BD777" s="234">
        <v>-1</v>
      </c>
      <c r="BE777" s="234">
        <v>0</v>
      </c>
      <c r="BF777" s="234">
        <v>0</v>
      </c>
      <c r="BG777" s="234">
        <v>0</v>
      </c>
      <c r="BH777" s="234">
        <v>0</v>
      </c>
      <c r="BI777" s="234">
        <v>0</v>
      </c>
      <c r="BJ777" s="234">
        <v>0</v>
      </c>
      <c r="BK777" s="234">
        <v>0</v>
      </c>
      <c r="BL777" s="234">
        <v>0</v>
      </c>
      <c r="BM777" s="234">
        <v>0</v>
      </c>
      <c r="BN777" s="234">
        <v>0</v>
      </c>
      <c r="BO777" s="234">
        <v>0</v>
      </c>
      <c r="BP777" s="234"/>
      <c r="BQ777" s="234"/>
      <c r="BR777" s="237" t="s">
        <v>334</v>
      </c>
      <c r="BS777" s="238">
        <v>15</v>
      </c>
      <c r="BU777" s="239">
        <f t="shared" si="90"/>
        <v>0</v>
      </c>
      <c r="BV777" s="239">
        <f t="shared" si="84"/>
        <v>0</v>
      </c>
      <c r="BW777" s="239">
        <f t="shared" si="85"/>
        <v>0</v>
      </c>
      <c r="BX777" s="239">
        <f t="shared" si="86"/>
        <v>0</v>
      </c>
      <c r="CN777" s="238">
        <f t="shared" si="88"/>
        <v>0</v>
      </c>
      <c r="CO777" s="238">
        <f t="shared" si="89"/>
        <v>0</v>
      </c>
    </row>
    <row r="778" spans="1:93" ht="13.95" customHeight="1" x14ac:dyDescent="0.2">
      <c r="A778" s="231">
        <v>5171</v>
      </c>
      <c r="B778" s="232" t="s">
        <v>822</v>
      </c>
      <c r="C778" s="232" t="s">
        <v>2303</v>
      </c>
      <c r="D778" s="232" t="s">
        <v>2304</v>
      </c>
      <c r="E778" s="232" t="s">
        <v>317</v>
      </c>
      <c r="F778" s="231">
        <v>524335</v>
      </c>
      <c r="G778" s="231">
        <v>174296</v>
      </c>
      <c r="H778" s="232" t="s">
        <v>164</v>
      </c>
      <c r="I778" s="233"/>
      <c r="J778" s="231"/>
      <c r="K778" s="231">
        <v>1</v>
      </c>
      <c r="L778" s="231">
        <v>1</v>
      </c>
      <c r="M778" s="231">
        <v>0</v>
      </c>
      <c r="N778" s="231">
        <v>1</v>
      </c>
      <c r="O778" s="231">
        <v>0</v>
      </c>
      <c r="P778" s="234"/>
      <c r="Q778" s="232" t="s">
        <v>2305</v>
      </c>
      <c r="R778" s="234" t="s">
        <v>332</v>
      </c>
      <c r="S778" s="235">
        <v>43432</v>
      </c>
      <c r="T778" s="235">
        <v>43495</v>
      </c>
      <c r="U778" s="234"/>
      <c r="V778" s="232" t="s">
        <v>321</v>
      </c>
      <c r="W778" s="231"/>
      <c r="X778" s="232" t="s">
        <v>322</v>
      </c>
      <c r="Y778" s="232" t="s">
        <v>365</v>
      </c>
      <c r="Z778" s="232" t="s">
        <v>324</v>
      </c>
      <c r="AA778" s="232" t="s">
        <v>411</v>
      </c>
      <c r="AB778" s="236">
        <v>1.4E-2</v>
      </c>
      <c r="AC778" s="235"/>
      <c r="AD778" s="234"/>
      <c r="AE778" s="234"/>
      <c r="AF778" s="232" t="s">
        <v>77</v>
      </c>
      <c r="AG778" s="232" t="s">
        <v>350</v>
      </c>
      <c r="AH778" s="234" t="s">
        <v>317</v>
      </c>
      <c r="AJ778" s="234">
        <v>0</v>
      </c>
      <c r="AK778" s="224"/>
      <c r="AL778" s="234">
        <v>0</v>
      </c>
      <c r="AM778" s="224"/>
      <c r="AN778" s="234">
        <v>-1</v>
      </c>
      <c r="AO778" s="234">
        <v>1</v>
      </c>
      <c r="AP778" s="234">
        <v>0</v>
      </c>
      <c r="AQ778" s="234">
        <v>0</v>
      </c>
      <c r="AR778" s="234">
        <v>0</v>
      </c>
      <c r="AS778" s="234">
        <v>0</v>
      </c>
      <c r="AT778" s="234">
        <v>0</v>
      </c>
      <c r="AU778" s="234">
        <v>-1</v>
      </c>
      <c r="AV778" s="234">
        <v>1</v>
      </c>
      <c r="AW778" s="234">
        <v>0</v>
      </c>
      <c r="AX778" s="234">
        <v>0</v>
      </c>
      <c r="AY778" s="234">
        <v>0</v>
      </c>
      <c r="AZ778" s="234">
        <v>0</v>
      </c>
      <c r="BA778" s="234">
        <v>0</v>
      </c>
      <c r="BB778" s="234">
        <v>0</v>
      </c>
      <c r="BC778" s="234">
        <v>0</v>
      </c>
      <c r="BD778" s="234">
        <v>0</v>
      </c>
      <c r="BE778" s="234">
        <v>0</v>
      </c>
      <c r="BF778" s="234">
        <v>0</v>
      </c>
      <c r="BG778" s="234">
        <v>0</v>
      </c>
      <c r="BH778" s="234">
        <v>0</v>
      </c>
      <c r="BI778" s="234">
        <v>0</v>
      </c>
      <c r="BJ778" s="234">
        <v>0</v>
      </c>
      <c r="BK778" s="234">
        <v>0</v>
      </c>
      <c r="BL778" s="234">
        <v>0</v>
      </c>
      <c r="BM778" s="234">
        <v>0</v>
      </c>
      <c r="BN778" s="234">
        <v>0</v>
      </c>
      <c r="BO778" s="234">
        <v>0</v>
      </c>
      <c r="BP778" s="234"/>
      <c r="BQ778" s="234"/>
      <c r="BR778" s="237" t="s">
        <v>334</v>
      </c>
      <c r="BS778" s="238">
        <v>15</v>
      </c>
      <c r="BU778" s="239">
        <f t="shared" si="90"/>
        <v>0</v>
      </c>
      <c r="BV778" s="239">
        <f t="shared" si="84"/>
        <v>0</v>
      </c>
      <c r="BW778" s="239">
        <f t="shared" si="85"/>
        <v>0</v>
      </c>
      <c r="BX778" s="239">
        <f t="shared" si="86"/>
        <v>0</v>
      </c>
      <c r="CN778" s="238">
        <f t="shared" si="88"/>
        <v>0</v>
      </c>
      <c r="CO778" s="238">
        <f t="shared" si="89"/>
        <v>0</v>
      </c>
    </row>
    <row r="779" spans="1:93" ht="13.95" customHeight="1" x14ac:dyDescent="0.2">
      <c r="A779" s="231">
        <v>6952</v>
      </c>
      <c r="B779" s="232" t="s">
        <v>822</v>
      </c>
      <c r="C779" s="232" t="s">
        <v>2306</v>
      </c>
      <c r="D779" s="232" t="s">
        <v>2307</v>
      </c>
      <c r="E779" s="232" t="s">
        <v>317</v>
      </c>
      <c r="F779" s="231">
        <v>522554</v>
      </c>
      <c r="G779" s="231">
        <v>175400</v>
      </c>
      <c r="H779" s="232" t="s">
        <v>183</v>
      </c>
      <c r="I779" s="233"/>
      <c r="J779" s="231"/>
      <c r="K779" s="231">
        <v>1</v>
      </c>
      <c r="L779" s="231">
        <v>1</v>
      </c>
      <c r="M779" s="231">
        <v>0</v>
      </c>
      <c r="N779" s="231">
        <v>1</v>
      </c>
      <c r="O779" s="231">
        <v>0</v>
      </c>
      <c r="P779" s="234"/>
      <c r="Q779" s="232" t="s">
        <v>2308</v>
      </c>
      <c r="R779" s="234" t="s">
        <v>332</v>
      </c>
      <c r="S779" s="235">
        <v>44684</v>
      </c>
      <c r="T779" s="235">
        <v>44740</v>
      </c>
      <c r="U779" s="234" t="s">
        <v>318</v>
      </c>
      <c r="V779" s="232" t="s">
        <v>321</v>
      </c>
      <c r="W779" s="231"/>
      <c r="X779" s="232" t="s">
        <v>322</v>
      </c>
      <c r="Y779" s="232" t="s">
        <v>338</v>
      </c>
      <c r="Z779" s="232" t="s">
        <v>324</v>
      </c>
      <c r="AA779" s="232" t="s">
        <v>411</v>
      </c>
      <c r="AB779" s="236">
        <v>8.9999999999999993E-3</v>
      </c>
      <c r="AC779" s="235"/>
      <c r="AD779" s="234"/>
      <c r="AE779" s="234"/>
      <c r="AF779" s="232" t="s">
        <v>77</v>
      </c>
      <c r="AG779" s="232" t="s">
        <v>350</v>
      </c>
      <c r="AH779" s="234" t="s">
        <v>317</v>
      </c>
      <c r="AJ779" s="234">
        <v>0</v>
      </c>
      <c r="AK779" s="224"/>
      <c r="AL779" s="234">
        <v>0</v>
      </c>
      <c r="AM779" s="224"/>
      <c r="AN779" s="234">
        <v>0</v>
      </c>
      <c r="AO779" s="234">
        <v>-1</v>
      </c>
      <c r="AP779" s="234">
        <v>0</v>
      </c>
      <c r="AQ779" s="234">
        <v>1</v>
      </c>
      <c r="AR779" s="234">
        <v>0</v>
      </c>
      <c r="AS779" s="234">
        <v>0</v>
      </c>
      <c r="AT779" s="234">
        <v>0</v>
      </c>
      <c r="AU779" s="234">
        <v>0</v>
      </c>
      <c r="AV779" s="234">
        <v>-1</v>
      </c>
      <c r="AW779" s="234">
        <v>0</v>
      </c>
      <c r="AX779" s="234">
        <v>1</v>
      </c>
      <c r="AY779" s="234">
        <v>0</v>
      </c>
      <c r="AZ779" s="234">
        <v>0</v>
      </c>
      <c r="BA779" s="234">
        <v>0</v>
      </c>
      <c r="BB779" s="234">
        <v>0</v>
      </c>
      <c r="BC779" s="234">
        <v>0</v>
      </c>
      <c r="BD779" s="234">
        <v>0</v>
      </c>
      <c r="BE779" s="234">
        <v>0</v>
      </c>
      <c r="BF779" s="234">
        <v>0</v>
      </c>
      <c r="BG779" s="234">
        <v>0</v>
      </c>
      <c r="BH779" s="234">
        <v>0</v>
      </c>
      <c r="BI779" s="234">
        <v>0</v>
      </c>
      <c r="BJ779" s="234">
        <v>0</v>
      </c>
      <c r="BK779" s="234">
        <v>0</v>
      </c>
      <c r="BL779" s="234">
        <v>0</v>
      </c>
      <c r="BM779" s="234">
        <v>0</v>
      </c>
      <c r="BN779" s="234">
        <v>0</v>
      </c>
      <c r="BO779" s="234">
        <v>0</v>
      </c>
      <c r="BP779" s="234"/>
      <c r="BQ779" s="234"/>
      <c r="BR779" s="237" t="s">
        <v>334</v>
      </c>
      <c r="BS779" s="238">
        <v>15</v>
      </c>
      <c r="BU779" s="239">
        <f t="shared" si="90"/>
        <v>0</v>
      </c>
      <c r="BV779" s="239">
        <f t="shared" si="84"/>
        <v>0</v>
      </c>
      <c r="BW779" s="239">
        <f t="shared" si="85"/>
        <v>0</v>
      </c>
      <c r="BX779" s="239">
        <f t="shared" si="86"/>
        <v>0</v>
      </c>
      <c r="CN779" s="238">
        <f t="shared" si="88"/>
        <v>0</v>
      </c>
      <c r="CO779" s="238">
        <f t="shared" si="89"/>
        <v>0</v>
      </c>
    </row>
    <row r="780" spans="1:93" ht="13.95" customHeight="1" x14ac:dyDescent="0.2">
      <c r="A780" s="231">
        <v>7913</v>
      </c>
      <c r="B780" s="232" t="s">
        <v>822</v>
      </c>
      <c r="C780" s="232" t="s">
        <v>2309</v>
      </c>
      <c r="D780" s="232" t="s">
        <v>2310</v>
      </c>
      <c r="E780" s="232" t="s">
        <v>317</v>
      </c>
      <c r="F780" s="231">
        <v>522974</v>
      </c>
      <c r="G780" s="231">
        <v>175158</v>
      </c>
      <c r="H780" s="232" t="s">
        <v>183</v>
      </c>
      <c r="I780" s="233"/>
      <c r="J780" s="231"/>
      <c r="K780" s="231">
        <v>2</v>
      </c>
      <c r="L780" s="231">
        <v>1</v>
      </c>
      <c r="M780" s="231">
        <v>-1</v>
      </c>
      <c r="N780" s="231">
        <v>1</v>
      </c>
      <c r="O780" s="231">
        <v>-1</v>
      </c>
      <c r="P780" s="234"/>
      <c r="Q780" s="232" t="s">
        <v>2311</v>
      </c>
      <c r="R780" s="234" t="s">
        <v>332</v>
      </c>
      <c r="S780" s="235">
        <v>44881</v>
      </c>
      <c r="T780" s="235">
        <v>44952</v>
      </c>
      <c r="U780" s="234" t="s">
        <v>318</v>
      </c>
      <c r="V780" s="232" t="s">
        <v>321</v>
      </c>
      <c r="W780" s="231"/>
      <c r="X780" s="232" t="s">
        <v>322</v>
      </c>
      <c r="Y780" s="232" t="s">
        <v>338</v>
      </c>
      <c r="Z780" s="232" t="s">
        <v>324</v>
      </c>
      <c r="AA780" s="232" t="s">
        <v>17</v>
      </c>
      <c r="AB780" s="236">
        <v>6.2E-2</v>
      </c>
      <c r="AC780" s="235"/>
      <c r="AD780" s="234"/>
      <c r="AE780" s="234"/>
      <c r="AF780" s="232" t="s">
        <v>77</v>
      </c>
      <c r="AG780" s="232" t="s">
        <v>350</v>
      </c>
      <c r="AH780" s="234" t="s">
        <v>317</v>
      </c>
      <c r="AJ780" s="234">
        <v>0</v>
      </c>
      <c r="AK780" s="224"/>
      <c r="AL780" s="234">
        <v>0</v>
      </c>
      <c r="AM780" s="224"/>
      <c r="AN780" s="234">
        <v>0</v>
      </c>
      <c r="AO780" s="234">
        <v>0</v>
      </c>
      <c r="AP780" s="234">
        <v>0</v>
      </c>
      <c r="AQ780" s="234">
        <v>0</v>
      </c>
      <c r="AR780" s="234">
        <v>0</v>
      </c>
      <c r="AS780" s="234">
        <v>1</v>
      </c>
      <c r="AT780" s="234">
        <v>-2</v>
      </c>
      <c r="AU780" s="234">
        <v>0</v>
      </c>
      <c r="AV780" s="234">
        <v>0</v>
      </c>
      <c r="AW780" s="234">
        <v>0</v>
      </c>
      <c r="AX780" s="234">
        <v>0</v>
      </c>
      <c r="AY780" s="234">
        <v>0</v>
      </c>
      <c r="AZ780" s="234">
        <v>0</v>
      </c>
      <c r="BA780" s="234">
        <v>-2</v>
      </c>
      <c r="BB780" s="234">
        <v>0</v>
      </c>
      <c r="BC780" s="234">
        <v>0</v>
      </c>
      <c r="BD780" s="234">
        <v>0</v>
      </c>
      <c r="BE780" s="234">
        <v>0</v>
      </c>
      <c r="BF780" s="234">
        <v>0</v>
      </c>
      <c r="BG780" s="234">
        <v>1</v>
      </c>
      <c r="BH780" s="234">
        <v>0</v>
      </c>
      <c r="BI780" s="234">
        <v>0</v>
      </c>
      <c r="BJ780" s="234">
        <v>0</v>
      </c>
      <c r="BK780" s="234">
        <v>0</v>
      </c>
      <c r="BL780" s="234">
        <v>0</v>
      </c>
      <c r="BM780" s="234">
        <v>0</v>
      </c>
      <c r="BN780" s="234">
        <v>0</v>
      </c>
      <c r="BO780" s="234">
        <v>0</v>
      </c>
      <c r="BP780" s="234"/>
      <c r="BQ780" s="234"/>
      <c r="BR780" s="237" t="s">
        <v>334</v>
      </c>
      <c r="BS780" s="238">
        <v>15</v>
      </c>
      <c r="BU780" s="239">
        <f t="shared" si="90"/>
        <v>-0.25</v>
      </c>
      <c r="BV780" s="239">
        <f t="shared" si="84"/>
        <v>-0.25</v>
      </c>
      <c r="BW780" s="239">
        <f t="shared" si="85"/>
        <v>-0.25</v>
      </c>
      <c r="BX780" s="239">
        <f t="shared" si="86"/>
        <v>-0.25</v>
      </c>
      <c r="CN780" s="238">
        <f t="shared" si="88"/>
        <v>-1</v>
      </c>
      <c r="CO780" s="238">
        <f t="shared" si="89"/>
        <v>-1</v>
      </c>
    </row>
    <row r="781" spans="1:93" ht="13.95" customHeight="1" x14ac:dyDescent="0.2">
      <c r="A781" s="231">
        <v>7875</v>
      </c>
      <c r="B781" s="232" t="s">
        <v>822</v>
      </c>
      <c r="C781" s="232" t="s">
        <v>2312</v>
      </c>
      <c r="D781" s="232" t="s">
        <v>2313</v>
      </c>
      <c r="E781" s="232" t="s">
        <v>317</v>
      </c>
      <c r="F781" s="231">
        <v>521424</v>
      </c>
      <c r="G781" s="231">
        <v>175172</v>
      </c>
      <c r="H781" s="232" t="s">
        <v>170</v>
      </c>
      <c r="I781" s="233"/>
      <c r="J781" s="231"/>
      <c r="K781" s="231">
        <v>1</v>
      </c>
      <c r="L781" s="231">
        <v>0</v>
      </c>
      <c r="M781" s="231">
        <v>-1</v>
      </c>
      <c r="N781" s="231">
        <v>0</v>
      </c>
      <c r="O781" s="231">
        <v>-1</v>
      </c>
      <c r="P781" s="234"/>
      <c r="Q781" s="232" t="s">
        <v>2314</v>
      </c>
      <c r="R781" s="234" t="s">
        <v>332</v>
      </c>
      <c r="S781" s="235">
        <v>44803</v>
      </c>
      <c r="T781" s="235">
        <v>44881</v>
      </c>
      <c r="U781" s="234" t="s">
        <v>318</v>
      </c>
      <c r="V781" s="232" t="s">
        <v>321</v>
      </c>
      <c r="W781" s="231"/>
      <c r="X781" s="232" t="s">
        <v>322</v>
      </c>
      <c r="Y781" s="232" t="s">
        <v>365</v>
      </c>
      <c r="Z781" s="232" t="s">
        <v>324</v>
      </c>
      <c r="AA781" s="232" t="s">
        <v>2051</v>
      </c>
      <c r="AB781" s="236">
        <v>1.8E-3</v>
      </c>
      <c r="AC781" s="235"/>
      <c r="AD781" s="234"/>
      <c r="AE781" s="234"/>
      <c r="AF781" s="232" t="s">
        <v>77</v>
      </c>
      <c r="AG781" s="232" t="s">
        <v>350</v>
      </c>
      <c r="AH781" s="234" t="s">
        <v>317</v>
      </c>
      <c r="AJ781" s="234">
        <v>0</v>
      </c>
      <c r="AK781" s="224"/>
      <c r="AL781" s="234">
        <v>0</v>
      </c>
      <c r="AM781" s="224"/>
      <c r="AN781" s="234">
        <v>-1</v>
      </c>
      <c r="AO781" s="234">
        <v>0</v>
      </c>
      <c r="AP781" s="234">
        <v>0</v>
      </c>
      <c r="AQ781" s="234">
        <v>0</v>
      </c>
      <c r="AR781" s="234">
        <v>0</v>
      </c>
      <c r="AS781" s="234">
        <v>0</v>
      </c>
      <c r="AT781" s="234">
        <v>0</v>
      </c>
      <c r="AU781" s="234">
        <v>-1</v>
      </c>
      <c r="AV781" s="234">
        <v>0</v>
      </c>
      <c r="AW781" s="234">
        <v>0</v>
      </c>
      <c r="AX781" s="234">
        <v>0</v>
      </c>
      <c r="AY781" s="234">
        <v>0</v>
      </c>
      <c r="AZ781" s="234">
        <v>0</v>
      </c>
      <c r="BA781" s="234">
        <v>0</v>
      </c>
      <c r="BB781" s="234">
        <v>0</v>
      </c>
      <c r="BC781" s="234">
        <v>0</v>
      </c>
      <c r="BD781" s="234">
        <v>0</v>
      </c>
      <c r="BE781" s="234">
        <v>0</v>
      </c>
      <c r="BF781" s="234">
        <v>0</v>
      </c>
      <c r="BG781" s="234">
        <v>0</v>
      </c>
      <c r="BH781" s="234">
        <v>0</v>
      </c>
      <c r="BI781" s="234">
        <v>0</v>
      </c>
      <c r="BJ781" s="234">
        <v>0</v>
      </c>
      <c r="BK781" s="234">
        <v>0</v>
      </c>
      <c r="BL781" s="234">
        <v>0</v>
      </c>
      <c r="BM781" s="234">
        <v>0</v>
      </c>
      <c r="BN781" s="234">
        <v>0</v>
      </c>
      <c r="BO781" s="234">
        <v>0</v>
      </c>
      <c r="BP781" s="234"/>
      <c r="BQ781" s="234"/>
      <c r="BR781" s="237" t="s">
        <v>334</v>
      </c>
      <c r="BS781" s="238">
        <v>15</v>
      </c>
      <c r="BU781" s="239">
        <f t="shared" si="90"/>
        <v>-0.25</v>
      </c>
      <c r="BV781" s="239">
        <f t="shared" si="84"/>
        <v>-0.25</v>
      </c>
      <c r="BW781" s="239">
        <f t="shared" si="85"/>
        <v>-0.25</v>
      </c>
      <c r="BX781" s="239">
        <f t="shared" si="86"/>
        <v>-0.25</v>
      </c>
      <c r="CN781" s="238">
        <f t="shared" si="88"/>
        <v>-1</v>
      </c>
      <c r="CO781" s="238">
        <f t="shared" si="89"/>
        <v>-1</v>
      </c>
    </row>
    <row r="782" spans="1:93" ht="13.95" customHeight="1" x14ac:dyDescent="0.2">
      <c r="A782" s="231">
        <v>7859</v>
      </c>
      <c r="B782" s="232" t="s">
        <v>822</v>
      </c>
      <c r="C782" s="232" t="s">
        <v>2315</v>
      </c>
      <c r="D782" s="232" t="s">
        <v>2316</v>
      </c>
      <c r="E782" s="232" t="s">
        <v>317</v>
      </c>
      <c r="F782" s="231">
        <v>523549</v>
      </c>
      <c r="G782" s="231">
        <v>175035</v>
      </c>
      <c r="H782" s="232" t="s">
        <v>183</v>
      </c>
      <c r="I782" s="233"/>
      <c r="J782" s="231"/>
      <c r="K782" s="231">
        <v>2</v>
      </c>
      <c r="L782" s="231">
        <v>1</v>
      </c>
      <c r="M782" s="231">
        <v>-1</v>
      </c>
      <c r="N782" s="231">
        <v>1</v>
      </c>
      <c r="O782" s="231">
        <v>-1</v>
      </c>
      <c r="P782" s="234"/>
      <c r="Q782" s="232" t="s">
        <v>2317</v>
      </c>
      <c r="R782" s="234" t="s">
        <v>332</v>
      </c>
      <c r="S782" s="235">
        <v>44740</v>
      </c>
      <c r="T782" s="235">
        <v>44901</v>
      </c>
      <c r="U782" s="234" t="s">
        <v>318</v>
      </c>
      <c r="V782" s="232" t="s">
        <v>321</v>
      </c>
      <c r="W782" s="231"/>
      <c r="X782" s="232" t="s">
        <v>322</v>
      </c>
      <c r="Y782" s="232" t="s">
        <v>365</v>
      </c>
      <c r="Z782" s="232" t="s">
        <v>324</v>
      </c>
      <c r="AA782" s="232" t="s">
        <v>17</v>
      </c>
      <c r="AB782" s="236">
        <v>2.5100000000000001E-2</v>
      </c>
      <c r="AC782" s="235"/>
      <c r="AD782" s="234"/>
      <c r="AE782" s="234"/>
      <c r="AF782" s="232" t="s">
        <v>77</v>
      </c>
      <c r="AG782" s="232" t="s">
        <v>350</v>
      </c>
      <c r="AH782" s="234" t="s">
        <v>317</v>
      </c>
      <c r="AJ782" s="234">
        <v>0</v>
      </c>
      <c r="AK782" s="224"/>
      <c r="AL782" s="234">
        <v>0</v>
      </c>
      <c r="AM782" s="224"/>
      <c r="AN782" s="234">
        <v>0</v>
      </c>
      <c r="AO782" s="234">
        <v>-1</v>
      </c>
      <c r="AP782" s="234">
        <v>0</v>
      </c>
      <c r="AQ782" s="234">
        <v>0</v>
      </c>
      <c r="AR782" s="234">
        <v>0</v>
      </c>
      <c r="AS782" s="234">
        <v>0</v>
      </c>
      <c r="AT782" s="234">
        <v>0</v>
      </c>
      <c r="AU782" s="234">
        <v>0</v>
      </c>
      <c r="AV782" s="234">
        <v>-1</v>
      </c>
      <c r="AW782" s="234">
        <v>0</v>
      </c>
      <c r="AX782" s="234">
        <v>0</v>
      </c>
      <c r="AY782" s="234">
        <v>0</v>
      </c>
      <c r="AZ782" s="234">
        <v>-1</v>
      </c>
      <c r="BA782" s="234">
        <v>0</v>
      </c>
      <c r="BB782" s="234">
        <v>0</v>
      </c>
      <c r="BC782" s="234">
        <v>0</v>
      </c>
      <c r="BD782" s="234">
        <v>0</v>
      </c>
      <c r="BE782" s="234">
        <v>0</v>
      </c>
      <c r="BF782" s="234">
        <v>0</v>
      </c>
      <c r="BG782" s="234">
        <v>1</v>
      </c>
      <c r="BH782" s="234">
        <v>0</v>
      </c>
      <c r="BI782" s="234">
        <v>0</v>
      </c>
      <c r="BJ782" s="234">
        <v>0</v>
      </c>
      <c r="BK782" s="234">
        <v>0</v>
      </c>
      <c r="BL782" s="234">
        <v>0</v>
      </c>
      <c r="BM782" s="234">
        <v>0</v>
      </c>
      <c r="BN782" s="234">
        <v>0</v>
      </c>
      <c r="BO782" s="234">
        <v>0</v>
      </c>
      <c r="BP782" s="234"/>
      <c r="BQ782" s="234"/>
      <c r="BR782" s="237" t="s">
        <v>334</v>
      </c>
      <c r="BS782" s="238">
        <v>15</v>
      </c>
      <c r="BU782" s="239">
        <f t="shared" si="90"/>
        <v>-0.25</v>
      </c>
      <c r="BV782" s="239">
        <f t="shared" si="84"/>
        <v>-0.25</v>
      </c>
      <c r="BW782" s="239">
        <f t="shared" si="85"/>
        <v>-0.25</v>
      </c>
      <c r="BX782" s="239">
        <f t="shared" si="86"/>
        <v>-0.25</v>
      </c>
      <c r="CN782" s="238">
        <f t="shared" si="88"/>
        <v>-1</v>
      </c>
      <c r="CO782" s="238">
        <f t="shared" si="89"/>
        <v>-1</v>
      </c>
    </row>
    <row r="783" spans="1:93" ht="13.95" customHeight="1" x14ac:dyDescent="0.2">
      <c r="A783" s="231">
        <v>7824</v>
      </c>
      <c r="B783" s="232" t="s">
        <v>822</v>
      </c>
      <c r="C783" s="232" t="s">
        <v>2318</v>
      </c>
      <c r="D783" s="232" t="s">
        <v>2319</v>
      </c>
      <c r="E783" s="232" t="s">
        <v>317</v>
      </c>
      <c r="F783" s="231">
        <v>527774</v>
      </c>
      <c r="G783" s="231">
        <v>175242</v>
      </c>
      <c r="H783" s="232" t="s">
        <v>167</v>
      </c>
      <c r="I783" s="233"/>
      <c r="J783" s="231"/>
      <c r="K783" s="231">
        <v>2</v>
      </c>
      <c r="L783" s="231">
        <v>1</v>
      </c>
      <c r="M783" s="231">
        <v>-1</v>
      </c>
      <c r="N783" s="231">
        <v>1</v>
      </c>
      <c r="O783" s="231">
        <v>-1</v>
      </c>
      <c r="P783" s="234"/>
      <c r="Q783" s="232" t="s">
        <v>2320</v>
      </c>
      <c r="R783" s="234" t="s">
        <v>332</v>
      </c>
      <c r="S783" s="235">
        <v>44652</v>
      </c>
      <c r="T783" s="235">
        <v>44718</v>
      </c>
      <c r="U783" s="234" t="s">
        <v>318</v>
      </c>
      <c r="V783" s="232" t="s">
        <v>321</v>
      </c>
      <c r="W783" s="231"/>
      <c r="X783" s="232" t="s">
        <v>322</v>
      </c>
      <c r="Y783" s="232" t="s">
        <v>338</v>
      </c>
      <c r="Z783" s="232" t="s">
        <v>324</v>
      </c>
      <c r="AA783" s="232" t="s">
        <v>17</v>
      </c>
      <c r="AB783" s="236">
        <v>6.1500000000000001E-3</v>
      </c>
      <c r="AC783" s="235"/>
      <c r="AD783" s="234"/>
      <c r="AE783" s="234"/>
      <c r="AF783" s="232" t="s">
        <v>77</v>
      </c>
      <c r="AG783" s="232" t="s">
        <v>350</v>
      </c>
      <c r="AH783" s="234" t="s">
        <v>317</v>
      </c>
      <c r="AJ783" s="234">
        <v>0</v>
      </c>
      <c r="AK783" s="224"/>
      <c r="AL783" s="234">
        <v>0</v>
      </c>
      <c r="AM783" s="224"/>
      <c r="AN783" s="234">
        <v>0</v>
      </c>
      <c r="AO783" s="234">
        <v>-1</v>
      </c>
      <c r="AP783" s="234">
        <v>-1</v>
      </c>
      <c r="AQ783" s="234">
        <v>0</v>
      </c>
      <c r="AR783" s="234">
        <v>0</v>
      </c>
      <c r="AS783" s="234">
        <v>1</v>
      </c>
      <c r="AT783" s="234">
        <v>0</v>
      </c>
      <c r="AU783" s="234">
        <v>0</v>
      </c>
      <c r="AV783" s="234">
        <v>-1</v>
      </c>
      <c r="AW783" s="234">
        <v>-1</v>
      </c>
      <c r="AX783" s="234">
        <v>0</v>
      </c>
      <c r="AY783" s="234">
        <v>0</v>
      </c>
      <c r="AZ783" s="234">
        <v>0</v>
      </c>
      <c r="BA783" s="234">
        <v>0</v>
      </c>
      <c r="BB783" s="234">
        <v>0</v>
      </c>
      <c r="BC783" s="234">
        <v>0</v>
      </c>
      <c r="BD783" s="234">
        <v>0</v>
      </c>
      <c r="BE783" s="234">
        <v>0</v>
      </c>
      <c r="BF783" s="234">
        <v>0</v>
      </c>
      <c r="BG783" s="234">
        <v>1</v>
      </c>
      <c r="BH783" s="234">
        <v>0</v>
      </c>
      <c r="BI783" s="234">
        <v>0</v>
      </c>
      <c r="BJ783" s="234">
        <v>0</v>
      </c>
      <c r="BK783" s="234">
        <v>0</v>
      </c>
      <c r="BL783" s="234">
        <v>0</v>
      </c>
      <c r="BM783" s="234">
        <v>0</v>
      </c>
      <c r="BN783" s="234">
        <v>0</v>
      </c>
      <c r="BO783" s="234">
        <v>0</v>
      </c>
      <c r="BP783" s="234"/>
      <c r="BQ783" s="234"/>
      <c r="BR783" s="237" t="s">
        <v>150</v>
      </c>
      <c r="BS783" s="238">
        <v>15</v>
      </c>
      <c r="BU783" s="239">
        <f t="shared" si="90"/>
        <v>-0.25</v>
      </c>
      <c r="BV783" s="239">
        <f t="shared" si="84"/>
        <v>-0.25</v>
      </c>
      <c r="BW783" s="239">
        <f t="shared" si="85"/>
        <v>-0.25</v>
      </c>
      <c r="BX783" s="239">
        <f t="shared" si="86"/>
        <v>-0.25</v>
      </c>
      <c r="CN783" s="238">
        <f t="shared" si="88"/>
        <v>-1</v>
      </c>
      <c r="CO783" s="238">
        <f t="shared" si="89"/>
        <v>-1</v>
      </c>
    </row>
    <row r="784" spans="1:93" ht="13.95" customHeight="1" x14ac:dyDescent="0.2">
      <c r="A784" s="231">
        <v>7518</v>
      </c>
      <c r="B784" s="232" t="s">
        <v>822</v>
      </c>
      <c r="C784" s="232" t="s">
        <v>2321</v>
      </c>
      <c r="D784" s="232" t="s">
        <v>2322</v>
      </c>
      <c r="E784" s="232" t="s">
        <v>317</v>
      </c>
      <c r="F784" s="231">
        <v>527807</v>
      </c>
      <c r="G784" s="231">
        <v>175455</v>
      </c>
      <c r="H784" s="232" t="s">
        <v>167</v>
      </c>
      <c r="I784" s="233"/>
      <c r="J784" s="231"/>
      <c r="K784" s="231">
        <v>1</v>
      </c>
      <c r="L784" s="231">
        <v>0</v>
      </c>
      <c r="M784" s="231">
        <v>-1</v>
      </c>
      <c r="N784" s="231">
        <v>0</v>
      </c>
      <c r="O784" s="231">
        <v>-1</v>
      </c>
      <c r="P784" s="234"/>
      <c r="Q784" s="232" t="s">
        <v>2323</v>
      </c>
      <c r="R784" s="234" t="s">
        <v>332</v>
      </c>
      <c r="S784" s="235">
        <v>44273</v>
      </c>
      <c r="T784" s="235">
        <v>44739</v>
      </c>
      <c r="U784" s="234" t="s">
        <v>318</v>
      </c>
      <c r="V784" s="232" t="s">
        <v>321</v>
      </c>
      <c r="W784" s="231"/>
      <c r="X784" s="232" t="s">
        <v>322</v>
      </c>
      <c r="Y784" s="232" t="s">
        <v>378</v>
      </c>
      <c r="Z784" s="232" t="s">
        <v>324</v>
      </c>
      <c r="AA784" s="232" t="s">
        <v>607</v>
      </c>
      <c r="AB784" s="236">
        <v>0</v>
      </c>
      <c r="AC784" s="235"/>
      <c r="AD784" s="234"/>
      <c r="AE784" s="234"/>
      <c r="AF784" s="232" t="s">
        <v>77</v>
      </c>
      <c r="AG784" s="232" t="s">
        <v>340</v>
      </c>
      <c r="AH784" s="234" t="s">
        <v>317</v>
      </c>
      <c r="AJ784" s="234">
        <v>0</v>
      </c>
      <c r="AK784" s="224"/>
      <c r="AL784" s="234">
        <v>0</v>
      </c>
      <c r="AM784" s="224"/>
      <c r="AN784" s="234">
        <v>0</v>
      </c>
      <c r="AO784" s="234">
        <v>0</v>
      </c>
      <c r="AP784" s="234">
        <v>0</v>
      </c>
      <c r="AQ784" s="234">
        <v>0</v>
      </c>
      <c r="AR784" s="234">
        <v>0</v>
      </c>
      <c r="AS784" s="234">
        <v>-1</v>
      </c>
      <c r="AT784" s="234">
        <v>0</v>
      </c>
      <c r="AU784" s="234">
        <v>0</v>
      </c>
      <c r="AV784" s="234">
        <v>0</v>
      </c>
      <c r="AW784" s="234">
        <v>0</v>
      </c>
      <c r="AX784" s="234">
        <v>0</v>
      </c>
      <c r="AY784" s="234">
        <v>0</v>
      </c>
      <c r="AZ784" s="234">
        <v>0</v>
      </c>
      <c r="BA784" s="234">
        <v>0</v>
      </c>
      <c r="BB784" s="234">
        <v>0</v>
      </c>
      <c r="BC784" s="234">
        <v>0</v>
      </c>
      <c r="BD784" s="234">
        <v>0</v>
      </c>
      <c r="BE784" s="234">
        <v>0</v>
      </c>
      <c r="BF784" s="234">
        <v>0</v>
      </c>
      <c r="BG784" s="234">
        <v>-1</v>
      </c>
      <c r="BH784" s="234">
        <v>0</v>
      </c>
      <c r="BI784" s="234">
        <v>0</v>
      </c>
      <c r="BJ784" s="234">
        <v>0</v>
      </c>
      <c r="BK784" s="234">
        <v>0</v>
      </c>
      <c r="BL784" s="234">
        <v>0</v>
      </c>
      <c r="BM784" s="234">
        <v>0</v>
      </c>
      <c r="BN784" s="234">
        <v>0</v>
      </c>
      <c r="BO784" s="234">
        <v>0</v>
      </c>
      <c r="BP784" s="234"/>
      <c r="BQ784" s="234"/>
      <c r="BR784" s="237" t="s">
        <v>150</v>
      </c>
      <c r="BS784" s="238">
        <v>15</v>
      </c>
      <c r="BU784" s="239">
        <f t="shared" si="90"/>
        <v>-0.25</v>
      </c>
      <c r="BV784" s="239">
        <f t="shared" si="84"/>
        <v>-0.25</v>
      </c>
      <c r="BW784" s="239">
        <f t="shared" si="85"/>
        <v>-0.25</v>
      </c>
      <c r="BX784" s="239">
        <f t="shared" si="86"/>
        <v>-0.25</v>
      </c>
      <c r="CN784" s="238">
        <f t="shared" si="88"/>
        <v>-1</v>
      </c>
      <c r="CO784" s="238">
        <f t="shared" si="89"/>
        <v>-1</v>
      </c>
    </row>
    <row r="785" spans="1:93" ht="13.95" customHeight="1" x14ac:dyDescent="0.2">
      <c r="A785" s="231">
        <v>5958</v>
      </c>
      <c r="B785" s="232" t="s">
        <v>822</v>
      </c>
      <c r="C785" s="232" t="s">
        <v>1586</v>
      </c>
      <c r="D785" s="232" t="s">
        <v>1587</v>
      </c>
      <c r="E785" s="232" t="s">
        <v>317</v>
      </c>
      <c r="F785" s="231">
        <v>527576</v>
      </c>
      <c r="G785" s="231">
        <v>171713</v>
      </c>
      <c r="H785" s="232" t="s">
        <v>176</v>
      </c>
      <c r="I785" s="233"/>
      <c r="J785" s="231"/>
      <c r="K785" s="231">
        <v>2</v>
      </c>
      <c r="L785" s="231">
        <v>1</v>
      </c>
      <c r="M785" s="231">
        <v>-1</v>
      </c>
      <c r="N785" s="231">
        <v>4</v>
      </c>
      <c r="O785" s="231">
        <v>2</v>
      </c>
      <c r="P785" s="234"/>
      <c r="Q785" s="232" t="s">
        <v>1588</v>
      </c>
      <c r="R785" s="234" t="s">
        <v>332</v>
      </c>
      <c r="S785" s="235">
        <v>44127</v>
      </c>
      <c r="T785" s="235">
        <v>44183</v>
      </c>
      <c r="U785" s="234"/>
      <c r="V785" s="232" t="s">
        <v>321</v>
      </c>
      <c r="W785" s="231"/>
      <c r="X785" s="232" t="s">
        <v>322</v>
      </c>
      <c r="Y785" s="232" t="s">
        <v>338</v>
      </c>
      <c r="Z785" s="232" t="s">
        <v>324</v>
      </c>
      <c r="AA785" s="232" t="s">
        <v>553</v>
      </c>
      <c r="AB785" s="236">
        <v>2E-3</v>
      </c>
      <c r="AC785" s="235"/>
      <c r="AD785" s="234"/>
      <c r="AE785" s="234"/>
      <c r="AF785" s="232" t="s">
        <v>77</v>
      </c>
      <c r="AG785" s="232" t="s">
        <v>350</v>
      </c>
      <c r="AH785" s="234" t="s">
        <v>317</v>
      </c>
      <c r="AJ785" s="234">
        <v>0</v>
      </c>
      <c r="AK785" s="224"/>
      <c r="AL785" s="234">
        <v>0</v>
      </c>
      <c r="AM785" s="224"/>
      <c r="AN785" s="234">
        <v>0</v>
      </c>
      <c r="AO785" s="234">
        <v>0</v>
      </c>
      <c r="AP785" s="234">
        <v>-1</v>
      </c>
      <c r="AQ785" s="234">
        <v>0</v>
      </c>
      <c r="AR785" s="234">
        <v>0</v>
      </c>
      <c r="AS785" s="234">
        <v>0</v>
      </c>
      <c r="AT785" s="234">
        <v>0</v>
      </c>
      <c r="AU785" s="234">
        <v>0</v>
      </c>
      <c r="AV785" s="234">
        <v>0</v>
      </c>
      <c r="AW785" s="234">
        <v>-1</v>
      </c>
      <c r="AX785" s="234">
        <v>0</v>
      </c>
      <c r="AY785" s="234">
        <v>0</v>
      </c>
      <c r="AZ785" s="234">
        <v>0</v>
      </c>
      <c r="BA785" s="234">
        <v>0</v>
      </c>
      <c r="BB785" s="234">
        <v>0</v>
      </c>
      <c r="BC785" s="234">
        <v>0</v>
      </c>
      <c r="BD785" s="234">
        <v>0</v>
      </c>
      <c r="BE785" s="234">
        <v>0</v>
      </c>
      <c r="BF785" s="234">
        <v>0</v>
      </c>
      <c r="BG785" s="234">
        <v>0</v>
      </c>
      <c r="BH785" s="234">
        <v>0</v>
      </c>
      <c r="BI785" s="234">
        <v>0</v>
      </c>
      <c r="BJ785" s="234">
        <v>0</v>
      </c>
      <c r="BK785" s="234">
        <v>0</v>
      </c>
      <c r="BL785" s="234">
        <v>0</v>
      </c>
      <c r="BM785" s="234">
        <v>0</v>
      </c>
      <c r="BN785" s="234">
        <v>0</v>
      </c>
      <c r="BO785" s="234">
        <v>0</v>
      </c>
      <c r="BP785" s="234" t="s">
        <v>144</v>
      </c>
      <c r="BQ785" s="234"/>
      <c r="BR785" s="237" t="s">
        <v>144</v>
      </c>
      <c r="BS785" s="238">
        <v>15</v>
      </c>
      <c r="BU785" s="239">
        <f t="shared" si="90"/>
        <v>-0.25</v>
      </c>
      <c r="BV785" s="239">
        <f t="shared" si="84"/>
        <v>-0.25</v>
      </c>
      <c r="BW785" s="239">
        <f t="shared" si="85"/>
        <v>-0.25</v>
      </c>
      <c r="BX785" s="239">
        <f t="shared" si="86"/>
        <v>-0.25</v>
      </c>
      <c r="CN785" s="238">
        <f t="shared" si="88"/>
        <v>-1</v>
      </c>
      <c r="CO785" s="238">
        <f t="shared" si="89"/>
        <v>-1</v>
      </c>
    </row>
    <row r="786" spans="1:93" ht="13.95" customHeight="1" x14ac:dyDescent="0.2">
      <c r="A786" s="231">
        <v>2767</v>
      </c>
      <c r="B786" s="232" t="s">
        <v>822</v>
      </c>
      <c r="C786" s="232" t="s">
        <v>2324</v>
      </c>
      <c r="D786" s="232" t="s">
        <v>2325</v>
      </c>
      <c r="E786" s="232" t="s">
        <v>317</v>
      </c>
      <c r="F786" s="231">
        <v>523548</v>
      </c>
      <c r="G786" s="231">
        <v>175265</v>
      </c>
      <c r="H786" s="232" t="s">
        <v>183</v>
      </c>
      <c r="I786" s="233"/>
      <c r="J786" s="231"/>
      <c r="K786" s="231">
        <v>0</v>
      </c>
      <c r="L786" s="231">
        <v>1</v>
      </c>
      <c r="M786" s="231">
        <v>1</v>
      </c>
      <c r="N786" s="231">
        <v>1</v>
      </c>
      <c r="O786" s="231">
        <v>1</v>
      </c>
      <c r="P786" s="234"/>
      <c r="Q786" s="232" t="s">
        <v>2326</v>
      </c>
      <c r="R786" s="234" t="s">
        <v>332</v>
      </c>
      <c r="S786" s="235">
        <v>44099</v>
      </c>
      <c r="T786" s="235">
        <v>44228</v>
      </c>
      <c r="U786" s="234"/>
      <c r="V786" s="232" t="s">
        <v>321</v>
      </c>
      <c r="W786" s="231"/>
      <c r="X786" s="232" t="s">
        <v>322</v>
      </c>
      <c r="Y786" s="232" t="s">
        <v>323</v>
      </c>
      <c r="Z786" s="232" t="s">
        <v>324</v>
      </c>
      <c r="AA786" s="232" t="s">
        <v>349</v>
      </c>
      <c r="AB786" s="236">
        <v>1.2E-2</v>
      </c>
      <c r="AC786" s="235"/>
      <c r="AD786" s="234"/>
      <c r="AE786" s="234"/>
      <c r="AF786" s="232" t="s">
        <v>77</v>
      </c>
      <c r="AG786" s="232" t="s">
        <v>350</v>
      </c>
      <c r="AH786" s="234" t="s">
        <v>317</v>
      </c>
      <c r="AJ786" s="234">
        <v>0</v>
      </c>
      <c r="AK786" s="224"/>
      <c r="AL786" s="234">
        <v>0</v>
      </c>
      <c r="AM786" s="224"/>
      <c r="AN786" s="234">
        <v>0</v>
      </c>
      <c r="AO786" s="234">
        <v>0</v>
      </c>
      <c r="AP786" s="234">
        <v>0</v>
      </c>
      <c r="AQ786" s="234">
        <v>1</v>
      </c>
      <c r="AR786" s="234">
        <v>0</v>
      </c>
      <c r="AS786" s="234">
        <v>0</v>
      </c>
      <c r="AT786" s="234">
        <v>0</v>
      </c>
      <c r="AU786" s="234">
        <v>0</v>
      </c>
      <c r="AV786" s="234">
        <v>0</v>
      </c>
      <c r="AW786" s="234">
        <v>0</v>
      </c>
      <c r="AX786" s="234">
        <v>0</v>
      </c>
      <c r="AY786" s="234">
        <v>0</v>
      </c>
      <c r="AZ786" s="234">
        <v>0</v>
      </c>
      <c r="BA786" s="234">
        <v>0</v>
      </c>
      <c r="BB786" s="234">
        <v>0</v>
      </c>
      <c r="BC786" s="234">
        <v>0</v>
      </c>
      <c r="BD786" s="234">
        <v>0</v>
      </c>
      <c r="BE786" s="234">
        <v>1</v>
      </c>
      <c r="BF786" s="234">
        <v>0</v>
      </c>
      <c r="BG786" s="234">
        <v>0</v>
      </c>
      <c r="BH786" s="234">
        <v>0</v>
      </c>
      <c r="BI786" s="234">
        <v>0</v>
      </c>
      <c r="BJ786" s="234">
        <v>0</v>
      </c>
      <c r="BK786" s="234">
        <v>0</v>
      </c>
      <c r="BL786" s="234">
        <v>0</v>
      </c>
      <c r="BM786" s="234">
        <v>0</v>
      </c>
      <c r="BN786" s="234">
        <v>0</v>
      </c>
      <c r="BO786" s="234">
        <v>0</v>
      </c>
      <c r="BP786" s="234"/>
      <c r="BQ786" s="234"/>
      <c r="BR786" s="237" t="s">
        <v>334</v>
      </c>
      <c r="BS786" s="238">
        <v>7</v>
      </c>
      <c r="BV786" s="239">
        <f t="shared" si="84"/>
        <v>0.25</v>
      </c>
      <c r="BW786" s="239">
        <f t="shared" si="85"/>
        <v>0.25</v>
      </c>
      <c r="BX786" s="239">
        <f t="shared" si="86"/>
        <v>0.25</v>
      </c>
      <c r="BY786" s="239">
        <f>M786/4</f>
        <v>0.25</v>
      </c>
      <c r="CN786" s="238">
        <f t="shared" si="88"/>
        <v>1</v>
      </c>
      <c r="CO786" s="238">
        <f t="shared" si="89"/>
        <v>1</v>
      </c>
    </row>
    <row r="787" spans="1:93" ht="13.95" customHeight="1" x14ac:dyDescent="0.2">
      <c r="A787" s="231">
        <v>7734</v>
      </c>
      <c r="B787" s="232" t="s">
        <v>822</v>
      </c>
      <c r="C787" s="232" t="s">
        <v>2327</v>
      </c>
      <c r="D787" s="232" t="s">
        <v>2328</v>
      </c>
      <c r="E787" s="232" t="s">
        <v>317</v>
      </c>
      <c r="F787" s="231">
        <v>525211</v>
      </c>
      <c r="G787" s="231">
        <v>174287</v>
      </c>
      <c r="H787" s="232" t="s">
        <v>164</v>
      </c>
      <c r="I787" s="233"/>
      <c r="J787" s="231"/>
      <c r="K787" s="231">
        <v>0</v>
      </c>
      <c r="L787" s="231">
        <v>5</v>
      </c>
      <c r="M787" s="231">
        <v>5</v>
      </c>
      <c r="N787" s="231">
        <v>5</v>
      </c>
      <c r="O787" s="231">
        <v>5</v>
      </c>
      <c r="P787" s="234"/>
      <c r="Q787" s="232" t="s">
        <v>2329</v>
      </c>
      <c r="R787" s="234" t="s">
        <v>320</v>
      </c>
      <c r="S787" s="235">
        <v>44525</v>
      </c>
      <c r="T787" s="235">
        <v>44774</v>
      </c>
      <c r="U787" s="234" t="s">
        <v>318</v>
      </c>
      <c r="V787" s="232" t="s">
        <v>321</v>
      </c>
      <c r="W787" s="231"/>
      <c r="X787" s="232" t="s">
        <v>322</v>
      </c>
      <c r="Y787" s="232" t="s">
        <v>323</v>
      </c>
      <c r="Z787" s="232" t="s">
        <v>324</v>
      </c>
      <c r="AA787" s="232" t="s">
        <v>349</v>
      </c>
      <c r="AB787" s="236">
        <v>2.1000000000000001E-2</v>
      </c>
      <c r="AC787" s="235"/>
      <c r="AD787" s="234"/>
      <c r="AE787" s="234"/>
      <c r="AF787" s="232" t="s">
        <v>77</v>
      </c>
      <c r="AG787" s="232" t="s">
        <v>350</v>
      </c>
      <c r="AH787" s="234" t="s">
        <v>317</v>
      </c>
      <c r="AJ787" s="234">
        <v>0</v>
      </c>
      <c r="AK787" s="224"/>
      <c r="AL787" s="234">
        <v>0</v>
      </c>
      <c r="AM787" s="224"/>
      <c r="AN787" s="234">
        <v>0</v>
      </c>
      <c r="AO787" s="234">
        <v>0</v>
      </c>
      <c r="AP787" s="234">
        <v>1</v>
      </c>
      <c r="AQ787" s="234">
        <v>4</v>
      </c>
      <c r="AR787" s="234">
        <v>0</v>
      </c>
      <c r="AS787" s="234">
        <v>0</v>
      </c>
      <c r="AT787" s="234">
        <v>0</v>
      </c>
      <c r="AU787" s="234">
        <v>0</v>
      </c>
      <c r="AV787" s="234">
        <v>0</v>
      </c>
      <c r="AW787" s="234">
        <v>1</v>
      </c>
      <c r="AX787" s="234">
        <v>4</v>
      </c>
      <c r="AY787" s="234">
        <v>0</v>
      </c>
      <c r="AZ787" s="234">
        <v>0</v>
      </c>
      <c r="BA787" s="234">
        <v>0</v>
      </c>
      <c r="BB787" s="234">
        <v>0</v>
      </c>
      <c r="BC787" s="234">
        <v>0</v>
      </c>
      <c r="BD787" s="234">
        <v>0</v>
      </c>
      <c r="BE787" s="234">
        <v>0</v>
      </c>
      <c r="BF787" s="234">
        <v>0</v>
      </c>
      <c r="BG787" s="234">
        <v>0</v>
      </c>
      <c r="BH787" s="234">
        <v>0</v>
      </c>
      <c r="BI787" s="234">
        <v>0</v>
      </c>
      <c r="BJ787" s="234">
        <v>0</v>
      </c>
      <c r="BK787" s="234">
        <v>0</v>
      </c>
      <c r="BL787" s="234">
        <v>0</v>
      </c>
      <c r="BM787" s="234">
        <v>0</v>
      </c>
      <c r="BN787" s="234">
        <v>0</v>
      </c>
      <c r="BO787" s="234">
        <v>0</v>
      </c>
      <c r="BP787" s="234"/>
      <c r="BQ787" s="234"/>
      <c r="BR787" s="237" t="s">
        <v>334</v>
      </c>
      <c r="BS787" s="238">
        <v>7</v>
      </c>
      <c r="BV787" s="239">
        <f t="shared" si="84"/>
        <v>1.25</v>
      </c>
      <c r="BW787" s="239">
        <f t="shared" si="85"/>
        <v>1.25</v>
      </c>
      <c r="BX787" s="239">
        <f t="shared" si="86"/>
        <v>1.25</v>
      </c>
      <c r="BY787" s="239">
        <f>M787/4</f>
        <v>1.25</v>
      </c>
      <c r="CN787" s="238">
        <f t="shared" si="88"/>
        <v>5</v>
      </c>
      <c r="CO787" s="238">
        <f t="shared" si="89"/>
        <v>5</v>
      </c>
    </row>
    <row r="788" spans="1:93" ht="13.95" customHeight="1" x14ac:dyDescent="0.2">
      <c r="A788" s="231">
        <v>7397</v>
      </c>
      <c r="B788" s="232" t="s">
        <v>822</v>
      </c>
      <c r="C788" s="232" t="s">
        <v>2330</v>
      </c>
      <c r="D788" s="232" t="s">
        <v>2331</v>
      </c>
      <c r="E788" s="232" t="s">
        <v>317</v>
      </c>
      <c r="F788" s="231">
        <v>528375</v>
      </c>
      <c r="G788" s="231">
        <v>172919</v>
      </c>
      <c r="H788" s="232" t="s">
        <v>172</v>
      </c>
      <c r="I788" s="233"/>
      <c r="J788" s="231"/>
      <c r="K788" s="231">
        <v>0</v>
      </c>
      <c r="L788" s="231">
        <v>1</v>
      </c>
      <c r="M788" s="231">
        <v>1</v>
      </c>
      <c r="N788" s="231">
        <v>1</v>
      </c>
      <c r="O788" s="231">
        <v>1</v>
      </c>
      <c r="P788" s="234"/>
      <c r="Q788" s="232" t="s">
        <v>2332</v>
      </c>
      <c r="R788" s="234" t="s">
        <v>332</v>
      </c>
      <c r="S788" s="235">
        <v>44193</v>
      </c>
      <c r="T788" s="235">
        <v>44279</v>
      </c>
      <c r="U788" s="234"/>
      <c r="V788" s="232" t="s">
        <v>321</v>
      </c>
      <c r="W788" s="231"/>
      <c r="X788" s="232" t="s">
        <v>322</v>
      </c>
      <c r="Y788" s="232" t="s">
        <v>323</v>
      </c>
      <c r="Z788" s="232" t="s">
        <v>324</v>
      </c>
      <c r="AA788" s="232" t="s">
        <v>349</v>
      </c>
      <c r="AB788" s="236">
        <v>4.0000000000000001E-3</v>
      </c>
      <c r="AC788" s="235"/>
      <c r="AD788" s="234"/>
      <c r="AE788" s="234"/>
      <c r="AF788" s="232" t="s">
        <v>77</v>
      </c>
      <c r="AG788" s="232" t="s">
        <v>350</v>
      </c>
      <c r="AH788" s="234" t="s">
        <v>317</v>
      </c>
      <c r="AJ788" s="234">
        <v>0</v>
      </c>
      <c r="AK788" s="224"/>
      <c r="AL788" s="234">
        <v>0</v>
      </c>
      <c r="AM788" s="224"/>
      <c r="AN788" s="234">
        <v>0</v>
      </c>
      <c r="AO788" s="234">
        <v>1</v>
      </c>
      <c r="AP788" s="234">
        <v>0</v>
      </c>
      <c r="AQ788" s="234">
        <v>0</v>
      </c>
      <c r="AR788" s="234">
        <v>0</v>
      </c>
      <c r="AS788" s="234">
        <v>0</v>
      </c>
      <c r="AT788" s="234">
        <v>0</v>
      </c>
      <c r="AU788" s="234">
        <v>0</v>
      </c>
      <c r="AV788" s="234">
        <v>0</v>
      </c>
      <c r="AW788" s="234">
        <v>0</v>
      </c>
      <c r="AX788" s="234">
        <v>0</v>
      </c>
      <c r="AY788" s="234">
        <v>0</v>
      </c>
      <c r="AZ788" s="234">
        <v>0</v>
      </c>
      <c r="BA788" s="234">
        <v>0</v>
      </c>
      <c r="BB788" s="234">
        <v>0</v>
      </c>
      <c r="BC788" s="234">
        <v>1</v>
      </c>
      <c r="BD788" s="234">
        <v>0</v>
      </c>
      <c r="BE788" s="234">
        <v>0</v>
      </c>
      <c r="BF788" s="234">
        <v>0</v>
      </c>
      <c r="BG788" s="234">
        <v>0</v>
      </c>
      <c r="BH788" s="234">
        <v>0</v>
      </c>
      <c r="BI788" s="234">
        <v>0</v>
      </c>
      <c r="BJ788" s="234">
        <v>0</v>
      </c>
      <c r="BK788" s="234">
        <v>0</v>
      </c>
      <c r="BL788" s="234">
        <v>0</v>
      </c>
      <c r="BM788" s="234">
        <v>0</v>
      </c>
      <c r="BN788" s="234">
        <v>0</v>
      </c>
      <c r="BO788" s="234">
        <v>0</v>
      </c>
      <c r="BP788" s="234"/>
      <c r="BQ788" s="234"/>
      <c r="BR788" s="237" t="s">
        <v>334</v>
      </c>
      <c r="BS788" s="238">
        <v>7</v>
      </c>
      <c r="BV788" s="239">
        <f t="shared" si="84"/>
        <v>0.25</v>
      </c>
      <c r="BW788" s="239">
        <f t="shared" si="85"/>
        <v>0.25</v>
      </c>
      <c r="BX788" s="239">
        <f t="shared" si="86"/>
        <v>0.25</v>
      </c>
      <c r="BY788" s="239">
        <f>M788/4</f>
        <v>0.25</v>
      </c>
      <c r="CN788" s="238">
        <f t="shared" si="88"/>
        <v>1</v>
      </c>
      <c r="CO788" s="238">
        <f t="shared" si="89"/>
        <v>1</v>
      </c>
    </row>
    <row r="789" spans="1:93" ht="13.95" customHeight="1" x14ac:dyDescent="0.2">
      <c r="A789" s="231">
        <v>5748</v>
      </c>
      <c r="B789" s="232" t="s">
        <v>822</v>
      </c>
      <c r="C789" s="232" t="s">
        <v>2333</v>
      </c>
      <c r="D789" s="232" t="s">
        <v>2334</v>
      </c>
      <c r="E789" s="232" t="s">
        <v>317</v>
      </c>
      <c r="F789" s="231">
        <v>526622</v>
      </c>
      <c r="G789" s="231">
        <v>176212</v>
      </c>
      <c r="H789" s="232" t="s">
        <v>174</v>
      </c>
      <c r="I789" s="233"/>
      <c r="J789" s="231"/>
      <c r="K789" s="231">
        <v>0</v>
      </c>
      <c r="L789" s="231">
        <v>1</v>
      </c>
      <c r="M789" s="231">
        <v>1</v>
      </c>
      <c r="N789" s="231">
        <v>1</v>
      </c>
      <c r="O789" s="231">
        <v>1</v>
      </c>
      <c r="P789" s="234"/>
      <c r="Q789" s="232" t="s">
        <v>2335</v>
      </c>
      <c r="R789" s="234" t="s">
        <v>332</v>
      </c>
      <c r="S789" s="235">
        <v>44230</v>
      </c>
      <c r="T789" s="235">
        <v>44376</v>
      </c>
      <c r="U789" s="234"/>
      <c r="V789" s="232" t="s">
        <v>321</v>
      </c>
      <c r="W789" s="231"/>
      <c r="X789" s="232" t="s">
        <v>322</v>
      </c>
      <c r="Y789" s="232" t="s">
        <v>323</v>
      </c>
      <c r="Z789" s="232" t="s">
        <v>324</v>
      </c>
      <c r="AA789" s="232" t="s">
        <v>349</v>
      </c>
      <c r="AB789" s="236">
        <v>0.26300000000000001</v>
      </c>
      <c r="AC789" s="235"/>
      <c r="AD789" s="234"/>
      <c r="AE789" s="234"/>
      <c r="AF789" s="232" t="s">
        <v>77</v>
      </c>
      <c r="AG789" s="232" t="s">
        <v>350</v>
      </c>
      <c r="AH789" s="234" t="s">
        <v>317</v>
      </c>
      <c r="AJ789" s="234">
        <v>0</v>
      </c>
      <c r="AK789" s="224"/>
      <c r="AL789" s="234">
        <v>0</v>
      </c>
      <c r="AM789" s="224"/>
      <c r="AN789" s="234">
        <v>0</v>
      </c>
      <c r="AO789" s="234">
        <v>0</v>
      </c>
      <c r="AP789" s="234">
        <v>0</v>
      </c>
      <c r="AQ789" s="234">
        <v>1</v>
      </c>
      <c r="AR789" s="234">
        <v>0</v>
      </c>
      <c r="AS789" s="234">
        <v>0</v>
      </c>
      <c r="AT789" s="234">
        <v>0</v>
      </c>
      <c r="AU789" s="234">
        <v>0</v>
      </c>
      <c r="AV789" s="234">
        <v>0</v>
      </c>
      <c r="AW789" s="234">
        <v>0</v>
      </c>
      <c r="AX789" s="234">
        <v>0</v>
      </c>
      <c r="AY789" s="234">
        <v>0</v>
      </c>
      <c r="AZ789" s="234">
        <v>0</v>
      </c>
      <c r="BA789" s="234">
        <v>0</v>
      </c>
      <c r="BB789" s="234">
        <v>0</v>
      </c>
      <c r="BC789" s="234">
        <v>0</v>
      </c>
      <c r="BD789" s="234">
        <v>0</v>
      </c>
      <c r="BE789" s="234">
        <v>1</v>
      </c>
      <c r="BF789" s="234">
        <v>0</v>
      </c>
      <c r="BG789" s="234">
        <v>0</v>
      </c>
      <c r="BH789" s="234">
        <v>0</v>
      </c>
      <c r="BI789" s="234">
        <v>0</v>
      </c>
      <c r="BJ789" s="234">
        <v>0</v>
      </c>
      <c r="BK789" s="234">
        <v>0</v>
      </c>
      <c r="BL789" s="234">
        <v>0</v>
      </c>
      <c r="BM789" s="234">
        <v>0</v>
      </c>
      <c r="BN789" s="234">
        <v>0</v>
      </c>
      <c r="BO789" s="234">
        <v>0</v>
      </c>
      <c r="BP789" s="234"/>
      <c r="BQ789" s="234"/>
      <c r="BR789" s="237" t="s">
        <v>481</v>
      </c>
      <c r="BS789" s="238">
        <v>7</v>
      </c>
      <c r="BV789" s="239">
        <f t="shared" si="84"/>
        <v>0.25</v>
      </c>
      <c r="BW789" s="239">
        <f t="shared" si="85"/>
        <v>0.25</v>
      </c>
      <c r="BX789" s="239">
        <f t="shared" si="86"/>
        <v>0.25</v>
      </c>
      <c r="BY789" s="239">
        <f>M789/4</f>
        <v>0.25</v>
      </c>
      <c r="CN789" s="238">
        <f t="shared" si="88"/>
        <v>1</v>
      </c>
      <c r="CO789" s="238">
        <f t="shared" si="89"/>
        <v>1</v>
      </c>
    </row>
    <row r="790" spans="1:93" ht="13.95" customHeight="1" x14ac:dyDescent="0.2">
      <c r="A790" s="231">
        <v>7511</v>
      </c>
      <c r="B790" s="232" t="s">
        <v>822</v>
      </c>
      <c r="C790" s="232" t="s">
        <v>2336</v>
      </c>
      <c r="D790" s="232" t="s">
        <v>2337</v>
      </c>
      <c r="E790" s="232" t="s">
        <v>317</v>
      </c>
      <c r="F790" s="231">
        <v>522721</v>
      </c>
      <c r="G790" s="231">
        <v>175237</v>
      </c>
      <c r="H790" s="232" t="s">
        <v>183</v>
      </c>
      <c r="I790" s="233"/>
      <c r="J790" s="231"/>
      <c r="K790" s="231">
        <v>0</v>
      </c>
      <c r="L790" s="231">
        <v>1</v>
      </c>
      <c r="M790" s="231">
        <v>1</v>
      </c>
      <c r="N790" s="231">
        <v>1</v>
      </c>
      <c r="O790" s="231">
        <v>1</v>
      </c>
      <c r="P790" s="234"/>
      <c r="Q790" s="232" t="s">
        <v>2338</v>
      </c>
      <c r="R790" s="234" t="s">
        <v>332</v>
      </c>
      <c r="S790" s="235">
        <v>44239</v>
      </c>
      <c r="T790" s="235">
        <v>44391</v>
      </c>
      <c r="U790" s="234"/>
      <c r="V790" s="232" t="s">
        <v>321</v>
      </c>
      <c r="W790" s="231"/>
      <c r="X790" s="232" t="s">
        <v>322</v>
      </c>
      <c r="Y790" s="232" t="s">
        <v>323</v>
      </c>
      <c r="Z790" s="232" t="s">
        <v>324</v>
      </c>
      <c r="AA790" s="232" t="s">
        <v>349</v>
      </c>
      <c r="AB790" s="236">
        <v>5.3350000000000003E-3</v>
      </c>
      <c r="AC790" s="235"/>
      <c r="AD790" s="234"/>
      <c r="AE790" s="234"/>
      <c r="AF790" s="232" t="s">
        <v>77</v>
      </c>
      <c r="AG790" s="232" t="s">
        <v>350</v>
      </c>
      <c r="AH790" s="234" t="s">
        <v>317</v>
      </c>
      <c r="AJ790" s="234">
        <v>0</v>
      </c>
      <c r="AK790" s="224"/>
      <c r="AL790" s="234">
        <v>0</v>
      </c>
      <c r="AM790" s="224"/>
      <c r="AN790" s="234">
        <v>0</v>
      </c>
      <c r="AO790" s="234">
        <v>0</v>
      </c>
      <c r="AP790" s="234">
        <v>1</v>
      </c>
      <c r="AQ790" s="234">
        <v>0</v>
      </c>
      <c r="AR790" s="234">
        <v>0</v>
      </c>
      <c r="AS790" s="234">
        <v>0</v>
      </c>
      <c r="AT790" s="234">
        <v>0</v>
      </c>
      <c r="AU790" s="234">
        <v>0</v>
      </c>
      <c r="AV790" s="234">
        <v>0</v>
      </c>
      <c r="AW790" s="234">
        <v>0</v>
      </c>
      <c r="AX790" s="234">
        <v>0</v>
      </c>
      <c r="AY790" s="234">
        <v>0</v>
      </c>
      <c r="AZ790" s="234">
        <v>0</v>
      </c>
      <c r="BA790" s="234">
        <v>0</v>
      </c>
      <c r="BB790" s="234">
        <v>0</v>
      </c>
      <c r="BC790" s="234">
        <v>0</v>
      </c>
      <c r="BD790" s="234">
        <v>1</v>
      </c>
      <c r="BE790" s="234">
        <v>0</v>
      </c>
      <c r="BF790" s="234">
        <v>0</v>
      </c>
      <c r="BG790" s="234">
        <v>0</v>
      </c>
      <c r="BH790" s="234">
        <v>0</v>
      </c>
      <c r="BI790" s="234">
        <v>0</v>
      </c>
      <c r="BJ790" s="234">
        <v>0</v>
      </c>
      <c r="BK790" s="234">
        <v>0</v>
      </c>
      <c r="BL790" s="234">
        <v>0</v>
      </c>
      <c r="BM790" s="234">
        <v>0</v>
      </c>
      <c r="BN790" s="234">
        <v>0</v>
      </c>
      <c r="BO790" s="234">
        <v>0</v>
      </c>
      <c r="BP790" s="234"/>
      <c r="BQ790" s="234"/>
      <c r="BR790" s="237" t="s">
        <v>334</v>
      </c>
      <c r="BS790" s="238">
        <v>7</v>
      </c>
      <c r="BV790" s="239">
        <f t="shared" ref="BV790:BV816" si="91">M790/4</f>
        <v>0.25</v>
      </c>
      <c r="BW790" s="239">
        <f t="shared" ref="BW790:BW816" si="92">M790/4</f>
        <v>0.25</v>
      </c>
      <c r="BX790" s="239">
        <f t="shared" ref="BX790:BX816" si="93">M790/4</f>
        <v>0.25</v>
      </c>
      <c r="BY790" s="239">
        <f>M790/4</f>
        <v>0.25</v>
      </c>
      <c r="CN790" s="238">
        <f t="shared" si="88"/>
        <v>1</v>
      </c>
      <c r="CO790" s="238">
        <f t="shared" si="89"/>
        <v>1</v>
      </c>
    </row>
    <row r="791" spans="1:93" ht="13.95" customHeight="1" x14ac:dyDescent="0.2">
      <c r="A791" s="231">
        <v>7531</v>
      </c>
      <c r="B791" s="232" t="s">
        <v>822</v>
      </c>
      <c r="C791" s="232" t="s">
        <v>2339</v>
      </c>
      <c r="D791" s="232" t="s">
        <v>2340</v>
      </c>
      <c r="E791" s="232" t="s">
        <v>317</v>
      </c>
      <c r="F791" s="231">
        <v>527917</v>
      </c>
      <c r="G791" s="231">
        <v>171390</v>
      </c>
      <c r="H791" s="232" t="s">
        <v>176</v>
      </c>
      <c r="I791" s="233"/>
      <c r="J791" s="231"/>
      <c r="K791" s="231">
        <v>4</v>
      </c>
      <c r="L791" s="231">
        <v>3</v>
      </c>
      <c r="M791" s="231">
        <v>-1</v>
      </c>
      <c r="N791" s="231">
        <v>3</v>
      </c>
      <c r="O791" s="231">
        <v>-1</v>
      </c>
      <c r="P791" s="234"/>
      <c r="Q791" s="232" t="s">
        <v>2341</v>
      </c>
      <c r="R791" s="234" t="s">
        <v>332</v>
      </c>
      <c r="S791" s="235">
        <v>44110</v>
      </c>
      <c r="T791" s="235">
        <v>44166</v>
      </c>
      <c r="U791" s="234"/>
      <c r="V791" s="232" t="s">
        <v>321</v>
      </c>
      <c r="W791" s="231"/>
      <c r="X791" s="232" t="s">
        <v>322</v>
      </c>
      <c r="Y791" s="232" t="s">
        <v>365</v>
      </c>
      <c r="Z791" s="232" t="s">
        <v>324</v>
      </c>
      <c r="AA791" s="232" t="s">
        <v>25</v>
      </c>
      <c r="AB791" s="236">
        <v>1.2E-2</v>
      </c>
      <c r="AC791" s="235"/>
      <c r="AD791" s="234"/>
      <c r="AE791" s="234"/>
      <c r="AF791" s="232" t="s">
        <v>77</v>
      </c>
      <c r="AG791" s="232" t="s">
        <v>350</v>
      </c>
      <c r="AH791" s="234" t="s">
        <v>317</v>
      </c>
      <c r="AJ791" s="234">
        <v>0</v>
      </c>
      <c r="AK791" s="224"/>
      <c r="AL791" s="234">
        <v>0</v>
      </c>
      <c r="AM791" s="224"/>
      <c r="AN791" s="234">
        <v>-1</v>
      </c>
      <c r="AO791" s="234">
        <v>1</v>
      </c>
      <c r="AP791" s="234">
        <v>-1</v>
      </c>
      <c r="AQ791" s="234">
        <v>0</v>
      </c>
      <c r="AR791" s="234">
        <v>0</v>
      </c>
      <c r="AS791" s="234">
        <v>0</v>
      </c>
      <c r="AT791" s="234">
        <v>0</v>
      </c>
      <c r="AU791" s="234">
        <v>-1</v>
      </c>
      <c r="AV791" s="234">
        <v>1</v>
      </c>
      <c r="AW791" s="234">
        <v>-1</v>
      </c>
      <c r="AX791" s="234">
        <v>0</v>
      </c>
      <c r="AY791" s="234">
        <v>0</v>
      </c>
      <c r="AZ791" s="234">
        <v>0</v>
      </c>
      <c r="BA791" s="234">
        <v>0</v>
      </c>
      <c r="BB791" s="234">
        <v>0</v>
      </c>
      <c r="BC791" s="234">
        <v>0</v>
      </c>
      <c r="BD791" s="234">
        <v>0</v>
      </c>
      <c r="BE791" s="234">
        <v>0</v>
      </c>
      <c r="BF791" s="234">
        <v>0</v>
      </c>
      <c r="BG791" s="234">
        <v>0</v>
      </c>
      <c r="BH791" s="234">
        <v>0</v>
      </c>
      <c r="BI791" s="234">
        <v>0</v>
      </c>
      <c r="BJ791" s="234">
        <v>0</v>
      </c>
      <c r="BK791" s="234">
        <v>0</v>
      </c>
      <c r="BL791" s="234">
        <v>0</v>
      </c>
      <c r="BM791" s="234">
        <v>0</v>
      </c>
      <c r="BN791" s="234">
        <v>0</v>
      </c>
      <c r="BO791" s="234">
        <v>0</v>
      </c>
      <c r="BP791" s="234"/>
      <c r="BQ791" s="234"/>
      <c r="BR791" s="237" t="s">
        <v>334</v>
      </c>
      <c r="BS791" s="238">
        <v>15</v>
      </c>
      <c r="BU791" s="239">
        <f>M791/4</f>
        <v>-0.25</v>
      </c>
      <c r="BV791" s="239">
        <f t="shared" si="91"/>
        <v>-0.25</v>
      </c>
      <c r="BW791" s="239">
        <f t="shared" si="92"/>
        <v>-0.25</v>
      </c>
      <c r="BX791" s="239">
        <f t="shared" si="93"/>
        <v>-0.25</v>
      </c>
      <c r="CN791" s="238">
        <f t="shared" si="88"/>
        <v>-1</v>
      </c>
      <c r="CO791" s="238">
        <f t="shared" si="89"/>
        <v>-1</v>
      </c>
    </row>
    <row r="792" spans="1:93" ht="13.95" customHeight="1" x14ac:dyDescent="0.2">
      <c r="A792" s="231">
        <v>7404</v>
      </c>
      <c r="B792" s="232" t="s">
        <v>822</v>
      </c>
      <c r="C792" s="232" t="s">
        <v>2342</v>
      </c>
      <c r="D792" s="232" t="s">
        <v>2343</v>
      </c>
      <c r="E792" s="232" t="s">
        <v>317</v>
      </c>
      <c r="F792" s="231">
        <v>527387</v>
      </c>
      <c r="G792" s="231">
        <v>177038</v>
      </c>
      <c r="H792" s="232" t="s">
        <v>163</v>
      </c>
      <c r="I792" s="233"/>
      <c r="J792" s="231"/>
      <c r="K792" s="231">
        <v>2</v>
      </c>
      <c r="L792" s="231">
        <v>1</v>
      </c>
      <c r="M792" s="231">
        <v>-1</v>
      </c>
      <c r="N792" s="231">
        <v>1</v>
      </c>
      <c r="O792" s="231">
        <v>-1</v>
      </c>
      <c r="P792" s="234"/>
      <c r="Q792" s="232" t="s">
        <v>2344</v>
      </c>
      <c r="R792" s="234" t="s">
        <v>332</v>
      </c>
      <c r="S792" s="235">
        <v>44886</v>
      </c>
      <c r="T792" s="235">
        <v>44957</v>
      </c>
      <c r="U792" s="234" t="s">
        <v>318</v>
      </c>
      <c r="V792" s="232" t="s">
        <v>321</v>
      </c>
      <c r="W792" s="231"/>
      <c r="X792" s="232" t="s">
        <v>322</v>
      </c>
      <c r="Y792" s="232" t="s">
        <v>338</v>
      </c>
      <c r="Z792" s="232" t="s">
        <v>324</v>
      </c>
      <c r="AA792" s="232" t="s">
        <v>17</v>
      </c>
      <c r="AB792" s="236">
        <v>1.2E-2</v>
      </c>
      <c r="AC792" s="235"/>
      <c r="AD792" s="234"/>
      <c r="AE792" s="234"/>
      <c r="AF792" s="232" t="s">
        <v>77</v>
      </c>
      <c r="AG792" s="232" t="s">
        <v>350</v>
      </c>
      <c r="AH792" s="234" t="s">
        <v>317</v>
      </c>
      <c r="AJ792" s="234">
        <v>0</v>
      </c>
      <c r="AK792" s="224"/>
      <c r="AL792" s="234">
        <v>0</v>
      </c>
      <c r="AM792" s="224"/>
      <c r="AN792" s="234">
        <v>0</v>
      </c>
      <c r="AO792" s="234">
        <v>-1</v>
      </c>
      <c r="AP792" s="234">
        <v>0</v>
      </c>
      <c r="AQ792" s="234">
        <v>-1</v>
      </c>
      <c r="AR792" s="234">
        <v>1</v>
      </c>
      <c r="AS792" s="234">
        <v>0</v>
      </c>
      <c r="AT792" s="234">
        <v>0</v>
      </c>
      <c r="AU792" s="234">
        <v>0</v>
      </c>
      <c r="AV792" s="234">
        <v>-1</v>
      </c>
      <c r="AW792" s="234">
        <v>0</v>
      </c>
      <c r="AX792" s="234">
        <v>-1</v>
      </c>
      <c r="AY792" s="234">
        <v>0</v>
      </c>
      <c r="AZ792" s="234">
        <v>0</v>
      </c>
      <c r="BA792" s="234">
        <v>0</v>
      </c>
      <c r="BB792" s="234">
        <v>0</v>
      </c>
      <c r="BC792" s="234">
        <v>0</v>
      </c>
      <c r="BD792" s="234">
        <v>0</v>
      </c>
      <c r="BE792" s="234">
        <v>0</v>
      </c>
      <c r="BF792" s="234">
        <v>1</v>
      </c>
      <c r="BG792" s="234">
        <v>0</v>
      </c>
      <c r="BH792" s="234">
        <v>0</v>
      </c>
      <c r="BI792" s="234">
        <v>0</v>
      </c>
      <c r="BJ792" s="234">
        <v>0</v>
      </c>
      <c r="BK792" s="234">
        <v>0</v>
      </c>
      <c r="BL792" s="234">
        <v>0</v>
      </c>
      <c r="BM792" s="234">
        <v>0</v>
      </c>
      <c r="BN792" s="234">
        <v>0</v>
      </c>
      <c r="BO792" s="234">
        <v>0</v>
      </c>
      <c r="BP792" s="234"/>
      <c r="BQ792" s="234"/>
      <c r="BR792" s="237" t="s">
        <v>334</v>
      </c>
      <c r="BS792" s="238">
        <v>15</v>
      </c>
      <c r="BU792" s="239">
        <f>M792/4</f>
        <v>-0.25</v>
      </c>
      <c r="BV792" s="239">
        <f t="shared" si="91"/>
        <v>-0.25</v>
      </c>
      <c r="BW792" s="239">
        <f t="shared" si="92"/>
        <v>-0.25</v>
      </c>
      <c r="BX792" s="239">
        <f t="shared" si="93"/>
        <v>-0.25</v>
      </c>
      <c r="CN792" s="238">
        <f t="shared" si="88"/>
        <v>-1</v>
      </c>
      <c r="CO792" s="238">
        <f t="shared" si="89"/>
        <v>-1</v>
      </c>
    </row>
    <row r="793" spans="1:93" ht="13.95" customHeight="1" x14ac:dyDescent="0.2">
      <c r="A793" s="231">
        <v>7935</v>
      </c>
      <c r="B793" s="232" t="s">
        <v>822</v>
      </c>
      <c r="C793" s="232" t="s">
        <v>2345</v>
      </c>
      <c r="D793" s="232" t="s">
        <v>2346</v>
      </c>
      <c r="E793" s="232" t="s">
        <v>317</v>
      </c>
      <c r="F793" s="231">
        <v>528329</v>
      </c>
      <c r="G793" s="231">
        <v>175608</v>
      </c>
      <c r="H793" s="232" t="s">
        <v>167</v>
      </c>
      <c r="I793" s="233"/>
      <c r="J793" s="231"/>
      <c r="K793" s="231">
        <v>2</v>
      </c>
      <c r="L793" s="231">
        <v>1</v>
      </c>
      <c r="M793" s="231">
        <v>-1</v>
      </c>
      <c r="N793" s="231">
        <v>1</v>
      </c>
      <c r="O793" s="231">
        <v>-1</v>
      </c>
      <c r="P793" s="234"/>
      <c r="Q793" s="232" t="s">
        <v>2347</v>
      </c>
      <c r="R793" s="234" t="s">
        <v>332</v>
      </c>
      <c r="S793" s="235">
        <v>44914</v>
      </c>
      <c r="T793" s="235">
        <v>45012</v>
      </c>
      <c r="U793" s="234" t="s">
        <v>318</v>
      </c>
      <c r="V793" s="232" t="s">
        <v>321</v>
      </c>
      <c r="W793" s="231"/>
      <c r="X793" s="232" t="s">
        <v>322</v>
      </c>
      <c r="Y793" s="232" t="s">
        <v>365</v>
      </c>
      <c r="Z793" s="232" t="s">
        <v>324</v>
      </c>
      <c r="AA793" s="232" t="s">
        <v>17</v>
      </c>
      <c r="AB793" s="236">
        <v>0.05</v>
      </c>
      <c r="AC793" s="235"/>
      <c r="AD793" s="234"/>
      <c r="AE793" s="234"/>
      <c r="AF793" s="232" t="s">
        <v>77</v>
      </c>
      <c r="AG793" s="232" t="s">
        <v>350</v>
      </c>
      <c r="AH793" s="234" t="s">
        <v>317</v>
      </c>
      <c r="AJ793" s="234">
        <v>0</v>
      </c>
      <c r="AK793" s="224"/>
      <c r="AL793" s="234">
        <v>0</v>
      </c>
      <c r="AM793" s="224"/>
      <c r="AN793" s="234">
        <v>0</v>
      </c>
      <c r="AO793" s="234">
        <v>-1</v>
      </c>
      <c r="AP793" s="234">
        <v>0</v>
      </c>
      <c r="AQ793" s="234">
        <v>-1</v>
      </c>
      <c r="AR793" s="234">
        <v>0</v>
      </c>
      <c r="AS793" s="234">
        <v>1</v>
      </c>
      <c r="AT793" s="234">
        <v>0</v>
      </c>
      <c r="AU793" s="234">
        <v>0</v>
      </c>
      <c r="AV793" s="234">
        <v>-1</v>
      </c>
      <c r="AW793" s="234">
        <v>0</v>
      </c>
      <c r="AX793" s="234">
        <v>-1</v>
      </c>
      <c r="AY793" s="234">
        <v>0</v>
      </c>
      <c r="AZ793" s="234">
        <v>0</v>
      </c>
      <c r="BA793" s="234">
        <v>0</v>
      </c>
      <c r="BB793" s="234">
        <v>0</v>
      </c>
      <c r="BC793" s="234">
        <v>0</v>
      </c>
      <c r="BD793" s="234">
        <v>0</v>
      </c>
      <c r="BE793" s="234">
        <v>0</v>
      </c>
      <c r="BF793" s="234">
        <v>0</v>
      </c>
      <c r="BG793" s="234">
        <v>1</v>
      </c>
      <c r="BH793" s="234">
        <v>0</v>
      </c>
      <c r="BI793" s="234">
        <v>0</v>
      </c>
      <c r="BJ793" s="234">
        <v>0</v>
      </c>
      <c r="BK793" s="234">
        <v>0</v>
      </c>
      <c r="BL793" s="234">
        <v>0</v>
      </c>
      <c r="BM793" s="234">
        <v>0</v>
      </c>
      <c r="BN793" s="234">
        <v>0</v>
      </c>
      <c r="BO793" s="234">
        <v>0</v>
      </c>
      <c r="BP793" s="234"/>
      <c r="BQ793" s="234"/>
      <c r="BR793" s="237" t="s">
        <v>334</v>
      </c>
      <c r="BS793" s="238">
        <v>15</v>
      </c>
      <c r="BU793" s="239">
        <f>M793/4</f>
        <v>-0.25</v>
      </c>
      <c r="BV793" s="239">
        <f t="shared" si="91"/>
        <v>-0.25</v>
      </c>
      <c r="BW793" s="239">
        <f t="shared" si="92"/>
        <v>-0.25</v>
      </c>
      <c r="BX793" s="239">
        <f t="shared" si="93"/>
        <v>-0.25</v>
      </c>
      <c r="CN793" s="238">
        <f t="shared" si="88"/>
        <v>-1</v>
      </c>
      <c r="CO793" s="238">
        <f t="shared" si="89"/>
        <v>-1</v>
      </c>
    </row>
    <row r="794" spans="1:93" ht="13.95" customHeight="1" x14ac:dyDescent="0.2">
      <c r="A794" s="231">
        <v>7865</v>
      </c>
      <c r="B794" s="232" t="s">
        <v>822</v>
      </c>
      <c r="C794" s="232" t="s">
        <v>2348</v>
      </c>
      <c r="D794" s="232" t="s">
        <v>2349</v>
      </c>
      <c r="E794" s="232" t="s">
        <v>317</v>
      </c>
      <c r="F794" s="231">
        <v>527998</v>
      </c>
      <c r="G794" s="231">
        <v>175724</v>
      </c>
      <c r="H794" s="232" t="s">
        <v>171</v>
      </c>
      <c r="I794" s="233"/>
      <c r="J794" s="231"/>
      <c r="K794" s="231">
        <v>1</v>
      </c>
      <c r="L794" s="231">
        <v>0</v>
      </c>
      <c r="M794" s="231">
        <v>-1</v>
      </c>
      <c r="N794" s="231">
        <v>0</v>
      </c>
      <c r="O794" s="231">
        <v>-1</v>
      </c>
      <c r="P794" s="234"/>
      <c r="Q794" s="232" t="s">
        <v>2350</v>
      </c>
      <c r="R794" s="234" t="s">
        <v>332</v>
      </c>
      <c r="S794" s="235">
        <v>44763</v>
      </c>
      <c r="T794" s="235">
        <v>44819</v>
      </c>
      <c r="U794" s="234" t="s">
        <v>318</v>
      </c>
      <c r="V794" s="232" t="s">
        <v>321</v>
      </c>
      <c r="W794" s="231"/>
      <c r="X794" s="232" t="s">
        <v>322</v>
      </c>
      <c r="Y794" s="232" t="s">
        <v>365</v>
      </c>
      <c r="Z794" s="232" t="s">
        <v>324</v>
      </c>
      <c r="AA794" s="232" t="s">
        <v>15</v>
      </c>
      <c r="AB794" s="236">
        <v>4.4000000000000003E-3</v>
      </c>
      <c r="AC794" s="235"/>
      <c r="AD794" s="234"/>
      <c r="AE794" s="234"/>
      <c r="AF794" s="232" t="s">
        <v>77</v>
      </c>
      <c r="AG794" s="232" t="s">
        <v>340</v>
      </c>
      <c r="AH794" s="234" t="s">
        <v>317</v>
      </c>
      <c r="AJ794" s="234">
        <v>0</v>
      </c>
      <c r="AK794" s="224"/>
      <c r="AL794" s="234">
        <v>0</v>
      </c>
      <c r="AM794" s="224"/>
      <c r="AN794" s="234">
        <v>0</v>
      </c>
      <c r="AO794" s="234">
        <v>0</v>
      </c>
      <c r="AP794" s="234">
        <v>0</v>
      </c>
      <c r="AQ794" s="234">
        <v>0</v>
      </c>
      <c r="AR794" s="234">
        <v>0</v>
      </c>
      <c r="AS794" s="234">
        <v>-1</v>
      </c>
      <c r="AT794" s="234">
        <v>0</v>
      </c>
      <c r="AU794" s="234">
        <v>0</v>
      </c>
      <c r="AV794" s="234">
        <v>0</v>
      </c>
      <c r="AW794" s="234">
        <v>0</v>
      </c>
      <c r="AX794" s="234">
        <v>0</v>
      </c>
      <c r="AY794" s="234">
        <v>0</v>
      </c>
      <c r="AZ794" s="234">
        <v>0</v>
      </c>
      <c r="BA794" s="234">
        <v>0</v>
      </c>
      <c r="BB794" s="234">
        <v>0</v>
      </c>
      <c r="BC794" s="234">
        <v>0</v>
      </c>
      <c r="BD794" s="234">
        <v>0</v>
      </c>
      <c r="BE794" s="234">
        <v>0</v>
      </c>
      <c r="BF794" s="234">
        <v>0</v>
      </c>
      <c r="BG794" s="234">
        <v>-1</v>
      </c>
      <c r="BH794" s="234">
        <v>0</v>
      </c>
      <c r="BI794" s="234">
        <v>0</v>
      </c>
      <c r="BJ794" s="234">
        <v>0</v>
      </c>
      <c r="BK794" s="234">
        <v>0</v>
      </c>
      <c r="BL794" s="234">
        <v>0</v>
      </c>
      <c r="BM794" s="234">
        <v>0</v>
      </c>
      <c r="BN794" s="234">
        <v>0</v>
      </c>
      <c r="BO794" s="234">
        <v>0</v>
      </c>
      <c r="BP794" s="234"/>
      <c r="BQ794" s="234"/>
      <c r="BR794" s="237" t="s">
        <v>334</v>
      </c>
      <c r="BS794" s="238">
        <v>15</v>
      </c>
      <c r="BU794" s="239">
        <f>M794/4</f>
        <v>-0.25</v>
      </c>
      <c r="BV794" s="239">
        <f t="shared" si="91"/>
        <v>-0.25</v>
      </c>
      <c r="BW794" s="239">
        <f t="shared" si="92"/>
        <v>-0.25</v>
      </c>
      <c r="BX794" s="239">
        <f t="shared" si="93"/>
        <v>-0.25</v>
      </c>
      <c r="CN794" s="238">
        <f t="shared" si="88"/>
        <v>-1</v>
      </c>
      <c r="CO794" s="238">
        <f t="shared" si="89"/>
        <v>-1</v>
      </c>
    </row>
    <row r="795" spans="1:93" ht="13.95" customHeight="1" x14ac:dyDescent="0.2">
      <c r="A795" s="231">
        <v>7233</v>
      </c>
      <c r="B795" s="232" t="s">
        <v>822</v>
      </c>
      <c r="C795" s="232" t="s">
        <v>2351</v>
      </c>
      <c r="D795" s="232" t="s">
        <v>1171</v>
      </c>
      <c r="E795" s="232" t="s">
        <v>317</v>
      </c>
      <c r="F795" s="231">
        <v>527787</v>
      </c>
      <c r="G795" s="231">
        <v>174343</v>
      </c>
      <c r="H795" s="232" t="s">
        <v>169</v>
      </c>
      <c r="I795" s="233"/>
      <c r="J795" s="231"/>
      <c r="K795" s="231">
        <v>0</v>
      </c>
      <c r="L795" s="231">
        <v>1</v>
      </c>
      <c r="M795" s="231">
        <v>1</v>
      </c>
      <c r="N795" s="231">
        <v>1</v>
      </c>
      <c r="O795" s="231">
        <v>1</v>
      </c>
      <c r="P795" s="234"/>
      <c r="Q795" s="232" t="s">
        <v>2352</v>
      </c>
      <c r="R795" s="234" t="s">
        <v>332</v>
      </c>
      <c r="S795" s="235">
        <v>44350</v>
      </c>
      <c r="T795" s="235">
        <v>44434</v>
      </c>
      <c r="U795" s="234"/>
      <c r="V795" s="232" t="s">
        <v>321</v>
      </c>
      <c r="W795" s="231"/>
      <c r="X795" s="232" t="s">
        <v>322</v>
      </c>
      <c r="Y795" s="232" t="s">
        <v>323</v>
      </c>
      <c r="Z795" s="232" t="s">
        <v>324</v>
      </c>
      <c r="AA795" s="232" t="s">
        <v>349</v>
      </c>
      <c r="AB795" s="236">
        <v>3.0000000000000001E-3</v>
      </c>
      <c r="AC795" s="235"/>
      <c r="AD795" s="234"/>
      <c r="AE795" s="234"/>
      <c r="AF795" s="232" t="s">
        <v>77</v>
      </c>
      <c r="AG795" s="232" t="s">
        <v>350</v>
      </c>
      <c r="AH795" s="234" t="s">
        <v>317</v>
      </c>
      <c r="AJ795" s="234">
        <v>0</v>
      </c>
      <c r="AK795" s="224"/>
      <c r="AL795" s="234">
        <v>0</v>
      </c>
      <c r="AM795" s="224"/>
      <c r="AN795" s="234">
        <v>0</v>
      </c>
      <c r="AO795" s="234">
        <v>0</v>
      </c>
      <c r="AP795" s="234">
        <v>0</v>
      </c>
      <c r="AQ795" s="234">
        <v>1</v>
      </c>
      <c r="AR795" s="234">
        <v>0</v>
      </c>
      <c r="AS795" s="234">
        <v>0</v>
      </c>
      <c r="AT795" s="234">
        <v>0</v>
      </c>
      <c r="AU795" s="234">
        <v>0</v>
      </c>
      <c r="AV795" s="234">
        <v>0</v>
      </c>
      <c r="AW795" s="234">
        <v>0</v>
      </c>
      <c r="AX795" s="234">
        <v>0</v>
      </c>
      <c r="AY795" s="234">
        <v>0</v>
      </c>
      <c r="AZ795" s="234">
        <v>0</v>
      </c>
      <c r="BA795" s="234">
        <v>0</v>
      </c>
      <c r="BB795" s="234">
        <v>0</v>
      </c>
      <c r="BC795" s="234">
        <v>0</v>
      </c>
      <c r="BD795" s="234">
        <v>0</v>
      </c>
      <c r="BE795" s="234">
        <v>1</v>
      </c>
      <c r="BF795" s="234">
        <v>0</v>
      </c>
      <c r="BG795" s="234">
        <v>0</v>
      </c>
      <c r="BH795" s="234">
        <v>0</v>
      </c>
      <c r="BI795" s="234">
        <v>0</v>
      </c>
      <c r="BJ795" s="234">
        <v>0</v>
      </c>
      <c r="BK795" s="234">
        <v>0</v>
      </c>
      <c r="BL795" s="234">
        <v>0</v>
      </c>
      <c r="BM795" s="234">
        <v>0</v>
      </c>
      <c r="BN795" s="234">
        <v>0</v>
      </c>
      <c r="BO795" s="234">
        <v>0</v>
      </c>
      <c r="BP795" s="234"/>
      <c r="BQ795" s="234"/>
      <c r="BR795" s="237" t="s">
        <v>334</v>
      </c>
      <c r="BS795" s="238">
        <v>7</v>
      </c>
      <c r="BV795" s="239">
        <f t="shared" si="91"/>
        <v>0.25</v>
      </c>
      <c r="BW795" s="239">
        <f t="shared" si="92"/>
        <v>0.25</v>
      </c>
      <c r="BX795" s="239">
        <f t="shared" si="93"/>
        <v>0.25</v>
      </c>
      <c r="BY795" s="239">
        <f>M795/4</f>
        <v>0.25</v>
      </c>
      <c r="CN795" s="238">
        <f t="shared" si="88"/>
        <v>1</v>
      </c>
      <c r="CO795" s="238">
        <f t="shared" si="89"/>
        <v>1</v>
      </c>
    </row>
    <row r="796" spans="1:93" ht="13.95" customHeight="1" x14ac:dyDescent="0.2">
      <c r="A796" s="231">
        <v>7787</v>
      </c>
      <c r="B796" s="232" t="s">
        <v>822</v>
      </c>
      <c r="C796" s="232" t="s">
        <v>2353</v>
      </c>
      <c r="D796" s="232" t="s">
        <v>2354</v>
      </c>
      <c r="E796" s="232" t="s">
        <v>317</v>
      </c>
      <c r="F796" s="231">
        <v>527051</v>
      </c>
      <c r="G796" s="231">
        <v>171896</v>
      </c>
      <c r="H796" s="232" t="s">
        <v>177</v>
      </c>
      <c r="I796" s="233"/>
      <c r="J796" s="231"/>
      <c r="K796" s="231">
        <v>1</v>
      </c>
      <c r="L796" s="231">
        <v>0</v>
      </c>
      <c r="M796" s="231">
        <v>-1</v>
      </c>
      <c r="N796" s="231">
        <v>0</v>
      </c>
      <c r="O796" s="231">
        <v>-1</v>
      </c>
      <c r="P796" s="234"/>
      <c r="Q796" s="232" t="s">
        <v>2355</v>
      </c>
      <c r="R796" s="234" t="s">
        <v>332</v>
      </c>
      <c r="S796" s="235">
        <v>44404</v>
      </c>
      <c r="T796" s="235">
        <v>44460</v>
      </c>
      <c r="U796" s="234"/>
      <c r="V796" s="232" t="s">
        <v>321</v>
      </c>
      <c r="W796" s="231"/>
      <c r="X796" s="232" t="s">
        <v>322</v>
      </c>
      <c r="Y796" s="232" t="s">
        <v>378</v>
      </c>
      <c r="Z796" s="232" t="s">
        <v>324</v>
      </c>
      <c r="AA796" s="232" t="s">
        <v>34</v>
      </c>
      <c r="AB796" s="236">
        <v>0.182</v>
      </c>
      <c r="AC796" s="235"/>
      <c r="AD796" s="234"/>
      <c r="AE796" s="234"/>
      <c r="AF796" s="232" t="s">
        <v>77</v>
      </c>
      <c r="AG796" s="232" t="s">
        <v>350</v>
      </c>
      <c r="AH796" s="234" t="s">
        <v>317</v>
      </c>
      <c r="AJ796" s="234">
        <v>0</v>
      </c>
      <c r="AK796" s="224"/>
      <c r="AL796" s="234">
        <v>0</v>
      </c>
      <c r="AM796" s="224"/>
      <c r="AN796" s="234">
        <v>0</v>
      </c>
      <c r="AO796" s="234">
        <v>0</v>
      </c>
      <c r="AP796" s="234">
        <v>0</v>
      </c>
      <c r="AQ796" s="234">
        <v>0</v>
      </c>
      <c r="AR796" s="234">
        <v>0</v>
      </c>
      <c r="AS796" s="234">
        <v>-1</v>
      </c>
      <c r="AT796" s="234">
        <v>0</v>
      </c>
      <c r="AU796" s="234">
        <v>0</v>
      </c>
      <c r="AV796" s="234">
        <v>0</v>
      </c>
      <c r="AW796" s="234">
        <v>0</v>
      </c>
      <c r="AX796" s="234">
        <v>0</v>
      </c>
      <c r="AY796" s="234">
        <v>0</v>
      </c>
      <c r="AZ796" s="234">
        <v>-1</v>
      </c>
      <c r="BA796" s="234">
        <v>0</v>
      </c>
      <c r="BB796" s="234">
        <v>0</v>
      </c>
      <c r="BC796" s="234">
        <v>0</v>
      </c>
      <c r="BD796" s="234">
        <v>0</v>
      </c>
      <c r="BE796" s="234">
        <v>0</v>
      </c>
      <c r="BF796" s="234">
        <v>0</v>
      </c>
      <c r="BG796" s="234">
        <v>0</v>
      </c>
      <c r="BH796" s="234">
        <v>0</v>
      </c>
      <c r="BI796" s="234">
        <v>0</v>
      </c>
      <c r="BJ796" s="234">
        <v>0</v>
      </c>
      <c r="BK796" s="234">
        <v>0</v>
      </c>
      <c r="BL796" s="234">
        <v>0</v>
      </c>
      <c r="BM796" s="234">
        <v>0</v>
      </c>
      <c r="BN796" s="234">
        <v>0</v>
      </c>
      <c r="BO796" s="234">
        <v>0</v>
      </c>
      <c r="BP796" s="234"/>
      <c r="BQ796" s="234"/>
      <c r="BR796" s="237" t="s">
        <v>334</v>
      </c>
      <c r="BS796" s="238">
        <v>15</v>
      </c>
      <c r="BU796" s="239">
        <f t="shared" ref="BU796:BU804" si="94">M796/4</f>
        <v>-0.25</v>
      </c>
      <c r="BV796" s="239">
        <f t="shared" si="91"/>
        <v>-0.25</v>
      </c>
      <c r="BW796" s="239">
        <f t="shared" si="92"/>
        <v>-0.25</v>
      </c>
      <c r="BX796" s="239">
        <f t="shared" si="93"/>
        <v>-0.25</v>
      </c>
      <c r="CN796" s="238">
        <f t="shared" si="88"/>
        <v>-1</v>
      </c>
      <c r="CO796" s="238">
        <f t="shared" si="89"/>
        <v>-1</v>
      </c>
    </row>
    <row r="797" spans="1:93" ht="13.95" customHeight="1" x14ac:dyDescent="0.2">
      <c r="A797" s="231">
        <v>7118</v>
      </c>
      <c r="B797" s="232" t="s">
        <v>822</v>
      </c>
      <c r="C797" s="232" t="s">
        <v>2356</v>
      </c>
      <c r="D797" s="232" t="s">
        <v>2357</v>
      </c>
      <c r="E797" s="232" t="s">
        <v>317</v>
      </c>
      <c r="F797" s="231">
        <v>527344</v>
      </c>
      <c r="G797" s="231">
        <v>171674</v>
      </c>
      <c r="H797" s="232" t="s">
        <v>177</v>
      </c>
      <c r="I797" s="233"/>
      <c r="J797" s="231"/>
      <c r="K797" s="231">
        <v>1</v>
      </c>
      <c r="L797" s="231">
        <v>0</v>
      </c>
      <c r="M797" s="231">
        <v>-1</v>
      </c>
      <c r="N797" s="231">
        <v>0</v>
      </c>
      <c r="O797" s="231">
        <v>-1</v>
      </c>
      <c r="P797" s="234"/>
      <c r="Q797" s="232" t="s">
        <v>2358</v>
      </c>
      <c r="R797" s="234" t="s">
        <v>332</v>
      </c>
      <c r="S797" s="235">
        <v>43516</v>
      </c>
      <c r="T797" s="235">
        <v>44132</v>
      </c>
      <c r="U797" s="234"/>
      <c r="V797" s="232" t="s">
        <v>321</v>
      </c>
      <c r="W797" s="231"/>
      <c r="X797" s="232" t="s">
        <v>322</v>
      </c>
      <c r="Y797" s="232" t="s">
        <v>378</v>
      </c>
      <c r="Z797" s="232" t="s">
        <v>324</v>
      </c>
      <c r="AA797" s="232" t="s">
        <v>34</v>
      </c>
      <c r="AB797" s="236">
        <v>6.4000000000000001E-2</v>
      </c>
      <c r="AC797" s="235"/>
      <c r="AD797" s="234"/>
      <c r="AE797" s="234"/>
      <c r="AF797" s="232" t="s">
        <v>77</v>
      </c>
      <c r="AG797" s="232" t="s">
        <v>350</v>
      </c>
      <c r="AH797" s="234" t="s">
        <v>317</v>
      </c>
      <c r="AJ797" s="234">
        <v>0</v>
      </c>
      <c r="AK797" s="224"/>
      <c r="AL797" s="234">
        <v>0</v>
      </c>
      <c r="AM797" s="224"/>
      <c r="AN797" s="234">
        <v>0</v>
      </c>
      <c r="AO797" s="234">
        <v>0</v>
      </c>
      <c r="AP797" s="234">
        <v>0</v>
      </c>
      <c r="AQ797" s="234">
        <v>0</v>
      </c>
      <c r="AR797" s="234">
        <v>0</v>
      </c>
      <c r="AS797" s="234">
        <v>-1</v>
      </c>
      <c r="AT797" s="234">
        <v>0</v>
      </c>
      <c r="AU797" s="234">
        <v>0</v>
      </c>
      <c r="AV797" s="234">
        <v>0</v>
      </c>
      <c r="AW797" s="234">
        <v>0</v>
      </c>
      <c r="AX797" s="234">
        <v>0</v>
      </c>
      <c r="AY797" s="234">
        <v>0</v>
      </c>
      <c r="AZ797" s="234">
        <v>-1</v>
      </c>
      <c r="BA797" s="234">
        <v>0</v>
      </c>
      <c r="BB797" s="234">
        <v>0</v>
      </c>
      <c r="BC797" s="234">
        <v>0</v>
      </c>
      <c r="BD797" s="234">
        <v>0</v>
      </c>
      <c r="BE797" s="234">
        <v>0</v>
      </c>
      <c r="BF797" s="234">
        <v>0</v>
      </c>
      <c r="BG797" s="234">
        <v>0</v>
      </c>
      <c r="BH797" s="234">
        <v>0</v>
      </c>
      <c r="BI797" s="234">
        <v>0</v>
      </c>
      <c r="BJ797" s="234">
        <v>0</v>
      </c>
      <c r="BK797" s="234">
        <v>0</v>
      </c>
      <c r="BL797" s="234">
        <v>0</v>
      </c>
      <c r="BM797" s="234">
        <v>0</v>
      </c>
      <c r="BN797" s="234">
        <v>0</v>
      </c>
      <c r="BO797" s="234">
        <v>0</v>
      </c>
      <c r="BP797" s="234"/>
      <c r="BQ797" s="234"/>
      <c r="BR797" s="237" t="s">
        <v>334</v>
      </c>
      <c r="BS797" s="238">
        <v>15</v>
      </c>
      <c r="BU797" s="239">
        <f t="shared" si="94"/>
        <v>-0.25</v>
      </c>
      <c r="BV797" s="239">
        <f t="shared" si="91"/>
        <v>-0.25</v>
      </c>
      <c r="BW797" s="239">
        <f t="shared" si="92"/>
        <v>-0.25</v>
      </c>
      <c r="BX797" s="239">
        <f t="shared" si="93"/>
        <v>-0.25</v>
      </c>
      <c r="CN797" s="238">
        <f t="shared" si="88"/>
        <v>-1</v>
      </c>
      <c r="CO797" s="238">
        <f t="shared" si="89"/>
        <v>-1</v>
      </c>
    </row>
    <row r="798" spans="1:93" ht="13.95" customHeight="1" x14ac:dyDescent="0.2">
      <c r="A798" s="231">
        <v>7936</v>
      </c>
      <c r="B798" s="232" t="s">
        <v>822</v>
      </c>
      <c r="C798" s="232" t="s">
        <v>2359</v>
      </c>
      <c r="D798" s="232" t="s">
        <v>2360</v>
      </c>
      <c r="E798" s="232" t="s">
        <v>317</v>
      </c>
      <c r="F798" s="231">
        <v>529018</v>
      </c>
      <c r="G798" s="231">
        <v>172727</v>
      </c>
      <c r="H798" s="232" t="s">
        <v>172</v>
      </c>
      <c r="I798" s="233"/>
      <c r="J798" s="231"/>
      <c r="K798" s="231">
        <v>2</v>
      </c>
      <c r="L798" s="231">
        <v>1</v>
      </c>
      <c r="M798" s="231">
        <v>-1</v>
      </c>
      <c r="N798" s="231">
        <v>1</v>
      </c>
      <c r="O798" s="231">
        <v>-1</v>
      </c>
      <c r="P798" s="234"/>
      <c r="Q798" s="232" t="s">
        <v>2361</v>
      </c>
      <c r="R798" s="234" t="s">
        <v>332</v>
      </c>
      <c r="S798" s="235">
        <v>44918</v>
      </c>
      <c r="T798" s="235">
        <v>44981</v>
      </c>
      <c r="U798" s="234" t="s">
        <v>318</v>
      </c>
      <c r="V798" s="232" t="s">
        <v>321</v>
      </c>
      <c r="W798" s="231"/>
      <c r="X798" s="232" t="s">
        <v>322</v>
      </c>
      <c r="Y798" s="232" t="s">
        <v>365</v>
      </c>
      <c r="Z798" s="232" t="s">
        <v>324</v>
      </c>
      <c r="AA798" s="232" t="s">
        <v>17</v>
      </c>
      <c r="AB798" s="236">
        <v>7.0000000000000001E-3</v>
      </c>
      <c r="AC798" s="235"/>
      <c r="AD798" s="234"/>
      <c r="AE798" s="234"/>
      <c r="AF798" s="232" t="s">
        <v>77</v>
      </c>
      <c r="AG798" s="232" t="s">
        <v>350</v>
      </c>
      <c r="AH798" s="234" t="s">
        <v>317</v>
      </c>
      <c r="AJ798" s="234">
        <v>0</v>
      </c>
      <c r="AK798" s="224"/>
      <c r="AL798" s="234">
        <v>0</v>
      </c>
      <c r="AM798" s="224"/>
      <c r="AN798" s="234">
        <v>0</v>
      </c>
      <c r="AO798" s="234">
        <v>-1</v>
      </c>
      <c r="AP798" s="234">
        <v>0</v>
      </c>
      <c r="AQ798" s="234">
        <v>-1</v>
      </c>
      <c r="AR798" s="234">
        <v>0</v>
      </c>
      <c r="AS798" s="234">
        <v>1</v>
      </c>
      <c r="AT798" s="234">
        <v>0</v>
      </c>
      <c r="AU798" s="234">
        <v>0</v>
      </c>
      <c r="AV798" s="234">
        <v>-1</v>
      </c>
      <c r="AW798" s="234">
        <v>0</v>
      </c>
      <c r="AX798" s="234">
        <v>-1</v>
      </c>
      <c r="AY798" s="234">
        <v>0</v>
      </c>
      <c r="AZ798" s="234">
        <v>0</v>
      </c>
      <c r="BA798" s="234">
        <v>0</v>
      </c>
      <c r="BB798" s="234">
        <v>0</v>
      </c>
      <c r="BC798" s="234">
        <v>0</v>
      </c>
      <c r="BD798" s="234">
        <v>0</v>
      </c>
      <c r="BE798" s="234">
        <v>0</v>
      </c>
      <c r="BF798" s="234">
        <v>0</v>
      </c>
      <c r="BG798" s="234">
        <v>1</v>
      </c>
      <c r="BH798" s="234">
        <v>0</v>
      </c>
      <c r="BI798" s="234">
        <v>0</v>
      </c>
      <c r="BJ798" s="234">
        <v>0</v>
      </c>
      <c r="BK798" s="234">
        <v>0</v>
      </c>
      <c r="BL798" s="234">
        <v>0</v>
      </c>
      <c r="BM798" s="234">
        <v>0</v>
      </c>
      <c r="BN798" s="234">
        <v>0</v>
      </c>
      <c r="BO798" s="234">
        <v>0</v>
      </c>
      <c r="BP798" s="234"/>
      <c r="BQ798" s="234"/>
      <c r="BR798" s="237" t="s">
        <v>334</v>
      </c>
      <c r="BS798" s="238">
        <v>15</v>
      </c>
      <c r="BU798" s="239">
        <f t="shared" si="94"/>
        <v>-0.25</v>
      </c>
      <c r="BV798" s="239">
        <f t="shared" si="91"/>
        <v>-0.25</v>
      </c>
      <c r="BW798" s="239">
        <f t="shared" si="92"/>
        <v>-0.25</v>
      </c>
      <c r="BX798" s="239">
        <f t="shared" si="93"/>
        <v>-0.25</v>
      </c>
      <c r="CN798" s="238">
        <f t="shared" si="88"/>
        <v>-1</v>
      </c>
      <c r="CO798" s="238">
        <f t="shared" si="89"/>
        <v>-1</v>
      </c>
    </row>
    <row r="799" spans="1:93" ht="13.95" customHeight="1" x14ac:dyDescent="0.2">
      <c r="A799" s="231">
        <v>886</v>
      </c>
      <c r="B799" s="232" t="s">
        <v>822</v>
      </c>
      <c r="C799" s="232" t="s">
        <v>2362</v>
      </c>
      <c r="D799" s="232" t="s">
        <v>2363</v>
      </c>
      <c r="E799" s="232" t="s">
        <v>317</v>
      </c>
      <c r="F799" s="231">
        <v>527401</v>
      </c>
      <c r="G799" s="231">
        <v>171675</v>
      </c>
      <c r="H799" s="232" t="s">
        <v>177</v>
      </c>
      <c r="I799" s="233"/>
      <c r="J799" s="231"/>
      <c r="K799" s="231">
        <v>2</v>
      </c>
      <c r="L799" s="231">
        <v>1</v>
      </c>
      <c r="M799" s="231">
        <v>-1</v>
      </c>
      <c r="N799" s="231">
        <v>1</v>
      </c>
      <c r="O799" s="231">
        <v>-1</v>
      </c>
      <c r="P799" s="234"/>
      <c r="Q799" s="232" t="s">
        <v>2364</v>
      </c>
      <c r="R799" s="234" t="s">
        <v>332</v>
      </c>
      <c r="S799" s="235">
        <v>44183</v>
      </c>
      <c r="T799" s="235">
        <v>44239</v>
      </c>
      <c r="U799" s="234"/>
      <c r="V799" s="232" t="s">
        <v>321</v>
      </c>
      <c r="W799" s="231"/>
      <c r="X799" s="232" t="s">
        <v>322</v>
      </c>
      <c r="Y799" s="232" t="s">
        <v>365</v>
      </c>
      <c r="Z799" s="232" t="s">
        <v>324</v>
      </c>
      <c r="AA799" s="232" t="s">
        <v>17</v>
      </c>
      <c r="AB799" s="236">
        <v>0.06</v>
      </c>
      <c r="AC799" s="235"/>
      <c r="AD799" s="234"/>
      <c r="AE799" s="234"/>
      <c r="AF799" s="232" t="s">
        <v>77</v>
      </c>
      <c r="AG799" s="232" t="s">
        <v>350</v>
      </c>
      <c r="AH799" s="234" t="s">
        <v>317</v>
      </c>
      <c r="AJ799" s="234">
        <v>0</v>
      </c>
      <c r="AK799" s="224"/>
      <c r="AL799" s="234">
        <v>0</v>
      </c>
      <c r="AM799" s="224"/>
      <c r="AN799" s="234">
        <v>0</v>
      </c>
      <c r="AO799" s="234">
        <v>0</v>
      </c>
      <c r="AP799" s="234">
        <v>-2</v>
      </c>
      <c r="AQ799" s="234">
        <v>1</v>
      </c>
      <c r="AR799" s="234">
        <v>0</v>
      </c>
      <c r="AS799" s="234">
        <v>0</v>
      </c>
      <c r="AT799" s="234">
        <v>0</v>
      </c>
      <c r="AU799" s="234">
        <v>0</v>
      </c>
      <c r="AV799" s="234">
        <v>0</v>
      </c>
      <c r="AW799" s="234">
        <v>-2</v>
      </c>
      <c r="AX799" s="234">
        <v>0</v>
      </c>
      <c r="AY799" s="234">
        <v>0</v>
      </c>
      <c r="AZ799" s="234">
        <v>0</v>
      </c>
      <c r="BA799" s="234">
        <v>0</v>
      </c>
      <c r="BB799" s="234">
        <v>0</v>
      </c>
      <c r="BC799" s="234">
        <v>0</v>
      </c>
      <c r="BD799" s="234">
        <v>0</v>
      </c>
      <c r="BE799" s="234">
        <v>1</v>
      </c>
      <c r="BF799" s="234">
        <v>0</v>
      </c>
      <c r="BG799" s="234">
        <v>0</v>
      </c>
      <c r="BH799" s="234">
        <v>0</v>
      </c>
      <c r="BI799" s="234">
        <v>0</v>
      </c>
      <c r="BJ799" s="234">
        <v>0</v>
      </c>
      <c r="BK799" s="234">
        <v>0</v>
      </c>
      <c r="BL799" s="234">
        <v>0</v>
      </c>
      <c r="BM799" s="234">
        <v>0</v>
      </c>
      <c r="BN799" s="234">
        <v>0</v>
      </c>
      <c r="BO799" s="234">
        <v>0</v>
      </c>
      <c r="BP799" s="234"/>
      <c r="BQ799" s="234"/>
      <c r="BR799" s="237" t="s">
        <v>334</v>
      </c>
      <c r="BS799" s="238">
        <v>15</v>
      </c>
      <c r="BU799" s="239">
        <f t="shared" si="94"/>
        <v>-0.25</v>
      </c>
      <c r="BV799" s="239">
        <f t="shared" si="91"/>
        <v>-0.25</v>
      </c>
      <c r="BW799" s="239">
        <f t="shared" si="92"/>
        <v>-0.25</v>
      </c>
      <c r="BX799" s="239">
        <f t="shared" si="93"/>
        <v>-0.25</v>
      </c>
      <c r="CN799" s="238">
        <f t="shared" si="88"/>
        <v>-1</v>
      </c>
      <c r="CO799" s="238">
        <f t="shared" si="89"/>
        <v>-1</v>
      </c>
    </row>
    <row r="800" spans="1:93" ht="13.95" customHeight="1" x14ac:dyDescent="0.2">
      <c r="A800" s="231">
        <v>7876</v>
      </c>
      <c r="B800" s="232" t="s">
        <v>822</v>
      </c>
      <c r="C800" s="232" t="s">
        <v>2365</v>
      </c>
      <c r="D800" s="232" t="s">
        <v>2366</v>
      </c>
      <c r="E800" s="232" t="s">
        <v>317</v>
      </c>
      <c r="F800" s="231">
        <v>524744</v>
      </c>
      <c r="G800" s="231">
        <v>173640</v>
      </c>
      <c r="H800" s="232" t="s">
        <v>173</v>
      </c>
      <c r="I800" s="233"/>
      <c r="J800" s="231"/>
      <c r="K800" s="231">
        <v>2</v>
      </c>
      <c r="L800" s="231">
        <v>1</v>
      </c>
      <c r="M800" s="231">
        <v>-1</v>
      </c>
      <c r="N800" s="231">
        <v>1</v>
      </c>
      <c r="O800" s="231">
        <v>-1</v>
      </c>
      <c r="P800" s="234"/>
      <c r="Q800" s="232" t="s">
        <v>2367</v>
      </c>
      <c r="R800" s="234" t="s">
        <v>332</v>
      </c>
      <c r="S800" s="235">
        <v>44790</v>
      </c>
      <c r="T800" s="235">
        <v>44855</v>
      </c>
      <c r="U800" s="234" t="s">
        <v>318</v>
      </c>
      <c r="V800" s="232" t="s">
        <v>321</v>
      </c>
      <c r="W800" s="231"/>
      <c r="X800" s="232" t="s">
        <v>322</v>
      </c>
      <c r="Y800" s="232" t="s">
        <v>365</v>
      </c>
      <c r="Z800" s="232" t="s">
        <v>324</v>
      </c>
      <c r="AA800" s="232" t="s">
        <v>17</v>
      </c>
      <c r="AB800" s="236">
        <v>5.566667E-3</v>
      </c>
      <c r="AC800" s="235"/>
      <c r="AD800" s="234"/>
      <c r="AE800" s="234"/>
      <c r="AF800" s="232" t="s">
        <v>77</v>
      </c>
      <c r="AG800" s="232" t="s">
        <v>350</v>
      </c>
      <c r="AH800" s="234" t="s">
        <v>317</v>
      </c>
      <c r="AJ800" s="234">
        <v>0</v>
      </c>
      <c r="AK800" s="224"/>
      <c r="AL800" s="234">
        <v>0</v>
      </c>
      <c r="AM800" s="224"/>
      <c r="AN800" s="234">
        <v>0</v>
      </c>
      <c r="AO800" s="234">
        <v>0</v>
      </c>
      <c r="AP800" s="234">
        <v>-2</v>
      </c>
      <c r="AQ800" s="234">
        <v>0</v>
      </c>
      <c r="AR800" s="234">
        <v>0</v>
      </c>
      <c r="AS800" s="234">
        <v>1</v>
      </c>
      <c r="AT800" s="234">
        <v>0</v>
      </c>
      <c r="AU800" s="234">
        <v>0</v>
      </c>
      <c r="AV800" s="234">
        <v>0</v>
      </c>
      <c r="AW800" s="234">
        <v>-2</v>
      </c>
      <c r="AX800" s="234">
        <v>0</v>
      </c>
      <c r="AY800" s="234">
        <v>0</v>
      </c>
      <c r="AZ800" s="234">
        <v>0</v>
      </c>
      <c r="BA800" s="234">
        <v>0</v>
      </c>
      <c r="BB800" s="234">
        <v>0</v>
      </c>
      <c r="BC800" s="234">
        <v>0</v>
      </c>
      <c r="BD800" s="234">
        <v>0</v>
      </c>
      <c r="BE800" s="234">
        <v>0</v>
      </c>
      <c r="BF800" s="234">
        <v>0</v>
      </c>
      <c r="BG800" s="234">
        <v>1</v>
      </c>
      <c r="BH800" s="234">
        <v>0</v>
      </c>
      <c r="BI800" s="234">
        <v>0</v>
      </c>
      <c r="BJ800" s="234">
        <v>0</v>
      </c>
      <c r="BK800" s="234">
        <v>0</v>
      </c>
      <c r="BL800" s="234">
        <v>0</v>
      </c>
      <c r="BM800" s="234">
        <v>0</v>
      </c>
      <c r="BN800" s="234">
        <v>0</v>
      </c>
      <c r="BO800" s="234">
        <v>0</v>
      </c>
      <c r="BP800" s="234"/>
      <c r="BQ800" s="234"/>
      <c r="BR800" s="237" t="s">
        <v>334</v>
      </c>
      <c r="BS800" s="238">
        <v>15</v>
      </c>
      <c r="BU800" s="239">
        <f t="shared" si="94"/>
        <v>-0.25</v>
      </c>
      <c r="BV800" s="239">
        <f t="shared" si="91"/>
        <v>-0.25</v>
      </c>
      <c r="BW800" s="239">
        <f t="shared" si="92"/>
        <v>-0.25</v>
      </c>
      <c r="BX800" s="239">
        <f t="shared" si="93"/>
        <v>-0.25</v>
      </c>
      <c r="CN800" s="238">
        <f t="shared" si="88"/>
        <v>-1</v>
      </c>
      <c r="CO800" s="238">
        <f t="shared" si="89"/>
        <v>-1</v>
      </c>
    </row>
    <row r="801" spans="1:93" ht="13.95" customHeight="1" x14ac:dyDescent="0.2">
      <c r="A801" s="231">
        <v>5123</v>
      </c>
      <c r="B801" s="232" t="s">
        <v>822</v>
      </c>
      <c r="C801" s="232" t="s">
        <v>2368</v>
      </c>
      <c r="D801" s="232" t="s">
        <v>2369</v>
      </c>
      <c r="E801" s="232" t="s">
        <v>317</v>
      </c>
      <c r="F801" s="231">
        <v>524195</v>
      </c>
      <c r="G801" s="231">
        <v>175062</v>
      </c>
      <c r="H801" s="232" t="s">
        <v>175</v>
      </c>
      <c r="I801" s="233"/>
      <c r="J801" s="231"/>
      <c r="K801" s="231">
        <v>2</v>
      </c>
      <c r="L801" s="231">
        <v>1</v>
      </c>
      <c r="M801" s="231">
        <v>-1</v>
      </c>
      <c r="N801" s="231">
        <v>1</v>
      </c>
      <c r="O801" s="231">
        <v>-1</v>
      </c>
      <c r="P801" s="234"/>
      <c r="Q801" s="232" t="s">
        <v>2370</v>
      </c>
      <c r="R801" s="234" t="s">
        <v>332</v>
      </c>
      <c r="S801" s="235">
        <v>43865</v>
      </c>
      <c r="T801" s="235">
        <v>43916</v>
      </c>
      <c r="U801" s="234"/>
      <c r="V801" s="232" t="s">
        <v>321</v>
      </c>
      <c r="W801" s="231"/>
      <c r="X801" s="232" t="s">
        <v>322</v>
      </c>
      <c r="Y801" s="232" t="s">
        <v>365</v>
      </c>
      <c r="Z801" s="232" t="s">
        <v>324</v>
      </c>
      <c r="AA801" s="232" t="s">
        <v>17</v>
      </c>
      <c r="AB801" s="236">
        <v>1.9E-2</v>
      </c>
      <c r="AC801" s="235"/>
      <c r="AD801" s="234"/>
      <c r="AE801" s="234"/>
      <c r="AF801" s="232" t="s">
        <v>77</v>
      </c>
      <c r="AG801" s="232" t="s">
        <v>350</v>
      </c>
      <c r="AH801" s="234" t="s">
        <v>317</v>
      </c>
      <c r="AJ801" s="234">
        <v>0</v>
      </c>
      <c r="AK801" s="224"/>
      <c r="AL801" s="234">
        <v>0</v>
      </c>
      <c r="AM801" s="224"/>
      <c r="AN801" s="234">
        <v>0</v>
      </c>
      <c r="AO801" s="234">
        <v>-1</v>
      </c>
      <c r="AP801" s="234">
        <v>0</v>
      </c>
      <c r="AQ801" s="234">
        <v>-1</v>
      </c>
      <c r="AR801" s="234">
        <v>0</v>
      </c>
      <c r="AS801" s="234">
        <v>1</v>
      </c>
      <c r="AT801" s="234">
        <v>0</v>
      </c>
      <c r="AU801" s="234">
        <v>0</v>
      </c>
      <c r="AV801" s="234">
        <v>-1</v>
      </c>
      <c r="AW801" s="234">
        <v>0</v>
      </c>
      <c r="AX801" s="234">
        <v>-1</v>
      </c>
      <c r="AY801" s="234">
        <v>0</v>
      </c>
      <c r="AZ801" s="234">
        <v>0</v>
      </c>
      <c r="BA801" s="234">
        <v>0</v>
      </c>
      <c r="BB801" s="234">
        <v>0</v>
      </c>
      <c r="BC801" s="234">
        <v>0</v>
      </c>
      <c r="BD801" s="234">
        <v>0</v>
      </c>
      <c r="BE801" s="234">
        <v>0</v>
      </c>
      <c r="BF801" s="234">
        <v>0</v>
      </c>
      <c r="BG801" s="234">
        <v>1</v>
      </c>
      <c r="BH801" s="234">
        <v>0</v>
      </c>
      <c r="BI801" s="234">
        <v>0</v>
      </c>
      <c r="BJ801" s="234">
        <v>0</v>
      </c>
      <c r="BK801" s="234">
        <v>0</v>
      </c>
      <c r="BL801" s="234">
        <v>0</v>
      </c>
      <c r="BM801" s="234">
        <v>0</v>
      </c>
      <c r="BN801" s="234">
        <v>0</v>
      </c>
      <c r="BO801" s="234">
        <v>0</v>
      </c>
      <c r="BP801" s="234"/>
      <c r="BQ801" s="234"/>
      <c r="BR801" s="237" t="s">
        <v>152</v>
      </c>
      <c r="BS801" s="238">
        <v>15</v>
      </c>
      <c r="BU801" s="239">
        <f t="shared" si="94"/>
        <v>-0.25</v>
      </c>
      <c r="BV801" s="239">
        <f t="shared" si="91"/>
        <v>-0.25</v>
      </c>
      <c r="BW801" s="239">
        <f t="shared" si="92"/>
        <v>-0.25</v>
      </c>
      <c r="BX801" s="239">
        <f t="shared" si="93"/>
        <v>-0.25</v>
      </c>
      <c r="CN801" s="238">
        <f t="shared" si="88"/>
        <v>-1</v>
      </c>
      <c r="CO801" s="238">
        <f t="shared" si="89"/>
        <v>-1</v>
      </c>
    </row>
    <row r="802" spans="1:93" ht="13.95" customHeight="1" x14ac:dyDescent="0.2">
      <c r="A802" s="231">
        <v>7519</v>
      </c>
      <c r="B802" s="232" t="s">
        <v>822</v>
      </c>
      <c r="C802" s="232" t="s">
        <v>2371</v>
      </c>
      <c r="D802" s="232" t="s">
        <v>2372</v>
      </c>
      <c r="E802" s="232" t="s">
        <v>317</v>
      </c>
      <c r="F802" s="231">
        <v>527864</v>
      </c>
      <c r="G802" s="231">
        <v>175385</v>
      </c>
      <c r="H802" s="232" t="s">
        <v>167</v>
      </c>
      <c r="I802" s="233"/>
      <c r="J802" s="231"/>
      <c r="K802" s="231">
        <v>1</v>
      </c>
      <c r="L802" s="231">
        <v>0</v>
      </c>
      <c r="M802" s="231">
        <v>-1</v>
      </c>
      <c r="N802" s="231">
        <v>0</v>
      </c>
      <c r="O802" s="231">
        <v>-1</v>
      </c>
      <c r="P802" s="234"/>
      <c r="Q802" s="232" t="s">
        <v>2323</v>
      </c>
      <c r="R802" s="234" t="s">
        <v>332</v>
      </c>
      <c r="S802" s="235">
        <v>44273</v>
      </c>
      <c r="T802" s="235">
        <v>44739</v>
      </c>
      <c r="U802" s="234" t="s">
        <v>318</v>
      </c>
      <c r="V802" s="232" t="s">
        <v>321</v>
      </c>
      <c r="W802" s="231"/>
      <c r="X802" s="232" t="s">
        <v>322</v>
      </c>
      <c r="Y802" s="232" t="s">
        <v>378</v>
      </c>
      <c r="Z802" s="232" t="s">
        <v>324</v>
      </c>
      <c r="AA802" s="232" t="s">
        <v>607</v>
      </c>
      <c r="AB802" s="236">
        <v>0</v>
      </c>
      <c r="AC802" s="235"/>
      <c r="AD802" s="234"/>
      <c r="AE802" s="234"/>
      <c r="AF802" s="232" t="s">
        <v>77</v>
      </c>
      <c r="AG802" s="232" t="s">
        <v>340</v>
      </c>
      <c r="AH802" s="234" t="s">
        <v>317</v>
      </c>
      <c r="AJ802" s="234">
        <v>0</v>
      </c>
      <c r="AK802" s="224"/>
      <c r="AL802" s="234">
        <v>0</v>
      </c>
      <c r="AM802" s="224"/>
      <c r="AN802" s="234">
        <v>0</v>
      </c>
      <c r="AO802" s="234">
        <v>0</v>
      </c>
      <c r="AP802" s="234">
        <v>0</v>
      </c>
      <c r="AQ802" s="234">
        <v>0</v>
      </c>
      <c r="AR802" s="234">
        <v>0</v>
      </c>
      <c r="AS802" s="234">
        <v>-1</v>
      </c>
      <c r="AT802" s="234">
        <v>0</v>
      </c>
      <c r="AU802" s="234">
        <v>0</v>
      </c>
      <c r="AV802" s="234">
        <v>0</v>
      </c>
      <c r="AW802" s="234">
        <v>0</v>
      </c>
      <c r="AX802" s="234">
        <v>0</v>
      </c>
      <c r="AY802" s="234">
        <v>0</v>
      </c>
      <c r="AZ802" s="234">
        <v>0</v>
      </c>
      <c r="BA802" s="234">
        <v>0</v>
      </c>
      <c r="BB802" s="234">
        <v>0</v>
      </c>
      <c r="BC802" s="234">
        <v>0</v>
      </c>
      <c r="BD802" s="234">
        <v>0</v>
      </c>
      <c r="BE802" s="234">
        <v>0</v>
      </c>
      <c r="BF802" s="234">
        <v>0</v>
      </c>
      <c r="BG802" s="234">
        <v>-1</v>
      </c>
      <c r="BH802" s="234">
        <v>0</v>
      </c>
      <c r="BI802" s="234">
        <v>0</v>
      </c>
      <c r="BJ802" s="234">
        <v>0</v>
      </c>
      <c r="BK802" s="234">
        <v>0</v>
      </c>
      <c r="BL802" s="234">
        <v>0</v>
      </c>
      <c r="BM802" s="234">
        <v>0</v>
      </c>
      <c r="BN802" s="234">
        <v>0</v>
      </c>
      <c r="BO802" s="234">
        <v>0</v>
      </c>
      <c r="BP802" s="234"/>
      <c r="BQ802" s="234"/>
      <c r="BR802" s="237" t="s">
        <v>150</v>
      </c>
      <c r="BS802" s="238">
        <v>15</v>
      </c>
      <c r="BU802" s="239">
        <f t="shared" si="94"/>
        <v>-0.25</v>
      </c>
      <c r="BV802" s="239">
        <f t="shared" si="91"/>
        <v>-0.25</v>
      </c>
      <c r="BW802" s="239">
        <f t="shared" si="92"/>
        <v>-0.25</v>
      </c>
      <c r="BX802" s="239">
        <f t="shared" si="93"/>
        <v>-0.25</v>
      </c>
      <c r="CN802" s="238">
        <f t="shared" si="88"/>
        <v>-1</v>
      </c>
      <c r="CO802" s="238">
        <f t="shared" si="89"/>
        <v>-1</v>
      </c>
    </row>
    <row r="803" spans="1:93" ht="13.95" customHeight="1" x14ac:dyDescent="0.2">
      <c r="A803" s="231">
        <v>1627</v>
      </c>
      <c r="B803" s="232" t="s">
        <v>822</v>
      </c>
      <c r="C803" s="232" t="s">
        <v>2373</v>
      </c>
      <c r="D803" s="232" t="s">
        <v>2374</v>
      </c>
      <c r="E803" s="232" t="s">
        <v>317</v>
      </c>
      <c r="F803" s="231">
        <v>527243</v>
      </c>
      <c r="G803" s="231">
        <v>171511</v>
      </c>
      <c r="H803" s="232" t="s">
        <v>177</v>
      </c>
      <c r="I803" s="233"/>
      <c r="J803" s="231"/>
      <c r="K803" s="231">
        <v>2</v>
      </c>
      <c r="L803" s="231">
        <v>1</v>
      </c>
      <c r="M803" s="231">
        <v>-1</v>
      </c>
      <c r="N803" s="231">
        <v>1</v>
      </c>
      <c r="O803" s="231">
        <v>-1</v>
      </c>
      <c r="P803" s="234"/>
      <c r="Q803" s="232" t="s">
        <v>2375</v>
      </c>
      <c r="R803" s="234" t="s">
        <v>332</v>
      </c>
      <c r="S803" s="235">
        <v>43501</v>
      </c>
      <c r="T803" s="235">
        <v>43557</v>
      </c>
      <c r="U803" s="234"/>
      <c r="V803" s="232" t="s">
        <v>321</v>
      </c>
      <c r="W803" s="231"/>
      <c r="X803" s="232" t="s">
        <v>322</v>
      </c>
      <c r="Y803" s="232" t="s">
        <v>365</v>
      </c>
      <c r="Z803" s="232" t="s">
        <v>324</v>
      </c>
      <c r="AA803" s="232" t="s">
        <v>17</v>
      </c>
      <c r="AB803" s="236">
        <v>1.0999999999999999E-2</v>
      </c>
      <c r="AC803" s="235"/>
      <c r="AD803" s="234"/>
      <c r="AE803" s="234"/>
      <c r="AF803" s="232" t="s">
        <v>77</v>
      </c>
      <c r="AG803" s="232" t="s">
        <v>350</v>
      </c>
      <c r="AH803" s="234" t="s">
        <v>317</v>
      </c>
      <c r="AJ803" s="234">
        <v>0</v>
      </c>
      <c r="AK803" s="224"/>
      <c r="AL803" s="234">
        <v>0</v>
      </c>
      <c r="AM803" s="224"/>
      <c r="AN803" s="234">
        <v>0</v>
      </c>
      <c r="AO803" s="234">
        <v>0</v>
      </c>
      <c r="AP803" s="234">
        <v>-1</v>
      </c>
      <c r="AQ803" s="234">
        <v>-1</v>
      </c>
      <c r="AR803" s="234">
        <v>0</v>
      </c>
      <c r="AS803" s="234">
        <v>1</v>
      </c>
      <c r="AT803" s="234">
        <v>0</v>
      </c>
      <c r="AU803" s="234">
        <v>0</v>
      </c>
      <c r="AV803" s="234">
        <v>0</v>
      </c>
      <c r="AW803" s="234">
        <v>-1</v>
      </c>
      <c r="AX803" s="234">
        <v>-1</v>
      </c>
      <c r="AY803" s="234">
        <v>0</v>
      </c>
      <c r="AZ803" s="234">
        <v>0</v>
      </c>
      <c r="BA803" s="234">
        <v>0</v>
      </c>
      <c r="BB803" s="234">
        <v>0</v>
      </c>
      <c r="BC803" s="234">
        <v>0</v>
      </c>
      <c r="BD803" s="234">
        <v>0</v>
      </c>
      <c r="BE803" s="234">
        <v>0</v>
      </c>
      <c r="BF803" s="234">
        <v>0</v>
      </c>
      <c r="BG803" s="234">
        <v>1</v>
      </c>
      <c r="BH803" s="234">
        <v>0</v>
      </c>
      <c r="BI803" s="234">
        <v>0</v>
      </c>
      <c r="BJ803" s="234">
        <v>0</v>
      </c>
      <c r="BK803" s="234">
        <v>0</v>
      </c>
      <c r="BL803" s="234">
        <v>0</v>
      </c>
      <c r="BM803" s="234">
        <v>0</v>
      </c>
      <c r="BN803" s="234">
        <v>0</v>
      </c>
      <c r="BO803" s="234">
        <v>0</v>
      </c>
      <c r="BP803" s="234"/>
      <c r="BQ803" s="234"/>
      <c r="BR803" s="237" t="s">
        <v>144</v>
      </c>
      <c r="BS803" s="238">
        <v>15</v>
      </c>
      <c r="BU803" s="239">
        <f t="shared" si="94"/>
        <v>-0.25</v>
      </c>
      <c r="BV803" s="239">
        <f t="shared" si="91"/>
        <v>-0.25</v>
      </c>
      <c r="BW803" s="239">
        <f t="shared" si="92"/>
        <v>-0.25</v>
      </c>
      <c r="BX803" s="239">
        <f t="shared" si="93"/>
        <v>-0.25</v>
      </c>
      <c r="CN803" s="238">
        <f t="shared" si="88"/>
        <v>-1</v>
      </c>
      <c r="CO803" s="238">
        <f t="shared" si="89"/>
        <v>-1</v>
      </c>
    </row>
    <row r="804" spans="1:93" ht="13.95" customHeight="1" x14ac:dyDescent="0.2">
      <c r="A804" s="231">
        <v>7878</v>
      </c>
      <c r="B804" s="232" t="s">
        <v>822</v>
      </c>
      <c r="C804" s="232" t="s">
        <v>2376</v>
      </c>
      <c r="D804" s="232" t="s">
        <v>2377</v>
      </c>
      <c r="E804" s="232" t="s">
        <v>317</v>
      </c>
      <c r="F804" s="231">
        <v>526073</v>
      </c>
      <c r="G804" s="231">
        <v>174663</v>
      </c>
      <c r="H804" s="232" t="s">
        <v>181</v>
      </c>
      <c r="I804" s="233"/>
      <c r="J804" s="231"/>
      <c r="K804" s="231">
        <v>2</v>
      </c>
      <c r="L804" s="231">
        <v>1</v>
      </c>
      <c r="M804" s="231">
        <v>-1</v>
      </c>
      <c r="N804" s="231">
        <v>1</v>
      </c>
      <c r="O804" s="231">
        <v>-1</v>
      </c>
      <c r="P804" s="234"/>
      <c r="Q804" s="232" t="s">
        <v>2378</v>
      </c>
      <c r="R804" s="234" t="s">
        <v>332</v>
      </c>
      <c r="S804" s="235">
        <v>44774</v>
      </c>
      <c r="T804" s="235">
        <v>44830</v>
      </c>
      <c r="U804" s="234" t="s">
        <v>318</v>
      </c>
      <c r="V804" s="232" t="s">
        <v>321</v>
      </c>
      <c r="W804" s="231"/>
      <c r="X804" s="232" t="s">
        <v>322</v>
      </c>
      <c r="Y804" s="232" t="s">
        <v>338</v>
      </c>
      <c r="Z804" s="232" t="s">
        <v>324</v>
      </c>
      <c r="AA804" s="232" t="s">
        <v>17</v>
      </c>
      <c r="AB804" s="236">
        <v>1.085E-2</v>
      </c>
      <c r="AC804" s="235"/>
      <c r="AD804" s="234"/>
      <c r="AE804" s="234"/>
      <c r="AF804" s="232" t="s">
        <v>77</v>
      </c>
      <c r="AG804" s="232" t="s">
        <v>350</v>
      </c>
      <c r="AH804" s="234" t="s">
        <v>317</v>
      </c>
      <c r="AJ804" s="234">
        <v>0</v>
      </c>
      <c r="AK804" s="224"/>
      <c r="AL804" s="234">
        <v>0</v>
      </c>
      <c r="AM804" s="224"/>
      <c r="AN804" s="234">
        <v>0</v>
      </c>
      <c r="AO804" s="234">
        <v>0</v>
      </c>
      <c r="AP804" s="234">
        <v>-2</v>
      </c>
      <c r="AQ804" s="234">
        <v>0</v>
      </c>
      <c r="AR804" s="234">
        <v>1</v>
      </c>
      <c r="AS804" s="234">
        <v>0</v>
      </c>
      <c r="AT804" s="234">
        <v>0</v>
      </c>
      <c r="AU804" s="234">
        <v>0</v>
      </c>
      <c r="AV804" s="234">
        <v>0</v>
      </c>
      <c r="AW804" s="234">
        <v>-2</v>
      </c>
      <c r="AX804" s="234">
        <v>0</v>
      </c>
      <c r="AY804" s="234">
        <v>0</v>
      </c>
      <c r="AZ804" s="234">
        <v>0</v>
      </c>
      <c r="BA804" s="234">
        <v>0</v>
      </c>
      <c r="BB804" s="234">
        <v>0</v>
      </c>
      <c r="BC804" s="234">
        <v>0</v>
      </c>
      <c r="BD804" s="234">
        <v>0</v>
      </c>
      <c r="BE804" s="234">
        <v>0</v>
      </c>
      <c r="BF804" s="234">
        <v>1</v>
      </c>
      <c r="BG804" s="234">
        <v>0</v>
      </c>
      <c r="BH804" s="234">
        <v>0</v>
      </c>
      <c r="BI804" s="234">
        <v>0</v>
      </c>
      <c r="BJ804" s="234">
        <v>0</v>
      </c>
      <c r="BK804" s="234">
        <v>0</v>
      </c>
      <c r="BL804" s="234">
        <v>0</v>
      </c>
      <c r="BM804" s="234">
        <v>0</v>
      </c>
      <c r="BN804" s="234">
        <v>0</v>
      </c>
      <c r="BO804" s="234">
        <v>0</v>
      </c>
      <c r="BP804" s="234"/>
      <c r="BQ804" s="234"/>
      <c r="BR804" s="237" t="s">
        <v>334</v>
      </c>
      <c r="BS804" s="238">
        <v>15</v>
      </c>
      <c r="BU804" s="239">
        <f t="shared" si="94"/>
        <v>-0.25</v>
      </c>
      <c r="BV804" s="239">
        <f t="shared" si="91"/>
        <v>-0.25</v>
      </c>
      <c r="BW804" s="239">
        <f t="shared" si="92"/>
        <v>-0.25</v>
      </c>
      <c r="BX804" s="239">
        <f t="shared" si="93"/>
        <v>-0.25</v>
      </c>
      <c r="CN804" s="238">
        <f t="shared" si="88"/>
        <v>-1</v>
      </c>
      <c r="CO804" s="238">
        <f t="shared" si="89"/>
        <v>-1</v>
      </c>
    </row>
    <row r="805" spans="1:93" ht="13.95" customHeight="1" x14ac:dyDescent="0.2">
      <c r="A805" s="231">
        <v>5832</v>
      </c>
      <c r="B805" s="232" t="s">
        <v>822</v>
      </c>
      <c r="C805" s="232" t="s">
        <v>2379</v>
      </c>
      <c r="D805" s="232" t="s">
        <v>2380</v>
      </c>
      <c r="E805" s="232" t="s">
        <v>317</v>
      </c>
      <c r="F805" s="231">
        <v>527798</v>
      </c>
      <c r="G805" s="231">
        <v>175779</v>
      </c>
      <c r="H805" s="232" t="s">
        <v>171</v>
      </c>
      <c r="I805" s="233"/>
      <c r="J805" s="231"/>
      <c r="K805" s="231">
        <v>0</v>
      </c>
      <c r="L805" s="231">
        <v>1</v>
      </c>
      <c r="M805" s="231">
        <v>1</v>
      </c>
      <c r="N805" s="231">
        <v>1</v>
      </c>
      <c r="O805" s="231">
        <v>1</v>
      </c>
      <c r="P805" s="234"/>
      <c r="Q805" s="232" t="s">
        <v>2381</v>
      </c>
      <c r="R805" s="234" t="s">
        <v>332</v>
      </c>
      <c r="S805" s="235">
        <v>44271</v>
      </c>
      <c r="T805" s="235">
        <v>44771</v>
      </c>
      <c r="U805" s="234" t="s">
        <v>318</v>
      </c>
      <c r="V805" s="232" t="s">
        <v>321</v>
      </c>
      <c r="W805" s="231"/>
      <c r="X805" s="232" t="s">
        <v>322</v>
      </c>
      <c r="Y805" s="232" t="s">
        <v>323</v>
      </c>
      <c r="Z805" s="232" t="s">
        <v>324</v>
      </c>
      <c r="AA805" s="232" t="s">
        <v>349</v>
      </c>
      <c r="AB805" s="236">
        <v>1.0999999999999999E-2</v>
      </c>
      <c r="AC805" s="235"/>
      <c r="AD805" s="234"/>
      <c r="AE805" s="234"/>
      <c r="AF805" s="232" t="s">
        <v>77</v>
      </c>
      <c r="AG805" s="232" t="s">
        <v>350</v>
      </c>
      <c r="AH805" s="234" t="s">
        <v>317</v>
      </c>
      <c r="AJ805" s="234">
        <v>0</v>
      </c>
      <c r="AK805" s="224"/>
      <c r="AL805" s="234">
        <v>0</v>
      </c>
      <c r="AM805" s="224"/>
      <c r="AN805" s="234">
        <v>0</v>
      </c>
      <c r="AO805" s="234">
        <v>0</v>
      </c>
      <c r="AP805" s="234">
        <v>1</v>
      </c>
      <c r="AQ805" s="234">
        <v>0</v>
      </c>
      <c r="AR805" s="234">
        <v>0</v>
      </c>
      <c r="AS805" s="234">
        <v>0</v>
      </c>
      <c r="AT805" s="234">
        <v>0</v>
      </c>
      <c r="AU805" s="234">
        <v>0</v>
      </c>
      <c r="AV805" s="234">
        <v>0</v>
      </c>
      <c r="AW805" s="234">
        <v>0</v>
      </c>
      <c r="AX805" s="234">
        <v>0</v>
      </c>
      <c r="AY805" s="234">
        <v>0</v>
      </c>
      <c r="AZ805" s="234">
        <v>0</v>
      </c>
      <c r="BA805" s="234">
        <v>0</v>
      </c>
      <c r="BB805" s="234">
        <v>0</v>
      </c>
      <c r="BC805" s="234">
        <v>0</v>
      </c>
      <c r="BD805" s="234">
        <v>1</v>
      </c>
      <c r="BE805" s="234">
        <v>0</v>
      </c>
      <c r="BF805" s="234">
        <v>0</v>
      </c>
      <c r="BG805" s="234">
        <v>0</v>
      </c>
      <c r="BH805" s="234">
        <v>0</v>
      </c>
      <c r="BI805" s="234">
        <v>0</v>
      </c>
      <c r="BJ805" s="234">
        <v>0</v>
      </c>
      <c r="BK805" s="234">
        <v>0</v>
      </c>
      <c r="BL805" s="234">
        <v>0</v>
      </c>
      <c r="BM805" s="234">
        <v>0</v>
      </c>
      <c r="BN805" s="234">
        <v>0</v>
      </c>
      <c r="BO805" s="234">
        <v>0</v>
      </c>
      <c r="BP805" s="234"/>
      <c r="BQ805" s="234"/>
      <c r="BR805" s="237" t="s">
        <v>334</v>
      </c>
      <c r="BS805" s="238">
        <v>7</v>
      </c>
      <c r="BV805" s="239">
        <f t="shared" si="91"/>
        <v>0.25</v>
      </c>
      <c r="BW805" s="239">
        <f t="shared" si="92"/>
        <v>0.25</v>
      </c>
      <c r="BX805" s="239">
        <f t="shared" si="93"/>
        <v>0.25</v>
      </c>
      <c r="BY805" s="239">
        <f>M805/4</f>
        <v>0.25</v>
      </c>
      <c r="CN805" s="238">
        <f t="shared" si="88"/>
        <v>1</v>
      </c>
      <c r="CO805" s="238">
        <f t="shared" si="89"/>
        <v>1</v>
      </c>
    </row>
    <row r="806" spans="1:93" ht="13.95" customHeight="1" x14ac:dyDescent="0.2">
      <c r="A806" s="231">
        <v>6982</v>
      </c>
      <c r="B806" s="232" t="s">
        <v>822</v>
      </c>
      <c r="C806" s="232" t="s">
        <v>2382</v>
      </c>
      <c r="D806" s="232" t="s">
        <v>2383</v>
      </c>
      <c r="E806" s="232" t="s">
        <v>317</v>
      </c>
      <c r="F806" s="231">
        <v>527516</v>
      </c>
      <c r="G806" s="231">
        <v>177050</v>
      </c>
      <c r="H806" s="232" t="s">
        <v>163</v>
      </c>
      <c r="I806" s="233"/>
      <c r="J806" s="231"/>
      <c r="K806" s="231">
        <v>2</v>
      </c>
      <c r="L806" s="231">
        <v>1</v>
      </c>
      <c r="M806" s="231">
        <v>-1</v>
      </c>
      <c r="N806" s="231">
        <v>1</v>
      </c>
      <c r="O806" s="231">
        <v>-1</v>
      </c>
      <c r="P806" s="234"/>
      <c r="Q806" s="232" t="s">
        <v>2384</v>
      </c>
      <c r="R806" s="234" t="s">
        <v>332</v>
      </c>
      <c r="S806" s="235">
        <v>43277</v>
      </c>
      <c r="T806" s="235">
        <v>43367</v>
      </c>
      <c r="U806" s="234"/>
      <c r="V806" s="232" t="s">
        <v>321</v>
      </c>
      <c r="W806" s="231"/>
      <c r="X806" s="232" t="s">
        <v>322</v>
      </c>
      <c r="Y806" s="232" t="s">
        <v>338</v>
      </c>
      <c r="Z806" s="232" t="s">
        <v>324</v>
      </c>
      <c r="AA806" s="232" t="s">
        <v>411</v>
      </c>
      <c r="AB806" s="236">
        <v>1.4E-2</v>
      </c>
      <c r="AC806" s="235"/>
      <c r="AD806" s="234"/>
      <c r="AE806" s="234"/>
      <c r="AF806" s="232" t="s">
        <v>77</v>
      </c>
      <c r="AG806" s="232" t="s">
        <v>350</v>
      </c>
      <c r="AH806" s="234" t="s">
        <v>317</v>
      </c>
      <c r="AJ806" s="234">
        <v>0</v>
      </c>
      <c r="AK806" s="224"/>
      <c r="AL806" s="234">
        <v>0</v>
      </c>
      <c r="AM806" s="224"/>
      <c r="AN806" s="234">
        <v>0</v>
      </c>
      <c r="AO806" s="234">
        <v>-2</v>
      </c>
      <c r="AP806" s="234">
        <v>0</v>
      </c>
      <c r="AQ806" s="234">
        <v>1</v>
      </c>
      <c r="AR806" s="234">
        <v>0</v>
      </c>
      <c r="AS806" s="234">
        <v>0</v>
      </c>
      <c r="AT806" s="234">
        <v>0</v>
      </c>
      <c r="AU806" s="234">
        <v>0</v>
      </c>
      <c r="AV806" s="234">
        <v>-2</v>
      </c>
      <c r="AW806" s="234">
        <v>0</v>
      </c>
      <c r="AX806" s="234">
        <v>1</v>
      </c>
      <c r="AY806" s="234">
        <v>0</v>
      </c>
      <c r="AZ806" s="234">
        <v>0</v>
      </c>
      <c r="BA806" s="234">
        <v>0</v>
      </c>
      <c r="BB806" s="234">
        <v>0</v>
      </c>
      <c r="BC806" s="234">
        <v>0</v>
      </c>
      <c r="BD806" s="234">
        <v>0</v>
      </c>
      <c r="BE806" s="234">
        <v>0</v>
      </c>
      <c r="BF806" s="234">
        <v>0</v>
      </c>
      <c r="BG806" s="234">
        <v>0</v>
      </c>
      <c r="BH806" s="234">
        <v>0</v>
      </c>
      <c r="BI806" s="234">
        <v>0</v>
      </c>
      <c r="BJ806" s="234">
        <v>0</v>
      </c>
      <c r="BK806" s="234">
        <v>0</v>
      </c>
      <c r="BL806" s="234">
        <v>0</v>
      </c>
      <c r="BM806" s="234">
        <v>0</v>
      </c>
      <c r="BN806" s="234">
        <v>0</v>
      </c>
      <c r="BO806" s="234">
        <v>0</v>
      </c>
      <c r="BP806" s="234"/>
      <c r="BQ806" s="234"/>
      <c r="BR806" s="237" t="s">
        <v>481</v>
      </c>
      <c r="BS806" s="238">
        <v>15</v>
      </c>
      <c r="BU806" s="239">
        <f>M806/4</f>
        <v>-0.25</v>
      </c>
      <c r="BV806" s="239">
        <f t="shared" si="91"/>
        <v>-0.25</v>
      </c>
      <c r="BW806" s="239">
        <f t="shared" si="92"/>
        <v>-0.25</v>
      </c>
      <c r="BX806" s="239">
        <f t="shared" si="93"/>
        <v>-0.25</v>
      </c>
      <c r="CN806" s="238">
        <f t="shared" si="88"/>
        <v>-1</v>
      </c>
      <c r="CO806" s="238">
        <f t="shared" si="89"/>
        <v>-1</v>
      </c>
    </row>
    <row r="807" spans="1:93" ht="13.95" customHeight="1" x14ac:dyDescent="0.2">
      <c r="A807" s="231">
        <v>7055</v>
      </c>
      <c r="B807" s="232" t="s">
        <v>822</v>
      </c>
      <c r="C807" s="232" t="s">
        <v>2074</v>
      </c>
      <c r="D807" s="232" t="s">
        <v>2075</v>
      </c>
      <c r="E807" s="232" t="s">
        <v>317</v>
      </c>
      <c r="F807" s="231">
        <v>528371</v>
      </c>
      <c r="G807" s="231">
        <v>173680</v>
      </c>
      <c r="H807" s="232" t="s">
        <v>141</v>
      </c>
      <c r="I807" s="233"/>
      <c r="J807" s="231"/>
      <c r="K807" s="231">
        <v>5</v>
      </c>
      <c r="L807" s="231">
        <v>4</v>
      </c>
      <c r="M807" s="231">
        <v>-1</v>
      </c>
      <c r="N807" s="231">
        <v>5</v>
      </c>
      <c r="O807" s="231">
        <v>0</v>
      </c>
      <c r="P807" s="234"/>
      <c r="Q807" s="232" t="s">
        <v>2076</v>
      </c>
      <c r="R807" s="234" t="s">
        <v>332</v>
      </c>
      <c r="S807" s="235">
        <v>44064</v>
      </c>
      <c r="T807" s="235">
        <v>44120</v>
      </c>
      <c r="U807" s="234"/>
      <c r="V807" s="232" t="s">
        <v>321</v>
      </c>
      <c r="W807" s="231"/>
      <c r="X807" s="232" t="s">
        <v>322</v>
      </c>
      <c r="Y807" s="232" t="s">
        <v>338</v>
      </c>
      <c r="Z807" s="232" t="s">
        <v>324</v>
      </c>
      <c r="AA807" s="232" t="s">
        <v>411</v>
      </c>
      <c r="AB807" s="236">
        <v>3.6999999999999998E-2</v>
      </c>
      <c r="AC807" s="235"/>
      <c r="AD807" s="234"/>
      <c r="AE807" s="234"/>
      <c r="AF807" s="232" t="s">
        <v>77</v>
      </c>
      <c r="AG807" s="232" t="s">
        <v>350</v>
      </c>
      <c r="AH807" s="234" t="s">
        <v>317</v>
      </c>
      <c r="AJ807" s="234">
        <v>0</v>
      </c>
      <c r="AK807" s="224"/>
      <c r="AL807" s="234">
        <v>0</v>
      </c>
      <c r="AM807" s="224"/>
      <c r="AN807" s="234">
        <v>-2</v>
      </c>
      <c r="AO807" s="234">
        <v>-1</v>
      </c>
      <c r="AP807" s="234">
        <v>1</v>
      </c>
      <c r="AQ807" s="234">
        <v>1</v>
      </c>
      <c r="AR807" s="234">
        <v>0</v>
      </c>
      <c r="AS807" s="234">
        <v>0</v>
      </c>
      <c r="AT807" s="234">
        <v>0</v>
      </c>
      <c r="AU807" s="234">
        <v>-2</v>
      </c>
      <c r="AV807" s="234">
        <v>-1</v>
      </c>
      <c r="AW807" s="234">
        <v>1</v>
      </c>
      <c r="AX807" s="234">
        <v>1</v>
      </c>
      <c r="AY807" s="234">
        <v>0</v>
      </c>
      <c r="AZ807" s="234">
        <v>0</v>
      </c>
      <c r="BA807" s="234">
        <v>0</v>
      </c>
      <c r="BB807" s="234">
        <v>0</v>
      </c>
      <c r="BC807" s="234">
        <v>0</v>
      </c>
      <c r="BD807" s="234">
        <v>0</v>
      </c>
      <c r="BE807" s="234">
        <v>0</v>
      </c>
      <c r="BF807" s="234">
        <v>0</v>
      </c>
      <c r="BG807" s="234">
        <v>0</v>
      </c>
      <c r="BH807" s="234">
        <v>0</v>
      </c>
      <c r="BI807" s="234">
        <v>0</v>
      </c>
      <c r="BJ807" s="234">
        <v>0</v>
      </c>
      <c r="BK807" s="234">
        <v>0</v>
      </c>
      <c r="BL807" s="234">
        <v>0</v>
      </c>
      <c r="BM807" s="234">
        <v>0</v>
      </c>
      <c r="BN807" s="234">
        <v>0</v>
      </c>
      <c r="BO807" s="234">
        <v>0</v>
      </c>
      <c r="BP807" s="234"/>
      <c r="BQ807" s="234"/>
      <c r="BR807" s="237" t="s">
        <v>334</v>
      </c>
      <c r="BS807" s="238">
        <v>15</v>
      </c>
      <c r="BU807" s="239">
        <f>M807/4</f>
        <v>-0.25</v>
      </c>
      <c r="BV807" s="239">
        <f t="shared" si="91"/>
        <v>-0.25</v>
      </c>
      <c r="BW807" s="239">
        <f t="shared" si="92"/>
        <v>-0.25</v>
      </c>
      <c r="BX807" s="239">
        <f t="shared" si="93"/>
        <v>-0.25</v>
      </c>
      <c r="CN807" s="238">
        <f t="shared" si="88"/>
        <v>-1</v>
      </c>
      <c r="CO807" s="238">
        <f t="shared" si="89"/>
        <v>-1</v>
      </c>
    </row>
    <row r="808" spans="1:93" ht="13.95" customHeight="1" x14ac:dyDescent="0.2">
      <c r="A808" s="231">
        <v>7739</v>
      </c>
      <c r="B808" s="232" t="s">
        <v>822</v>
      </c>
      <c r="C808" s="232" t="s">
        <v>2385</v>
      </c>
      <c r="D808" s="232" t="s">
        <v>2386</v>
      </c>
      <c r="E808" s="232" t="s">
        <v>317</v>
      </c>
      <c r="F808" s="231">
        <v>527166</v>
      </c>
      <c r="G808" s="231">
        <v>174991</v>
      </c>
      <c r="H808" s="232" t="s">
        <v>167</v>
      </c>
      <c r="I808" s="233"/>
      <c r="J808" s="231"/>
      <c r="K808" s="231">
        <v>1</v>
      </c>
      <c r="L808" s="231">
        <v>1</v>
      </c>
      <c r="M808" s="231">
        <v>0</v>
      </c>
      <c r="N808" s="231">
        <v>1</v>
      </c>
      <c r="O808" s="231">
        <v>0</v>
      </c>
      <c r="P808" s="234"/>
      <c r="Q808" s="232" t="s">
        <v>2387</v>
      </c>
      <c r="R808" s="234" t="s">
        <v>332</v>
      </c>
      <c r="S808" s="235">
        <v>44530</v>
      </c>
      <c r="T808" s="235">
        <v>44771</v>
      </c>
      <c r="U808" s="234" t="s">
        <v>318</v>
      </c>
      <c r="V808" s="232" t="s">
        <v>321</v>
      </c>
      <c r="W808" s="231"/>
      <c r="X808" s="232" t="s">
        <v>322</v>
      </c>
      <c r="Y808" s="232" t="s">
        <v>323</v>
      </c>
      <c r="Z808" s="232" t="s">
        <v>324</v>
      </c>
      <c r="AA808" s="232" t="s">
        <v>349</v>
      </c>
      <c r="AB808" s="236">
        <v>1.025E-2</v>
      </c>
      <c r="AC808" s="235"/>
      <c r="AD808" s="234"/>
      <c r="AE808" s="234"/>
      <c r="AF808" s="232" t="s">
        <v>77</v>
      </c>
      <c r="AG808" s="232" t="s">
        <v>350</v>
      </c>
      <c r="AH808" s="234" t="s">
        <v>317</v>
      </c>
      <c r="AJ808" s="234">
        <v>0</v>
      </c>
      <c r="AK808" s="224"/>
      <c r="AL808" s="234">
        <v>0</v>
      </c>
      <c r="AM808" s="224"/>
      <c r="AN808" s="234">
        <v>0</v>
      </c>
      <c r="AO808" s="234">
        <v>0</v>
      </c>
      <c r="AP808" s="234">
        <v>0</v>
      </c>
      <c r="AQ808" s="234">
        <v>0</v>
      </c>
      <c r="AR808" s="234">
        <v>0</v>
      </c>
      <c r="AS808" s="234">
        <v>0</v>
      </c>
      <c r="AT808" s="234">
        <v>0</v>
      </c>
      <c r="AU808" s="234">
        <v>0</v>
      </c>
      <c r="AV808" s="234">
        <v>0</v>
      </c>
      <c r="AW808" s="234">
        <v>0</v>
      </c>
      <c r="AX808" s="234">
        <v>0</v>
      </c>
      <c r="AY808" s="234">
        <v>0</v>
      </c>
      <c r="AZ808" s="234">
        <v>0</v>
      </c>
      <c r="BA808" s="234">
        <v>0</v>
      </c>
      <c r="BB808" s="234">
        <v>0</v>
      </c>
      <c r="BC808" s="234">
        <v>0</v>
      </c>
      <c r="BD808" s="234">
        <v>0</v>
      </c>
      <c r="BE808" s="234">
        <v>0</v>
      </c>
      <c r="BF808" s="234">
        <v>0</v>
      </c>
      <c r="BG808" s="234">
        <v>0</v>
      </c>
      <c r="BH808" s="234">
        <v>0</v>
      </c>
      <c r="BI808" s="234">
        <v>0</v>
      </c>
      <c r="BJ808" s="234">
        <v>0</v>
      </c>
      <c r="BK808" s="234">
        <v>0</v>
      </c>
      <c r="BL808" s="234">
        <v>0</v>
      </c>
      <c r="BM808" s="234">
        <v>0</v>
      </c>
      <c r="BN808" s="234">
        <v>0</v>
      </c>
      <c r="BO808" s="234">
        <v>0</v>
      </c>
      <c r="BP808" s="234"/>
      <c r="BQ808" s="234"/>
      <c r="BR808" s="237" t="s">
        <v>334</v>
      </c>
      <c r="BS808" s="238">
        <v>7</v>
      </c>
      <c r="BV808" s="239">
        <f t="shared" si="91"/>
        <v>0</v>
      </c>
      <c r="BW808" s="239">
        <f t="shared" si="92"/>
        <v>0</v>
      </c>
      <c r="BX808" s="239">
        <f t="shared" si="93"/>
        <v>0</v>
      </c>
      <c r="BY808" s="239">
        <f>M808/4</f>
        <v>0</v>
      </c>
      <c r="CN808" s="238">
        <f t="shared" si="88"/>
        <v>0</v>
      </c>
      <c r="CO808" s="238">
        <f t="shared" si="89"/>
        <v>0</v>
      </c>
    </row>
    <row r="809" spans="1:93" ht="13.95" customHeight="1" x14ac:dyDescent="0.2">
      <c r="A809" s="231">
        <v>7622</v>
      </c>
      <c r="B809" s="232" t="s">
        <v>822</v>
      </c>
      <c r="C809" s="232" t="s">
        <v>2388</v>
      </c>
      <c r="D809" s="232" t="s">
        <v>2389</v>
      </c>
      <c r="E809" s="232" t="s">
        <v>317</v>
      </c>
      <c r="F809" s="231">
        <v>529505</v>
      </c>
      <c r="G809" s="231">
        <v>177593</v>
      </c>
      <c r="H809" s="232" t="s">
        <v>168</v>
      </c>
      <c r="I809" s="233"/>
      <c r="J809" s="231"/>
      <c r="K809" s="231">
        <v>2</v>
      </c>
      <c r="L809" s="231">
        <v>1</v>
      </c>
      <c r="M809" s="231">
        <v>-1</v>
      </c>
      <c r="N809" s="231">
        <v>1</v>
      </c>
      <c r="O809" s="231">
        <v>-1</v>
      </c>
      <c r="P809" s="234"/>
      <c r="Q809" s="232" t="s">
        <v>2390</v>
      </c>
      <c r="R809" s="234" t="s">
        <v>332</v>
      </c>
      <c r="S809" s="235">
        <v>44365</v>
      </c>
      <c r="T809" s="235">
        <v>44439</v>
      </c>
      <c r="U809" s="234"/>
      <c r="V809" s="232" t="s">
        <v>321</v>
      </c>
      <c r="W809" s="231"/>
      <c r="X809" s="232" t="s">
        <v>322</v>
      </c>
      <c r="Y809" s="232" t="s">
        <v>365</v>
      </c>
      <c r="Z809" s="232" t="s">
        <v>324</v>
      </c>
      <c r="AA809" s="232" t="s">
        <v>553</v>
      </c>
      <c r="AB809" s="236">
        <v>1.9099999999999999E-2</v>
      </c>
      <c r="AC809" s="235"/>
      <c r="AD809" s="234"/>
      <c r="AE809" s="234"/>
      <c r="AF809" s="232" t="s">
        <v>77</v>
      </c>
      <c r="AG809" s="232" t="s">
        <v>350</v>
      </c>
      <c r="AH809" s="234" t="s">
        <v>778</v>
      </c>
      <c r="AJ809" s="234">
        <v>0</v>
      </c>
      <c r="AK809" s="224"/>
      <c r="AL809" s="234">
        <v>0</v>
      </c>
      <c r="AM809" s="224"/>
      <c r="AN809" s="234">
        <v>0</v>
      </c>
      <c r="AO809" s="234">
        <v>0</v>
      </c>
      <c r="AP809" s="234">
        <v>-2</v>
      </c>
      <c r="AQ809" s="234">
        <v>0</v>
      </c>
      <c r="AR809" s="234">
        <v>1</v>
      </c>
      <c r="AS809" s="234">
        <v>0</v>
      </c>
      <c r="AT809" s="234">
        <v>0</v>
      </c>
      <c r="AU809" s="234">
        <v>0</v>
      </c>
      <c r="AV809" s="234">
        <v>0</v>
      </c>
      <c r="AW809" s="234">
        <v>-2</v>
      </c>
      <c r="AX809" s="234">
        <v>0</v>
      </c>
      <c r="AY809" s="234">
        <v>1</v>
      </c>
      <c r="AZ809" s="234">
        <v>0</v>
      </c>
      <c r="BA809" s="234">
        <v>0</v>
      </c>
      <c r="BB809" s="234">
        <v>0</v>
      </c>
      <c r="BC809" s="234">
        <v>0</v>
      </c>
      <c r="BD809" s="234">
        <v>0</v>
      </c>
      <c r="BE809" s="234">
        <v>0</v>
      </c>
      <c r="BF809" s="234">
        <v>0</v>
      </c>
      <c r="BG809" s="234">
        <v>0</v>
      </c>
      <c r="BH809" s="234">
        <v>0</v>
      </c>
      <c r="BI809" s="234">
        <v>0</v>
      </c>
      <c r="BJ809" s="234">
        <v>0</v>
      </c>
      <c r="BK809" s="234">
        <v>0</v>
      </c>
      <c r="BL809" s="234">
        <v>0</v>
      </c>
      <c r="BM809" s="234">
        <v>0</v>
      </c>
      <c r="BN809" s="234">
        <v>0</v>
      </c>
      <c r="BO809" s="234">
        <v>0</v>
      </c>
      <c r="BP809" s="234"/>
      <c r="BQ809" s="234" t="s">
        <v>318</v>
      </c>
      <c r="BR809" s="237" t="s">
        <v>151</v>
      </c>
      <c r="BS809" s="238">
        <v>15</v>
      </c>
      <c r="BU809" s="239">
        <f t="shared" ref="BU809:BU814" si="95">M809/4</f>
        <v>-0.25</v>
      </c>
      <c r="BV809" s="239">
        <f t="shared" si="91"/>
        <v>-0.25</v>
      </c>
      <c r="BW809" s="239">
        <f t="shared" si="92"/>
        <v>-0.25</v>
      </c>
      <c r="BX809" s="239">
        <f t="shared" si="93"/>
        <v>-0.25</v>
      </c>
      <c r="CN809" s="238">
        <f t="shared" si="88"/>
        <v>-1</v>
      </c>
      <c r="CO809" s="238">
        <f t="shared" si="89"/>
        <v>-1</v>
      </c>
    </row>
    <row r="810" spans="1:93" ht="13.95" customHeight="1" x14ac:dyDescent="0.2">
      <c r="A810" s="231">
        <v>7258</v>
      </c>
      <c r="B810" s="232" t="s">
        <v>822</v>
      </c>
      <c r="C810" s="232" t="s">
        <v>2391</v>
      </c>
      <c r="D810" s="232" t="s">
        <v>2392</v>
      </c>
      <c r="E810" s="232" t="s">
        <v>317</v>
      </c>
      <c r="F810" s="231">
        <v>527490</v>
      </c>
      <c r="G810" s="231">
        <v>174270</v>
      </c>
      <c r="H810" s="232" t="s">
        <v>169</v>
      </c>
      <c r="I810" s="233"/>
      <c r="J810" s="231"/>
      <c r="K810" s="231">
        <v>2</v>
      </c>
      <c r="L810" s="231">
        <v>1</v>
      </c>
      <c r="M810" s="231">
        <v>-1</v>
      </c>
      <c r="N810" s="231">
        <v>1</v>
      </c>
      <c r="O810" s="231">
        <v>-1</v>
      </c>
      <c r="P810" s="234"/>
      <c r="Q810" s="232" t="s">
        <v>2393</v>
      </c>
      <c r="R810" s="234" t="s">
        <v>332</v>
      </c>
      <c r="S810" s="235">
        <v>44826</v>
      </c>
      <c r="T810" s="235">
        <v>44999</v>
      </c>
      <c r="U810" s="234" t="s">
        <v>318</v>
      </c>
      <c r="V810" s="232" t="s">
        <v>321</v>
      </c>
      <c r="W810" s="231"/>
      <c r="X810" s="232" t="s">
        <v>322</v>
      </c>
      <c r="Y810" s="232" t="s">
        <v>365</v>
      </c>
      <c r="Z810" s="232" t="s">
        <v>324</v>
      </c>
      <c r="AA810" s="232" t="s">
        <v>553</v>
      </c>
      <c r="AB810" s="236">
        <v>7.9000000000000008E-3</v>
      </c>
      <c r="AC810" s="235"/>
      <c r="AD810" s="234"/>
      <c r="AE810" s="234"/>
      <c r="AF810" s="232" t="s">
        <v>77</v>
      </c>
      <c r="AG810" s="232" t="s">
        <v>350</v>
      </c>
      <c r="AH810" s="234" t="s">
        <v>317</v>
      </c>
      <c r="AJ810" s="234">
        <v>0</v>
      </c>
      <c r="AK810" s="224"/>
      <c r="AL810" s="234">
        <v>0</v>
      </c>
      <c r="AM810" s="224"/>
      <c r="AN810" s="234">
        <v>0</v>
      </c>
      <c r="AO810" s="234">
        <v>-2</v>
      </c>
      <c r="AP810" s="234">
        <v>0</v>
      </c>
      <c r="AQ810" s="234">
        <v>0</v>
      </c>
      <c r="AR810" s="234">
        <v>1</v>
      </c>
      <c r="AS810" s="234">
        <v>0</v>
      </c>
      <c r="AT810" s="234">
        <v>0</v>
      </c>
      <c r="AU810" s="234">
        <v>0</v>
      </c>
      <c r="AV810" s="234">
        <v>-2</v>
      </c>
      <c r="AW810" s="234">
        <v>0</v>
      </c>
      <c r="AX810" s="234">
        <v>0</v>
      </c>
      <c r="AY810" s="234">
        <v>1</v>
      </c>
      <c r="AZ810" s="234">
        <v>0</v>
      </c>
      <c r="BA810" s="234">
        <v>0</v>
      </c>
      <c r="BB810" s="234">
        <v>0</v>
      </c>
      <c r="BC810" s="234">
        <v>0</v>
      </c>
      <c r="BD810" s="234">
        <v>0</v>
      </c>
      <c r="BE810" s="234">
        <v>0</v>
      </c>
      <c r="BF810" s="234">
        <v>0</v>
      </c>
      <c r="BG810" s="234">
        <v>0</v>
      </c>
      <c r="BH810" s="234">
        <v>0</v>
      </c>
      <c r="BI810" s="234">
        <v>0</v>
      </c>
      <c r="BJ810" s="234">
        <v>0</v>
      </c>
      <c r="BK810" s="234">
        <v>0</v>
      </c>
      <c r="BL810" s="234">
        <v>0</v>
      </c>
      <c r="BM810" s="234">
        <v>0</v>
      </c>
      <c r="BN810" s="234">
        <v>0</v>
      </c>
      <c r="BO810" s="234">
        <v>0</v>
      </c>
      <c r="BP810" s="234"/>
      <c r="BQ810" s="234"/>
      <c r="BR810" s="237" t="s">
        <v>334</v>
      </c>
      <c r="BS810" s="238">
        <v>15</v>
      </c>
      <c r="BU810" s="239">
        <f t="shared" si="95"/>
        <v>-0.25</v>
      </c>
      <c r="BV810" s="239">
        <f t="shared" si="91"/>
        <v>-0.25</v>
      </c>
      <c r="BW810" s="239">
        <f t="shared" si="92"/>
        <v>-0.25</v>
      </c>
      <c r="BX810" s="239">
        <f t="shared" si="93"/>
        <v>-0.25</v>
      </c>
      <c r="CN810" s="238">
        <f t="shared" si="88"/>
        <v>-1</v>
      </c>
      <c r="CO810" s="238">
        <f t="shared" si="89"/>
        <v>-1</v>
      </c>
    </row>
    <row r="811" spans="1:93" ht="13.95" customHeight="1" x14ac:dyDescent="0.2">
      <c r="A811" s="231">
        <v>7038</v>
      </c>
      <c r="B811" s="232" t="s">
        <v>822</v>
      </c>
      <c r="C811" s="232" t="s">
        <v>2394</v>
      </c>
      <c r="D811" s="232" t="s">
        <v>2395</v>
      </c>
      <c r="E811" s="232" t="s">
        <v>317</v>
      </c>
      <c r="F811" s="231">
        <v>527377</v>
      </c>
      <c r="G811" s="231">
        <v>177378</v>
      </c>
      <c r="H811" s="232" t="s">
        <v>163</v>
      </c>
      <c r="I811" s="233"/>
      <c r="J811" s="231"/>
      <c r="K811" s="231">
        <v>2</v>
      </c>
      <c r="L811" s="231">
        <v>1</v>
      </c>
      <c r="M811" s="231">
        <v>-1</v>
      </c>
      <c r="N811" s="231">
        <v>1</v>
      </c>
      <c r="O811" s="231">
        <v>-1</v>
      </c>
      <c r="P811" s="234"/>
      <c r="Q811" s="232" t="s">
        <v>2396</v>
      </c>
      <c r="R811" s="234" t="s">
        <v>332</v>
      </c>
      <c r="S811" s="235">
        <v>43417</v>
      </c>
      <c r="T811" s="235">
        <v>43473</v>
      </c>
      <c r="U811" s="234"/>
      <c r="V811" s="232" t="s">
        <v>321</v>
      </c>
      <c r="W811" s="231"/>
      <c r="X811" s="232" t="s">
        <v>322</v>
      </c>
      <c r="Y811" s="232" t="s">
        <v>365</v>
      </c>
      <c r="Z811" s="232" t="s">
        <v>324</v>
      </c>
      <c r="AA811" s="232" t="s">
        <v>553</v>
      </c>
      <c r="AB811" s="236">
        <v>5.0000000000000001E-3</v>
      </c>
      <c r="AC811" s="235"/>
      <c r="AD811" s="234"/>
      <c r="AE811" s="234"/>
      <c r="AF811" s="232" t="s">
        <v>77</v>
      </c>
      <c r="AG811" s="232" t="s">
        <v>350</v>
      </c>
      <c r="AH811" s="234" t="s">
        <v>317</v>
      </c>
      <c r="AJ811" s="234">
        <v>0</v>
      </c>
      <c r="AK811" s="224"/>
      <c r="AL811" s="234">
        <v>0</v>
      </c>
      <c r="AM811" s="224"/>
      <c r="AN811" s="234">
        <v>0</v>
      </c>
      <c r="AO811" s="234">
        <v>0</v>
      </c>
      <c r="AP811" s="234">
        <v>-1</v>
      </c>
      <c r="AQ811" s="234">
        <v>-1</v>
      </c>
      <c r="AR811" s="234">
        <v>0</v>
      </c>
      <c r="AS811" s="234">
        <v>1</v>
      </c>
      <c r="AT811" s="234">
        <v>0</v>
      </c>
      <c r="AU811" s="234">
        <v>0</v>
      </c>
      <c r="AV811" s="234">
        <v>0</v>
      </c>
      <c r="AW811" s="234">
        <v>-1</v>
      </c>
      <c r="AX811" s="234">
        <v>-1</v>
      </c>
      <c r="AY811" s="234">
        <v>0</v>
      </c>
      <c r="AZ811" s="234">
        <v>1</v>
      </c>
      <c r="BA811" s="234">
        <v>0</v>
      </c>
      <c r="BB811" s="234">
        <v>0</v>
      </c>
      <c r="BC811" s="234">
        <v>0</v>
      </c>
      <c r="BD811" s="234">
        <v>0</v>
      </c>
      <c r="BE811" s="234">
        <v>0</v>
      </c>
      <c r="BF811" s="234">
        <v>0</v>
      </c>
      <c r="BG811" s="234">
        <v>0</v>
      </c>
      <c r="BH811" s="234">
        <v>0</v>
      </c>
      <c r="BI811" s="234">
        <v>0</v>
      </c>
      <c r="BJ811" s="234">
        <v>0</v>
      </c>
      <c r="BK811" s="234">
        <v>0</v>
      </c>
      <c r="BL811" s="234">
        <v>0</v>
      </c>
      <c r="BM811" s="234">
        <v>0</v>
      </c>
      <c r="BN811" s="234">
        <v>0</v>
      </c>
      <c r="BO811" s="234">
        <v>0</v>
      </c>
      <c r="BP811" s="234"/>
      <c r="BQ811" s="234"/>
      <c r="BR811" s="237" t="s">
        <v>481</v>
      </c>
      <c r="BS811" s="238">
        <v>15</v>
      </c>
      <c r="BU811" s="239">
        <f t="shared" si="95"/>
        <v>-0.25</v>
      </c>
      <c r="BV811" s="239">
        <f t="shared" si="91"/>
        <v>-0.25</v>
      </c>
      <c r="BW811" s="239">
        <f t="shared" si="92"/>
        <v>-0.25</v>
      </c>
      <c r="BX811" s="239">
        <f t="shared" si="93"/>
        <v>-0.25</v>
      </c>
      <c r="CN811" s="238">
        <f t="shared" si="88"/>
        <v>-1</v>
      </c>
      <c r="CO811" s="238">
        <f t="shared" si="89"/>
        <v>-1</v>
      </c>
    </row>
    <row r="812" spans="1:93" ht="13.95" customHeight="1" x14ac:dyDescent="0.2">
      <c r="A812" s="231">
        <v>7817</v>
      </c>
      <c r="B812" s="232" t="s">
        <v>822</v>
      </c>
      <c r="C812" s="232" t="s">
        <v>2397</v>
      </c>
      <c r="D812" s="232" t="s">
        <v>2398</v>
      </c>
      <c r="E812" s="232" t="s">
        <v>317</v>
      </c>
      <c r="F812" s="231">
        <v>527600</v>
      </c>
      <c r="G812" s="231">
        <v>173459</v>
      </c>
      <c r="H812" s="232" t="s">
        <v>178</v>
      </c>
      <c r="I812" s="233"/>
      <c r="J812" s="231"/>
      <c r="K812" s="231">
        <v>2</v>
      </c>
      <c r="L812" s="231">
        <v>1</v>
      </c>
      <c r="M812" s="231">
        <v>-1</v>
      </c>
      <c r="N812" s="231">
        <v>1</v>
      </c>
      <c r="O812" s="231">
        <v>-1</v>
      </c>
      <c r="P812" s="234"/>
      <c r="Q812" s="232" t="s">
        <v>2399</v>
      </c>
      <c r="R812" s="234" t="s">
        <v>332</v>
      </c>
      <c r="S812" s="235">
        <v>44701</v>
      </c>
      <c r="T812" s="235">
        <v>44804</v>
      </c>
      <c r="U812" s="234" t="s">
        <v>318</v>
      </c>
      <c r="V812" s="232" t="s">
        <v>321</v>
      </c>
      <c r="W812" s="231"/>
      <c r="X812" s="232" t="s">
        <v>322</v>
      </c>
      <c r="Y812" s="232" t="s">
        <v>365</v>
      </c>
      <c r="Z812" s="232" t="s">
        <v>324</v>
      </c>
      <c r="AA812" s="232" t="s">
        <v>17</v>
      </c>
      <c r="AB812" s="236">
        <v>6.1425000000000004E-3</v>
      </c>
      <c r="AC812" s="235"/>
      <c r="AD812" s="234"/>
      <c r="AE812" s="234"/>
      <c r="AF812" s="232" t="s">
        <v>77</v>
      </c>
      <c r="AG812" s="232" t="s">
        <v>350</v>
      </c>
      <c r="AH812" s="234" t="s">
        <v>317</v>
      </c>
      <c r="AJ812" s="234">
        <v>0</v>
      </c>
      <c r="AK812" s="224"/>
      <c r="AL812" s="234">
        <v>0</v>
      </c>
      <c r="AM812" s="224"/>
      <c r="AN812" s="234">
        <v>0</v>
      </c>
      <c r="AO812" s="234">
        <v>-1</v>
      </c>
      <c r="AP812" s="234">
        <v>0</v>
      </c>
      <c r="AQ812" s="234">
        <v>-1</v>
      </c>
      <c r="AR812" s="234">
        <v>0</v>
      </c>
      <c r="AS812" s="234">
        <v>1</v>
      </c>
      <c r="AT812" s="234">
        <v>0</v>
      </c>
      <c r="AU812" s="234">
        <v>0</v>
      </c>
      <c r="AV812" s="234">
        <v>-1</v>
      </c>
      <c r="AW812" s="234">
        <v>0</v>
      </c>
      <c r="AX812" s="234">
        <v>-1</v>
      </c>
      <c r="AY812" s="234">
        <v>0</v>
      </c>
      <c r="AZ812" s="234">
        <v>0</v>
      </c>
      <c r="BA812" s="234">
        <v>0</v>
      </c>
      <c r="BB812" s="234">
        <v>0</v>
      </c>
      <c r="BC812" s="234">
        <v>0</v>
      </c>
      <c r="BD812" s="234">
        <v>0</v>
      </c>
      <c r="BE812" s="234">
        <v>0</v>
      </c>
      <c r="BF812" s="234">
        <v>0</v>
      </c>
      <c r="BG812" s="234">
        <v>1</v>
      </c>
      <c r="BH812" s="234">
        <v>0</v>
      </c>
      <c r="BI812" s="234">
        <v>0</v>
      </c>
      <c r="BJ812" s="234">
        <v>0</v>
      </c>
      <c r="BK812" s="234">
        <v>0</v>
      </c>
      <c r="BL812" s="234">
        <v>0</v>
      </c>
      <c r="BM812" s="234">
        <v>0</v>
      </c>
      <c r="BN812" s="234">
        <v>0</v>
      </c>
      <c r="BO812" s="234">
        <v>0</v>
      </c>
      <c r="BP812" s="234"/>
      <c r="BQ812" s="234"/>
      <c r="BR812" s="237" t="s">
        <v>334</v>
      </c>
      <c r="BS812" s="238">
        <v>15</v>
      </c>
      <c r="BU812" s="239">
        <f t="shared" si="95"/>
        <v>-0.25</v>
      </c>
      <c r="BV812" s="239">
        <f t="shared" si="91"/>
        <v>-0.25</v>
      </c>
      <c r="BW812" s="239">
        <f t="shared" si="92"/>
        <v>-0.25</v>
      </c>
      <c r="BX812" s="239">
        <f t="shared" si="93"/>
        <v>-0.25</v>
      </c>
      <c r="CN812" s="238">
        <f t="shared" si="88"/>
        <v>-1</v>
      </c>
      <c r="CO812" s="238">
        <f t="shared" si="89"/>
        <v>-1</v>
      </c>
    </row>
    <row r="813" spans="1:93" ht="13.95" customHeight="1" x14ac:dyDescent="0.2">
      <c r="A813" s="231">
        <v>7862</v>
      </c>
      <c r="B813" s="232" t="s">
        <v>822</v>
      </c>
      <c r="C813" s="232" t="s">
        <v>2400</v>
      </c>
      <c r="D813" s="232" t="s">
        <v>2401</v>
      </c>
      <c r="E813" s="232" t="s">
        <v>317</v>
      </c>
      <c r="F813" s="231">
        <v>522956</v>
      </c>
      <c r="G813" s="231">
        <v>174649</v>
      </c>
      <c r="H813" s="232" t="s">
        <v>183</v>
      </c>
      <c r="I813" s="233"/>
      <c r="J813" s="231"/>
      <c r="K813" s="231">
        <v>2</v>
      </c>
      <c r="L813" s="231">
        <v>1</v>
      </c>
      <c r="M813" s="231">
        <v>-1</v>
      </c>
      <c r="N813" s="231">
        <v>1</v>
      </c>
      <c r="O813" s="231">
        <v>-1</v>
      </c>
      <c r="P813" s="234"/>
      <c r="Q813" s="232" t="s">
        <v>2402</v>
      </c>
      <c r="R813" s="234" t="s">
        <v>332</v>
      </c>
      <c r="S813" s="235">
        <v>44727</v>
      </c>
      <c r="T813" s="235">
        <v>44848</v>
      </c>
      <c r="U813" s="234" t="s">
        <v>318</v>
      </c>
      <c r="V813" s="232" t="s">
        <v>321</v>
      </c>
      <c r="W813" s="231"/>
      <c r="X813" s="232" t="s">
        <v>322</v>
      </c>
      <c r="Y813" s="232" t="s">
        <v>365</v>
      </c>
      <c r="Z813" s="232" t="s">
        <v>324</v>
      </c>
      <c r="AA813" s="232" t="s">
        <v>17</v>
      </c>
      <c r="AB813" s="236">
        <v>1.54E-2</v>
      </c>
      <c r="AC813" s="235"/>
      <c r="AD813" s="234"/>
      <c r="AE813" s="234"/>
      <c r="AF813" s="232" t="s">
        <v>77</v>
      </c>
      <c r="AG813" s="232" t="s">
        <v>350</v>
      </c>
      <c r="AH813" s="234" t="s">
        <v>317</v>
      </c>
      <c r="AJ813" s="234">
        <v>0</v>
      </c>
      <c r="AK813" s="224"/>
      <c r="AL813" s="234">
        <v>0</v>
      </c>
      <c r="AM813" s="224"/>
      <c r="AN813" s="234">
        <v>0</v>
      </c>
      <c r="AO813" s="234">
        <v>-1</v>
      </c>
      <c r="AP813" s="234">
        <v>-1</v>
      </c>
      <c r="AQ813" s="234">
        <v>0</v>
      </c>
      <c r="AR813" s="234">
        <v>1</v>
      </c>
      <c r="AS813" s="234">
        <v>0</v>
      </c>
      <c r="AT813" s="234">
        <v>0</v>
      </c>
      <c r="AU813" s="234">
        <v>0</v>
      </c>
      <c r="AV813" s="234">
        <v>-1</v>
      </c>
      <c r="AW813" s="234">
        <v>-1</v>
      </c>
      <c r="AX813" s="234">
        <v>0</v>
      </c>
      <c r="AY813" s="234">
        <v>1</v>
      </c>
      <c r="AZ813" s="234">
        <v>0</v>
      </c>
      <c r="BA813" s="234">
        <v>0</v>
      </c>
      <c r="BB813" s="234">
        <v>0</v>
      </c>
      <c r="BC813" s="234">
        <v>0</v>
      </c>
      <c r="BD813" s="234">
        <v>0</v>
      </c>
      <c r="BE813" s="234">
        <v>0</v>
      </c>
      <c r="BF813" s="234">
        <v>0</v>
      </c>
      <c r="BG813" s="234">
        <v>0</v>
      </c>
      <c r="BH813" s="234">
        <v>0</v>
      </c>
      <c r="BI813" s="234">
        <v>0</v>
      </c>
      <c r="BJ813" s="234">
        <v>0</v>
      </c>
      <c r="BK813" s="234">
        <v>0</v>
      </c>
      <c r="BL813" s="234">
        <v>0</v>
      </c>
      <c r="BM813" s="234">
        <v>0</v>
      </c>
      <c r="BN813" s="234">
        <v>0</v>
      </c>
      <c r="BO813" s="234">
        <v>0</v>
      </c>
      <c r="BP813" s="234"/>
      <c r="BQ813" s="234"/>
      <c r="BR813" s="237" t="s">
        <v>334</v>
      </c>
      <c r="BS813" s="238">
        <v>15</v>
      </c>
      <c r="BU813" s="239">
        <f t="shared" si="95"/>
        <v>-0.25</v>
      </c>
      <c r="BV813" s="239">
        <f t="shared" si="91"/>
        <v>-0.25</v>
      </c>
      <c r="BW813" s="239">
        <f t="shared" si="92"/>
        <v>-0.25</v>
      </c>
      <c r="BX813" s="239">
        <f t="shared" si="93"/>
        <v>-0.25</v>
      </c>
      <c r="CN813" s="238">
        <f t="shared" si="88"/>
        <v>-1</v>
      </c>
      <c r="CO813" s="238">
        <f t="shared" si="89"/>
        <v>-1</v>
      </c>
    </row>
    <row r="814" spans="1:93" ht="13.95" customHeight="1" x14ac:dyDescent="0.2">
      <c r="A814" s="231">
        <v>3307</v>
      </c>
      <c r="B814" s="232" t="s">
        <v>822</v>
      </c>
      <c r="C814" s="232" t="s">
        <v>2403</v>
      </c>
      <c r="D814" s="232" t="s">
        <v>2404</v>
      </c>
      <c r="E814" s="232" t="s">
        <v>317</v>
      </c>
      <c r="F814" s="231">
        <v>527098</v>
      </c>
      <c r="G814" s="231">
        <v>171727</v>
      </c>
      <c r="H814" s="232" t="s">
        <v>177</v>
      </c>
      <c r="I814" s="233"/>
      <c r="J814" s="231"/>
      <c r="K814" s="231">
        <v>1</v>
      </c>
      <c r="L814" s="231">
        <v>0</v>
      </c>
      <c r="M814" s="231">
        <v>-1</v>
      </c>
      <c r="N814" s="231">
        <v>0</v>
      </c>
      <c r="O814" s="231">
        <v>-1</v>
      </c>
      <c r="P814" s="234"/>
      <c r="Q814" s="232" t="s">
        <v>2405</v>
      </c>
      <c r="R814" s="234" t="s">
        <v>332</v>
      </c>
      <c r="S814" s="235">
        <v>44361</v>
      </c>
      <c r="T814" s="235">
        <v>44671</v>
      </c>
      <c r="U814" s="234" t="s">
        <v>318</v>
      </c>
      <c r="V814" s="232" t="s">
        <v>321</v>
      </c>
      <c r="W814" s="231"/>
      <c r="X814" s="232" t="s">
        <v>322</v>
      </c>
      <c r="Y814" s="232" t="s">
        <v>378</v>
      </c>
      <c r="Z814" s="232" t="s">
        <v>324</v>
      </c>
      <c r="AA814" s="232" t="s">
        <v>411</v>
      </c>
      <c r="AB814" s="236">
        <v>0</v>
      </c>
      <c r="AC814" s="235"/>
      <c r="AD814" s="234"/>
      <c r="AE814" s="234"/>
      <c r="AF814" s="232" t="s">
        <v>77</v>
      </c>
      <c r="AG814" s="232" t="s">
        <v>340</v>
      </c>
      <c r="AH814" s="234" t="s">
        <v>317</v>
      </c>
      <c r="AJ814" s="234">
        <v>0</v>
      </c>
      <c r="AK814" s="224"/>
      <c r="AL814" s="234">
        <v>0</v>
      </c>
      <c r="AM814" s="224"/>
      <c r="AN814" s="234">
        <v>0</v>
      </c>
      <c r="AO814" s="234">
        <v>0</v>
      </c>
      <c r="AP814" s="234">
        <v>0</v>
      </c>
      <c r="AQ814" s="234">
        <v>0</v>
      </c>
      <c r="AR814" s="234">
        <v>0</v>
      </c>
      <c r="AS814" s="234">
        <v>-1</v>
      </c>
      <c r="AT814" s="234">
        <v>0</v>
      </c>
      <c r="AU814" s="234">
        <v>0</v>
      </c>
      <c r="AV814" s="234">
        <v>0</v>
      </c>
      <c r="AW814" s="234">
        <v>0</v>
      </c>
      <c r="AX814" s="234">
        <v>0</v>
      </c>
      <c r="AY814" s="234">
        <v>0</v>
      </c>
      <c r="AZ814" s="234">
        <v>0</v>
      </c>
      <c r="BA814" s="234">
        <v>0</v>
      </c>
      <c r="BB814" s="234">
        <v>0</v>
      </c>
      <c r="BC814" s="234">
        <v>0</v>
      </c>
      <c r="BD814" s="234">
        <v>0</v>
      </c>
      <c r="BE814" s="234">
        <v>0</v>
      </c>
      <c r="BF814" s="234">
        <v>0</v>
      </c>
      <c r="BG814" s="234">
        <v>-1</v>
      </c>
      <c r="BH814" s="234">
        <v>0</v>
      </c>
      <c r="BI814" s="234">
        <v>0</v>
      </c>
      <c r="BJ814" s="234">
        <v>0</v>
      </c>
      <c r="BK814" s="234">
        <v>0</v>
      </c>
      <c r="BL814" s="234">
        <v>0</v>
      </c>
      <c r="BM814" s="234">
        <v>0</v>
      </c>
      <c r="BN814" s="234">
        <v>0</v>
      </c>
      <c r="BO814" s="234">
        <v>0</v>
      </c>
      <c r="BP814" s="234"/>
      <c r="BQ814" s="234"/>
      <c r="BR814" s="237" t="s">
        <v>334</v>
      </c>
      <c r="BS814" s="238">
        <v>15</v>
      </c>
      <c r="BU814" s="239">
        <f t="shared" si="95"/>
        <v>-0.25</v>
      </c>
      <c r="BV814" s="239">
        <f t="shared" si="91"/>
        <v>-0.25</v>
      </c>
      <c r="BW814" s="239">
        <f t="shared" si="92"/>
        <v>-0.25</v>
      </c>
      <c r="BX814" s="239">
        <f t="shared" si="93"/>
        <v>-0.25</v>
      </c>
      <c r="CN814" s="238">
        <f t="shared" si="88"/>
        <v>-1</v>
      </c>
      <c r="CO814" s="238">
        <f t="shared" si="89"/>
        <v>-1</v>
      </c>
    </row>
    <row r="815" spans="1:93" ht="13.95" customHeight="1" x14ac:dyDescent="0.2">
      <c r="A815" s="231">
        <v>7757</v>
      </c>
      <c r="B815" s="232" t="s">
        <v>822</v>
      </c>
      <c r="C815" s="232" t="s">
        <v>2406</v>
      </c>
      <c r="D815" s="232" t="s">
        <v>2407</v>
      </c>
      <c r="E815" s="232" t="s">
        <v>317</v>
      </c>
      <c r="F815" s="231">
        <v>521171</v>
      </c>
      <c r="G815" s="231">
        <v>174284</v>
      </c>
      <c r="H815" s="232" t="s">
        <v>170</v>
      </c>
      <c r="I815" s="233"/>
      <c r="J815" s="231"/>
      <c r="K815" s="231">
        <v>1</v>
      </c>
      <c r="L815" s="231">
        <v>1</v>
      </c>
      <c r="M815" s="231">
        <v>0</v>
      </c>
      <c r="N815" s="231">
        <v>1</v>
      </c>
      <c r="O815" s="231">
        <v>0</v>
      </c>
      <c r="P815" s="234"/>
      <c r="Q815" s="232" t="s">
        <v>2408</v>
      </c>
      <c r="R815" s="234" t="s">
        <v>332</v>
      </c>
      <c r="S815" s="235">
        <v>44552</v>
      </c>
      <c r="T815" s="235">
        <v>44627</v>
      </c>
      <c r="U815" s="234"/>
      <c r="V815" s="232" t="s">
        <v>321</v>
      </c>
      <c r="W815" s="231"/>
      <c r="X815" s="232" t="s">
        <v>322</v>
      </c>
      <c r="Y815" s="232" t="s">
        <v>323</v>
      </c>
      <c r="Z815" s="232" t="s">
        <v>324</v>
      </c>
      <c r="AA815" s="232" t="s">
        <v>349</v>
      </c>
      <c r="AB815" s="236">
        <v>3.6999999999999998E-2</v>
      </c>
      <c r="AC815" s="235"/>
      <c r="AD815" s="234"/>
      <c r="AE815" s="234"/>
      <c r="AF815" s="232" t="s">
        <v>77</v>
      </c>
      <c r="AG815" s="232" t="s">
        <v>350</v>
      </c>
      <c r="AH815" s="234" t="s">
        <v>317</v>
      </c>
      <c r="AJ815" s="234">
        <v>0</v>
      </c>
      <c r="AK815" s="224"/>
      <c r="AL815" s="234">
        <v>0</v>
      </c>
      <c r="AM815" s="224"/>
      <c r="AN815" s="234">
        <v>0</v>
      </c>
      <c r="AO815" s="234">
        <v>0</v>
      </c>
      <c r="AP815" s="234">
        <v>0</v>
      </c>
      <c r="AQ815" s="234">
        <v>0</v>
      </c>
      <c r="AR815" s="234">
        <v>0</v>
      </c>
      <c r="AS815" s="234">
        <v>0</v>
      </c>
      <c r="AT815" s="234">
        <v>0</v>
      </c>
      <c r="AU815" s="234">
        <v>0</v>
      </c>
      <c r="AV815" s="234">
        <v>0</v>
      </c>
      <c r="AW815" s="234">
        <v>0</v>
      </c>
      <c r="AX815" s="234">
        <v>0</v>
      </c>
      <c r="AY815" s="234">
        <v>0</v>
      </c>
      <c r="AZ815" s="234">
        <v>0</v>
      </c>
      <c r="BA815" s="234">
        <v>0</v>
      </c>
      <c r="BB815" s="234">
        <v>0</v>
      </c>
      <c r="BC815" s="234">
        <v>0</v>
      </c>
      <c r="BD815" s="234">
        <v>0</v>
      </c>
      <c r="BE815" s="234">
        <v>0</v>
      </c>
      <c r="BF815" s="234">
        <v>0</v>
      </c>
      <c r="BG815" s="234">
        <v>0</v>
      </c>
      <c r="BH815" s="234">
        <v>0</v>
      </c>
      <c r="BI815" s="234">
        <v>0</v>
      </c>
      <c r="BJ815" s="234">
        <v>0</v>
      </c>
      <c r="BK815" s="234">
        <v>0</v>
      </c>
      <c r="BL815" s="234">
        <v>0</v>
      </c>
      <c r="BM815" s="234">
        <v>0</v>
      </c>
      <c r="BN815" s="234">
        <v>0</v>
      </c>
      <c r="BO815" s="234">
        <v>0</v>
      </c>
      <c r="BP815" s="234"/>
      <c r="BQ815" s="234"/>
      <c r="BR815" s="237" t="s">
        <v>334</v>
      </c>
      <c r="BS815" s="238">
        <v>7</v>
      </c>
      <c r="BV815" s="239">
        <f t="shared" si="91"/>
        <v>0</v>
      </c>
      <c r="BW815" s="239">
        <f t="shared" si="92"/>
        <v>0</v>
      </c>
      <c r="BX815" s="239">
        <f t="shared" si="93"/>
        <v>0</v>
      </c>
      <c r="BY815" s="239">
        <f>M815/4</f>
        <v>0</v>
      </c>
      <c r="CN815" s="238">
        <f t="shared" si="88"/>
        <v>0</v>
      </c>
      <c r="CO815" s="238">
        <f t="shared" si="89"/>
        <v>0</v>
      </c>
    </row>
    <row r="816" spans="1:93" ht="13.95" customHeight="1" x14ac:dyDescent="0.2">
      <c r="A816" s="231">
        <v>7890</v>
      </c>
      <c r="B816" s="232" t="s">
        <v>822</v>
      </c>
      <c r="C816" s="232" t="s">
        <v>2409</v>
      </c>
      <c r="D816" s="232" t="s">
        <v>2410</v>
      </c>
      <c r="E816" s="232" t="s">
        <v>317</v>
      </c>
      <c r="F816" s="231">
        <v>527164</v>
      </c>
      <c r="G816" s="231">
        <v>173740</v>
      </c>
      <c r="H816" s="232" t="s">
        <v>180</v>
      </c>
      <c r="I816" s="233"/>
      <c r="J816" s="231"/>
      <c r="K816" s="231">
        <v>3</v>
      </c>
      <c r="L816" s="231">
        <v>1</v>
      </c>
      <c r="M816" s="231">
        <v>-2</v>
      </c>
      <c r="N816" s="231">
        <v>1</v>
      </c>
      <c r="O816" s="231">
        <v>-2</v>
      </c>
      <c r="P816" s="234"/>
      <c r="Q816" s="232" t="s">
        <v>2411</v>
      </c>
      <c r="R816" s="234" t="s">
        <v>332</v>
      </c>
      <c r="S816" s="235">
        <v>44837</v>
      </c>
      <c r="T816" s="235">
        <v>44984</v>
      </c>
      <c r="U816" s="234" t="s">
        <v>318</v>
      </c>
      <c r="V816" s="232" t="s">
        <v>321</v>
      </c>
      <c r="W816" s="231"/>
      <c r="X816" s="232" t="s">
        <v>322</v>
      </c>
      <c r="Y816" s="232" t="s">
        <v>338</v>
      </c>
      <c r="Z816" s="232" t="s">
        <v>324</v>
      </c>
      <c r="AA816" s="232" t="s">
        <v>17</v>
      </c>
      <c r="AB816" s="236">
        <v>1.4999999999999999E-2</v>
      </c>
      <c r="AC816" s="235"/>
      <c r="AD816" s="234"/>
      <c r="AE816" s="234"/>
      <c r="AF816" s="232" t="s">
        <v>77</v>
      </c>
      <c r="AG816" s="232" t="s">
        <v>350</v>
      </c>
      <c r="AH816" s="234" t="s">
        <v>317</v>
      </c>
      <c r="AJ816" s="234">
        <v>0</v>
      </c>
      <c r="AK816" s="224"/>
      <c r="AL816" s="234">
        <v>0</v>
      </c>
      <c r="AM816" s="224"/>
      <c r="AN816" s="234">
        <v>0</v>
      </c>
      <c r="AO816" s="234">
        <v>0</v>
      </c>
      <c r="AP816" s="234">
        <v>-2</v>
      </c>
      <c r="AQ816" s="234">
        <v>-1</v>
      </c>
      <c r="AR816" s="234">
        <v>0</v>
      </c>
      <c r="AS816" s="234">
        <v>1</v>
      </c>
      <c r="AT816" s="234">
        <v>0</v>
      </c>
      <c r="AU816" s="234">
        <v>0</v>
      </c>
      <c r="AV816" s="234">
        <v>0</v>
      </c>
      <c r="AW816" s="234">
        <v>-2</v>
      </c>
      <c r="AX816" s="234">
        <v>-1</v>
      </c>
      <c r="AY816" s="234">
        <v>0</v>
      </c>
      <c r="AZ816" s="234">
        <v>0</v>
      </c>
      <c r="BA816" s="234">
        <v>0</v>
      </c>
      <c r="BB816" s="234">
        <v>0</v>
      </c>
      <c r="BC816" s="234">
        <v>0</v>
      </c>
      <c r="BD816" s="234">
        <v>0</v>
      </c>
      <c r="BE816" s="234">
        <v>0</v>
      </c>
      <c r="BF816" s="234">
        <v>0</v>
      </c>
      <c r="BG816" s="234">
        <v>1</v>
      </c>
      <c r="BH816" s="234">
        <v>0</v>
      </c>
      <c r="BI816" s="234">
        <v>0</v>
      </c>
      <c r="BJ816" s="234">
        <v>0</v>
      </c>
      <c r="BK816" s="234">
        <v>0</v>
      </c>
      <c r="BL816" s="234">
        <v>0</v>
      </c>
      <c r="BM816" s="234">
        <v>0</v>
      </c>
      <c r="BN816" s="234">
        <v>0</v>
      </c>
      <c r="BO816" s="234">
        <v>0</v>
      </c>
      <c r="BP816" s="234"/>
      <c r="BQ816" s="234"/>
      <c r="BR816" s="237" t="s">
        <v>334</v>
      </c>
      <c r="BS816" s="238">
        <v>15</v>
      </c>
      <c r="BU816" s="239">
        <f>M816/4</f>
        <v>-0.5</v>
      </c>
      <c r="BV816" s="239">
        <f t="shared" si="91"/>
        <v>-0.5</v>
      </c>
      <c r="BW816" s="239">
        <f t="shared" si="92"/>
        <v>-0.5</v>
      </c>
      <c r="BX816" s="239">
        <f t="shared" si="93"/>
        <v>-0.5</v>
      </c>
      <c r="CN816" s="238">
        <f t="shared" si="88"/>
        <v>-2</v>
      </c>
      <c r="CO816" s="238">
        <f t="shared" si="89"/>
        <v>-2</v>
      </c>
    </row>
    <row r="817" spans="1:93" ht="13.95" customHeight="1" x14ac:dyDescent="0.2">
      <c r="A817" s="231">
        <v>7797</v>
      </c>
      <c r="B817" s="232" t="s">
        <v>822</v>
      </c>
      <c r="C817" s="232" t="s">
        <v>2412</v>
      </c>
      <c r="D817" s="232" t="s">
        <v>2413</v>
      </c>
      <c r="E817" s="232" t="s">
        <v>317</v>
      </c>
      <c r="F817" s="231">
        <v>528052</v>
      </c>
      <c r="G817" s="231">
        <v>172514</v>
      </c>
      <c r="H817" s="232" t="s">
        <v>178</v>
      </c>
      <c r="I817" s="233"/>
      <c r="J817" s="231"/>
      <c r="K817" s="231">
        <v>1</v>
      </c>
      <c r="L817" s="231">
        <v>8</v>
      </c>
      <c r="M817" s="231">
        <v>7</v>
      </c>
      <c r="N817" s="231">
        <v>8</v>
      </c>
      <c r="O817" s="231">
        <v>7</v>
      </c>
      <c r="P817" s="234"/>
      <c r="Q817" s="232" t="s">
        <v>2414</v>
      </c>
      <c r="R817" s="234" t="s">
        <v>332</v>
      </c>
      <c r="S817" s="235">
        <v>44615</v>
      </c>
      <c r="T817" s="235">
        <v>44743</v>
      </c>
      <c r="U817" s="234" t="s">
        <v>318</v>
      </c>
      <c r="V817" s="232" t="s">
        <v>321</v>
      </c>
      <c r="W817" s="231"/>
      <c r="X817" s="232" t="s">
        <v>322</v>
      </c>
      <c r="Y817" s="232" t="s">
        <v>323</v>
      </c>
      <c r="Z817" s="232" t="s">
        <v>324</v>
      </c>
      <c r="AA817" s="232" t="s">
        <v>349</v>
      </c>
      <c r="AB817" s="236">
        <v>0.01</v>
      </c>
      <c r="AC817" s="235"/>
      <c r="AD817" s="234"/>
      <c r="AE817" s="234"/>
      <c r="AF817" s="232" t="s">
        <v>77</v>
      </c>
      <c r="AG817" s="232" t="s">
        <v>350</v>
      </c>
      <c r="AH817" s="234" t="s">
        <v>317</v>
      </c>
      <c r="AJ817" s="234">
        <v>0</v>
      </c>
      <c r="AK817" s="234">
        <v>8</v>
      </c>
      <c r="AL817" s="234">
        <v>0</v>
      </c>
      <c r="AM817" s="234">
        <v>8</v>
      </c>
      <c r="AN817" s="234">
        <v>0</v>
      </c>
      <c r="AO817" s="234">
        <v>3</v>
      </c>
      <c r="AP817" s="234">
        <v>3</v>
      </c>
      <c r="AQ817" s="234">
        <v>1</v>
      </c>
      <c r="AR817" s="234">
        <v>0</v>
      </c>
      <c r="AS817" s="234">
        <v>0</v>
      </c>
      <c r="AT817" s="234">
        <v>0</v>
      </c>
      <c r="AU817" s="234">
        <v>0</v>
      </c>
      <c r="AV817" s="234">
        <v>3</v>
      </c>
      <c r="AW817" s="234">
        <v>3</v>
      </c>
      <c r="AX817" s="234">
        <v>2</v>
      </c>
      <c r="AY817" s="234">
        <v>0</v>
      </c>
      <c r="AZ817" s="234">
        <v>0</v>
      </c>
      <c r="BA817" s="234">
        <v>0</v>
      </c>
      <c r="BB817" s="234">
        <v>0</v>
      </c>
      <c r="BC817" s="234">
        <v>0</v>
      </c>
      <c r="BD817" s="234">
        <v>0</v>
      </c>
      <c r="BE817" s="234">
        <v>-1</v>
      </c>
      <c r="BF817" s="234">
        <v>0</v>
      </c>
      <c r="BG817" s="234">
        <v>0</v>
      </c>
      <c r="BH817" s="234">
        <v>0</v>
      </c>
      <c r="BI817" s="234">
        <v>0</v>
      </c>
      <c r="BJ817" s="234">
        <v>0</v>
      </c>
      <c r="BK817" s="234">
        <v>0</v>
      </c>
      <c r="BL817" s="234">
        <v>0</v>
      </c>
      <c r="BM817" s="234">
        <v>0</v>
      </c>
      <c r="BN817" s="234">
        <v>0</v>
      </c>
      <c r="BO817" s="234">
        <v>0</v>
      </c>
      <c r="BP817" s="234"/>
      <c r="BQ817" s="234"/>
      <c r="BR817" s="237" t="s">
        <v>334</v>
      </c>
      <c r="BS817" s="238">
        <v>10</v>
      </c>
      <c r="BX817" s="239">
        <f>M817/3</f>
        <v>2.3333333333333335</v>
      </c>
      <c r="BY817" s="239">
        <f>M817/3</f>
        <v>2.3333333333333335</v>
      </c>
      <c r="BZ817" s="239">
        <f>M817/3</f>
        <v>2.3333333333333335</v>
      </c>
      <c r="CN817" s="238">
        <f t="shared" si="88"/>
        <v>4.666666666666667</v>
      </c>
      <c r="CO817" s="238">
        <f t="shared" si="89"/>
        <v>7</v>
      </c>
    </row>
    <row r="818" spans="1:93" ht="13.95" customHeight="1" x14ac:dyDescent="0.2">
      <c r="A818" s="231">
        <v>6130</v>
      </c>
      <c r="B818" s="232" t="s">
        <v>822</v>
      </c>
      <c r="C818" s="232" t="s">
        <v>2415</v>
      </c>
      <c r="D818" s="232" t="s">
        <v>2416</v>
      </c>
      <c r="E818" s="232" t="s">
        <v>317</v>
      </c>
      <c r="F818" s="231">
        <v>522154</v>
      </c>
      <c r="G818" s="231">
        <v>175135</v>
      </c>
      <c r="H818" s="232" t="s">
        <v>170</v>
      </c>
      <c r="I818" s="233"/>
      <c r="J818" s="231"/>
      <c r="K818" s="231">
        <v>1</v>
      </c>
      <c r="L818" s="231">
        <v>1</v>
      </c>
      <c r="M818" s="231">
        <v>0</v>
      </c>
      <c r="N818" s="231">
        <v>1</v>
      </c>
      <c r="O818" s="231">
        <v>0</v>
      </c>
      <c r="P818" s="234"/>
      <c r="Q818" s="232" t="s">
        <v>2417</v>
      </c>
      <c r="R818" s="234" t="s">
        <v>332</v>
      </c>
      <c r="S818" s="235">
        <v>44460</v>
      </c>
      <c r="T818" s="235">
        <v>44741</v>
      </c>
      <c r="U818" s="234" t="s">
        <v>318</v>
      </c>
      <c r="V818" s="232" t="s">
        <v>321</v>
      </c>
      <c r="W818" s="231"/>
      <c r="X818" s="232" t="s">
        <v>322</v>
      </c>
      <c r="Y818" s="232" t="s">
        <v>323</v>
      </c>
      <c r="Z818" s="232" t="s">
        <v>324</v>
      </c>
      <c r="AA818" s="232" t="s">
        <v>349</v>
      </c>
      <c r="AB818" s="236">
        <v>1.8294000000000001E-2</v>
      </c>
      <c r="AC818" s="235"/>
      <c r="AD818" s="234"/>
      <c r="AE818" s="234"/>
      <c r="AF818" s="232" t="s">
        <v>77</v>
      </c>
      <c r="AG818" s="232" t="s">
        <v>350</v>
      </c>
      <c r="AH818" s="234" t="s">
        <v>317</v>
      </c>
      <c r="AJ818" s="234">
        <v>0</v>
      </c>
      <c r="AK818" s="224"/>
      <c r="AL818" s="234">
        <v>0</v>
      </c>
      <c r="AM818" s="224"/>
      <c r="AN818" s="234">
        <v>0</v>
      </c>
      <c r="AO818" s="234">
        <v>0</v>
      </c>
      <c r="AP818" s="234">
        <v>0</v>
      </c>
      <c r="AQ818" s="234">
        <v>0</v>
      </c>
      <c r="AR818" s="234">
        <v>-1</v>
      </c>
      <c r="AS818" s="234">
        <v>1</v>
      </c>
      <c r="AT818" s="234">
        <v>0</v>
      </c>
      <c r="AU818" s="234">
        <v>0</v>
      </c>
      <c r="AV818" s="234">
        <v>0</v>
      </c>
      <c r="AW818" s="234">
        <v>0</v>
      </c>
      <c r="AX818" s="234">
        <v>0</v>
      </c>
      <c r="AY818" s="234">
        <v>0</v>
      </c>
      <c r="AZ818" s="234">
        <v>0</v>
      </c>
      <c r="BA818" s="234">
        <v>0</v>
      </c>
      <c r="BB818" s="234">
        <v>0</v>
      </c>
      <c r="BC818" s="234">
        <v>0</v>
      </c>
      <c r="BD818" s="234">
        <v>0</v>
      </c>
      <c r="BE818" s="234">
        <v>0</v>
      </c>
      <c r="BF818" s="234">
        <v>-1</v>
      </c>
      <c r="BG818" s="234">
        <v>1</v>
      </c>
      <c r="BH818" s="234">
        <v>0</v>
      </c>
      <c r="BI818" s="234">
        <v>0</v>
      </c>
      <c r="BJ818" s="234">
        <v>0</v>
      </c>
      <c r="BK818" s="234">
        <v>0</v>
      </c>
      <c r="BL818" s="234">
        <v>0</v>
      </c>
      <c r="BM818" s="234">
        <v>0</v>
      </c>
      <c r="BN818" s="234">
        <v>0</v>
      </c>
      <c r="BO818" s="234">
        <v>0</v>
      </c>
      <c r="BP818" s="234"/>
      <c r="BQ818" s="234"/>
      <c r="BR818" s="237" t="s">
        <v>334</v>
      </c>
      <c r="BS818" s="238">
        <v>7</v>
      </c>
      <c r="BV818" s="239">
        <f t="shared" ref="BV818:BV827" si="96">M818/4</f>
        <v>0</v>
      </c>
      <c r="BW818" s="239">
        <f t="shared" ref="BW818:BW827" si="97">M818/4</f>
        <v>0</v>
      </c>
      <c r="BX818" s="239">
        <f t="shared" ref="BX818:BX827" si="98">M818/4</f>
        <v>0</v>
      </c>
      <c r="BY818" s="239">
        <f>M818/4</f>
        <v>0</v>
      </c>
      <c r="CN818" s="238">
        <f t="shared" si="88"/>
        <v>0</v>
      </c>
      <c r="CO818" s="238">
        <f t="shared" si="89"/>
        <v>0</v>
      </c>
    </row>
    <row r="819" spans="1:93" ht="13.95" customHeight="1" x14ac:dyDescent="0.2">
      <c r="A819" s="231">
        <v>5128</v>
      </c>
      <c r="B819" s="232" t="s">
        <v>822</v>
      </c>
      <c r="C819" s="232" t="s">
        <v>2418</v>
      </c>
      <c r="D819" s="232" t="s">
        <v>2419</v>
      </c>
      <c r="E819" s="232" t="s">
        <v>317</v>
      </c>
      <c r="F819" s="231">
        <v>524267</v>
      </c>
      <c r="G819" s="231">
        <v>174267</v>
      </c>
      <c r="H819" s="232" t="s">
        <v>164</v>
      </c>
      <c r="I819" s="233">
        <v>44741</v>
      </c>
      <c r="J819" s="231"/>
      <c r="K819" s="231">
        <v>0</v>
      </c>
      <c r="L819" s="231">
        <v>1</v>
      </c>
      <c r="M819" s="231">
        <v>1</v>
      </c>
      <c r="N819" s="231">
        <v>1</v>
      </c>
      <c r="O819" s="231">
        <v>1</v>
      </c>
      <c r="P819" s="234"/>
      <c r="Q819" s="232" t="s">
        <v>2420</v>
      </c>
      <c r="R819" s="234" t="s">
        <v>332</v>
      </c>
      <c r="S819" s="235">
        <v>44483</v>
      </c>
      <c r="T819" s="235">
        <v>44741</v>
      </c>
      <c r="U819" s="234" t="s">
        <v>318</v>
      </c>
      <c r="V819" s="232" t="s">
        <v>321</v>
      </c>
      <c r="W819" s="231"/>
      <c r="X819" s="232" t="s">
        <v>322</v>
      </c>
      <c r="Y819" s="232" t="s">
        <v>323</v>
      </c>
      <c r="Z819" s="232" t="s">
        <v>324</v>
      </c>
      <c r="AA819" s="232" t="s">
        <v>349</v>
      </c>
      <c r="AB819" s="236">
        <v>1.8599999999999998E-2</v>
      </c>
      <c r="AC819" s="235"/>
      <c r="AD819" s="234"/>
      <c r="AE819" s="234"/>
      <c r="AF819" s="232" t="s">
        <v>77</v>
      </c>
      <c r="AG819" s="232" t="s">
        <v>350</v>
      </c>
      <c r="AH819" s="234" t="s">
        <v>317</v>
      </c>
      <c r="AJ819" s="234">
        <v>0</v>
      </c>
      <c r="AK819" s="224"/>
      <c r="AL819" s="234">
        <v>0</v>
      </c>
      <c r="AM819" s="224"/>
      <c r="AN819" s="234">
        <v>0</v>
      </c>
      <c r="AO819" s="234">
        <v>0</v>
      </c>
      <c r="AP819" s="234">
        <v>0</v>
      </c>
      <c r="AQ819" s="234">
        <v>1</v>
      </c>
      <c r="AR819" s="234">
        <v>0</v>
      </c>
      <c r="AS819" s="234">
        <v>0</v>
      </c>
      <c r="AT819" s="234">
        <v>0</v>
      </c>
      <c r="AU819" s="234">
        <v>0</v>
      </c>
      <c r="AV819" s="234">
        <v>0</v>
      </c>
      <c r="AW819" s="234">
        <v>0</v>
      </c>
      <c r="AX819" s="234">
        <v>0</v>
      </c>
      <c r="AY819" s="234">
        <v>0</v>
      </c>
      <c r="AZ819" s="234">
        <v>0</v>
      </c>
      <c r="BA819" s="234">
        <v>0</v>
      </c>
      <c r="BB819" s="234">
        <v>0</v>
      </c>
      <c r="BC819" s="234">
        <v>0</v>
      </c>
      <c r="BD819" s="234">
        <v>0</v>
      </c>
      <c r="BE819" s="234">
        <v>1</v>
      </c>
      <c r="BF819" s="234">
        <v>0</v>
      </c>
      <c r="BG819" s="234">
        <v>0</v>
      </c>
      <c r="BH819" s="234">
        <v>0</v>
      </c>
      <c r="BI819" s="234">
        <v>0</v>
      </c>
      <c r="BJ819" s="234">
        <v>0</v>
      </c>
      <c r="BK819" s="234">
        <v>0</v>
      </c>
      <c r="BL819" s="234">
        <v>0</v>
      </c>
      <c r="BM819" s="234">
        <v>0</v>
      </c>
      <c r="BN819" s="234">
        <v>0</v>
      </c>
      <c r="BO819" s="234">
        <v>0</v>
      </c>
      <c r="BP819" s="234"/>
      <c r="BQ819" s="234"/>
      <c r="BR819" s="237" t="s">
        <v>334</v>
      </c>
      <c r="BS819" s="238">
        <v>7</v>
      </c>
      <c r="BV819" s="239">
        <f t="shared" si="96"/>
        <v>0.25</v>
      </c>
      <c r="BW819" s="239">
        <f t="shared" si="97"/>
        <v>0.25</v>
      </c>
      <c r="BX819" s="239">
        <f t="shared" si="98"/>
        <v>0.25</v>
      </c>
      <c r="BY819" s="239">
        <f>M819/4</f>
        <v>0.25</v>
      </c>
      <c r="CN819" s="238">
        <f t="shared" si="88"/>
        <v>1</v>
      </c>
      <c r="CO819" s="238">
        <f t="shared" si="89"/>
        <v>1</v>
      </c>
    </row>
    <row r="820" spans="1:93" ht="13.95" customHeight="1" x14ac:dyDescent="0.2">
      <c r="A820" s="231">
        <v>6497</v>
      </c>
      <c r="B820" s="232" t="s">
        <v>822</v>
      </c>
      <c r="C820" s="232" t="s">
        <v>2421</v>
      </c>
      <c r="D820" s="232" t="s">
        <v>2422</v>
      </c>
      <c r="E820" s="232" t="s">
        <v>317</v>
      </c>
      <c r="F820" s="231">
        <v>527487</v>
      </c>
      <c r="G820" s="231">
        <v>175150</v>
      </c>
      <c r="H820" s="232" t="s">
        <v>167</v>
      </c>
      <c r="I820" s="233"/>
      <c r="J820" s="231"/>
      <c r="K820" s="231">
        <v>2</v>
      </c>
      <c r="L820" s="231">
        <v>0</v>
      </c>
      <c r="M820" s="231">
        <v>-2</v>
      </c>
      <c r="N820" s="231">
        <v>0</v>
      </c>
      <c r="O820" s="231">
        <v>-2</v>
      </c>
      <c r="P820" s="234"/>
      <c r="Q820" s="232" t="s">
        <v>2423</v>
      </c>
      <c r="R820" s="234" t="s">
        <v>332</v>
      </c>
      <c r="S820" s="235">
        <v>43853</v>
      </c>
      <c r="T820" s="235">
        <v>43949</v>
      </c>
      <c r="U820" s="234"/>
      <c r="V820" s="232" t="s">
        <v>321</v>
      </c>
      <c r="W820" s="231"/>
      <c r="X820" s="232" t="s">
        <v>322</v>
      </c>
      <c r="Y820" s="232" t="s">
        <v>338</v>
      </c>
      <c r="Z820" s="232" t="s">
        <v>324</v>
      </c>
      <c r="AA820" s="232" t="s">
        <v>31</v>
      </c>
      <c r="AB820" s="236">
        <v>0</v>
      </c>
      <c r="AC820" s="235"/>
      <c r="AD820" s="234"/>
      <c r="AE820" s="234"/>
      <c r="AF820" s="232" t="s">
        <v>77</v>
      </c>
      <c r="AG820" s="232" t="s">
        <v>350</v>
      </c>
      <c r="AH820" s="234" t="s">
        <v>317</v>
      </c>
      <c r="AJ820" s="234">
        <v>0</v>
      </c>
      <c r="AK820" s="224"/>
      <c r="AL820" s="234">
        <v>0</v>
      </c>
      <c r="AM820" s="224"/>
      <c r="AN820" s="234">
        <v>0</v>
      </c>
      <c r="AO820" s="234">
        <v>0</v>
      </c>
      <c r="AP820" s="234">
        <v>0</v>
      </c>
      <c r="AQ820" s="234">
        <v>0</v>
      </c>
      <c r="AR820" s="234">
        <v>0</v>
      </c>
      <c r="AS820" s="234">
        <v>0</v>
      </c>
      <c r="AT820" s="234">
        <v>-2</v>
      </c>
      <c r="AU820" s="234">
        <v>0</v>
      </c>
      <c r="AV820" s="234">
        <v>0</v>
      </c>
      <c r="AW820" s="234">
        <v>0</v>
      </c>
      <c r="AX820" s="234">
        <v>0</v>
      </c>
      <c r="AY820" s="234">
        <v>0</v>
      </c>
      <c r="AZ820" s="234">
        <v>0</v>
      </c>
      <c r="BA820" s="234">
        <v>-2</v>
      </c>
      <c r="BB820" s="234">
        <v>0</v>
      </c>
      <c r="BC820" s="234">
        <v>0</v>
      </c>
      <c r="BD820" s="234">
        <v>0</v>
      </c>
      <c r="BE820" s="234">
        <v>0</v>
      </c>
      <c r="BF820" s="234">
        <v>0</v>
      </c>
      <c r="BG820" s="234">
        <v>0</v>
      </c>
      <c r="BH820" s="234">
        <v>0</v>
      </c>
      <c r="BI820" s="234">
        <v>0</v>
      </c>
      <c r="BJ820" s="234">
        <v>0</v>
      </c>
      <c r="BK820" s="234">
        <v>0</v>
      </c>
      <c r="BL820" s="234">
        <v>0</v>
      </c>
      <c r="BM820" s="234">
        <v>0</v>
      </c>
      <c r="BN820" s="234">
        <v>0</v>
      </c>
      <c r="BO820" s="234">
        <v>0</v>
      </c>
      <c r="BP820" s="234" t="s">
        <v>142</v>
      </c>
      <c r="BQ820" s="234"/>
      <c r="BR820" s="237" t="s">
        <v>150</v>
      </c>
      <c r="BS820" s="238">
        <v>15</v>
      </c>
      <c r="BU820" s="239">
        <f>M820/4</f>
        <v>-0.5</v>
      </c>
      <c r="BV820" s="239">
        <f t="shared" si="96"/>
        <v>-0.5</v>
      </c>
      <c r="BW820" s="239">
        <f t="shared" si="97"/>
        <v>-0.5</v>
      </c>
      <c r="BX820" s="239">
        <f t="shared" si="98"/>
        <v>-0.5</v>
      </c>
      <c r="CN820" s="238">
        <f t="shared" si="88"/>
        <v>-2</v>
      </c>
      <c r="CO820" s="238">
        <f t="shared" si="89"/>
        <v>-2</v>
      </c>
    </row>
    <row r="821" spans="1:93" ht="13.95" customHeight="1" x14ac:dyDescent="0.2">
      <c r="A821" s="231">
        <v>7874</v>
      </c>
      <c r="B821" s="232" t="s">
        <v>822</v>
      </c>
      <c r="C821" s="232" t="s">
        <v>2424</v>
      </c>
      <c r="D821" s="232" t="s">
        <v>2425</v>
      </c>
      <c r="E821" s="232" t="s">
        <v>317</v>
      </c>
      <c r="F821" s="231">
        <v>529175</v>
      </c>
      <c r="G821" s="231">
        <v>172575</v>
      </c>
      <c r="H821" s="232" t="s">
        <v>172</v>
      </c>
      <c r="I821" s="233"/>
      <c r="J821" s="231"/>
      <c r="K821" s="231">
        <v>3</v>
      </c>
      <c r="L821" s="231">
        <v>1</v>
      </c>
      <c r="M821" s="231">
        <v>-2</v>
      </c>
      <c r="N821" s="231">
        <v>1</v>
      </c>
      <c r="O821" s="231">
        <v>-2</v>
      </c>
      <c r="P821" s="234"/>
      <c r="Q821" s="232" t="s">
        <v>2426</v>
      </c>
      <c r="R821" s="234" t="s">
        <v>332</v>
      </c>
      <c r="S821" s="235">
        <v>44762</v>
      </c>
      <c r="T821" s="235">
        <v>44818</v>
      </c>
      <c r="U821" s="234" t="s">
        <v>318</v>
      </c>
      <c r="V821" s="232" t="s">
        <v>321</v>
      </c>
      <c r="W821" s="231"/>
      <c r="X821" s="232" t="s">
        <v>322</v>
      </c>
      <c r="Y821" s="232" t="s">
        <v>365</v>
      </c>
      <c r="Z821" s="232" t="s">
        <v>324</v>
      </c>
      <c r="AA821" s="232" t="s">
        <v>17</v>
      </c>
      <c r="AB821" s="236">
        <v>6.1000000000000004E-3</v>
      </c>
      <c r="AC821" s="235"/>
      <c r="AD821" s="234"/>
      <c r="AE821" s="234"/>
      <c r="AF821" s="232" t="s">
        <v>77</v>
      </c>
      <c r="AG821" s="232" t="s">
        <v>350</v>
      </c>
      <c r="AH821" s="234" t="s">
        <v>317</v>
      </c>
      <c r="AJ821" s="234">
        <v>0</v>
      </c>
      <c r="AK821" s="224"/>
      <c r="AL821" s="234">
        <v>0</v>
      </c>
      <c r="AM821" s="224"/>
      <c r="AN821" s="234">
        <v>0</v>
      </c>
      <c r="AO821" s="234">
        <v>-1</v>
      </c>
      <c r="AP821" s="234">
        <v>-2</v>
      </c>
      <c r="AQ821" s="234">
        <v>0</v>
      </c>
      <c r="AR821" s="234">
        <v>0</v>
      </c>
      <c r="AS821" s="234">
        <v>1</v>
      </c>
      <c r="AT821" s="234">
        <v>0</v>
      </c>
      <c r="AU821" s="234">
        <v>0</v>
      </c>
      <c r="AV821" s="234">
        <v>-1</v>
      </c>
      <c r="AW821" s="234">
        <v>-2</v>
      </c>
      <c r="AX821" s="234">
        <v>0</v>
      </c>
      <c r="AY821" s="234">
        <v>0</v>
      </c>
      <c r="AZ821" s="234">
        <v>0</v>
      </c>
      <c r="BA821" s="234">
        <v>0</v>
      </c>
      <c r="BB821" s="234">
        <v>0</v>
      </c>
      <c r="BC821" s="234">
        <v>0</v>
      </c>
      <c r="BD821" s="234">
        <v>0</v>
      </c>
      <c r="BE821" s="234">
        <v>0</v>
      </c>
      <c r="BF821" s="234">
        <v>0</v>
      </c>
      <c r="BG821" s="234">
        <v>1</v>
      </c>
      <c r="BH821" s="234">
        <v>0</v>
      </c>
      <c r="BI821" s="234">
        <v>0</v>
      </c>
      <c r="BJ821" s="234">
        <v>0</v>
      </c>
      <c r="BK821" s="234">
        <v>0</v>
      </c>
      <c r="BL821" s="234">
        <v>0</v>
      </c>
      <c r="BM821" s="234">
        <v>0</v>
      </c>
      <c r="BN821" s="234">
        <v>0</v>
      </c>
      <c r="BO821" s="234">
        <v>0</v>
      </c>
      <c r="BP821" s="234"/>
      <c r="BQ821" s="234"/>
      <c r="BR821" s="237" t="s">
        <v>334</v>
      </c>
      <c r="BS821" s="238">
        <v>15</v>
      </c>
      <c r="BU821" s="239">
        <f>M821/4</f>
        <v>-0.5</v>
      </c>
      <c r="BV821" s="239">
        <f t="shared" si="96"/>
        <v>-0.5</v>
      </c>
      <c r="BW821" s="239">
        <f t="shared" si="97"/>
        <v>-0.5</v>
      </c>
      <c r="BX821" s="239">
        <f t="shared" si="98"/>
        <v>-0.5</v>
      </c>
      <c r="CN821" s="238">
        <f t="shared" ref="CN821:CN884" si="99">SUM(BU821:BY821)</f>
        <v>-2</v>
      </c>
      <c r="CO821" s="238">
        <f t="shared" ref="CO821:CO884" si="100">SUM(BU821:CD821)</f>
        <v>-2</v>
      </c>
    </row>
    <row r="822" spans="1:93" ht="13.95" customHeight="1" x14ac:dyDescent="0.2">
      <c r="A822" s="231">
        <v>7803</v>
      </c>
      <c r="B822" s="232" t="s">
        <v>822</v>
      </c>
      <c r="C822" s="232" t="s">
        <v>2427</v>
      </c>
      <c r="D822" s="232" t="s">
        <v>2428</v>
      </c>
      <c r="E822" s="232" t="s">
        <v>317</v>
      </c>
      <c r="F822" s="231">
        <v>523970</v>
      </c>
      <c r="G822" s="231">
        <v>175247</v>
      </c>
      <c r="H822" s="232" t="s">
        <v>175</v>
      </c>
      <c r="I822" s="233"/>
      <c r="J822" s="231"/>
      <c r="K822" s="231">
        <v>0</v>
      </c>
      <c r="L822" s="231">
        <v>1</v>
      </c>
      <c r="M822" s="231">
        <v>1</v>
      </c>
      <c r="N822" s="231">
        <v>1</v>
      </c>
      <c r="O822" s="231">
        <v>1</v>
      </c>
      <c r="P822" s="234"/>
      <c r="Q822" s="232" t="s">
        <v>2429</v>
      </c>
      <c r="R822" s="234" t="s">
        <v>332</v>
      </c>
      <c r="S822" s="235">
        <v>44676</v>
      </c>
      <c r="T822" s="235">
        <v>44732</v>
      </c>
      <c r="U822" s="234" t="s">
        <v>318</v>
      </c>
      <c r="V822" s="232" t="s">
        <v>321</v>
      </c>
      <c r="W822" s="231"/>
      <c r="X822" s="232" t="s">
        <v>322</v>
      </c>
      <c r="Y822" s="232" t="s">
        <v>323</v>
      </c>
      <c r="Z822" s="232" t="s">
        <v>324</v>
      </c>
      <c r="AA822" s="232" t="s">
        <v>349</v>
      </c>
      <c r="AB822" s="236">
        <v>5.0000000000000001E-3</v>
      </c>
      <c r="AC822" s="235"/>
      <c r="AD822" s="234"/>
      <c r="AE822" s="234"/>
      <c r="AF822" s="232" t="s">
        <v>77</v>
      </c>
      <c r="AG822" s="232" t="s">
        <v>350</v>
      </c>
      <c r="AH822" s="234" t="s">
        <v>317</v>
      </c>
      <c r="AJ822" s="234">
        <v>0</v>
      </c>
      <c r="AK822" s="224"/>
      <c r="AL822" s="234">
        <v>0</v>
      </c>
      <c r="AM822" s="224"/>
      <c r="AN822" s="234">
        <v>0</v>
      </c>
      <c r="AO822" s="234">
        <v>0</v>
      </c>
      <c r="AP822" s="234">
        <v>0</v>
      </c>
      <c r="AQ822" s="234">
        <v>1</v>
      </c>
      <c r="AR822" s="234">
        <v>0</v>
      </c>
      <c r="AS822" s="234">
        <v>0</v>
      </c>
      <c r="AT822" s="234">
        <v>0</v>
      </c>
      <c r="AU822" s="234">
        <v>0</v>
      </c>
      <c r="AV822" s="234">
        <v>0</v>
      </c>
      <c r="AW822" s="234">
        <v>0</v>
      </c>
      <c r="AX822" s="234">
        <v>0</v>
      </c>
      <c r="AY822" s="234">
        <v>0</v>
      </c>
      <c r="AZ822" s="234">
        <v>0</v>
      </c>
      <c r="BA822" s="234">
        <v>0</v>
      </c>
      <c r="BB822" s="234">
        <v>0</v>
      </c>
      <c r="BC822" s="234">
        <v>0</v>
      </c>
      <c r="BD822" s="234">
        <v>0</v>
      </c>
      <c r="BE822" s="234">
        <v>1</v>
      </c>
      <c r="BF822" s="234">
        <v>0</v>
      </c>
      <c r="BG822" s="234">
        <v>0</v>
      </c>
      <c r="BH822" s="234">
        <v>0</v>
      </c>
      <c r="BI822" s="234">
        <v>0</v>
      </c>
      <c r="BJ822" s="234">
        <v>0</v>
      </c>
      <c r="BK822" s="234">
        <v>0</v>
      </c>
      <c r="BL822" s="234">
        <v>0</v>
      </c>
      <c r="BM822" s="234">
        <v>0</v>
      </c>
      <c r="BN822" s="234">
        <v>0</v>
      </c>
      <c r="BO822" s="234">
        <v>0</v>
      </c>
      <c r="BP822" s="234" t="s">
        <v>143</v>
      </c>
      <c r="BQ822" s="234"/>
      <c r="BR822" s="237" t="s">
        <v>152</v>
      </c>
      <c r="BS822" s="238">
        <v>7</v>
      </c>
      <c r="BV822" s="239">
        <f t="shared" si="96"/>
        <v>0.25</v>
      </c>
      <c r="BW822" s="239">
        <f t="shared" si="97"/>
        <v>0.25</v>
      </c>
      <c r="BX822" s="239">
        <f t="shared" si="98"/>
        <v>0.25</v>
      </c>
      <c r="BY822" s="239">
        <f>M822/4</f>
        <v>0.25</v>
      </c>
      <c r="CN822" s="238">
        <f t="shared" si="99"/>
        <v>1</v>
      </c>
      <c r="CO822" s="238">
        <f t="shared" si="100"/>
        <v>1</v>
      </c>
    </row>
    <row r="823" spans="1:93" ht="13.95" customHeight="1" x14ac:dyDescent="0.2">
      <c r="A823" s="231">
        <v>7628</v>
      </c>
      <c r="B823" s="232" t="s">
        <v>822</v>
      </c>
      <c r="C823" s="232" t="s">
        <v>2430</v>
      </c>
      <c r="D823" s="232" t="s">
        <v>2431</v>
      </c>
      <c r="E823" s="232" t="s">
        <v>317</v>
      </c>
      <c r="F823" s="231">
        <v>523110</v>
      </c>
      <c r="G823" s="231">
        <v>173693</v>
      </c>
      <c r="H823" s="232" t="s">
        <v>183</v>
      </c>
      <c r="I823" s="233"/>
      <c r="J823" s="231"/>
      <c r="K823" s="231">
        <v>3</v>
      </c>
      <c r="L823" s="231">
        <v>1</v>
      </c>
      <c r="M823" s="231">
        <v>-2</v>
      </c>
      <c r="N823" s="231">
        <v>1</v>
      </c>
      <c r="O823" s="231">
        <v>-2</v>
      </c>
      <c r="P823" s="234"/>
      <c r="Q823" s="232" t="s">
        <v>2432</v>
      </c>
      <c r="R823" s="234" t="s">
        <v>332</v>
      </c>
      <c r="S823" s="235">
        <v>44568</v>
      </c>
      <c r="T823" s="235">
        <v>44635</v>
      </c>
      <c r="U823" s="234"/>
      <c r="V823" s="232" t="s">
        <v>321</v>
      </c>
      <c r="W823" s="231"/>
      <c r="X823" s="232" t="s">
        <v>322</v>
      </c>
      <c r="Y823" s="232" t="s">
        <v>338</v>
      </c>
      <c r="Z823" s="232" t="s">
        <v>324</v>
      </c>
      <c r="AA823" s="232" t="s">
        <v>17</v>
      </c>
      <c r="AB823" s="236">
        <v>1.396E-2</v>
      </c>
      <c r="AC823" s="235"/>
      <c r="AD823" s="234"/>
      <c r="AE823" s="234"/>
      <c r="AF823" s="232" t="s">
        <v>77</v>
      </c>
      <c r="AG823" s="232" t="s">
        <v>350</v>
      </c>
      <c r="AH823" s="234" t="s">
        <v>317</v>
      </c>
      <c r="AJ823" s="234">
        <v>0</v>
      </c>
      <c r="AK823" s="224"/>
      <c r="AL823" s="234">
        <v>0</v>
      </c>
      <c r="AM823" s="224"/>
      <c r="AN823" s="234">
        <v>0</v>
      </c>
      <c r="AO823" s="234">
        <v>-1</v>
      </c>
      <c r="AP823" s="234">
        <v>-2</v>
      </c>
      <c r="AQ823" s="234">
        <v>0</v>
      </c>
      <c r="AR823" s="234">
        <v>0</v>
      </c>
      <c r="AS823" s="234">
        <v>1</v>
      </c>
      <c r="AT823" s="234">
        <v>0</v>
      </c>
      <c r="AU823" s="234">
        <v>0</v>
      </c>
      <c r="AV823" s="234">
        <v>-1</v>
      </c>
      <c r="AW823" s="234">
        <v>-2</v>
      </c>
      <c r="AX823" s="234">
        <v>0</v>
      </c>
      <c r="AY823" s="234">
        <v>0</v>
      </c>
      <c r="AZ823" s="234">
        <v>0</v>
      </c>
      <c r="BA823" s="234">
        <v>0</v>
      </c>
      <c r="BB823" s="234">
        <v>0</v>
      </c>
      <c r="BC823" s="234">
        <v>0</v>
      </c>
      <c r="BD823" s="234">
        <v>0</v>
      </c>
      <c r="BE823" s="234">
        <v>0</v>
      </c>
      <c r="BF823" s="234">
        <v>0</v>
      </c>
      <c r="BG823" s="234">
        <v>1</v>
      </c>
      <c r="BH823" s="234">
        <v>0</v>
      </c>
      <c r="BI823" s="234">
        <v>0</v>
      </c>
      <c r="BJ823" s="234">
        <v>0</v>
      </c>
      <c r="BK823" s="234">
        <v>0</v>
      </c>
      <c r="BL823" s="234">
        <v>0</v>
      </c>
      <c r="BM823" s="234">
        <v>0</v>
      </c>
      <c r="BN823" s="234">
        <v>0</v>
      </c>
      <c r="BO823" s="234">
        <v>0</v>
      </c>
      <c r="BP823" s="234"/>
      <c r="BQ823" s="234"/>
      <c r="BR823" s="237" t="s">
        <v>334</v>
      </c>
      <c r="BS823" s="238">
        <v>15</v>
      </c>
      <c r="BU823" s="239">
        <f>M823/4</f>
        <v>-0.5</v>
      </c>
      <c r="BV823" s="239">
        <f t="shared" si="96"/>
        <v>-0.5</v>
      </c>
      <c r="BW823" s="239">
        <f t="shared" si="97"/>
        <v>-0.5</v>
      </c>
      <c r="BX823" s="239">
        <f t="shared" si="98"/>
        <v>-0.5</v>
      </c>
      <c r="CN823" s="238">
        <f t="shared" si="99"/>
        <v>-2</v>
      </c>
      <c r="CO823" s="238">
        <f t="shared" si="100"/>
        <v>-2</v>
      </c>
    </row>
    <row r="824" spans="1:93" ht="13.95" customHeight="1" x14ac:dyDescent="0.2">
      <c r="A824" s="231">
        <v>2262</v>
      </c>
      <c r="B824" s="232" t="s">
        <v>822</v>
      </c>
      <c r="C824" s="232" t="s">
        <v>2433</v>
      </c>
      <c r="D824" s="232" t="s">
        <v>2434</v>
      </c>
      <c r="E824" s="232" t="s">
        <v>317</v>
      </c>
      <c r="F824" s="231">
        <v>529325</v>
      </c>
      <c r="G824" s="231">
        <v>171589</v>
      </c>
      <c r="H824" s="232" t="s">
        <v>166</v>
      </c>
      <c r="I824" s="233"/>
      <c r="J824" s="231"/>
      <c r="K824" s="231">
        <v>0</v>
      </c>
      <c r="L824" s="231">
        <v>4</v>
      </c>
      <c r="M824" s="231">
        <v>4</v>
      </c>
      <c r="N824" s="231">
        <v>4</v>
      </c>
      <c r="O824" s="231">
        <v>4</v>
      </c>
      <c r="P824" s="234"/>
      <c r="Q824" s="232" t="s">
        <v>2435</v>
      </c>
      <c r="R824" s="234" t="s">
        <v>332</v>
      </c>
      <c r="S824" s="235">
        <v>44532</v>
      </c>
      <c r="T824" s="235">
        <v>44725</v>
      </c>
      <c r="U824" s="234" t="s">
        <v>318</v>
      </c>
      <c r="V824" s="232" t="s">
        <v>321</v>
      </c>
      <c r="W824" s="231"/>
      <c r="X824" s="232" t="s">
        <v>322</v>
      </c>
      <c r="Y824" s="232" t="s">
        <v>323</v>
      </c>
      <c r="Z824" s="232" t="s">
        <v>324</v>
      </c>
      <c r="AA824" s="232" t="s">
        <v>349</v>
      </c>
      <c r="AB824" s="236">
        <v>1.6E-2</v>
      </c>
      <c r="AC824" s="235"/>
      <c r="AD824" s="234"/>
      <c r="AE824" s="234"/>
      <c r="AF824" s="232" t="s">
        <v>57</v>
      </c>
      <c r="AG824" s="232" t="s">
        <v>333</v>
      </c>
      <c r="AH824" s="234" t="s">
        <v>317</v>
      </c>
      <c r="AJ824" s="234">
        <v>0</v>
      </c>
      <c r="AK824" s="224"/>
      <c r="AL824" s="234">
        <v>0</v>
      </c>
      <c r="AM824" s="224"/>
      <c r="AN824" s="234">
        <v>0</v>
      </c>
      <c r="AO824" s="234">
        <v>0</v>
      </c>
      <c r="AP824" s="234">
        <v>0</v>
      </c>
      <c r="AQ824" s="234">
        <v>2</v>
      </c>
      <c r="AR824" s="234">
        <v>2</v>
      </c>
      <c r="AS824" s="234">
        <v>0</v>
      </c>
      <c r="AT824" s="234">
        <v>0</v>
      </c>
      <c r="AU824" s="234">
        <v>0</v>
      </c>
      <c r="AV824" s="234">
        <v>0</v>
      </c>
      <c r="AW824" s="234">
        <v>0</v>
      </c>
      <c r="AX824" s="234">
        <v>0</v>
      </c>
      <c r="AY824" s="234">
        <v>0</v>
      </c>
      <c r="AZ824" s="234">
        <v>0</v>
      </c>
      <c r="BA824" s="234">
        <v>0</v>
      </c>
      <c r="BB824" s="234">
        <v>0</v>
      </c>
      <c r="BC824" s="234">
        <v>0</v>
      </c>
      <c r="BD824" s="234">
        <v>0</v>
      </c>
      <c r="BE824" s="234">
        <v>2</v>
      </c>
      <c r="BF824" s="234">
        <v>2</v>
      </c>
      <c r="BG824" s="234">
        <v>0</v>
      </c>
      <c r="BH824" s="234">
        <v>0</v>
      </c>
      <c r="BI824" s="234">
        <v>0</v>
      </c>
      <c r="BJ824" s="234">
        <v>0</v>
      </c>
      <c r="BK824" s="234">
        <v>0</v>
      </c>
      <c r="BL824" s="234">
        <v>0</v>
      </c>
      <c r="BM824" s="234">
        <v>0</v>
      </c>
      <c r="BN824" s="234">
        <v>0</v>
      </c>
      <c r="BO824" s="234">
        <v>0</v>
      </c>
      <c r="BP824" s="234"/>
      <c r="BQ824" s="234"/>
      <c r="BR824" s="237" t="s">
        <v>334</v>
      </c>
      <c r="BS824" s="238">
        <v>7</v>
      </c>
      <c r="BV824" s="239">
        <f t="shared" si="96"/>
        <v>1</v>
      </c>
      <c r="BW824" s="239">
        <f t="shared" si="97"/>
        <v>1</v>
      </c>
      <c r="BX824" s="239">
        <f t="shared" si="98"/>
        <v>1</v>
      </c>
      <c r="BY824" s="239">
        <f>M824/4</f>
        <v>1</v>
      </c>
      <c r="CN824" s="238">
        <f t="shared" si="99"/>
        <v>4</v>
      </c>
      <c r="CO824" s="238">
        <f t="shared" si="100"/>
        <v>4</v>
      </c>
    </row>
    <row r="825" spans="1:93" ht="13.95" customHeight="1" x14ac:dyDescent="0.2">
      <c r="A825" s="231">
        <v>5607</v>
      </c>
      <c r="B825" s="232" t="s">
        <v>822</v>
      </c>
      <c r="C825" s="232" t="s">
        <v>2192</v>
      </c>
      <c r="D825" s="232" t="s">
        <v>2193</v>
      </c>
      <c r="E825" s="232" t="s">
        <v>317</v>
      </c>
      <c r="F825" s="231">
        <v>528038</v>
      </c>
      <c r="G825" s="231">
        <v>174028</v>
      </c>
      <c r="H825" s="232" t="s">
        <v>141</v>
      </c>
      <c r="I825" s="233"/>
      <c r="J825" s="231"/>
      <c r="K825" s="231">
        <v>2</v>
      </c>
      <c r="L825" s="231">
        <v>0</v>
      </c>
      <c r="M825" s="231">
        <v>-2</v>
      </c>
      <c r="N825" s="231">
        <v>2</v>
      </c>
      <c r="O825" s="231">
        <v>-1</v>
      </c>
      <c r="P825" s="234"/>
      <c r="Q825" s="232" t="s">
        <v>2194</v>
      </c>
      <c r="R825" s="234" t="s">
        <v>332</v>
      </c>
      <c r="S825" s="235">
        <v>43580</v>
      </c>
      <c r="T825" s="235">
        <v>43767</v>
      </c>
      <c r="U825" s="234"/>
      <c r="V825" s="232" t="s">
        <v>321</v>
      </c>
      <c r="W825" s="231"/>
      <c r="X825" s="232" t="s">
        <v>322</v>
      </c>
      <c r="Y825" s="232" t="s">
        <v>338</v>
      </c>
      <c r="Z825" s="232" t="s">
        <v>324</v>
      </c>
      <c r="AA825" s="232" t="s">
        <v>34</v>
      </c>
      <c r="AB825" s="236">
        <v>0</v>
      </c>
      <c r="AC825" s="235"/>
      <c r="AD825" s="234"/>
      <c r="AE825" s="234"/>
      <c r="AF825" s="232" t="s">
        <v>77</v>
      </c>
      <c r="AG825" s="232" t="s">
        <v>350</v>
      </c>
      <c r="AH825" s="234" t="s">
        <v>317</v>
      </c>
      <c r="AJ825" s="234">
        <v>0</v>
      </c>
      <c r="AK825" s="224"/>
      <c r="AL825" s="234">
        <v>0</v>
      </c>
      <c r="AM825" s="224"/>
      <c r="AN825" s="234">
        <v>0</v>
      </c>
      <c r="AO825" s="234">
        <v>-1</v>
      </c>
      <c r="AP825" s="234">
        <v>0</v>
      </c>
      <c r="AQ825" s="234">
        <v>-1</v>
      </c>
      <c r="AR825" s="234">
        <v>0</v>
      </c>
      <c r="AS825" s="234">
        <v>0</v>
      </c>
      <c r="AT825" s="234">
        <v>0</v>
      </c>
      <c r="AU825" s="234">
        <v>0</v>
      </c>
      <c r="AV825" s="234">
        <v>-1</v>
      </c>
      <c r="AW825" s="234">
        <v>0</v>
      </c>
      <c r="AX825" s="234">
        <v>-1</v>
      </c>
      <c r="AY825" s="234">
        <v>0</v>
      </c>
      <c r="AZ825" s="234">
        <v>0</v>
      </c>
      <c r="BA825" s="234">
        <v>0</v>
      </c>
      <c r="BB825" s="234">
        <v>0</v>
      </c>
      <c r="BC825" s="234">
        <v>0</v>
      </c>
      <c r="BD825" s="234">
        <v>0</v>
      </c>
      <c r="BE825" s="234">
        <v>0</v>
      </c>
      <c r="BF825" s="234">
        <v>0</v>
      </c>
      <c r="BG825" s="234">
        <v>0</v>
      </c>
      <c r="BH825" s="234">
        <v>0</v>
      </c>
      <c r="BI825" s="234">
        <v>0</v>
      </c>
      <c r="BJ825" s="234">
        <v>0</v>
      </c>
      <c r="BK825" s="234">
        <v>0</v>
      </c>
      <c r="BL825" s="234">
        <v>0</v>
      </c>
      <c r="BM825" s="234">
        <v>0</v>
      </c>
      <c r="BN825" s="234">
        <v>0</v>
      </c>
      <c r="BO825" s="234">
        <v>0</v>
      </c>
      <c r="BP825" s="234"/>
      <c r="BQ825" s="234"/>
      <c r="BR825" s="237" t="s">
        <v>334</v>
      </c>
      <c r="BS825" s="238">
        <v>15</v>
      </c>
      <c r="BU825" s="239">
        <f>M825/4</f>
        <v>-0.5</v>
      </c>
      <c r="BV825" s="239">
        <f t="shared" si="96"/>
        <v>-0.5</v>
      </c>
      <c r="BW825" s="239">
        <f t="shared" si="97"/>
        <v>-0.5</v>
      </c>
      <c r="BX825" s="239">
        <f t="shared" si="98"/>
        <v>-0.5</v>
      </c>
      <c r="CN825" s="238">
        <f t="shared" si="99"/>
        <v>-2</v>
      </c>
      <c r="CO825" s="238">
        <f t="shared" si="100"/>
        <v>-2</v>
      </c>
    </row>
    <row r="826" spans="1:93" ht="13.95" customHeight="1" x14ac:dyDescent="0.2">
      <c r="A826" s="231">
        <v>7515</v>
      </c>
      <c r="B826" s="232" t="s">
        <v>822</v>
      </c>
      <c r="C826" s="232" t="s">
        <v>2436</v>
      </c>
      <c r="D826" s="232" t="s">
        <v>2437</v>
      </c>
      <c r="E826" s="232" t="s">
        <v>317</v>
      </c>
      <c r="F826" s="231">
        <v>523770</v>
      </c>
      <c r="G826" s="231">
        <v>175233</v>
      </c>
      <c r="H826" s="232" t="s">
        <v>175</v>
      </c>
      <c r="I826" s="233"/>
      <c r="J826" s="231"/>
      <c r="K826" s="231">
        <v>4</v>
      </c>
      <c r="L826" s="231">
        <v>1</v>
      </c>
      <c r="M826" s="231">
        <v>-3</v>
      </c>
      <c r="N826" s="231">
        <v>1</v>
      </c>
      <c r="O826" s="231">
        <v>-3</v>
      </c>
      <c r="P826" s="234"/>
      <c r="Q826" s="232" t="s">
        <v>2438</v>
      </c>
      <c r="R826" s="234" t="s">
        <v>332</v>
      </c>
      <c r="S826" s="235">
        <v>44782</v>
      </c>
      <c r="T826" s="235">
        <v>44837</v>
      </c>
      <c r="U826" s="234" t="s">
        <v>318</v>
      </c>
      <c r="V826" s="232" t="s">
        <v>321</v>
      </c>
      <c r="W826" s="231"/>
      <c r="X826" s="232" t="s">
        <v>322</v>
      </c>
      <c r="Y826" s="232" t="s">
        <v>365</v>
      </c>
      <c r="Z826" s="232" t="s">
        <v>324</v>
      </c>
      <c r="AA826" s="232" t="s">
        <v>17</v>
      </c>
      <c r="AB826" s="236">
        <v>5.8333329999999996E-3</v>
      </c>
      <c r="AC826" s="235"/>
      <c r="AD826" s="234"/>
      <c r="AE826" s="234"/>
      <c r="AF826" s="232" t="s">
        <v>77</v>
      </c>
      <c r="AG826" s="232" t="s">
        <v>350</v>
      </c>
      <c r="AH826" s="234" t="s">
        <v>317</v>
      </c>
      <c r="AJ826" s="234">
        <v>0</v>
      </c>
      <c r="AK826" s="224"/>
      <c r="AL826" s="234">
        <v>0</v>
      </c>
      <c r="AM826" s="224"/>
      <c r="AN826" s="234">
        <v>-2</v>
      </c>
      <c r="AO826" s="234">
        <v>-2</v>
      </c>
      <c r="AP826" s="234">
        <v>0</v>
      </c>
      <c r="AQ826" s="234">
        <v>0</v>
      </c>
      <c r="AR826" s="234">
        <v>0</v>
      </c>
      <c r="AS826" s="234">
        <v>1</v>
      </c>
      <c r="AT826" s="234">
        <v>0</v>
      </c>
      <c r="AU826" s="234">
        <v>-2</v>
      </c>
      <c r="AV826" s="234">
        <v>-2</v>
      </c>
      <c r="AW826" s="234">
        <v>0</v>
      </c>
      <c r="AX826" s="234">
        <v>0</v>
      </c>
      <c r="AY826" s="234">
        <v>0</v>
      </c>
      <c r="AZ826" s="234">
        <v>0</v>
      </c>
      <c r="BA826" s="234">
        <v>0</v>
      </c>
      <c r="BB826" s="234">
        <v>0</v>
      </c>
      <c r="BC826" s="234">
        <v>0</v>
      </c>
      <c r="BD826" s="234">
        <v>0</v>
      </c>
      <c r="BE826" s="234">
        <v>0</v>
      </c>
      <c r="BF826" s="234">
        <v>0</v>
      </c>
      <c r="BG826" s="234">
        <v>1</v>
      </c>
      <c r="BH826" s="234">
        <v>0</v>
      </c>
      <c r="BI826" s="234">
        <v>0</v>
      </c>
      <c r="BJ826" s="234">
        <v>0</v>
      </c>
      <c r="BK826" s="234">
        <v>0</v>
      </c>
      <c r="BL826" s="234">
        <v>0</v>
      </c>
      <c r="BM826" s="234">
        <v>0</v>
      </c>
      <c r="BN826" s="234">
        <v>0</v>
      </c>
      <c r="BO826" s="234">
        <v>0</v>
      </c>
      <c r="BP826" s="234"/>
      <c r="BQ826" s="234"/>
      <c r="BR826" s="237" t="s">
        <v>152</v>
      </c>
      <c r="BS826" s="238">
        <v>15</v>
      </c>
      <c r="BU826" s="239">
        <f>M826/4</f>
        <v>-0.75</v>
      </c>
      <c r="BV826" s="239">
        <f t="shared" si="96"/>
        <v>-0.75</v>
      </c>
      <c r="BW826" s="239">
        <f t="shared" si="97"/>
        <v>-0.75</v>
      </c>
      <c r="BX826" s="239">
        <f t="shared" si="98"/>
        <v>-0.75</v>
      </c>
      <c r="CN826" s="238">
        <f t="shared" si="99"/>
        <v>-3</v>
      </c>
      <c r="CO826" s="238">
        <f t="shared" si="100"/>
        <v>-3</v>
      </c>
    </row>
    <row r="827" spans="1:93" ht="13.95" customHeight="1" x14ac:dyDescent="0.2">
      <c r="A827" s="231">
        <v>7818</v>
      </c>
      <c r="B827" s="232" t="s">
        <v>822</v>
      </c>
      <c r="C827" s="232" t="s">
        <v>2439</v>
      </c>
      <c r="D827" s="232" t="s">
        <v>2440</v>
      </c>
      <c r="E827" s="232" t="s">
        <v>317</v>
      </c>
      <c r="F827" s="231">
        <v>527417</v>
      </c>
      <c r="G827" s="231">
        <v>174682</v>
      </c>
      <c r="H827" s="232" t="s">
        <v>169</v>
      </c>
      <c r="I827" s="233"/>
      <c r="J827" s="231"/>
      <c r="K827" s="231">
        <v>1</v>
      </c>
      <c r="L827" s="231">
        <v>1</v>
      </c>
      <c r="M827" s="231">
        <v>0</v>
      </c>
      <c r="N827" s="231">
        <v>1</v>
      </c>
      <c r="O827" s="231">
        <v>0</v>
      </c>
      <c r="P827" s="234"/>
      <c r="Q827" s="232" t="s">
        <v>2441</v>
      </c>
      <c r="R827" s="234" t="s">
        <v>332</v>
      </c>
      <c r="S827" s="235">
        <v>44641</v>
      </c>
      <c r="T827" s="235">
        <v>44708</v>
      </c>
      <c r="U827" s="234" t="s">
        <v>318</v>
      </c>
      <c r="V827" s="232" t="s">
        <v>321</v>
      </c>
      <c r="W827" s="231"/>
      <c r="X827" s="232" t="s">
        <v>322</v>
      </c>
      <c r="Y827" s="232" t="s">
        <v>323</v>
      </c>
      <c r="Z827" s="232" t="s">
        <v>324</v>
      </c>
      <c r="AA827" s="232" t="s">
        <v>349</v>
      </c>
      <c r="AB827" s="236">
        <v>1.4E-2</v>
      </c>
      <c r="AC827" s="235"/>
      <c r="AD827" s="234"/>
      <c r="AE827" s="234"/>
      <c r="AF827" s="232" t="s">
        <v>77</v>
      </c>
      <c r="AG827" s="232" t="s">
        <v>350</v>
      </c>
      <c r="AH827" s="234" t="s">
        <v>317</v>
      </c>
      <c r="AJ827" s="234">
        <v>0</v>
      </c>
      <c r="AK827" s="224"/>
      <c r="AL827" s="234">
        <v>0</v>
      </c>
      <c r="AM827" s="224"/>
      <c r="AN827" s="234">
        <v>0</v>
      </c>
      <c r="AO827" s="234">
        <v>0</v>
      </c>
      <c r="AP827" s="234">
        <v>0</v>
      </c>
      <c r="AQ827" s="234">
        <v>-1</v>
      </c>
      <c r="AR827" s="234">
        <v>1</v>
      </c>
      <c r="AS827" s="234">
        <v>0</v>
      </c>
      <c r="AT827" s="234">
        <v>0</v>
      </c>
      <c r="AU827" s="234">
        <v>0</v>
      </c>
      <c r="AV827" s="234">
        <v>0</v>
      </c>
      <c r="AW827" s="234">
        <v>0</v>
      </c>
      <c r="AX827" s="234">
        <v>0</v>
      </c>
      <c r="AY827" s="234">
        <v>0</v>
      </c>
      <c r="AZ827" s="234">
        <v>0</v>
      </c>
      <c r="BA827" s="234">
        <v>0</v>
      </c>
      <c r="BB827" s="234">
        <v>0</v>
      </c>
      <c r="BC827" s="234">
        <v>0</v>
      </c>
      <c r="BD827" s="234">
        <v>0</v>
      </c>
      <c r="BE827" s="234">
        <v>-1</v>
      </c>
      <c r="BF827" s="234">
        <v>1</v>
      </c>
      <c r="BG827" s="234">
        <v>0</v>
      </c>
      <c r="BH827" s="234">
        <v>0</v>
      </c>
      <c r="BI827" s="234">
        <v>0</v>
      </c>
      <c r="BJ827" s="234">
        <v>0</v>
      </c>
      <c r="BK827" s="234">
        <v>0</v>
      </c>
      <c r="BL827" s="234">
        <v>0</v>
      </c>
      <c r="BM827" s="234">
        <v>0</v>
      </c>
      <c r="BN827" s="234">
        <v>0</v>
      </c>
      <c r="BO827" s="234">
        <v>0</v>
      </c>
      <c r="BP827" s="234"/>
      <c r="BQ827" s="234"/>
      <c r="BR827" s="237" t="s">
        <v>150</v>
      </c>
      <c r="BS827" s="238">
        <v>7</v>
      </c>
      <c r="BV827" s="239">
        <f t="shared" si="96"/>
        <v>0</v>
      </c>
      <c r="BW827" s="239">
        <f t="shared" si="97"/>
        <v>0</v>
      </c>
      <c r="BX827" s="239">
        <f t="shared" si="98"/>
        <v>0</v>
      </c>
      <c r="BY827" s="239">
        <f>M827/4</f>
        <v>0</v>
      </c>
      <c r="CN827" s="238">
        <f t="shared" si="99"/>
        <v>0</v>
      </c>
      <c r="CO827" s="238">
        <f t="shared" si="100"/>
        <v>0</v>
      </c>
    </row>
    <row r="828" spans="1:93" ht="13.95" customHeight="1" x14ac:dyDescent="0.2">
      <c r="A828" s="231">
        <v>7680</v>
      </c>
      <c r="B828" s="232" t="s">
        <v>822</v>
      </c>
      <c r="C828" s="232" t="s">
        <v>2442</v>
      </c>
      <c r="D828" s="232" t="s">
        <v>2443</v>
      </c>
      <c r="E828" s="232" t="s">
        <v>317</v>
      </c>
      <c r="F828" s="231">
        <v>526540</v>
      </c>
      <c r="G828" s="231">
        <v>175023</v>
      </c>
      <c r="H828" s="232" t="s">
        <v>181</v>
      </c>
      <c r="I828" s="233"/>
      <c r="J828" s="231"/>
      <c r="K828" s="231">
        <v>0</v>
      </c>
      <c r="L828" s="231">
        <v>8</v>
      </c>
      <c r="M828" s="231">
        <v>8</v>
      </c>
      <c r="N828" s="231">
        <v>8</v>
      </c>
      <c r="O828" s="231">
        <v>8</v>
      </c>
      <c r="P828" s="234"/>
      <c r="Q828" s="232" t="s">
        <v>2444</v>
      </c>
      <c r="R828" s="234" t="s">
        <v>332</v>
      </c>
      <c r="S828" s="235">
        <v>44651</v>
      </c>
      <c r="T828" s="235">
        <v>44706</v>
      </c>
      <c r="U828" s="234" t="s">
        <v>318</v>
      </c>
      <c r="V828" s="232" t="s">
        <v>321</v>
      </c>
      <c r="W828" s="231"/>
      <c r="X828" s="232" t="s">
        <v>322</v>
      </c>
      <c r="Y828" s="232" t="s">
        <v>338</v>
      </c>
      <c r="Z828" s="232" t="s">
        <v>324</v>
      </c>
      <c r="AA828" s="232" t="s">
        <v>28</v>
      </c>
      <c r="AB828" s="236">
        <v>1.1950000000000001E-2</v>
      </c>
      <c r="AC828" s="235"/>
      <c r="AD828" s="234"/>
      <c r="AE828" s="234"/>
      <c r="AF828" s="232" t="s">
        <v>77</v>
      </c>
      <c r="AG828" s="232" t="s">
        <v>350</v>
      </c>
      <c r="AH828" s="234" t="s">
        <v>317</v>
      </c>
      <c r="AJ828" s="234">
        <v>0</v>
      </c>
      <c r="AK828" s="234">
        <v>8</v>
      </c>
      <c r="AL828" s="234">
        <v>0</v>
      </c>
      <c r="AM828" s="224"/>
      <c r="AN828" s="234">
        <v>0</v>
      </c>
      <c r="AO828" s="234">
        <v>5</v>
      </c>
      <c r="AP828" s="234">
        <v>3</v>
      </c>
      <c r="AQ828" s="234">
        <v>0</v>
      </c>
      <c r="AR828" s="234">
        <v>0</v>
      </c>
      <c r="AS828" s="234">
        <v>0</v>
      </c>
      <c r="AT828" s="234">
        <v>0</v>
      </c>
      <c r="AU828" s="234">
        <v>0</v>
      </c>
      <c r="AV828" s="234">
        <v>5</v>
      </c>
      <c r="AW828" s="234">
        <v>3</v>
      </c>
      <c r="AX828" s="234">
        <v>0</v>
      </c>
      <c r="AY828" s="234">
        <v>0</v>
      </c>
      <c r="AZ828" s="234">
        <v>0</v>
      </c>
      <c r="BA828" s="234">
        <v>0</v>
      </c>
      <c r="BB828" s="234">
        <v>0</v>
      </c>
      <c r="BC828" s="234">
        <v>0</v>
      </c>
      <c r="BD828" s="234">
        <v>0</v>
      </c>
      <c r="BE828" s="234">
        <v>0</v>
      </c>
      <c r="BF828" s="234">
        <v>0</v>
      </c>
      <c r="BG828" s="234">
        <v>0</v>
      </c>
      <c r="BH828" s="234">
        <v>0</v>
      </c>
      <c r="BI828" s="234">
        <v>0</v>
      </c>
      <c r="BJ828" s="234">
        <v>0</v>
      </c>
      <c r="BK828" s="234">
        <v>0</v>
      </c>
      <c r="BL828" s="234">
        <v>0</v>
      </c>
      <c r="BM828" s="234">
        <v>0</v>
      </c>
      <c r="BN828" s="234">
        <v>0</v>
      </c>
      <c r="BO828" s="234">
        <v>0</v>
      </c>
      <c r="BP828" s="234"/>
      <c r="BQ828" s="234"/>
      <c r="BR828" s="237" t="s">
        <v>334</v>
      </c>
      <c r="BS828" s="238">
        <v>16</v>
      </c>
      <c r="BW828" s="239">
        <f>M828</f>
        <v>8</v>
      </c>
      <c r="CN828" s="238">
        <f t="shared" si="99"/>
        <v>8</v>
      </c>
      <c r="CO828" s="238">
        <f t="shared" si="100"/>
        <v>8</v>
      </c>
    </row>
    <row r="829" spans="1:93" ht="13.95" customHeight="1" x14ac:dyDescent="0.2">
      <c r="A829" s="231">
        <v>7738</v>
      </c>
      <c r="B829" s="232" t="s">
        <v>822</v>
      </c>
      <c r="C829" s="232" t="s">
        <v>2445</v>
      </c>
      <c r="D829" s="232" t="s">
        <v>2446</v>
      </c>
      <c r="E829" s="232" t="s">
        <v>317</v>
      </c>
      <c r="F829" s="231">
        <v>524022</v>
      </c>
      <c r="G829" s="231">
        <v>174394</v>
      </c>
      <c r="H829" s="232" t="s">
        <v>164</v>
      </c>
      <c r="I829" s="233"/>
      <c r="J829" s="231"/>
      <c r="K829" s="231">
        <v>1</v>
      </c>
      <c r="L829" s="231">
        <v>1</v>
      </c>
      <c r="M829" s="231">
        <v>0</v>
      </c>
      <c r="N829" s="231">
        <v>1</v>
      </c>
      <c r="O829" s="231">
        <v>0</v>
      </c>
      <c r="P829" s="234"/>
      <c r="Q829" s="232" t="s">
        <v>2447</v>
      </c>
      <c r="R829" s="234" t="s">
        <v>332</v>
      </c>
      <c r="S829" s="235">
        <v>44529</v>
      </c>
      <c r="T829" s="235">
        <v>44678</v>
      </c>
      <c r="U829" s="234" t="s">
        <v>318</v>
      </c>
      <c r="V829" s="232" t="s">
        <v>321</v>
      </c>
      <c r="W829" s="231"/>
      <c r="X829" s="232" t="s">
        <v>322</v>
      </c>
      <c r="Y829" s="232" t="s">
        <v>323</v>
      </c>
      <c r="Z829" s="232" t="s">
        <v>324</v>
      </c>
      <c r="AA829" s="232" t="s">
        <v>349</v>
      </c>
      <c r="AB829" s="236">
        <v>1.4E-2</v>
      </c>
      <c r="AC829" s="235"/>
      <c r="AD829" s="234"/>
      <c r="AE829" s="234"/>
      <c r="AF829" s="232" t="s">
        <v>77</v>
      </c>
      <c r="AG829" s="232" t="s">
        <v>350</v>
      </c>
      <c r="AH829" s="234" t="s">
        <v>317</v>
      </c>
      <c r="AJ829" s="234">
        <v>0</v>
      </c>
      <c r="AK829" s="224"/>
      <c r="AL829" s="234">
        <v>0</v>
      </c>
      <c r="AM829" s="224"/>
      <c r="AN829" s="234">
        <v>0</v>
      </c>
      <c r="AO829" s="234">
        <v>0</v>
      </c>
      <c r="AP829" s="234">
        <v>-1</v>
      </c>
      <c r="AQ829" s="234">
        <v>0</v>
      </c>
      <c r="AR829" s="234">
        <v>0</v>
      </c>
      <c r="AS829" s="234">
        <v>1</v>
      </c>
      <c r="AT829" s="234">
        <v>0</v>
      </c>
      <c r="AU829" s="234">
        <v>0</v>
      </c>
      <c r="AV829" s="234">
        <v>0</v>
      </c>
      <c r="AW829" s="234">
        <v>0</v>
      </c>
      <c r="AX829" s="234">
        <v>0</v>
      </c>
      <c r="AY829" s="234">
        <v>0</v>
      </c>
      <c r="AZ829" s="234">
        <v>0</v>
      </c>
      <c r="BA829" s="234">
        <v>0</v>
      </c>
      <c r="BB829" s="234">
        <v>0</v>
      </c>
      <c r="BC829" s="234">
        <v>0</v>
      </c>
      <c r="BD829" s="234">
        <v>-1</v>
      </c>
      <c r="BE829" s="234">
        <v>0</v>
      </c>
      <c r="BF829" s="234">
        <v>0</v>
      </c>
      <c r="BG829" s="234">
        <v>1</v>
      </c>
      <c r="BH829" s="234">
        <v>0</v>
      </c>
      <c r="BI829" s="234">
        <v>0</v>
      </c>
      <c r="BJ829" s="234">
        <v>0</v>
      </c>
      <c r="BK829" s="234">
        <v>0</v>
      </c>
      <c r="BL829" s="234">
        <v>0</v>
      </c>
      <c r="BM829" s="234">
        <v>0</v>
      </c>
      <c r="BN829" s="234">
        <v>0</v>
      </c>
      <c r="BO829" s="234">
        <v>0</v>
      </c>
      <c r="BP829" s="234"/>
      <c r="BQ829" s="234"/>
      <c r="BR829" s="237" t="s">
        <v>334</v>
      </c>
      <c r="BS829" s="238">
        <v>7</v>
      </c>
      <c r="BV829" s="239">
        <f>M829/4</f>
        <v>0</v>
      </c>
      <c r="BW829" s="239">
        <f>M829/4</f>
        <v>0</v>
      </c>
      <c r="BX829" s="239">
        <f>M829/4</f>
        <v>0</v>
      </c>
      <c r="BY829" s="239">
        <f>M829/4</f>
        <v>0</v>
      </c>
      <c r="CN829" s="238">
        <f t="shared" si="99"/>
        <v>0</v>
      </c>
      <c r="CO829" s="238">
        <f t="shared" si="100"/>
        <v>0</v>
      </c>
    </row>
    <row r="830" spans="1:93" ht="13.95" customHeight="1" x14ac:dyDescent="0.2">
      <c r="A830" s="231">
        <v>1896</v>
      </c>
      <c r="B830" s="232" t="s">
        <v>822</v>
      </c>
      <c r="C830" s="232" t="s">
        <v>2448</v>
      </c>
      <c r="D830" s="232" t="s">
        <v>2449</v>
      </c>
      <c r="E830" s="232" t="s">
        <v>317</v>
      </c>
      <c r="F830" s="231">
        <v>527305</v>
      </c>
      <c r="G830" s="231">
        <v>171527</v>
      </c>
      <c r="H830" s="232" t="s">
        <v>177</v>
      </c>
      <c r="I830" s="233">
        <v>44743</v>
      </c>
      <c r="J830" s="231"/>
      <c r="K830" s="231">
        <v>0</v>
      </c>
      <c r="L830" s="231">
        <v>4</v>
      </c>
      <c r="M830" s="231">
        <v>4</v>
      </c>
      <c r="N830" s="231">
        <v>4</v>
      </c>
      <c r="O830" s="231">
        <v>4</v>
      </c>
      <c r="P830" s="234"/>
      <c r="Q830" s="232" t="s">
        <v>2450</v>
      </c>
      <c r="R830" s="234" t="s">
        <v>332</v>
      </c>
      <c r="S830" s="235">
        <v>44494</v>
      </c>
      <c r="T830" s="235">
        <v>44665</v>
      </c>
      <c r="U830" s="234" t="s">
        <v>318</v>
      </c>
      <c r="V830" s="232" t="s">
        <v>321</v>
      </c>
      <c r="W830" s="231"/>
      <c r="X830" s="232" t="s">
        <v>322</v>
      </c>
      <c r="Y830" s="232" t="s">
        <v>323</v>
      </c>
      <c r="Z830" s="232" t="s">
        <v>324</v>
      </c>
      <c r="AA830" s="232" t="s">
        <v>349</v>
      </c>
      <c r="AB830" s="236">
        <v>1.00234E-2</v>
      </c>
      <c r="AC830" s="235"/>
      <c r="AD830" s="234"/>
      <c r="AE830" s="234"/>
      <c r="AF830" s="232" t="s">
        <v>77</v>
      </c>
      <c r="AG830" s="232" t="s">
        <v>350</v>
      </c>
      <c r="AH830" s="234" t="s">
        <v>317</v>
      </c>
      <c r="AJ830" s="234">
        <v>0</v>
      </c>
      <c r="AK830" s="224"/>
      <c r="AL830" s="234">
        <v>0</v>
      </c>
      <c r="AM830" s="224"/>
      <c r="AN830" s="234">
        <v>0</v>
      </c>
      <c r="AO830" s="234">
        <v>2</v>
      </c>
      <c r="AP830" s="234">
        <v>0</v>
      </c>
      <c r="AQ830" s="234">
        <v>2</v>
      </c>
      <c r="AR830" s="234">
        <v>0</v>
      </c>
      <c r="AS830" s="234">
        <v>0</v>
      </c>
      <c r="AT830" s="234">
        <v>0</v>
      </c>
      <c r="AU830" s="234">
        <v>0</v>
      </c>
      <c r="AV830" s="234">
        <v>2</v>
      </c>
      <c r="AW830" s="234">
        <v>0</v>
      </c>
      <c r="AX830" s="234">
        <v>2</v>
      </c>
      <c r="AY830" s="234">
        <v>0</v>
      </c>
      <c r="AZ830" s="234">
        <v>0</v>
      </c>
      <c r="BA830" s="234">
        <v>0</v>
      </c>
      <c r="BB830" s="234">
        <v>0</v>
      </c>
      <c r="BC830" s="234">
        <v>0</v>
      </c>
      <c r="BD830" s="234">
        <v>0</v>
      </c>
      <c r="BE830" s="234">
        <v>0</v>
      </c>
      <c r="BF830" s="234">
        <v>0</v>
      </c>
      <c r="BG830" s="234">
        <v>0</v>
      </c>
      <c r="BH830" s="234">
        <v>0</v>
      </c>
      <c r="BI830" s="234">
        <v>0</v>
      </c>
      <c r="BJ830" s="234">
        <v>0</v>
      </c>
      <c r="BK830" s="234">
        <v>0</v>
      </c>
      <c r="BL830" s="234">
        <v>0</v>
      </c>
      <c r="BM830" s="234">
        <v>0</v>
      </c>
      <c r="BN830" s="234">
        <v>0</v>
      </c>
      <c r="BO830" s="234">
        <v>0</v>
      </c>
      <c r="BP830" s="234"/>
      <c r="BQ830" s="234"/>
      <c r="BR830" s="237" t="s">
        <v>144</v>
      </c>
      <c r="BS830" s="238">
        <v>7</v>
      </c>
      <c r="BV830" s="239">
        <f>M830/4</f>
        <v>1</v>
      </c>
      <c r="BW830" s="239">
        <f>M830/4</f>
        <v>1</v>
      </c>
      <c r="BX830" s="239">
        <f>M830/4</f>
        <v>1</v>
      </c>
      <c r="BY830" s="239">
        <f>M830/4</f>
        <v>1</v>
      </c>
      <c r="CN830" s="238">
        <f t="shared" si="99"/>
        <v>4</v>
      </c>
      <c r="CO830" s="238">
        <f t="shared" si="100"/>
        <v>4</v>
      </c>
    </row>
    <row r="831" spans="1:93" ht="13.95" customHeight="1" x14ac:dyDescent="0.2">
      <c r="A831" s="231">
        <v>5802</v>
      </c>
      <c r="B831" s="232" t="s">
        <v>822</v>
      </c>
      <c r="C831" s="232" t="s">
        <v>2451</v>
      </c>
      <c r="D831" s="232" t="s">
        <v>2452</v>
      </c>
      <c r="E831" s="232" t="s">
        <v>317</v>
      </c>
      <c r="F831" s="231">
        <v>526505</v>
      </c>
      <c r="G831" s="231">
        <v>175773</v>
      </c>
      <c r="H831" s="232" t="s">
        <v>174</v>
      </c>
      <c r="I831" s="233"/>
      <c r="J831" s="231"/>
      <c r="K831" s="231">
        <v>0</v>
      </c>
      <c r="L831" s="231">
        <v>11</v>
      </c>
      <c r="M831" s="231">
        <v>11</v>
      </c>
      <c r="N831" s="231">
        <v>11</v>
      </c>
      <c r="O831" s="231">
        <v>11</v>
      </c>
      <c r="P831" s="234" t="s">
        <v>318</v>
      </c>
      <c r="Q831" s="232" t="s">
        <v>2453</v>
      </c>
      <c r="R831" s="234" t="s">
        <v>629</v>
      </c>
      <c r="S831" s="235">
        <v>43887</v>
      </c>
      <c r="T831" s="235">
        <v>43938</v>
      </c>
      <c r="U831" s="234"/>
      <c r="V831" s="232" t="s">
        <v>321</v>
      </c>
      <c r="W831" s="231"/>
      <c r="X831" s="232" t="s">
        <v>322</v>
      </c>
      <c r="Y831" s="232" t="s">
        <v>378</v>
      </c>
      <c r="Z831" s="232" t="s">
        <v>879</v>
      </c>
      <c r="AA831" s="232" t="s">
        <v>324</v>
      </c>
      <c r="AB831" s="236">
        <v>1.2999999999999999E-2</v>
      </c>
      <c r="AC831" s="235"/>
      <c r="AD831" s="234"/>
      <c r="AE831" s="234"/>
      <c r="AF831" s="232" t="s">
        <v>77</v>
      </c>
      <c r="AG831" s="232" t="s">
        <v>350</v>
      </c>
      <c r="AH831" s="234" t="s">
        <v>1513</v>
      </c>
      <c r="AJ831" s="234">
        <v>0</v>
      </c>
      <c r="AK831" s="224"/>
      <c r="AL831" s="234">
        <v>0</v>
      </c>
      <c r="AM831" s="224"/>
      <c r="AN831" s="234">
        <v>0</v>
      </c>
      <c r="AO831" s="234">
        <v>7</v>
      </c>
      <c r="AP831" s="234">
        <v>4</v>
      </c>
      <c r="AQ831" s="234">
        <v>0</v>
      </c>
      <c r="AR831" s="234">
        <v>0</v>
      </c>
      <c r="AS831" s="234">
        <v>0</v>
      </c>
      <c r="AT831" s="234">
        <v>0</v>
      </c>
      <c r="AU831" s="234">
        <v>0</v>
      </c>
      <c r="AV831" s="234">
        <v>7</v>
      </c>
      <c r="AW831" s="234">
        <v>4</v>
      </c>
      <c r="AX831" s="234">
        <v>0</v>
      </c>
      <c r="AY831" s="234">
        <v>0</v>
      </c>
      <c r="AZ831" s="234">
        <v>0</v>
      </c>
      <c r="BA831" s="234">
        <v>0</v>
      </c>
      <c r="BB831" s="234">
        <v>0</v>
      </c>
      <c r="BC831" s="234">
        <v>0</v>
      </c>
      <c r="BD831" s="234">
        <v>0</v>
      </c>
      <c r="BE831" s="234">
        <v>0</v>
      </c>
      <c r="BF831" s="234">
        <v>0</v>
      </c>
      <c r="BG831" s="234">
        <v>0</v>
      </c>
      <c r="BH831" s="234">
        <v>0</v>
      </c>
      <c r="BI831" s="234">
        <v>0</v>
      </c>
      <c r="BJ831" s="234">
        <v>0</v>
      </c>
      <c r="BK831" s="234">
        <v>0</v>
      </c>
      <c r="BL831" s="234">
        <v>0</v>
      </c>
      <c r="BM831" s="234">
        <v>0</v>
      </c>
      <c r="BN831" s="234">
        <v>0</v>
      </c>
      <c r="BO831" s="234">
        <v>0</v>
      </c>
      <c r="BP831" s="234"/>
      <c r="BQ831" s="234"/>
      <c r="BR831" s="237" t="s">
        <v>481</v>
      </c>
      <c r="BS831" s="238">
        <v>17</v>
      </c>
      <c r="BZ831" s="239">
        <f>M831/4</f>
        <v>2.75</v>
      </c>
      <c r="CA831" s="239">
        <f>M831/4</f>
        <v>2.75</v>
      </c>
      <c r="CB831" s="239">
        <f>M831/4</f>
        <v>2.75</v>
      </c>
      <c r="CC831" s="239">
        <f>M831/4</f>
        <v>2.75</v>
      </c>
      <c r="CN831" s="238">
        <f t="shared" si="99"/>
        <v>0</v>
      </c>
      <c r="CO831" s="238">
        <f t="shared" si="100"/>
        <v>11</v>
      </c>
    </row>
    <row r="832" spans="1:93" ht="13.95" customHeight="1" x14ac:dyDescent="0.2">
      <c r="A832" s="231">
        <v>3758</v>
      </c>
      <c r="B832" s="232" t="s">
        <v>822</v>
      </c>
      <c r="C832" s="232" t="s">
        <v>2454</v>
      </c>
      <c r="D832" s="232" t="s">
        <v>2455</v>
      </c>
      <c r="E832" s="232" t="s">
        <v>317</v>
      </c>
      <c r="F832" s="231">
        <v>523099</v>
      </c>
      <c r="G832" s="231">
        <v>174875</v>
      </c>
      <c r="H832" s="232" t="s">
        <v>183</v>
      </c>
      <c r="I832" s="233"/>
      <c r="J832" s="231"/>
      <c r="K832" s="231">
        <v>5</v>
      </c>
      <c r="L832" s="231">
        <v>1</v>
      </c>
      <c r="M832" s="231">
        <v>-4</v>
      </c>
      <c r="N832" s="231">
        <v>1</v>
      </c>
      <c r="O832" s="231">
        <v>-4</v>
      </c>
      <c r="P832" s="234"/>
      <c r="Q832" s="232" t="s">
        <v>2456</v>
      </c>
      <c r="R832" s="234" t="s">
        <v>332</v>
      </c>
      <c r="S832" s="235">
        <v>44733</v>
      </c>
      <c r="T832" s="235">
        <v>44788</v>
      </c>
      <c r="U832" s="234" t="s">
        <v>318</v>
      </c>
      <c r="V832" s="232" t="s">
        <v>321</v>
      </c>
      <c r="W832" s="231"/>
      <c r="X832" s="232" t="s">
        <v>322</v>
      </c>
      <c r="Y832" s="232" t="s">
        <v>365</v>
      </c>
      <c r="Z832" s="232" t="s">
        <v>324</v>
      </c>
      <c r="AA832" s="232" t="s">
        <v>17</v>
      </c>
      <c r="AB832" s="236">
        <v>0.01</v>
      </c>
      <c r="AC832" s="235"/>
      <c r="AD832" s="234"/>
      <c r="AE832" s="234"/>
      <c r="AF832" s="232" t="s">
        <v>77</v>
      </c>
      <c r="AG832" s="232" t="s">
        <v>350</v>
      </c>
      <c r="AH832" s="234" t="s">
        <v>317</v>
      </c>
      <c r="AJ832" s="234">
        <v>0</v>
      </c>
      <c r="AK832" s="224"/>
      <c r="AL832" s="234">
        <v>0</v>
      </c>
      <c r="AM832" s="224"/>
      <c r="AN832" s="234">
        <v>0</v>
      </c>
      <c r="AO832" s="234">
        <v>-5</v>
      </c>
      <c r="AP832" s="234">
        <v>0</v>
      </c>
      <c r="AQ832" s="234">
        <v>0</v>
      </c>
      <c r="AR832" s="234">
        <v>1</v>
      </c>
      <c r="AS832" s="234">
        <v>0</v>
      </c>
      <c r="AT832" s="234">
        <v>0</v>
      </c>
      <c r="AU832" s="234">
        <v>0</v>
      </c>
      <c r="AV832" s="234">
        <v>-5</v>
      </c>
      <c r="AW832" s="234">
        <v>0</v>
      </c>
      <c r="AX832" s="234">
        <v>0</v>
      </c>
      <c r="AY832" s="234">
        <v>0</v>
      </c>
      <c r="AZ832" s="234">
        <v>0</v>
      </c>
      <c r="BA832" s="234">
        <v>0</v>
      </c>
      <c r="BB832" s="234">
        <v>0</v>
      </c>
      <c r="BC832" s="234">
        <v>0</v>
      </c>
      <c r="BD832" s="234">
        <v>0</v>
      </c>
      <c r="BE832" s="234">
        <v>0</v>
      </c>
      <c r="BF832" s="234">
        <v>1</v>
      </c>
      <c r="BG832" s="234">
        <v>0</v>
      </c>
      <c r="BH832" s="234">
        <v>0</v>
      </c>
      <c r="BI832" s="234">
        <v>0</v>
      </c>
      <c r="BJ832" s="234">
        <v>0</v>
      </c>
      <c r="BK832" s="234">
        <v>0</v>
      </c>
      <c r="BL832" s="234">
        <v>0</v>
      </c>
      <c r="BM832" s="234">
        <v>0</v>
      </c>
      <c r="BN832" s="234">
        <v>0</v>
      </c>
      <c r="BO832" s="234">
        <v>0</v>
      </c>
      <c r="BP832" s="234"/>
      <c r="BQ832" s="234"/>
      <c r="BR832" s="237" t="s">
        <v>334</v>
      </c>
      <c r="BS832" s="238">
        <v>15</v>
      </c>
      <c r="BU832" s="239">
        <f>M832/4</f>
        <v>-1</v>
      </c>
      <c r="BV832" s="239">
        <f t="shared" ref="BV832:BV839" si="101">M832/4</f>
        <v>-1</v>
      </c>
      <c r="BW832" s="239">
        <f t="shared" ref="BW832:BW839" si="102">M832/4</f>
        <v>-1</v>
      </c>
      <c r="BX832" s="239">
        <f t="shared" ref="BX832:BX839" si="103">M832/4</f>
        <v>-1</v>
      </c>
      <c r="CN832" s="238">
        <f t="shared" si="99"/>
        <v>-4</v>
      </c>
      <c r="CO832" s="238">
        <f t="shared" si="100"/>
        <v>-4</v>
      </c>
    </row>
    <row r="833" spans="1:93" ht="13.95" customHeight="1" x14ac:dyDescent="0.2">
      <c r="A833" s="231">
        <v>7725</v>
      </c>
      <c r="B833" s="232" t="s">
        <v>822</v>
      </c>
      <c r="C833" s="232" t="s">
        <v>2457</v>
      </c>
      <c r="D833" s="232" t="s">
        <v>2458</v>
      </c>
      <c r="E833" s="232" t="s">
        <v>317</v>
      </c>
      <c r="F833" s="231">
        <v>523495</v>
      </c>
      <c r="G833" s="231">
        <v>175369</v>
      </c>
      <c r="H833" s="232" t="s">
        <v>175</v>
      </c>
      <c r="I833" s="233"/>
      <c r="J833" s="231"/>
      <c r="K833" s="231">
        <v>5</v>
      </c>
      <c r="L833" s="231">
        <v>1</v>
      </c>
      <c r="M833" s="231">
        <v>-4</v>
      </c>
      <c r="N833" s="231">
        <v>1</v>
      </c>
      <c r="O833" s="231">
        <v>-4</v>
      </c>
      <c r="P833" s="234"/>
      <c r="Q833" s="232" t="s">
        <v>2459</v>
      </c>
      <c r="R833" s="234" t="s">
        <v>332</v>
      </c>
      <c r="S833" s="235">
        <v>44911</v>
      </c>
      <c r="T833" s="235">
        <v>44992</v>
      </c>
      <c r="U833" s="234" t="s">
        <v>318</v>
      </c>
      <c r="V833" s="232" t="s">
        <v>321</v>
      </c>
      <c r="W833" s="231"/>
      <c r="X833" s="232" t="s">
        <v>322</v>
      </c>
      <c r="Y833" s="232" t="s">
        <v>365</v>
      </c>
      <c r="Z833" s="232" t="s">
        <v>324</v>
      </c>
      <c r="AA833" s="232" t="s">
        <v>553</v>
      </c>
      <c r="AB833" s="236">
        <v>3.3000000000000002E-2</v>
      </c>
      <c r="AC833" s="235"/>
      <c r="AD833" s="234"/>
      <c r="AE833" s="234"/>
      <c r="AF833" s="232" t="s">
        <v>77</v>
      </c>
      <c r="AG833" s="232" t="s">
        <v>350</v>
      </c>
      <c r="AH833" s="234" t="s">
        <v>317</v>
      </c>
      <c r="AJ833" s="234">
        <v>0</v>
      </c>
      <c r="AK833" s="224"/>
      <c r="AL833" s="234">
        <v>0</v>
      </c>
      <c r="AM833" s="224"/>
      <c r="AN833" s="234">
        <v>-5</v>
      </c>
      <c r="AO833" s="234">
        <v>0</v>
      </c>
      <c r="AP833" s="234">
        <v>0</v>
      </c>
      <c r="AQ833" s="234">
        <v>1</v>
      </c>
      <c r="AR833" s="234">
        <v>0</v>
      </c>
      <c r="AS833" s="234">
        <v>0</v>
      </c>
      <c r="AT833" s="234">
        <v>0</v>
      </c>
      <c r="AU833" s="234">
        <v>-5</v>
      </c>
      <c r="AV833" s="234">
        <v>0</v>
      </c>
      <c r="AW833" s="234">
        <v>0</v>
      </c>
      <c r="AX833" s="234">
        <v>0</v>
      </c>
      <c r="AY833" s="234">
        <v>0</v>
      </c>
      <c r="AZ833" s="234">
        <v>0</v>
      </c>
      <c r="BA833" s="234">
        <v>0</v>
      </c>
      <c r="BB833" s="234">
        <v>0</v>
      </c>
      <c r="BC833" s="234">
        <v>0</v>
      </c>
      <c r="BD833" s="234">
        <v>0</v>
      </c>
      <c r="BE833" s="234">
        <v>1</v>
      </c>
      <c r="BF833" s="234">
        <v>0</v>
      </c>
      <c r="BG833" s="234">
        <v>0</v>
      </c>
      <c r="BH833" s="234">
        <v>0</v>
      </c>
      <c r="BI833" s="234">
        <v>0</v>
      </c>
      <c r="BJ833" s="234">
        <v>0</v>
      </c>
      <c r="BK833" s="234">
        <v>0</v>
      </c>
      <c r="BL833" s="234">
        <v>0</v>
      </c>
      <c r="BM833" s="234">
        <v>0</v>
      </c>
      <c r="BN833" s="234">
        <v>0</v>
      </c>
      <c r="BO833" s="234">
        <v>0</v>
      </c>
      <c r="BP833" s="234"/>
      <c r="BQ833" s="234"/>
      <c r="BR833" s="237" t="s">
        <v>334</v>
      </c>
      <c r="BS833" s="238">
        <v>15</v>
      </c>
      <c r="BU833" s="239">
        <f>M833/4</f>
        <v>-1</v>
      </c>
      <c r="BV833" s="239">
        <f t="shared" si="101"/>
        <v>-1</v>
      </c>
      <c r="BW833" s="239">
        <f t="shared" si="102"/>
        <v>-1</v>
      </c>
      <c r="BX833" s="239">
        <f t="shared" si="103"/>
        <v>-1</v>
      </c>
      <c r="CN833" s="238">
        <f t="shared" si="99"/>
        <v>-4</v>
      </c>
      <c r="CO833" s="238">
        <f t="shared" si="100"/>
        <v>-4</v>
      </c>
    </row>
    <row r="834" spans="1:93" ht="13.95" customHeight="1" x14ac:dyDescent="0.2">
      <c r="A834" s="231">
        <v>6198</v>
      </c>
      <c r="B834" s="232" t="s">
        <v>822</v>
      </c>
      <c r="C834" s="232" t="s">
        <v>2460</v>
      </c>
      <c r="D834" s="232" t="s">
        <v>2461</v>
      </c>
      <c r="E834" s="232" t="s">
        <v>317</v>
      </c>
      <c r="F834" s="231">
        <v>521202</v>
      </c>
      <c r="G834" s="231">
        <v>174373</v>
      </c>
      <c r="H834" s="232" t="s">
        <v>170</v>
      </c>
      <c r="I834" s="233"/>
      <c r="J834" s="231"/>
      <c r="K834" s="231">
        <v>1</v>
      </c>
      <c r="L834" s="231">
        <v>1</v>
      </c>
      <c r="M834" s="231">
        <v>0</v>
      </c>
      <c r="N834" s="231">
        <v>1</v>
      </c>
      <c r="O834" s="231">
        <v>0</v>
      </c>
      <c r="P834" s="234"/>
      <c r="Q834" s="232" t="s">
        <v>2462</v>
      </c>
      <c r="R834" s="234" t="s">
        <v>332</v>
      </c>
      <c r="S834" s="235">
        <v>44608</v>
      </c>
      <c r="T834" s="235">
        <v>44664</v>
      </c>
      <c r="U834" s="234" t="s">
        <v>318</v>
      </c>
      <c r="V834" s="232" t="s">
        <v>321</v>
      </c>
      <c r="W834" s="231"/>
      <c r="X834" s="232" t="s">
        <v>322</v>
      </c>
      <c r="Y834" s="232" t="s">
        <v>323</v>
      </c>
      <c r="Z834" s="232" t="s">
        <v>324</v>
      </c>
      <c r="AA834" s="232" t="s">
        <v>349</v>
      </c>
      <c r="AB834" s="236">
        <v>1.2E-2</v>
      </c>
      <c r="AC834" s="235"/>
      <c r="AD834" s="234"/>
      <c r="AE834" s="234"/>
      <c r="AF834" s="232" t="s">
        <v>77</v>
      </c>
      <c r="AG834" s="232" t="s">
        <v>350</v>
      </c>
      <c r="AH834" s="234" t="s">
        <v>317</v>
      </c>
      <c r="AJ834" s="234">
        <v>0</v>
      </c>
      <c r="AK834" s="224"/>
      <c r="AL834" s="234">
        <v>0</v>
      </c>
      <c r="AM834" s="224"/>
      <c r="AN834" s="234">
        <v>0</v>
      </c>
      <c r="AO834" s="234">
        <v>0</v>
      </c>
      <c r="AP834" s="234">
        <v>0</v>
      </c>
      <c r="AQ834" s="234">
        <v>0</v>
      </c>
      <c r="AR834" s="234">
        <v>-1</v>
      </c>
      <c r="AS834" s="234">
        <v>1</v>
      </c>
      <c r="AT834" s="234">
        <v>0</v>
      </c>
      <c r="AU834" s="234">
        <v>0</v>
      </c>
      <c r="AV834" s="234">
        <v>0</v>
      </c>
      <c r="AW834" s="234">
        <v>0</v>
      </c>
      <c r="AX834" s="234">
        <v>0</v>
      </c>
      <c r="AY834" s="234">
        <v>0</v>
      </c>
      <c r="AZ834" s="234">
        <v>0</v>
      </c>
      <c r="BA834" s="234">
        <v>0</v>
      </c>
      <c r="BB834" s="234">
        <v>0</v>
      </c>
      <c r="BC834" s="234">
        <v>0</v>
      </c>
      <c r="BD834" s="234">
        <v>0</v>
      </c>
      <c r="BE834" s="234">
        <v>0</v>
      </c>
      <c r="BF834" s="234">
        <v>-1</v>
      </c>
      <c r="BG834" s="234">
        <v>1</v>
      </c>
      <c r="BH834" s="234">
        <v>0</v>
      </c>
      <c r="BI834" s="234">
        <v>0</v>
      </c>
      <c r="BJ834" s="234">
        <v>0</v>
      </c>
      <c r="BK834" s="234">
        <v>0</v>
      </c>
      <c r="BL834" s="234">
        <v>0</v>
      </c>
      <c r="BM834" s="234">
        <v>0</v>
      </c>
      <c r="BN834" s="234">
        <v>0</v>
      </c>
      <c r="BO834" s="234">
        <v>0</v>
      </c>
      <c r="BP834" s="234"/>
      <c r="BQ834" s="234"/>
      <c r="BR834" s="237" t="s">
        <v>334</v>
      </c>
      <c r="BS834" s="238">
        <v>7</v>
      </c>
      <c r="BV834" s="239">
        <f t="shared" si="101"/>
        <v>0</v>
      </c>
      <c r="BW834" s="239">
        <f t="shared" si="102"/>
        <v>0</v>
      </c>
      <c r="BX834" s="239">
        <f t="shared" si="103"/>
        <v>0</v>
      </c>
      <c r="BY834" s="239">
        <f>M834/4</f>
        <v>0</v>
      </c>
      <c r="CN834" s="238">
        <f t="shared" si="99"/>
        <v>0</v>
      </c>
      <c r="CO834" s="238">
        <f t="shared" si="100"/>
        <v>0</v>
      </c>
    </row>
    <row r="835" spans="1:93" ht="13.95" customHeight="1" x14ac:dyDescent="0.2">
      <c r="A835" s="231">
        <v>7754</v>
      </c>
      <c r="B835" s="232" t="s">
        <v>822</v>
      </c>
      <c r="C835" s="232" t="s">
        <v>2463</v>
      </c>
      <c r="D835" s="232" t="s">
        <v>2464</v>
      </c>
      <c r="E835" s="232" t="s">
        <v>317</v>
      </c>
      <c r="F835" s="231">
        <v>523504</v>
      </c>
      <c r="G835" s="231">
        <v>175361</v>
      </c>
      <c r="H835" s="232" t="s">
        <v>175</v>
      </c>
      <c r="I835" s="233"/>
      <c r="J835" s="231"/>
      <c r="K835" s="231">
        <v>7</v>
      </c>
      <c r="L835" s="231">
        <v>1</v>
      </c>
      <c r="M835" s="231">
        <v>-6</v>
      </c>
      <c r="N835" s="231">
        <v>1</v>
      </c>
      <c r="O835" s="231">
        <v>-6</v>
      </c>
      <c r="P835" s="234"/>
      <c r="Q835" s="232" t="s">
        <v>2465</v>
      </c>
      <c r="R835" s="234" t="s">
        <v>332</v>
      </c>
      <c r="S835" s="235">
        <v>44894</v>
      </c>
      <c r="T835" s="235">
        <v>44965</v>
      </c>
      <c r="U835" s="234" t="s">
        <v>318</v>
      </c>
      <c r="V835" s="232" t="s">
        <v>321</v>
      </c>
      <c r="W835" s="231"/>
      <c r="X835" s="232" t="s">
        <v>322</v>
      </c>
      <c r="Y835" s="232" t="s">
        <v>365</v>
      </c>
      <c r="Z835" s="232" t="s">
        <v>324</v>
      </c>
      <c r="AA835" s="232" t="s">
        <v>17</v>
      </c>
      <c r="AB835" s="236">
        <v>7.1333330000000004E-3</v>
      </c>
      <c r="AC835" s="235"/>
      <c r="AD835" s="234"/>
      <c r="AE835" s="234"/>
      <c r="AF835" s="232" t="s">
        <v>77</v>
      </c>
      <c r="AG835" s="232" t="s">
        <v>350</v>
      </c>
      <c r="AH835" s="234" t="s">
        <v>317</v>
      </c>
      <c r="AJ835" s="234">
        <v>0</v>
      </c>
      <c r="AK835" s="224"/>
      <c r="AL835" s="234">
        <v>0</v>
      </c>
      <c r="AM835" s="224"/>
      <c r="AN835" s="234">
        <v>-7</v>
      </c>
      <c r="AO835" s="234">
        <v>0</v>
      </c>
      <c r="AP835" s="234">
        <v>0</v>
      </c>
      <c r="AQ835" s="234">
        <v>0</v>
      </c>
      <c r="AR835" s="234">
        <v>0</v>
      </c>
      <c r="AS835" s="234">
        <v>1</v>
      </c>
      <c r="AT835" s="234">
        <v>0</v>
      </c>
      <c r="AU835" s="234">
        <v>-7</v>
      </c>
      <c r="AV835" s="234">
        <v>0</v>
      </c>
      <c r="AW835" s="234">
        <v>0</v>
      </c>
      <c r="AX835" s="234">
        <v>0</v>
      </c>
      <c r="AY835" s="234">
        <v>0</v>
      </c>
      <c r="AZ835" s="234">
        <v>0</v>
      </c>
      <c r="BA835" s="234">
        <v>0</v>
      </c>
      <c r="BB835" s="234">
        <v>0</v>
      </c>
      <c r="BC835" s="234">
        <v>0</v>
      </c>
      <c r="BD835" s="234">
        <v>0</v>
      </c>
      <c r="BE835" s="234">
        <v>0</v>
      </c>
      <c r="BF835" s="234">
        <v>0</v>
      </c>
      <c r="BG835" s="234">
        <v>1</v>
      </c>
      <c r="BH835" s="234">
        <v>0</v>
      </c>
      <c r="BI835" s="234">
        <v>0</v>
      </c>
      <c r="BJ835" s="234">
        <v>0</v>
      </c>
      <c r="BK835" s="234">
        <v>0</v>
      </c>
      <c r="BL835" s="234">
        <v>0</v>
      </c>
      <c r="BM835" s="234">
        <v>0</v>
      </c>
      <c r="BN835" s="234">
        <v>0</v>
      </c>
      <c r="BO835" s="234">
        <v>0</v>
      </c>
      <c r="BP835" s="234"/>
      <c r="BQ835" s="234"/>
      <c r="BR835" s="237" t="s">
        <v>334</v>
      </c>
      <c r="BS835" s="238">
        <v>15</v>
      </c>
      <c r="BU835" s="239">
        <f>M835/4</f>
        <v>-1.5</v>
      </c>
      <c r="BV835" s="239">
        <f t="shared" si="101"/>
        <v>-1.5</v>
      </c>
      <c r="BW835" s="239">
        <f t="shared" si="102"/>
        <v>-1.5</v>
      </c>
      <c r="BX835" s="239">
        <f t="shared" si="103"/>
        <v>-1.5</v>
      </c>
      <c r="CN835" s="238">
        <f t="shared" si="99"/>
        <v>-6</v>
      </c>
      <c r="CO835" s="238">
        <f t="shared" si="100"/>
        <v>-6</v>
      </c>
    </row>
    <row r="836" spans="1:93" ht="13.95" customHeight="1" x14ac:dyDescent="0.2">
      <c r="A836" s="231">
        <v>7025</v>
      </c>
      <c r="B836" s="232" t="s">
        <v>822</v>
      </c>
      <c r="C836" s="232" t="s">
        <v>2466</v>
      </c>
      <c r="D836" s="232" t="s">
        <v>2467</v>
      </c>
      <c r="E836" s="232" t="s">
        <v>2468</v>
      </c>
      <c r="F836" s="231">
        <v>528764</v>
      </c>
      <c r="G836" s="231">
        <v>173063</v>
      </c>
      <c r="H836" s="232" t="s">
        <v>172</v>
      </c>
      <c r="I836" s="233"/>
      <c r="J836" s="231"/>
      <c r="K836" s="231">
        <v>0</v>
      </c>
      <c r="L836" s="231">
        <v>1</v>
      </c>
      <c r="M836" s="231">
        <v>1</v>
      </c>
      <c r="N836" s="231">
        <v>2</v>
      </c>
      <c r="O836" s="231">
        <v>2</v>
      </c>
      <c r="P836" s="234"/>
      <c r="Q836" s="232" t="s">
        <v>2469</v>
      </c>
      <c r="R836" s="234" t="s">
        <v>332</v>
      </c>
      <c r="S836" s="235">
        <v>43371</v>
      </c>
      <c r="T836" s="235">
        <v>43427</v>
      </c>
      <c r="U836" s="234"/>
      <c r="V836" s="232" t="s">
        <v>321</v>
      </c>
      <c r="W836" s="231"/>
      <c r="X836" s="232" t="s">
        <v>322</v>
      </c>
      <c r="Y836" s="232" t="s">
        <v>339</v>
      </c>
      <c r="Z836" s="232" t="s">
        <v>324</v>
      </c>
      <c r="AA836" s="232" t="s">
        <v>354</v>
      </c>
      <c r="AB836" s="236">
        <v>7.0000000000000001E-3</v>
      </c>
      <c r="AC836" s="235"/>
      <c r="AD836" s="234"/>
      <c r="AE836" s="234"/>
      <c r="AF836" s="232" t="s">
        <v>77</v>
      </c>
      <c r="AG836" s="232" t="s">
        <v>350</v>
      </c>
      <c r="AH836" s="234" t="s">
        <v>317</v>
      </c>
      <c r="AJ836" s="234">
        <v>0</v>
      </c>
      <c r="AK836" s="224"/>
      <c r="AL836" s="234">
        <v>0</v>
      </c>
      <c r="AM836" s="224"/>
      <c r="AN836" s="234">
        <v>0</v>
      </c>
      <c r="AO836" s="234">
        <v>0</v>
      </c>
      <c r="AP836" s="234">
        <v>1</v>
      </c>
      <c r="AQ836" s="234">
        <v>0</v>
      </c>
      <c r="AR836" s="234">
        <v>0</v>
      </c>
      <c r="AS836" s="234">
        <v>0</v>
      </c>
      <c r="AT836" s="234">
        <v>0</v>
      </c>
      <c r="AU836" s="234">
        <v>0</v>
      </c>
      <c r="AV836" s="234">
        <v>0</v>
      </c>
      <c r="AW836" s="234">
        <v>1</v>
      </c>
      <c r="AX836" s="234">
        <v>0</v>
      </c>
      <c r="AY836" s="234">
        <v>0</v>
      </c>
      <c r="AZ836" s="234">
        <v>0</v>
      </c>
      <c r="BA836" s="234">
        <v>0</v>
      </c>
      <c r="BB836" s="234">
        <v>0</v>
      </c>
      <c r="BC836" s="234">
        <v>0</v>
      </c>
      <c r="BD836" s="234">
        <v>0</v>
      </c>
      <c r="BE836" s="234">
        <v>0</v>
      </c>
      <c r="BF836" s="234">
        <v>0</v>
      </c>
      <c r="BG836" s="234">
        <v>0</v>
      </c>
      <c r="BH836" s="234">
        <v>0</v>
      </c>
      <c r="BI836" s="234">
        <v>0</v>
      </c>
      <c r="BJ836" s="234">
        <v>0</v>
      </c>
      <c r="BK836" s="234">
        <v>0</v>
      </c>
      <c r="BL836" s="234">
        <v>0</v>
      </c>
      <c r="BM836" s="234">
        <v>0</v>
      </c>
      <c r="BN836" s="234">
        <v>0</v>
      </c>
      <c r="BO836" s="234">
        <v>0</v>
      </c>
      <c r="BP836" s="234"/>
      <c r="BQ836" s="234"/>
      <c r="BR836" s="237" t="s">
        <v>334</v>
      </c>
      <c r="BS836" s="238">
        <v>15</v>
      </c>
      <c r="BU836" s="239">
        <f>M836/4</f>
        <v>0.25</v>
      </c>
      <c r="BV836" s="239">
        <f t="shared" si="101"/>
        <v>0.25</v>
      </c>
      <c r="BW836" s="239">
        <f t="shared" si="102"/>
        <v>0.25</v>
      </c>
      <c r="BX836" s="239">
        <f t="shared" si="103"/>
        <v>0.25</v>
      </c>
      <c r="CN836" s="238">
        <f t="shared" si="99"/>
        <v>1</v>
      </c>
      <c r="CO836" s="238">
        <f t="shared" si="100"/>
        <v>1</v>
      </c>
    </row>
    <row r="837" spans="1:93" ht="13.95" customHeight="1" x14ac:dyDescent="0.2">
      <c r="A837" s="231">
        <v>2530</v>
      </c>
      <c r="B837" s="232" t="s">
        <v>822</v>
      </c>
      <c r="C837" s="232" t="s">
        <v>2470</v>
      </c>
      <c r="D837" s="232" t="s">
        <v>2471</v>
      </c>
      <c r="E837" s="232" t="s">
        <v>2472</v>
      </c>
      <c r="F837" s="231">
        <v>527684</v>
      </c>
      <c r="G837" s="231">
        <v>171814</v>
      </c>
      <c r="H837" s="232" t="s">
        <v>176</v>
      </c>
      <c r="I837" s="233"/>
      <c r="J837" s="231"/>
      <c r="K837" s="231">
        <v>1</v>
      </c>
      <c r="L837" s="231">
        <v>1</v>
      </c>
      <c r="M837" s="231">
        <v>0</v>
      </c>
      <c r="N837" s="231">
        <v>6</v>
      </c>
      <c r="O837" s="231">
        <v>3</v>
      </c>
      <c r="P837" s="234"/>
      <c r="Q837" s="232" t="s">
        <v>2473</v>
      </c>
      <c r="R837" s="234" t="s">
        <v>332</v>
      </c>
      <c r="S837" s="235">
        <v>43679</v>
      </c>
      <c r="T837" s="235">
        <v>43885</v>
      </c>
      <c r="U837" s="234"/>
      <c r="V837" s="232" t="s">
        <v>321</v>
      </c>
      <c r="W837" s="231"/>
      <c r="X837" s="232" t="s">
        <v>322</v>
      </c>
      <c r="Y837" s="232" t="s">
        <v>338</v>
      </c>
      <c r="Z837" s="232" t="s">
        <v>324</v>
      </c>
      <c r="AA837" s="232" t="s">
        <v>354</v>
      </c>
      <c r="AB837" s="236">
        <v>8.0000000000000002E-3</v>
      </c>
      <c r="AC837" s="235"/>
      <c r="AD837" s="234"/>
      <c r="AE837" s="234"/>
      <c r="AF837" s="232" t="s">
        <v>77</v>
      </c>
      <c r="AG837" s="232" t="s">
        <v>350</v>
      </c>
      <c r="AH837" s="234" t="s">
        <v>317</v>
      </c>
      <c r="AJ837" s="234">
        <v>0</v>
      </c>
      <c r="AK837" s="224"/>
      <c r="AL837" s="234">
        <v>0</v>
      </c>
      <c r="AM837" s="224"/>
      <c r="AN837" s="234">
        <v>0</v>
      </c>
      <c r="AO837" s="234">
        <v>1</v>
      </c>
      <c r="AP837" s="234">
        <v>-1</v>
      </c>
      <c r="AQ837" s="234">
        <v>0</v>
      </c>
      <c r="AR837" s="234">
        <v>0</v>
      </c>
      <c r="AS837" s="234">
        <v>0</v>
      </c>
      <c r="AT837" s="234">
        <v>0</v>
      </c>
      <c r="AU837" s="234">
        <v>0</v>
      </c>
      <c r="AV837" s="234">
        <v>1</v>
      </c>
      <c r="AW837" s="234">
        <v>-1</v>
      </c>
      <c r="AX837" s="234">
        <v>0</v>
      </c>
      <c r="AY837" s="234">
        <v>0</v>
      </c>
      <c r="AZ837" s="234">
        <v>0</v>
      </c>
      <c r="BA837" s="234">
        <v>0</v>
      </c>
      <c r="BB837" s="234">
        <v>0</v>
      </c>
      <c r="BC837" s="234">
        <v>0</v>
      </c>
      <c r="BD837" s="234">
        <v>0</v>
      </c>
      <c r="BE837" s="234">
        <v>0</v>
      </c>
      <c r="BF837" s="234">
        <v>0</v>
      </c>
      <c r="BG837" s="234">
        <v>0</v>
      </c>
      <c r="BH837" s="234">
        <v>0</v>
      </c>
      <c r="BI837" s="234">
        <v>0</v>
      </c>
      <c r="BJ837" s="234">
        <v>0</v>
      </c>
      <c r="BK837" s="234">
        <v>0</v>
      </c>
      <c r="BL837" s="234">
        <v>0</v>
      </c>
      <c r="BM837" s="234">
        <v>0</v>
      </c>
      <c r="BN837" s="234">
        <v>0</v>
      </c>
      <c r="BO837" s="234">
        <v>0</v>
      </c>
      <c r="BP837" s="234" t="s">
        <v>144</v>
      </c>
      <c r="BQ837" s="234"/>
      <c r="BR837" s="237" t="s">
        <v>144</v>
      </c>
      <c r="BS837" s="238">
        <v>15</v>
      </c>
      <c r="BU837" s="239">
        <f>M837/4</f>
        <v>0</v>
      </c>
      <c r="BV837" s="239">
        <f t="shared" si="101"/>
        <v>0</v>
      </c>
      <c r="BW837" s="239">
        <f t="shared" si="102"/>
        <v>0</v>
      </c>
      <c r="BX837" s="239">
        <f t="shared" si="103"/>
        <v>0</v>
      </c>
      <c r="CN837" s="238">
        <f t="shared" si="99"/>
        <v>0</v>
      </c>
      <c r="CO837" s="238">
        <f t="shared" si="100"/>
        <v>0</v>
      </c>
    </row>
    <row r="838" spans="1:93" ht="13.95" customHeight="1" x14ac:dyDescent="0.2">
      <c r="A838" s="231">
        <v>2530</v>
      </c>
      <c r="B838" s="232" t="s">
        <v>822</v>
      </c>
      <c r="C838" s="232" t="s">
        <v>2470</v>
      </c>
      <c r="D838" s="232" t="s">
        <v>2471</v>
      </c>
      <c r="E838" s="232" t="s">
        <v>2474</v>
      </c>
      <c r="F838" s="231">
        <v>527684</v>
      </c>
      <c r="G838" s="231">
        <v>171814</v>
      </c>
      <c r="H838" s="232" t="s">
        <v>176</v>
      </c>
      <c r="I838" s="233"/>
      <c r="J838" s="231"/>
      <c r="K838" s="231">
        <v>1</v>
      </c>
      <c r="L838" s="231">
        <v>2</v>
      </c>
      <c r="M838" s="231">
        <v>1</v>
      </c>
      <c r="N838" s="231">
        <v>6</v>
      </c>
      <c r="O838" s="231">
        <v>3</v>
      </c>
      <c r="P838" s="234"/>
      <c r="Q838" s="232" t="s">
        <v>2473</v>
      </c>
      <c r="R838" s="234" t="s">
        <v>332</v>
      </c>
      <c r="S838" s="235">
        <v>43679</v>
      </c>
      <c r="T838" s="235">
        <v>43885</v>
      </c>
      <c r="U838" s="234"/>
      <c r="V838" s="232" t="s">
        <v>321</v>
      </c>
      <c r="W838" s="231"/>
      <c r="X838" s="232" t="s">
        <v>322</v>
      </c>
      <c r="Y838" s="232" t="s">
        <v>338</v>
      </c>
      <c r="Z838" s="232" t="s">
        <v>324</v>
      </c>
      <c r="AA838" s="232" t="s">
        <v>354</v>
      </c>
      <c r="AB838" s="236">
        <v>8.0000000000000002E-3</v>
      </c>
      <c r="AC838" s="235"/>
      <c r="AD838" s="234"/>
      <c r="AE838" s="234"/>
      <c r="AF838" s="232" t="s">
        <v>77</v>
      </c>
      <c r="AG838" s="232" t="s">
        <v>350</v>
      </c>
      <c r="AH838" s="234" t="s">
        <v>317</v>
      </c>
      <c r="AJ838" s="234">
        <v>0</v>
      </c>
      <c r="AK838" s="224"/>
      <c r="AL838" s="234">
        <v>0</v>
      </c>
      <c r="AM838" s="224"/>
      <c r="AN838" s="234">
        <v>0</v>
      </c>
      <c r="AO838" s="234">
        <v>0</v>
      </c>
      <c r="AP838" s="234">
        <v>1</v>
      </c>
      <c r="AQ838" s="234">
        <v>0</v>
      </c>
      <c r="AR838" s="234">
        <v>0</v>
      </c>
      <c r="AS838" s="234">
        <v>0</v>
      </c>
      <c r="AT838" s="234">
        <v>0</v>
      </c>
      <c r="AU838" s="234">
        <v>0</v>
      </c>
      <c r="AV838" s="234">
        <v>0</v>
      </c>
      <c r="AW838" s="234">
        <v>1</v>
      </c>
      <c r="AX838" s="234">
        <v>0</v>
      </c>
      <c r="AY838" s="234">
        <v>0</v>
      </c>
      <c r="AZ838" s="234">
        <v>0</v>
      </c>
      <c r="BA838" s="234">
        <v>0</v>
      </c>
      <c r="BB838" s="234">
        <v>0</v>
      </c>
      <c r="BC838" s="234">
        <v>0</v>
      </c>
      <c r="BD838" s="234">
        <v>0</v>
      </c>
      <c r="BE838" s="234">
        <v>0</v>
      </c>
      <c r="BF838" s="234">
        <v>0</v>
      </c>
      <c r="BG838" s="234">
        <v>0</v>
      </c>
      <c r="BH838" s="234">
        <v>0</v>
      </c>
      <c r="BI838" s="234">
        <v>0</v>
      </c>
      <c r="BJ838" s="234">
        <v>0</v>
      </c>
      <c r="BK838" s="234">
        <v>0</v>
      </c>
      <c r="BL838" s="234">
        <v>0</v>
      </c>
      <c r="BM838" s="234">
        <v>0</v>
      </c>
      <c r="BN838" s="234">
        <v>0</v>
      </c>
      <c r="BO838" s="234">
        <v>0</v>
      </c>
      <c r="BP838" s="234" t="s">
        <v>144</v>
      </c>
      <c r="BQ838" s="234"/>
      <c r="BR838" s="237" t="s">
        <v>144</v>
      </c>
      <c r="BS838" s="238">
        <v>15</v>
      </c>
      <c r="BU838" s="239">
        <f>M838/4</f>
        <v>0.25</v>
      </c>
      <c r="BV838" s="239">
        <f t="shared" si="101"/>
        <v>0.25</v>
      </c>
      <c r="BW838" s="239">
        <f t="shared" si="102"/>
        <v>0.25</v>
      </c>
      <c r="BX838" s="239">
        <f t="shared" si="103"/>
        <v>0.25</v>
      </c>
      <c r="CN838" s="238">
        <f t="shared" si="99"/>
        <v>1</v>
      </c>
      <c r="CO838" s="238">
        <f t="shared" si="100"/>
        <v>1</v>
      </c>
    </row>
    <row r="839" spans="1:93" ht="13.95" customHeight="1" x14ac:dyDescent="0.2">
      <c r="A839" s="231">
        <v>2530</v>
      </c>
      <c r="B839" s="232" t="s">
        <v>822</v>
      </c>
      <c r="C839" s="232" t="s">
        <v>2470</v>
      </c>
      <c r="D839" s="232" t="s">
        <v>2471</v>
      </c>
      <c r="E839" s="232" t="s">
        <v>2475</v>
      </c>
      <c r="F839" s="231">
        <v>527684</v>
      </c>
      <c r="G839" s="231">
        <v>171814</v>
      </c>
      <c r="H839" s="232" t="s">
        <v>176</v>
      </c>
      <c r="I839" s="233"/>
      <c r="J839" s="231"/>
      <c r="K839" s="231">
        <v>1</v>
      </c>
      <c r="L839" s="231">
        <v>3</v>
      </c>
      <c r="M839" s="231">
        <v>2</v>
      </c>
      <c r="N839" s="231">
        <v>6</v>
      </c>
      <c r="O839" s="231">
        <v>3</v>
      </c>
      <c r="P839" s="234"/>
      <c r="Q839" s="232" t="s">
        <v>2473</v>
      </c>
      <c r="R839" s="234" t="s">
        <v>332</v>
      </c>
      <c r="S839" s="235">
        <v>43679</v>
      </c>
      <c r="T839" s="235">
        <v>43885</v>
      </c>
      <c r="U839" s="234"/>
      <c r="V839" s="232" t="s">
        <v>321</v>
      </c>
      <c r="W839" s="231"/>
      <c r="X839" s="232" t="s">
        <v>322</v>
      </c>
      <c r="Y839" s="232" t="s">
        <v>338</v>
      </c>
      <c r="Z839" s="232" t="s">
        <v>324</v>
      </c>
      <c r="AA839" s="232" t="s">
        <v>354</v>
      </c>
      <c r="AB839" s="236">
        <v>7.0000000000000001E-3</v>
      </c>
      <c r="AC839" s="235"/>
      <c r="AD839" s="234"/>
      <c r="AE839" s="234"/>
      <c r="AF839" s="232" t="s">
        <v>77</v>
      </c>
      <c r="AG839" s="232" t="s">
        <v>350</v>
      </c>
      <c r="AH839" s="234" t="s">
        <v>317</v>
      </c>
      <c r="AJ839" s="234">
        <v>0</v>
      </c>
      <c r="AK839" s="224"/>
      <c r="AL839" s="234">
        <v>0</v>
      </c>
      <c r="AM839" s="224"/>
      <c r="AN839" s="234">
        <v>0</v>
      </c>
      <c r="AO839" s="234">
        <v>0</v>
      </c>
      <c r="AP839" s="234">
        <v>2</v>
      </c>
      <c r="AQ839" s="234">
        <v>0</v>
      </c>
      <c r="AR839" s="234">
        <v>0</v>
      </c>
      <c r="AS839" s="234">
        <v>0</v>
      </c>
      <c r="AT839" s="234">
        <v>0</v>
      </c>
      <c r="AU839" s="234">
        <v>0</v>
      </c>
      <c r="AV839" s="234">
        <v>0</v>
      </c>
      <c r="AW839" s="234">
        <v>2</v>
      </c>
      <c r="AX839" s="234">
        <v>0</v>
      </c>
      <c r="AY839" s="234">
        <v>0</v>
      </c>
      <c r="AZ839" s="234">
        <v>0</v>
      </c>
      <c r="BA839" s="234">
        <v>0</v>
      </c>
      <c r="BB839" s="234">
        <v>0</v>
      </c>
      <c r="BC839" s="234">
        <v>0</v>
      </c>
      <c r="BD839" s="234">
        <v>0</v>
      </c>
      <c r="BE839" s="234">
        <v>0</v>
      </c>
      <c r="BF839" s="234">
        <v>0</v>
      </c>
      <c r="BG839" s="234">
        <v>0</v>
      </c>
      <c r="BH839" s="234">
        <v>0</v>
      </c>
      <c r="BI839" s="234">
        <v>0</v>
      </c>
      <c r="BJ839" s="234">
        <v>0</v>
      </c>
      <c r="BK839" s="234">
        <v>0</v>
      </c>
      <c r="BL839" s="234">
        <v>0</v>
      </c>
      <c r="BM839" s="234">
        <v>0</v>
      </c>
      <c r="BN839" s="234">
        <v>0</v>
      </c>
      <c r="BO839" s="234">
        <v>0</v>
      </c>
      <c r="BP839" s="234" t="s">
        <v>144</v>
      </c>
      <c r="BQ839" s="234"/>
      <c r="BR839" s="237" t="s">
        <v>144</v>
      </c>
      <c r="BS839" s="238">
        <v>15</v>
      </c>
      <c r="BU839" s="239">
        <f>M839/4</f>
        <v>0.5</v>
      </c>
      <c r="BV839" s="239">
        <f t="shared" si="101"/>
        <v>0.5</v>
      </c>
      <c r="BW839" s="239">
        <f t="shared" si="102"/>
        <v>0.5</v>
      </c>
      <c r="BX839" s="239">
        <f t="shared" si="103"/>
        <v>0.5</v>
      </c>
      <c r="CN839" s="238">
        <f t="shared" si="99"/>
        <v>2</v>
      </c>
      <c r="CO839" s="238">
        <f t="shared" si="100"/>
        <v>2</v>
      </c>
    </row>
    <row r="840" spans="1:93" ht="13.95" customHeight="1" x14ac:dyDescent="0.2">
      <c r="A840" s="231">
        <v>7722</v>
      </c>
      <c r="B840" s="232" t="s">
        <v>822</v>
      </c>
      <c r="C840" s="232" t="s">
        <v>2476</v>
      </c>
      <c r="D840" s="232" t="s">
        <v>2477</v>
      </c>
      <c r="E840" s="232" t="s">
        <v>2478</v>
      </c>
      <c r="F840" s="231">
        <v>524629</v>
      </c>
      <c r="G840" s="231">
        <v>174727</v>
      </c>
      <c r="H840" s="232" t="s">
        <v>164</v>
      </c>
      <c r="I840" s="233"/>
      <c r="J840" s="231"/>
      <c r="K840" s="231">
        <v>0</v>
      </c>
      <c r="L840" s="231">
        <v>2</v>
      </c>
      <c r="M840" s="231">
        <v>2</v>
      </c>
      <c r="N840" s="231">
        <v>6</v>
      </c>
      <c r="O840" s="231">
        <v>6</v>
      </c>
      <c r="P840" s="234"/>
      <c r="Q840" s="232" t="s">
        <v>2479</v>
      </c>
      <c r="R840" s="234" t="s">
        <v>332</v>
      </c>
      <c r="S840" s="235">
        <v>44473</v>
      </c>
      <c r="T840" s="235">
        <v>44678</v>
      </c>
      <c r="U840" s="234" t="s">
        <v>318</v>
      </c>
      <c r="V840" s="232" t="s">
        <v>321</v>
      </c>
      <c r="W840" s="231"/>
      <c r="X840" s="232" t="s">
        <v>322</v>
      </c>
      <c r="Y840" s="232" t="s">
        <v>323</v>
      </c>
      <c r="Z840" s="232" t="s">
        <v>324</v>
      </c>
      <c r="AA840" s="232" t="s">
        <v>349</v>
      </c>
      <c r="AB840" s="236">
        <v>5.3499999999999997E-3</v>
      </c>
      <c r="AC840" s="235"/>
      <c r="AD840" s="234"/>
      <c r="AE840" s="234"/>
      <c r="AF840" s="232" t="s">
        <v>77</v>
      </c>
      <c r="AG840" s="232" t="s">
        <v>350</v>
      </c>
      <c r="AH840" s="234" t="s">
        <v>317</v>
      </c>
      <c r="AJ840" s="234">
        <v>0</v>
      </c>
      <c r="AK840" s="224"/>
      <c r="AL840" s="234">
        <v>0</v>
      </c>
      <c r="AM840" s="224"/>
      <c r="AN840" s="234">
        <v>0</v>
      </c>
      <c r="AO840" s="234">
        <v>0</v>
      </c>
      <c r="AP840" s="234">
        <v>2</v>
      </c>
      <c r="AQ840" s="234">
        <v>0</v>
      </c>
      <c r="AR840" s="234">
        <v>0</v>
      </c>
      <c r="AS840" s="234">
        <v>0</v>
      </c>
      <c r="AT840" s="234">
        <v>0</v>
      </c>
      <c r="AU840" s="234">
        <v>0</v>
      </c>
      <c r="AV840" s="234">
        <v>0</v>
      </c>
      <c r="AW840" s="234">
        <v>0</v>
      </c>
      <c r="AX840" s="234">
        <v>0</v>
      </c>
      <c r="AY840" s="234">
        <v>0</v>
      </c>
      <c r="AZ840" s="234">
        <v>0</v>
      </c>
      <c r="BA840" s="234">
        <v>0</v>
      </c>
      <c r="BB840" s="234">
        <v>0</v>
      </c>
      <c r="BC840" s="234">
        <v>0</v>
      </c>
      <c r="BD840" s="234">
        <v>2</v>
      </c>
      <c r="BE840" s="234">
        <v>0</v>
      </c>
      <c r="BF840" s="234">
        <v>0</v>
      </c>
      <c r="BG840" s="234">
        <v>0</v>
      </c>
      <c r="BH840" s="234">
        <v>0</v>
      </c>
      <c r="BI840" s="234">
        <v>0</v>
      </c>
      <c r="BJ840" s="234">
        <v>0</v>
      </c>
      <c r="BK840" s="234">
        <v>0</v>
      </c>
      <c r="BL840" s="234">
        <v>0</v>
      </c>
      <c r="BM840" s="234">
        <v>0</v>
      </c>
      <c r="BN840" s="234">
        <v>0</v>
      </c>
      <c r="BO840" s="234">
        <v>0</v>
      </c>
      <c r="BP840" s="234"/>
      <c r="BQ840" s="234"/>
      <c r="BR840" s="237" t="s">
        <v>334</v>
      </c>
      <c r="BS840" s="238">
        <v>10</v>
      </c>
      <c r="BX840" s="239">
        <f>M840/3</f>
        <v>0.66666666666666663</v>
      </c>
      <c r="BY840" s="239">
        <f>M840/3</f>
        <v>0.66666666666666663</v>
      </c>
      <c r="BZ840" s="239">
        <f>M840/3</f>
        <v>0.66666666666666663</v>
      </c>
      <c r="CN840" s="238">
        <f t="shared" si="99"/>
        <v>1.3333333333333333</v>
      </c>
      <c r="CO840" s="238">
        <f t="shared" si="100"/>
        <v>2</v>
      </c>
    </row>
    <row r="841" spans="1:93" ht="13.95" customHeight="1" x14ac:dyDescent="0.2">
      <c r="A841" s="231">
        <v>7722</v>
      </c>
      <c r="B841" s="232" t="s">
        <v>822</v>
      </c>
      <c r="C841" s="232" t="s">
        <v>2476</v>
      </c>
      <c r="D841" s="232" t="s">
        <v>2477</v>
      </c>
      <c r="E841" s="232" t="s">
        <v>2480</v>
      </c>
      <c r="F841" s="231">
        <v>524629</v>
      </c>
      <c r="G841" s="231">
        <v>174727</v>
      </c>
      <c r="H841" s="232" t="s">
        <v>164</v>
      </c>
      <c r="I841" s="233"/>
      <c r="J841" s="231"/>
      <c r="K841" s="231">
        <v>0</v>
      </c>
      <c r="L841" s="231">
        <v>1</v>
      </c>
      <c r="M841" s="231">
        <v>1</v>
      </c>
      <c r="N841" s="231">
        <v>6</v>
      </c>
      <c r="O841" s="231">
        <v>6</v>
      </c>
      <c r="P841" s="234"/>
      <c r="Q841" s="232" t="s">
        <v>2479</v>
      </c>
      <c r="R841" s="234" t="s">
        <v>332</v>
      </c>
      <c r="S841" s="235">
        <v>44473</v>
      </c>
      <c r="T841" s="235">
        <v>44678</v>
      </c>
      <c r="U841" s="234" t="s">
        <v>318</v>
      </c>
      <c r="V841" s="232" t="s">
        <v>321</v>
      </c>
      <c r="W841" s="231"/>
      <c r="X841" s="232" t="s">
        <v>322</v>
      </c>
      <c r="Y841" s="232" t="s">
        <v>323</v>
      </c>
      <c r="Z841" s="232" t="s">
        <v>324</v>
      </c>
      <c r="AA841" s="232" t="s">
        <v>349</v>
      </c>
      <c r="AB841" s="236">
        <v>8.5500000000000003E-3</v>
      </c>
      <c r="AC841" s="235"/>
      <c r="AD841" s="234"/>
      <c r="AE841" s="234"/>
      <c r="AF841" s="232" t="s">
        <v>77</v>
      </c>
      <c r="AG841" s="232" t="s">
        <v>350</v>
      </c>
      <c r="AH841" s="234" t="s">
        <v>317</v>
      </c>
      <c r="AJ841" s="234">
        <v>0</v>
      </c>
      <c r="AK841" s="224"/>
      <c r="AL841" s="234">
        <v>0</v>
      </c>
      <c r="AM841" s="224"/>
      <c r="AN841" s="234">
        <v>0</v>
      </c>
      <c r="AO841" s="234">
        <v>0</v>
      </c>
      <c r="AP841" s="234">
        <v>0</v>
      </c>
      <c r="AQ841" s="234">
        <v>1</v>
      </c>
      <c r="AR841" s="234">
        <v>0</v>
      </c>
      <c r="AS841" s="234">
        <v>0</v>
      </c>
      <c r="AT841" s="234">
        <v>0</v>
      </c>
      <c r="AU841" s="234">
        <v>0</v>
      </c>
      <c r="AV841" s="234">
        <v>0</v>
      </c>
      <c r="AW841" s="234">
        <v>0</v>
      </c>
      <c r="AX841" s="234">
        <v>0</v>
      </c>
      <c r="AY841" s="234">
        <v>0</v>
      </c>
      <c r="AZ841" s="234">
        <v>0</v>
      </c>
      <c r="BA841" s="234">
        <v>0</v>
      </c>
      <c r="BB841" s="234">
        <v>0</v>
      </c>
      <c r="BC841" s="234">
        <v>0</v>
      </c>
      <c r="BD841" s="234">
        <v>0</v>
      </c>
      <c r="BE841" s="234">
        <v>1</v>
      </c>
      <c r="BF841" s="234">
        <v>0</v>
      </c>
      <c r="BG841" s="234">
        <v>0</v>
      </c>
      <c r="BH841" s="234">
        <v>0</v>
      </c>
      <c r="BI841" s="234">
        <v>0</v>
      </c>
      <c r="BJ841" s="234">
        <v>0</v>
      </c>
      <c r="BK841" s="234">
        <v>0</v>
      </c>
      <c r="BL841" s="234">
        <v>0</v>
      </c>
      <c r="BM841" s="234">
        <v>0</v>
      </c>
      <c r="BN841" s="234">
        <v>0</v>
      </c>
      <c r="BO841" s="234">
        <v>0</v>
      </c>
      <c r="BP841" s="234"/>
      <c r="BQ841" s="234"/>
      <c r="BR841" s="237" t="s">
        <v>334</v>
      </c>
      <c r="BS841" s="238">
        <v>10</v>
      </c>
      <c r="BX841" s="239">
        <f>M841/3</f>
        <v>0.33333333333333331</v>
      </c>
      <c r="BY841" s="239">
        <f>M841/3</f>
        <v>0.33333333333333331</v>
      </c>
      <c r="BZ841" s="239">
        <f>M841/3</f>
        <v>0.33333333333333331</v>
      </c>
      <c r="CN841" s="238">
        <f t="shared" si="99"/>
        <v>0.66666666666666663</v>
      </c>
      <c r="CO841" s="238">
        <f t="shared" si="100"/>
        <v>1</v>
      </c>
    </row>
    <row r="842" spans="1:93" ht="13.95" customHeight="1" x14ac:dyDescent="0.2">
      <c r="A842" s="231">
        <v>7025</v>
      </c>
      <c r="B842" s="232" t="s">
        <v>822</v>
      </c>
      <c r="C842" s="232" t="s">
        <v>2466</v>
      </c>
      <c r="D842" s="232" t="s">
        <v>2467</v>
      </c>
      <c r="E842" s="232" t="s">
        <v>2481</v>
      </c>
      <c r="F842" s="231">
        <v>528764</v>
      </c>
      <c r="G842" s="231">
        <v>173063</v>
      </c>
      <c r="H842" s="232" t="s">
        <v>172</v>
      </c>
      <c r="I842" s="233"/>
      <c r="J842" s="231"/>
      <c r="K842" s="231">
        <v>0</v>
      </c>
      <c r="L842" s="231">
        <v>1</v>
      </c>
      <c r="M842" s="231">
        <v>1</v>
      </c>
      <c r="N842" s="231">
        <v>2</v>
      </c>
      <c r="O842" s="231">
        <v>2</v>
      </c>
      <c r="P842" s="234"/>
      <c r="Q842" s="232" t="s">
        <v>2469</v>
      </c>
      <c r="R842" s="234" t="s">
        <v>332</v>
      </c>
      <c r="S842" s="235">
        <v>43371</v>
      </c>
      <c r="T842" s="235">
        <v>43427</v>
      </c>
      <c r="U842" s="234"/>
      <c r="V842" s="232" t="s">
        <v>321</v>
      </c>
      <c r="W842" s="231"/>
      <c r="X842" s="232" t="s">
        <v>322</v>
      </c>
      <c r="Y842" s="232" t="s">
        <v>339</v>
      </c>
      <c r="Z842" s="232" t="s">
        <v>324</v>
      </c>
      <c r="AA842" s="232" t="s">
        <v>354</v>
      </c>
      <c r="AB842" s="236">
        <v>8.0000000000000002E-3</v>
      </c>
      <c r="AC842" s="235"/>
      <c r="AD842" s="234"/>
      <c r="AE842" s="234"/>
      <c r="AF842" s="232" t="s">
        <v>77</v>
      </c>
      <c r="AG842" s="232" t="s">
        <v>350</v>
      </c>
      <c r="AH842" s="234" t="s">
        <v>317</v>
      </c>
      <c r="AJ842" s="234">
        <v>0</v>
      </c>
      <c r="AK842" s="224"/>
      <c r="AL842" s="234">
        <v>0</v>
      </c>
      <c r="AM842" s="224"/>
      <c r="AN842" s="234">
        <v>0</v>
      </c>
      <c r="AO842" s="234">
        <v>0</v>
      </c>
      <c r="AP842" s="234">
        <v>1</v>
      </c>
      <c r="AQ842" s="234">
        <v>0</v>
      </c>
      <c r="AR842" s="234">
        <v>0</v>
      </c>
      <c r="AS842" s="234">
        <v>0</v>
      </c>
      <c r="AT842" s="234">
        <v>0</v>
      </c>
      <c r="AU842" s="234">
        <v>0</v>
      </c>
      <c r="AV842" s="234">
        <v>0</v>
      </c>
      <c r="AW842" s="234">
        <v>1</v>
      </c>
      <c r="AX842" s="234">
        <v>0</v>
      </c>
      <c r="AY842" s="234">
        <v>0</v>
      </c>
      <c r="AZ842" s="234">
        <v>0</v>
      </c>
      <c r="BA842" s="234">
        <v>0</v>
      </c>
      <c r="BB842" s="234">
        <v>0</v>
      </c>
      <c r="BC842" s="234">
        <v>0</v>
      </c>
      <c r="BD842" s="234">
        <v>0</v>
      </c>
      <c r="BE842" s="234">
        <v>0</v>
      </c>
      <c r="BF842" s="234">
        <v>0</v>
      </c>
      <c r="BG842" s="234">
        <v>0</v>
      </c>
      <c r="BH842" s="234">
        <v>0</v>
      </c>
      <c r="BI842" s="234">
        <v>0</v>
      </c>
      <c r="BJ842" s="234">
        <v>0</v>
      </c>
      <c r="BK842" s="234">
        <v>0</v>
      </c>
      <c r="BL842" s="234">
        <v>0</v>
      </c>
      <c r="BM842" s="234">
        <v>0</v>
      </c>
      <c r="BN842" s="234">
        <v>0</v>
      </c>
      <c r="BO842" s="234">
        <v>0</v>
      </c>
      <c r="BP842" s="234"/>
      <c r="BQ842" s="234"/>
      <c r="BR842" s="237" t="s">
        <v>334</v>
      </c>
      <c r="BS842" s="238">
        <v>15</v>
      </c>
      <c r="BU842" s="239">
        <f>M842/4</f>
        <v>0.25</v>
      </c>
      <c r="BV842" s="239">
        <f>M842/4</f>
        <v>0.25</v>
      </c>
      <c r="BW842" s="239">
        <f>M842/4</f>
        <v>0.25</v>
      </c>
      <c r="BX842" s="239">
        <f>M842/4</f>
        <v>0.25</v>
      </c>
      <c r="CN842" s="238">
        <f t="shared" si="99"/>
        <v>1</v>
      </c>
      <c r="CO842" s="238">
        <f t="shared" si="100"/>
        <v>1</v>
      </c>
    </row>
    <row r="843" spans="1:93" ht="13.95" customHeight="1" x14ac:dyDescent="0.2">
      <c r="A843" s="231">
        <v>7722</v>
      </c>
      <c r="B843" s="232" t="s">
        <v>822</v>
      </c>
      <c r="C843" s="232" t="s">
        <v>2476</v>
      </c>
      <c r="D843" s="232" t="s">
        <v>2477</v>
      </c>
      <c r="E843" s="232" t="s">
        <v>2482</v>
      </c>
      <c r="F843" s="231">
        <v>524629</v>
      </c>
      <c r="G843" s="231">
        <v>174727</v>
      </c>
      <c r="H843" s="232" t="s">
        <v>164</v>
      </c>
      <c r="I843" s="233"/>
      <c r="J843" s="231"/>
      <c r="K843" s="231">
        <v>0</v>
      </c>
      <c r="L843" s="231">
        <v>3</v>
      </c>
      <c r="M843" s="231">
        <v>3</v>
      </c>
      <c r="N843" s="231">
        <v>6</v>
      </c>
      <c r="O843" s="231">
        <v>6</v>
      </c>
      <c r="P843" s="234"/>
      <c r="Q843" s="232" t="s">
        <v>2479</v>
      </c>
      <c r="R843" s="234" t="s">
        <v>332</v>
      </c>
      <c r="S843" s="235">
        <v>44473</v>
      </c>
      <c r="T843" s="235">
        <v>44678</v>
      </c>
      <c r="U843" s="234" t="s">
        <v>318</v>
      </c>
      <c r="V843" s="232" t="s">
        <v>321</v>
      </c>
      <c r="W843" s="231"/>
      <c r="X843" s="232" t="s">
        <v>322</v>
      </c>
      <c r="Y843" s="232" t="s">
        <v>323</v>
      </c>
      <c r="Z843" s="232" t="s">
        <v>324</v>
      </c>
      <c r="AA843" s="232" t="s">
        <v>349</v>
      </c>
      <c r="AB843" s="236">
        <v>1.78E-2</v>
      </c>
      <c r="AC843" s="235"/>
      <c r="AD843" s="234"/>
      <c r="AE843" s="234"/>
      <c r="AF843" s="232" t="s">
        <v>77</v>
      </c>
      <c r="AG843" s="232" t="s">
        <v>350</v>
      </c>
      <c r="AH843" s="234" t="s">
        <v>317</v>
      </c>
      <c r="AJ843" s="234">
        <v>0</v>
      </c>
      <c r="AK843" s="224"/>
      <c r="AL843" s="234">
        <v>0</v>
      </c>
      <c r="AM843" s="224"/>
      <c r="AN843" s="234">
        <v>0</v>
      </c>
      <c r="AO843" s="234">
        <v>0</v>
      </c>
      <c r="AP843" s="234">
        <v>0</v>
      </c>
      <c r="AQ843" s="234">
        <v>0</v>
      </c>
      <c r="AR843" s="234">
        <v>3</v>
      </c>
      <c r="AS843" s="234">
        <v>0</v>
      </c>
      <c r="AT843" s="234">
        <v>0</v>
      </c>
      <c r="AU843" s="234">
        <v>0</v>
      </c>
      <c r="AV843" s="234">
        <v>0</v>
      </c>
      <c r="AW843" s="234">
        <v>0</v>
      </c>
      <c r="AX843" s="234">
        <v>0</v>
      </c>
      <c r="AY843" s="234">
        <v>0</v>
      </c>
      <c r="AZ843" s="234">
        <v>0</v>
      </c>
      <c r="BA843" s="234">
        <v>0</v>
      </c>
      <c r="BB843" s="234">
        <v>0</v>
      </c>
      <c r="BC843" s="234">
        <v>0</v>
      </c>
      <c r="BD843" s="234">
        <v>0</v>
      </c>
      <c r="BE843" s="234">
        <v>0</v>
      </c>
      <c r="BF843" s="234">
        <v>3</v>
      </c>
      <c r="BG843" s="234">
        <v>0</v>
      </c>
      <c r="BH843" s="234">
        <v>0</v>
      </c>
      <c r="BI843" s="234">
        <v>0</v>
      </c>
      <c r="BJ843" s="234">
        <v>0</v>
      </c>
      <c r="BK843" s="234">
        <v>0</v>
      </c>
      <c r="BL843" s="234">
        <v>0</v>
      </c>
      <c r="BM843" s="234">
        <v>0</v>
      </c>
      <c r="BN843" s="234">
        <v>0</v>
      </c>
      <c r="BO843" s="234">
        <v>0</v>
      </c>
      <c r="BP843" s="234"/>
      <c r="BQ843" s="234"/>
      <c r="BR843" s="237" t="s">
        <v>334</v>
      </c>
      <c r="BS843" s="238">
        <v>10</v>
      </c>
      <c r="BX843" s="239">
        <f>M843/3</f>
        <v>1</v>
      </c>
      <c r="BY843" s="239">
        <f>M843/3</f>
        <v>1</v>
      </c>
      <c r="BZ843" s="239">
        <f>M843/3</f>
        <v>1</v>
      </c>
      <c r="CN843" s="238">
        <f t="shared" si="99"/>
        <v>2</v>
      </c>
      <c r="CO843" s="238">
        <f t="shared" si="100"/>
        <v>3</v>
      </c>
    </row>
    <row r="844" spans="1:93" ht="13.95" customHeight="1" x14ac:dyDescent="0.2">
      <c r="A844" s="231">
        <v>7828</v>
      </c>
      <c r="B844" s="232" t="s">
        <v>822</v>
      </c>
      <c r="C844" s="232" t="s">
        <v>2483</v>
      </c>
      <c r="D844" s="232" t="s">
        <v>2484</v>
      </c>
      <c r="E844" s="232" t="s">
        <v>2485</v>
      </c>
      <c r="F844" s="231">
        <v>523617</v>
      </c>
      <c r="G844" s="231">
        <v>175404</v>
      </c>
      <c r="H844" s="232" t="s">
        <v>175</v>
      </c>
      <c r="I844" s="233"/>
      <c r="J844" s="231"/>
      <c r="K844" s="231">
        <v>0</v>
      </c>
      <c r="L844" s="231">
        <v>7</v>
      </c>
      <c r="M844" s="231">
        <v>7</v>
      </c>
      <c r="N844" s="231">
        <v>7</v>
      </c>
      <c r="O844" s="231">
        <v>7</v>
      </c>
      <c r="P844" s="234"/>
      <c r="Q844" s="232" t="s">
        <v>2486</v>
      </c>
      <c r="R844" s="234" t="s">
        <v>332</v>
      </c>
      <c r="S844" s="235">
        <v>44785</v>
      </c>
      <c r="T844" s="235">
        <v>44915</v>
      </c>
      <c r="U844" s="234" t="s">
        <v>318</v>
      </c>
      <c r="V844" s="232" t="s">
        <v>321</v>
      </c>
      <c r="W844" s="231"/>
      <c r="X844" s="232" t="s">
        <v>322</v>
      </c>
      <c r="Y844" s="232" t="s">
        <v>323</v>
      </c>
      <c r="Z844" s="232" t="s">
        <v>324</v>
      </c>
      <c r="AA844" s="232" t="s">
        <v>349</v>
      </c>
      <c r="AB844" s="236">
        <v>4.9000000000000002E-2</v>
      </c>
      <c r="AC844" s="235"/>
      <c r="AD844" s="234"/>
      <c r="AE844" s="234"/>
      <c r="AF844" s="232" t="s">
        <v>77</v>
      </c>
      <c r="AG844" s="232" t="s">
        <v>350</v>
      </c>
      <c r="AH844" s="234" t="s">
        <v>317</v>
      </c>
      <c r="AJ844" s="234">
        <v>0</v>
      </c>
      <c r="AK844" s="234">
        <v>6</v>
      </c>
      <c r="AL844" s="234">
        <v>0</v>
      </c>
      <c r="AM844" s="234">
        <v>1</v>
      </c>
      <c r="AN844" s="234">
        <v>0</v>
      </c>
      <c r="AO844" s="234">
        <v>0</v>
      </c>
      <c r="AP844" s="234">
        <v>0</v>
      </c>
      <c r="AQ844" s="234">
        <v>0</v>
      </c>
      <c r="AR844" s="234">
        <v>6</v>
      </c>
      <c r="AS844" s="234">
        <v>1</v>
      </c>
      <c r="AT844" s="234">
        <v>0</v>
      </c>
      <c r="AU844" s="234">
        <v>0</v>
      </c>
      <c r="AV844" s="234">
        <v>0</v>
      </c>
      <c r="AW844" s="234">
        <v>0</v>
      </c>
      <c r="AX844" s="234">
        <v>0</v>
      </c>
      <c r="AY844" s="234">
        <v>0</v>
      </c>
      <c r="AZ844" s="234">
        <v>0</v>
      </c>
      <c r="BA844" s="234">
        <v>0</v>
      </c>
      <c r="BB844" s="234">
        <v>0</v>
      </c>
      <c r="BC844" s="234">
        <v>0</v>
      </c>
      <c r="BD844" s="234">
        <v>0</v>
      </c>
      <c r="BE844" s="234">
        <v>0</v>
      </c>
      <c r="BF844" s="234">
        <v>6</v>
      </c>
      <c r="BG844" s="234">
        <v>1</v>
      </c>
      <c r="BH844" s="234">
        <v>0</v>
      </c>
      <c r="BI844" s="234">
        <v>0</v>
      </c>
      <c r="BJ844" s="234">
        <v>0</v>
      </c>
      <c r="BK844" s="234">
        <v>0</v>
      </c>
      <c r="BL844" s="234">
        <v>0</v>
      </c>
      <c r="BM844" s="234">
        <v>0</v>
      </c>
      <c r="BN844" s="234">
        <v>0</v>
      </c>
      <c r="BO844" s="234">
        <v>0</v>
      </c>
      <c r="BP844" s="234"/>
      <c r="BQ844" s="234"/>
      <c r="BR844" s="237" t="s">
        <v>334</v>
      </c>
      <c r="BS844" s="238">
        <v>10</v>
      </c>
      <c r="BX844" s="239">
        <f>M844/3</f>
        <v>2.3333333333333335</v>
      </c>
      <c r="BY844" s="239">
        <f>M844/3</f>
        <v>2.3333333333333335</v>
      </c>
      <c r="BZ844" s="239">
        <f>M844/3</f>
        <v>2.3333333333333335</v>
      </c>
      <c r="CN844" s="238">
        <f t="shared" si="99"/>
        <v>4.666666666666667</v>
      </c>
      <c r="CO844" s="238">
        <f t="shared" si="100"/>
        <v>7</v>
      </c>
    </row>
    <row r="845" spans="1:93" ht="13.95" customHeight="1" x14ac:dyDescent="0.2">
      <c r="A845" s="231">
        <v>5966</v>
      </c>
      <c r="B845" s="232" t="s">
        <v>822</v>
      </c>
      <c r="C845" s="232" t="s">
        <v>2487</v>
      </c>
      <c r="D845" s="232" t="s">
        <v>2488</v>
      </c>
      <c r="E845" s="232" t="s">
        <v>2489</v>
      </c>
      <c r="F845" s="231">
        <v>527304</v>
      </c>
      <c r="G845" s="231">
        <v>177160</v>
      </c>
      <c r="H845" s="232" t="s">
        <v>163</v>
      </c>
      <c r="I845" s="233">
        <v>42825</v>
      </c>
      <c r="J845" s="231"/>
      <c r="K845" s="231">
        <v>0</v>
      </c>
      <c r="L845" s="231">
        <v>1</v>
      </c>
      <c r="M845" s="231">
        <v>1</v>
      </c>
      <c r="N845" s="231">
        <v>2</v>
      </c>
      <c r="O845" s="231">
        <v>2</v>
      </c>
      <c r="P845" s="234"/>
      <c r="Q845" s="232" t="s">
        <v>2490</v>
      </c>
      <c r="R845" s="234" t="s">
        <v>428</v>
      </c>
      <c r="S845" s="235">
        <v>42351</v>
      </c>
      <c r="T845" s="235">
        <v>42443</v>
      </c>
      <c r="U845" s="234"/>
      <c r="V845" s="232" t="s">
        <v>321</v>
      </c>
      <c r="W845" s="231"/>
      <c r="X845" s="232" t="s">
        <v>322</v>
      </c>
      <c r="Y845" s="232" t="s">
        <v>378</v>
      </c>
      <c r="Z845" s="232" t="s">
        <v>324</v>
      </c>
      <c r="AA845" s="232" t="s">
        <v>28</v>
      </c>
      <c r="AB845" s="236">
        <v>2E-3</v>
      </c>
      <c r="AC845" s="235"/>
      <c r="AD845" s="234"/>
      <c r="AE845" s="234"/>
      <c r="AF845" s="232" t="s">
        <v>77</v>
      </c>
      <c r="AG845" s="232" t="s">
        <v>350</v>
      </c>
      <c r="AH845" s="234" t="s">
        <v>317</v>
      </c>
      <c r="AJ845" s="234">
        <v>0</v>
      </c>
      <c r="AK845" s="224"/>
      <c r="AL845" s="234">
        <v>0</v>
      </c>
      <c r="AM845" s="224"/>
      <c r="AN845" s="234">
        <v>1</v>
      </c>
      <c r="AO845" s="234">
        <v>0</v>
      </c>
      <c r="AP845" s="234">
        <v>0</v>
      </c>
      <c r="AQ845" s="234">
        <v>0</v>
      </c>
      <c r="AR845" s="234">
        <v>0</v>
      </c>
      <c r="AS845" s="234">
        <v>0</v>
      </c>
      <c r="AT845" s="234">
        <v>0</v>
      </c>
      <c r="AU845" s="234">
        <v>1</v>
      </c>
      <c r="AV845" s="234">
        <v>0</v>
      </c>
      <c r="AW845" s="234">
        <v>0</v>
      </c>
      <c r="AX845" s="234">
        <v>0</v>
      </c>
      <c r="AY845" s="234">
        <v>0</v>
      </c>
      <c r="AZ845" s="234">
        <v>0</v>
      </c>
      <c r="BA845" s="234">
        <v>0</v>
      </c>
      <c r="BB845" s="234">
        <v>0</v>
      </c>
      <c r="BC845" s="234">
        <v>0</v>
      </c>
      <c r="BD845" s="234">
        <v>0</v>
      </c>
      <c r="BE845" s="234">
        <v>0</v>
      </c>
      <c r="BF845" s="234">
        <v>0</v>
      </c>
      <c r="BG845" s="234">
        <v>0</v>
      </c>
      <c r="BH845" s="234">
        <v>0</v>
      </c>
      <c r="BI845" s="234">
        <v>0</v>
      </c>
      <c r="BJ845" s="234">
        <v>0</v>
      </c>
      <c r="BK845" s="234">
        <v>0</v>
      </c>
      <c r="BL845" s="234">
        <v>0</v>
      </c>
      <c r="BM845" s="234">
        <v>0</v>
      </c>
      <c r="BN845" s="234">
        <v>0</v>
      </c>
      <c r="BO845" s="234">
        <v>0</v>
      </c>
      <c r="BP845" s="234"/>
      <c r="BQ845" s="234"/>
      <c r="BR845" s="237" t="s">
        <v>481</v>
      </c>
      <c r="BS845" s="238">
        <v>15</v>
      </c>
      <c r="BU845" s="239">
        <f>M845/4</f>
        <v>0.25</v>
      </c>
      <c r="BV845" s="239">
        <f>M845/4</f>
        <v>0.25</v>
      </c>
      <c r="BW845" s="239">
        <f>M845/4</f>
        <v>0.25</v>
      </c>
      <c r="BX845" s="239">
        <f>M845/4</f>
        <v>0.25</v>
      </c>
      <c r="CN845" s="238">
        <f t="shared" si="99"/>
        <v>1</v>
      </c>
      <c r="CO845" s="238">
        <f t="shared" si="100"/>
        <v>1</v>
      </c>
    </row>
    <row r="846" spans="1:93" ht="13.95" customHeight="1" x14ac:dyDescent="0.2">
      <c r="A846" s="231">
        <v>3511</v>
      </c>
      <c r="B846" s="232" t="s">
        <v>822</v>
      </c>
      <c r="C846" s="232" t="s">
        <v>844</v>
      </c>
      <c r="D846" s="232" t="s">
        <v>824</v>
      </c>
      <c r="E846" s="232" t="s">
        <v>2491</v>
      </c>
      <c r="F846" s="231">
        <v>529369</v>
      </c>
      <c r="G846" s="231">
        <v>177317</v>
      </c>
      <c r="H846" s="232" t="s">
        <v>168</v>
      </c>
      <c r="I846" s="233">
        <v>42825</v>
      </c>
      <c r="J846" s="231"/>
      <c r="K846" s="231">
        <v>0</v>
      </c>
      <c r="L846" s="231">
        <v>96</v>
      </c>
      <c r="M846" s="231">
        <v>96</v>
      </c>
      <c r="N846" s="231">
        <v>2971</v>
      </c>
      <c r="O846" s="231">
        <v>2966</v>
      </c>
      <c r="P846" s="234" t="s">
        <v>318</v>
      </c>
      <c r="Q846" s="232" t="s">
        <v>846</v>
      </c>
      <c r="R846" s="234" t="s">
        <v>847</v>
      </c>
      <c r="S846" s="235">
        <v>41774</v>
      </c>
      <c r="T846" s="235">
        <v>42046</v>
      </c>
      <c r="U846" s="234"/>
      <c r="V846" s="232" t="s">
        <v>321</v>
      </c>
      <c r="W846" s="231"/>
      <c r="X846" s="232" t="s">
        <v>322</v>
      </c>
      <c r="Y846" s="232" t="s">
        <v>323</v>
      </c>
      <c r="Z846" s="232" t="s">
        <v>323</v>
      </c>
      <c r="AA846" s="232" t="s">
        <v>324</v>
      </c>
      <c r="AB846" s="236">
        <v>0.57299999999999995</v>
      </c>
      <c r="AC846" s="235"/>
      <c r="AD846" s="234"/>
      <c r="AE846" s="234"/>
      <c r="AF846" s="232" t="s">
        <v>56</v>
      </c>
      <c r="AG846" s="232" t="s">
        <v>1355</v>
      </c>
      <c r="AH846" s="234" t="s">
        <v>827</v>
      </c>
      <c r="AJ846" s="234">
        <v>0</v>
      </c>
      <c r="AK846" s="234">
        <v>86</v>
      </c>
      <c r="AL846" s="234">
        <v>0</v>
      </c>
      <c r="AM846" s="234">
        <v>10</v>
      </c>
      <c r="AN846" s="234">
        <v>12</v>
      </c>
      <c r="AO846" s="234">
        <v>19</v>
      </c>
      <c r="AP846" s="234">
        <v>57</v>
      </c>
      <c r="AQ846" s="234">
        <v>8</v>
      </c>
      <c r="AR846" s="234">
        <v>0</v>
      </c>
      <c r="AS846" s="234">
        <v>0</v>
      </c>
      <c r="AT846" s="234">
        <v>0</v>
      </c>
      <c r="AU846" s="234">
        <v>12</v>
      </c>
      <c r="AV846" s="234">
        <v>19</v>
      </c>
      <c r="AW846" s="234">
        <v>57</v>
      </c>
      <c r="AX846" s="234">
        <v>8</v>
      </c>
      <c r="AY846" s="234">
        <v>0</v>
      </c>
      <c r="AZ846" s="234">
        <v>0</v>
      </c>
      <c r="BA846" s="234">
        <v>0</v>
      </c>
      <c r="BB846" s="234">
        <v>0</v>
      </c>
      <c r="BC846" s="234">
        <v>0</v>
      </c>
      <c r="BD846" s="234">
        <v>0</v>
      </c>
      <c r="BE846" s="234">
        <v>0</v>
      </c>
      <c r="BF846" s="234">
        <v>0</v>
      </c>
      <c r="BG846" s="234">
        <v>0</v>
      </c>
      <c r="BH846" s="234">
        <v>0</v>
      </c>
      <c r="BI846" s="234">
        <v>0</v>
      </c>
      <c r="BJ846" s="234">
        <v>0</v>
      </c>
      <c r="BK846" s="234">
        <v>0</v>
      </c>
      <c r="BL846" s="234">
        <v>0</v>
      </c>
      <c r="BM846" s="234">
        <v>0</v>
      </c>
      <c r="BN846" s="234">
        <v>0</v>
      </c>
      <c r="BO846" s="234">
        <v>0</v>
      </c>
      <c r="BP846" s="234"/>
      <c r="BQ846" s="234" t="s">
        <v>318</v>
      </c>
      <c r="BR846" s="237" t="s">
        <v>151</v>
      </c>
      <c r="BS846" s="238">
        <v>8</v>
      </c>
      <c r="CC846" s="239">
        <f>M846</f>
        <v>96</v>
      </c>
      <c r="CN846" s="238">
        <f t="shared" si="99"/>
        <v>0</v>
      </c>
      <c r="CO846" s="238">
        <f t="shared" si="100"/>
        <v>96</v>
      </c>
    </row>
    <row r="847" spans="1:93" ht="13.95" customHeight="1" x14ac:dyDescent="0.2">
      <c r="A847" s="231">
        <v>3511</v>
      </c>
      <c r="B847" s="232" t="s">
        <v>822</v>
      </c>
      <c r="C847" s="232" t="s">
        <v>844</v>
      </c>
      <c r="D847" s="232" t="s">
        <v>824</v>
      </c>
      <c r="E847" s="232" t="s">
        <v>2492</v>
      </c>
      <c r="F847" s="231">
        <v>529369</v>
      </c>
      <c r="G847" s="231">
        <v>177317</v>
      </c>
      <c r="H847" s="232" t="s">
        <v>168</v>
      </c>
      <c r="I847" s="233">
        <v>42825</v>
      </c>
      <c r="J847" s="231"/>
      <c r="K847" s="231">
        <v>0</v>
      </c>
      <c r="L847" s="231">
        <v>72</v>
      </c>
      <c r="M847" s="231">
        <v>72</v>
      </c>
      <c r="N847" s="231">
        <v>2971</v>
      </c>
      <c r="O847" s="231">
        <v>2966</v>
      </c>
      <c r="P847" s="234" t="s">
        <v>318</v>
      </c>
      <c r="Q847" s="232" t="s">
        <v>846</v>
      </c>
      <c r="R847" s="234" t="s">
        <v>847</v>
      </c>
      <c r="S847" s="235">
        <v>41774</v>
      </c>
      <c r="T847" s="235">
        <v>42046</v>
      </c>
      <c r="U847" s="234"/>
      <c r="V847" s="232" t="s">
        <v>321</v>
      </c>
      <c r="W847" s="231"/>
      <c r="X847" s="232" t="s">
        <v>322</v>
      </c>
      <c r="Y847" s="232" t="s">
        <v>323</v>
      </c>
      <c r="Z847" s="232" t="s">
        <v>323</v>
      </c>
      <c r="AA847" s="232" t="s">
        <v>324</v>
      </c>
      <c r="AB847" s="236">
        <v>0.435</v>
      </c>
      <c r="AC847" s="235"/>
      <c r="AD847" s="234"/>
      <c r="AE847" s="234"/>
      <c r="AF847" s="232" t="s">
        <v>57</v>
      </c>
      <c r="AG847" s="232" t="s">
        <v>470</v>
      </c>
      <c r="AH847" s="234" t="s">
        <v>827</v>
      </c>
      <c r="AJ847" s="234">
        <v>0</v>
      </c>
      <c r="AK847" s="234">
        <v>65</v>
      </c>
      <c r="AL847" s="234">
        <v>0</v>
      </c>
      <c r="AM847" s="234">
        <v>7</v>
      </c>
      <c r="AN847" s="234">
        <v>0</v>
      </c>
      <c r="AO847" s="234">
        <v>11</v>
      </c>
      <c r="AP847" s="234">
        <v>32</v>
      </c>
      <c r="AQ847" s="234">
        <v>22</v>
      </c>
      <c r="AR847" s="234">
        <v>7</v>
      </c>
      <c r="AS847" s="234">
        <v>0</v>
      </c>
      <c r="AT847" s="234">
        <v>0</v>
      </c>
      <c r="AU847" s="234">
        <v>0</v>
      </c>
      <c r="AV847" s="234">
        <v>11</v>
      </c>
      <c r="AW847" s="234">
        <v>32</v>
      </c>
      <c r="AX847" s="234">
        <v>22</v>
      </c>
      <c r="AY847" s="234">
        <v>7</v>
      </c>
      <c r="AZ847" s="234">
        <v>0</v>
      </c>
      <c r="BA847" s="234">
        <v>0</v>
      </c>
      <c r="BB847" s="234">
        <v>0</v>
      </c>
      <c r="BC847" s="234">
        <v>0</v>
      </c>
      <c r="BD847" s="234">
        <v>0</v>
      </c>
      <c r="BE847" s="234">
        <v>0</v>
      </c>
      <c r="BF847" s="234">
        <v>0</v>
      </c>
      <c r="BG847" s="234">
        <v>0</v>
      </c>
      <c r="BH847" s="234">
        <v>0</v>
      </c>
      <c r="BI847" s="234">
        <v>0</v>
      </c>
      <c r="BJ847" s="234">
        <v>0</v>
      </c>
      <c r="BK847" s="234">
        <v>0</v>
      </c>
      <c r="BL847" s="234">
        <v>0</v>
      </c>
      <c r="BM847" s="234">
        <v>0</v>
      </c>
      <c r="BN847" s="234">
        <v>0</v>
      </c>
      <c r="BO847" s="234">
        <v>0</v>
      </c>
      <c r="BP847" s="234"/>
      <c r="BQ847" s="234" t="s">
        <v>318</v>
      </c>
      <c r="BR847" s="237" t="s">
        <v>151</v>
      </c>
      <c r="BS847" s="238">
        <v>8</v>
      </c>
      <c r="CD847" s="239">
        <f>M847</f>
        <v>72</v>
      </c>
      <c r="CN847" s="238">
        <f t="shared" si="99"/>
        <v>0</v>
      </c>
      <c r="CO847" s="238">
        <f t="shared" si="100"/>
        <v>72</v>
      </c>
    </row>
    <row r="848" spans="1:93" ht="13.95" customHeight="1" x14ac:dyDescent="0.2">
      <c r="A848" s="231">
        <v>3511</v>
      </c>
      <c r="B848" s="232" t="s">
        <v>822</v>
      </c>
      <c r="C848" s="232" t="s">
        <v>844</v>
      </c>
      <c r="D848" s="232" t="s">
        <v>824</v>
      </c>
      <c r="E848" s="232" t="s">
        <v>2493</v>
      </c>
      <c r="F848" s="231">
        <v>529369</v>
      </c>
      <c r="G848" s="231">
        <v>177317</v>
      </c>
      <c r="H848" s="232" t="s">
        <v>168</v>
      </c>
      <c r="I848" s="233">
        <v>42825</v>
      </c>
      <c r="J848" s="231"/>
      <c r="K848" s="231">
        <v>0</v>
      </c>
      <c r="L848" s="231">
        <v>86</v>
      </c>
      <c r="M848" s="231">
        <v>86</v>
      </c>
      <c r="N848" s="231">
        <v>2971</v>
      </c>
      <c r="O848" s="231">
        <v>2966</v>
      </c>
      <c r="P848" s="234" t="s">
        <v>318</v>
      </c>
      <c r="Q848" s="232" t="s">
        <v>846</v>
      </c>
      <c r="R848" s="234" t="s">
        <v>847</v>
      </c>
      <c r="S848" s="235">
        <v>41774</v>
      </c>
      <c r="T848" s="235">
        <v>42046</v>
      </c>
      <c r="U848" s="234"/>
      <c r="V848" s="232" t="s">
        <v>321</v>
      </c>
      <c r="W848" s="231"/>
      <c r="X848" s="232" t="s">
        <v>322</v>
      </c>
      <c r="Y848" s="232" t="s">
        <v>323</v>
      </c>
      <c r="Z848" s="232" t="s">
        <v>323</v>
      </c>
      <c r="AA848" s="232" t="s">
        <v>324</v>
      </c>
      <c r="AB848" s="236">
        <v>0.52400000000000002</v>
      </c>
      <c r="AC848" s="235"/>
      <c r="AD848" s="234"/>
      <c r="AE848" s="234"/>
      <c r="AF848" s="232" t="s">
        <v>77</v>
      </c>
      <c r="AG848" s="232" t="s">
        <v>350</v>
      </c>
      <c r="AH848" s="234" t="s">
        <v>827</v>
      </c>
      <c r="AJ848" s="234">
        <v>0</v>
      </c>
      <c r="AK848" s="234">
        <v>77</v>
      </c>
      <c r="AL848" s="234">
        <v>0</v>
      </c>
      <c r="AM848" s="234">
        <v>9</v>
      </c>
      <c r="AN848" s="234">
        <v>0</v>
      </c>
      <c r="AO848" s="234">
        <v>17</v>
      </c>
      <c r="AP848" s="234">
        <v>30</v>
      </c>
      <c r="AQ848" s="234">
        <v>39</v>
      </c>
      <c r="AR848" s="234">
        <v>0</v>
      </c>
      <c r="AS848" s="234">
        <v>0</v>
      </c>
      <c r="AT848" s="234">
        <v>0</v>
      </c>
      <c r="AU848" s="234">
        <v>0</v>
      </c>
      <c r="AV848" s="234">
        <v>17</v>
      </c>
      <c r="AW848" s="234">
        <v>30</v>
      </c>
      <c r="AX848" s="234">
        <v>39</v>
      </c>
      <c r="AY848" s="234">
        <v>0</v>
      </c>
      <c r="AZ848" s="234">
        <v>0</v>
      </c>
      <c r="BA848" s="234">
        <v>0</v>
      </c>
      <c r="BB848" s="234">
        <v>0</v>
      </c>
      <c r="BC848" s="234">
        <v>0</v>
      </c>
      <c r="BD848" s="234">
        <v>0</v>
      </c>
      <c r="BE848" s="234">
        <v>0</v>
      </c>
      <c r="BF848" s="234">
        <v>0</v>
      </c>
      <c r="BG848" s="234">
        <v>0</v>
      </c>
      <c r="BH848" s="234">
        <v>0</v>
      </c>
      <c r="BI848" s="234">
        <v>0</v>
      </c>
      <c r="BJ848" s="234">
        <v>0</v>
      </c>
      <c r="BK848" s="234">
        <v>0</v>
      </c>
      <c r="BL848" s="234">
        <v>0</v>
      </c>
      <c r="BM848" s="234">
        <v>0</v>
      </c>
      <c r="BN848" s="234">
        <v>0</v>
      </c>
      <c r="BO848" s="234">
        <v>0</v>
      </c>
      <c r="BP848" s="234"/>
      <c r="BQ848" s="234" t="s">
        <v>318</v>
      </c>
      <c r="BR848" s="237" t="s">
        <v>151</v>
      </c>
      <c r="BS848" s="238">
        <v>8</v>
      </c>
      <c r="CC848" s="239">
        <f>M848</f>
        <v>86</v>
      </c>
      <c r="CN848" s="238">
        <f t="shared" si="99"/>
        <v>0</v>
      </c>
      <c r="CO848" s="238">
        <f t="shared" si="100"/>
        <v>86</v>
      </c>
    </row>
    <row r="849" spans="1:93" ht="13.95" customHeight="1" x14ac:dyDescent="0.2">
      <c r="A849" s="231">
        <v>3511</v>
      </c>
      <c r="B849" s="232" t="s">
        <v>822</v>
      </c>
      <c r="C849" s="232" t="s">
        <v>844</v>
      </c>
      <c r="D849" s="232" t="s">
        <v>824</v>
      </c>
      <c r="E849" s="232" t="s">
        <v>2494</v>
      </c>
      <c r="F849" s="231">
        <v>529369</v>
      </c>
      <c r="G849" s="231">
        <v>177317</v>
      </c>
      <c r="H849" s="232" t="s">
        <v>168</v>
      </c>
      <c r="I849" s="233">
        <v>42825</v>
      </c>
      <c r="J849" s="231"/>
      <c r="K849" s="231">
        <v>5</v>
      </c>
      <c r="L849" s="231">
        <v>0</v>
      </c>
      <c r="M849" s="231">
        <v>-5</v>
      </c>
      <c r="N849" s="231">
        <v>2971</v>
      </c>
      <c r="O849" s="231">
        <v>2966</v>
      </c>
      <c r="P849" s="234" t="s">
        <v>318</v>
      </c>
      <c r="Q849" s="232" t="s">
        <v>846</v>
      </c>
      <c r="R849" s="234" t="s">
        <v>847</v>
      </c>
      <c r="S849" s="235">
        <v>41774</v>
      </c>
      <c r="T849" s="235">
        <v>42046</v>
      </c>
      <c r="U849" s="234"/>
      <c r="V849" s="232" t="s">
        <v>321</v>
      </c>
      <c r="W849" s="231"/>
      <c r="X849" s="232" t="s">
        <v>322</v>
      </c>
      <c r="Y849" s="232" t="s">
        <v>323</v>
      </c>
      <c r="Z849" s="232" t="s">
        <v>323</v>
      </c>
      <c r="AA849" s="232" t="s">
        <v>324</v>
      </c>
      <c r="AB849" s="236">
        <v>0</v>
      </c>
      <c r="AC849" s="235"/>
      <c r="AD849" s="234"/>
      <c r="AE849" s="234"/>
      <c r="AF849" s="232" t="s">
        <v>77</v>
      </c>
      <c r="AG849" s="232" t="s">
        <v>350</v>
      </c>
      <c r="AH849" s="234" t="s">
        <v>827</v>
      </c>
      <c r="AJ849" s="234">
        <v>0</v>
      </c>
      <c r="AK849" s="224"/>
      <c r="AL849" s="234">
        <v>0</v>
      </c>
      <c r="AM849" s="224"/>
      <c r="AN849" s="234">
        <v>0</v>
      </c>
      <c r="AO849" s="234">
        <v>0</v>
      </c>
      <c r="AP849" s="234">
        <v>0</v>
      </c>
      <c r="AQ849" s="234">
        <v>0</v>
      </c>
      <c r="AR849" s="234">
        <v>0</v>
      </c>
      <c r="AS849" s="234">
        <v>0</v>
      </c>
      <c r="AT849" s="234">
        <v>-5</v>
      </c>
      <c r="AU849" s="234">
        <v>0</v>
      </c>
      <c r="AV849" s="234">
        <v>0</v>
      </c>
      <c r="AW849" s="234">
        <v>0</v>
      </c>
      <c r="AX849" s="234">
        <v>0</v>
      </c>
      <c r="AY849" s="234">
        <v>0</v>
      </c>
      <c r="AZ849" s="234">
        <v>0</v>
      </c>
      <c r="BA849" s="234">
        <v>-5</v>
      </c>
      <c r="BB849" s="234">
        <v>0</v>
      </c>
      <c r="BC849" s="234">
        <v>0</v>
      </c>
      <c r="BD849" s="234">
        <v>0</v>
      </c>
      <c r="BE849" s="234">
        <v>0</v>
      </c>
      <c r="BF849" s="234">
        <v>0</v>
      </c>
      <c r="BG849" s="234">
        <v>0</v>
      </c>
      <c r="BH849" s="234">
        <v>0</v>
      </c>
      <c r="BI849" s="234">
        <v>0</v>
      </c>
      <c r="BJ849" s="234">
        <v>0</v>
      </c>
      <c r="BK849" s="234">
        <v>0</v>
      </c>
      <c r="BL849" s="234">
        <v>0</v>
      </c>
      <c r="BM849" s="234">
        <v>0</v>
      </c>
      <c r="BN849" s="234">
        <v>0</v>
      </c>
      <c r="BO849" s="234">
        <v>0</v>
      </c>
      <c r="BP849" s="234"/>
      <c r="BQ849" s="234" t="s">
        <v>318</v>
      </c>
      <c r="BR849" s="237" t="s">
        <v>151</v>
      </c>
      <c r="BS849" s="238">
        <v>8</v>
      </c>
      <c r="CB849" s="239">
        <f>M849</f>
        <v>-5</v>
      </c>
      <c r="CN849" s="238">
        <f t="shared" si="99"/>
        <v>0</v>
      </c>
      <c r="CO849" s="238">
        <f t="shared" si="100"/>
        <v>-5</v>
      </c>
    </row>
    <row r="850" spans="1:93" ht="13.95" customHeight="1" x14ac:dyDescent="0.2">
      <c r="A850" s="231">
        <v>3511</v>
      </c>
      <c r="B850" s="232" t="s">
        <v>848</v>
      </c>
      <c r="C850" s="232" t="s">
        <v>2495</v>
      </c>
      <c r="D850" s="232" t="s">
        <v>824</v>
      </c>
      <c r="E850" s="232" t="s">
        <v>2496</v>
      </c>
      <c r="F850" s="231">
        <v>529369</v>
      </c>
      <c r="G850" s="231">
        <v>177317</v>
      </c>
      <c r="H850" s="232" t="s">
        <v>168</v>
      </c>
      <c r="I850" s="233">
        <v>43800</v>
      </c>
      <c r="J850" s="231"/>
      <c r="K850" s="231">
        <v>0</v>
      </c>
      <c r="L850" s="231">
        <v>179</v>
      </c>
      <c r="M850" s="231">
        <v>179</v>
      </c>
      <c r="N850" s="231">
        <v>455</v>
      </c>
      <c r="O850" s="231">
        <v>455</v>
      </c>
      <c r="P850" s="234" t="s">
        <v>318</v>
      </c>
      <c r="Q850" s="232" t="s">
        <v>2497</v>
      </c>
      <c r="R850" s="234" t="s">
        <v>517</v>
      </c>
      <c r="S850" s="235">
        <v>43658</v>
      </c>
      <c r="T850" s="235">
        <v>43791</v>
      </c>
      <c r="U850" s="234"/>
      <c r="V850" s="232" t="s">
        <v>321</v>
      </c>
      <c r="W850" s="231"/>
      <c r="X850" s="232" t="s">
        <v>322</v>
      </c>
      <c r="Y850" s="232" t="s">
        <v>323</v>
      </c>
      <c r="Z850" s="232" t="s">
        <v>323</v>
      </c>
      <c r="AA850" s="232" t="s">
        <v>324</v>
      </c>
      <c r="AB850" s="236">
        <v>0.17899999999999999</v>
      </c>
      <c r="AC850" s="235">
        <v>43952</v>
      </c>
      <c r="AD850" s="234"/>
      <c r="AE850" s="234"/>
      <c r="AF850" s="232" t="s">
        <v>77</v>
      </c>
      <c r="AG850" s="232" t="s">
        <v>350</v>
      </c>
      <c r="AH850" s="234" t="s">
        <v>827</v>
      </c>
      <c r="AI850" s="250"/>
      <c r="AJ850" s="234">
        <v>179</v>
      </c>
      <c r="AK850" s="224"/>
      <c r="AL850" s="234">
        <v>0</v>
      </c>
      <c r="AM850" s="224"/>
      <c r="AN850" s="234">
        <v>68</v>
      </c>
      <c r="AO850" s="234">
        <v>34</v>
      </c>
      <c r="AP850" s="234">
        <v>71</v>
      </c>
      <c r="AQ850" s="234">
        <v>2</v>
      </c>
      <c r="AR850" s="234">
        <v>4</v>
      </c>
      <c r="AS850" s="234">
        <v>0</v>
      </c>
      <c r="AT850" s="234">
        <v>0</v>
      </c>
      <c r="AU850" s="234">
        <v>68</v>
      </c>
      <c r="AV850" s="234">
        <v>34</v>
      </c>
      <c r="AW850" s="234">
        <v>71</v>
      </c>
      <c r="AX850" s="234">
        <v>2</v>
      </c>
      <c r="AY850" s="234">
        <v>4</v>
      </c>
      <c r="AZ850" s="234">
        <v>0</v>
      </c>
      <c r="BA850" s="234">
        <v>0</v>
      </c>
      <c r="BB850" s="234">
        <v>0</v>
      </c>
      <c r="BC850" s="234">
        <v>0</v>
      </c>
      <c r="BD850" s="234">
        <v>0</v>
      </c>
      <c r="BE850" s="234">
        <v>0</v>
      </c>
      <c r="BF850" s="234">
        <v>0</v>
      </c>
      <c r="BG850" s="234">
        <v>0</v>
      </c>
      <c r="BH850" s="234">
        <v>0</v>
      </c>
      <c r="BI850" s="234">
        <v>0</v>
      </c>
      <c r="BJ850" s="234">
        <v>0</v>
      </c>
      <c r="BK850" s="234">
        <v>0</v>
      </c>
      <c r="BL850" s="234">
        <v>0</v>
      </c>
      <c r="BM850" s="234">
        <v>0</v>
      </c>
      <c r="BN850" s="234">
        <v>0</v>
      </c>
      <c r="BO850" s="234">
        <v>0</v>
      </c>
      <c r="BP850" s="234"/>
      <c r="BQ850" s="234" t="s">
        <v>318</v>
      </c>
      <c r="BR850" s="237" t="s">
        <v>151</v>
      </c>
      <c r="BS850" s="238">
        <v>5</v>
      </c>
      <c r="BX850" s="239">
        <f>M850</f>
        <v>179</v>
      </c>
      <c r="CN850" s="238">
        <f t="shared" si="99"/>
        <v>179</v>
      </c>
      <c r="CO850" s="238">
        <f t="shared" si="100"/>
        <v>179</v>
      </c>
    </row>
    <row r="851" spans="1:93" ht="13.95" customHeight="1" x14ac:dyDescent="0.2">
      <c r="A851" s="231">
        <v>3511</v>
      </c>
      <c r="B851" s="232" t="s">
        <v>848</v>
      </c>
      <c r="C851" s="232" t="s">
        <v>2498</v>
      </c>
      <c r="D851" s="232" t="s">
        <v>824</v>
      </c>
      <c r="E851" s="232" t="s">
        <v>2499</v>
      </c>
      <c r="F851" s="231">
        <v>529369</v>
      </c>
      <c r="G851" s="231">
        <v>177317</v>
      </c>
      <c r="H851" s="232" t="s">
        <v>168</v>
      </c>
      <c r="I851" s="233">
        <v>43672</v>
      </c>
      <c r="J851" s="231"/>
      <c r="K851" s="231">
        <v>0</v>
      </c>
      <c r="L851" s="231">
        <v>316</v>
      </c>
      <c r="M851" s="231">
        <v>316</v>
      </c>
      <c r="N851" s="231">
        <v>542</v>
      </c>
      <c r="O851" s="231">
        <v>542</v>
      </c>
      <c r="P851" s="234" t="s">
        <v>318</v>
      </c>
      <c r="Q851" s="232" t="s">
        <v>2500</v>
      </c>
      <c r="R851" s="234" t="s">
        <v>469</v>
      </c>
      <c r="S851" s="235">
        <v>43746</v>
      </c>
      <c r="T851" s="235">
        <v>43760</v>
      </c>
      <c r="U851" s="234"/>
      <c r="V851" s="232" t="s">
        <v>321</v>
      </c>
      <c r="W851" s="231"/>
      <c r="X851" s="232" t="s">
        <v>322</v>
      </c>
      <c r="Y851" s="232" t="s">
        <v>323</v>
      </c>
      <c r="Z851" s="232" t="s">
        <v>323</v>
      </c>
      <c r="AA851" s="232" t="s">
        <v>324</v>
      </c>
      <c r="AB851" s="236">
        <v>1.764</v>
      </c>
      <c r="AC851" s="235">
        <v>43672</v>
      </c>
      <c r="AD851" s="234"/>
      <c r="AE851" s="234"/>
      <c r="AF851" s="232" t="s">
        <v>77</v>
      </c>
      <c r="AG851" s="232" t="s">
        <v>350</v>
      </c>
      <c r="AH851" s="234" t="s">
        <v>827</v>
      </c>
      <c r="AI851" s="250"/>
      <c r="AJ851" s="234">
        <v>288</v>
      </c>
      <c r="AK851" s="224"/>
      <c r="AL851" s="234">
        <v>28</v>
      </c>
      <c r="AM851" s="224"/>
      <c r="AN851" s="234">
        <v>0</v>
      </c>
      <c r="AO851" s="234">
        <v>98</v>
      </c>
      <c r="AP851" s="234">
        <v>134</v>
      </c>
      <c r="AQ851" s="234">
        <v>74</v>
      </c>
      <c r="AR851" s="234">
        <v>10</v>
      </c>
      <c r="AS851" s="234">
        <v>0</v>
      </c>
      <c r="AT851" s="234">
        <v>0</v>
      </c>
      <c r="AU851" s="234">
        <v>0</v>
      </c>
      <c r="AV851" s="234">
        <v>98</v>
      </c>
      <c r="AW851" s="234">
        <v>134</v>
      </c>
      <c r="AX851" s="234">
        <v>74</v>
      </c>
      <c r="AY851" s="234">
        <v>10</v>
      </c>
      <c r="AZ851" s="234">
        <v>0</v>
      </c>
      <c r="BA851" s="234">
        <v>0</v>
      </c>
      <c r="BB851" s="234">
        <v>0</v>
      </c>
      <c r="BC851" s="234">
        <v>0</v>
      </c>
      <c r="BD851" s="234">
        <v>0</v>
      </c>
      <c r="BE851" s="234">
        <v>0</v>
      </c>
      <c r="BF851" s="234">
        <v>0</v>
      </c>
      <c r="BG851" s="234">
        <v>0</v>
      </c>
      <c r="BH851" s="234">
        <v>0</v>
      </c>
      <c r="BI851" s="234">
        <v>0</v>
      </c>
      <c r="BJ851" s="234">
        <v>0</v>
      </c>
      <c r="BK851" s="234">
        <v>0</v>
      </c>
      <c r="BL851" s="234">
        <v>0</v>
      </c>
      <c r="BM851" s="234">
        <v>0</v>
      </c>
      <c r="BN851" s="234">
        <v>0</v>
      </c>
      <c r="BO851" s="234">
        <v>0</v>
      </c>
      <c r="BP851" s="234"/>
      <c r="BQ851" s="234" t="s">
        <v>318</v>
      </c>
      <c r="BR851" s="237" t="s">
        <v>151</v>
      </c>
      <c r="BS851" s="238">
        <v>5</v>
      </c>
      <c r="BW851" s="239">
        <f>M851</f>
        <v>316</v>
      </c>
      <c r="CN851" s="238">
        <f t="shared" si="99"/>
        <v>316</v>
      </c>
      <c r="CO851" s="238">
        <f t="shared" si="100"/>
        <v>316</v>
      </c>
    </row>
    <row r="852" spans="1:93" ht="13.95" customHeight="1" x14ac:dyDescent="0.2">
      <c r="A852" s="231">
        <v>7101</v>
      </c>
      <c r="B852" s="232" t="s">
        <v>822</v>
      </c>
      <c r="C852" s="232" t="s">
        <v>2501</v>
      </c>
      <c r="D852" s="232" t="s">
        <v>1295</v>
      </c>
      <c r="E852" s="232" t="s">
        <v>2502</v>
      </c>
      <c r="F852" s="231">
        <v>526922</v>
      </c>
      <c r="G852" s="231">
        <v>175807</v>
      </c>
      <c r="H852" s="232" t="s">
        <v>165</v>
      </c>
      <c r="I852" s="233">
        <v>44609</v>
      </c>
      <c r="J852" s="231"/>
      <c r="K852" s="231">
        <v>0</v>
      </c>
      <c r="L852" s="231">
        <v>150</v>
      </c>
      <c r="M852" s="231">
        <v>150</v>
      </c>
      <c r="N852" s="231">
        <v>2550</v>
      </c>
      <c r="O852" s="231">
        <v>1791</v>
      </c>
      <c r="P852" s="234" t="s">
        <v>318</v>
      </c>
      <c r="Q852" s="232" t="s">
        <v>2503</v>
      </c>
      <c r="R852" s="234" t="s">
        <v>320</v>
      </c>
      <c r="S852" s="235">
        <v>43483</v>
      </c>
      <c r="T852" s="235">
        <v>44225</v>
      </c>
      <c r="U852" s="234"/>
      <c r="V852" s="232" t="s">
        <v>321</v>
      </c>
      <c r="W852" s="231"/>
      <c r="X852" s="232" t="s">
        <v>322</v>
      </c>
      <c r="Y852" s="232" t="s">
        <v>323</v>
      </c>
      <c r="Z852" s="232" t="s">
        <v>323</v>
      </c>
      <c r="AA852" s="232" t="s">
        <v>324</v>
      </c>
      <c r="AB852" s="236">
        <v>0.23</v>
      </c>
      <c r="AC852" s="235"/>
      <c r="AD852" s="234"/>
      <c r="AE852" s="234"/>
      <c r="AF852" s="232" t="s">
        <v>77</v>
      </c>
      <c r="AG852" s="232" t="s">
        <v>350</v>
      </c>
      <c r="AH852" s="234" t="s">
        <v>317</v>
      </c>
      <c r="AJ852" s="234">
        <v>0</v>
      </c>
      <c r="AK852" s="234">
        <v>135</v>
      </c>
      <c r="AL852" s="234">
        <v>0</v>
      </c>
      <c r="AM852" s="234">
        <v>15</v>
      </c>
      <c r="AN852" s="234">
        <v>0</v>
      </c>
      <c r="AO852" s="234">
        <v>60</v>
      </c>
      <c r="AP852" s="234">
        <v>61</v>
      </c>
      <c r="AQ852" s="234">
        <v>29</v>
      </c>
      <c r="AR852" s="234">
        <v>0</v>
      </c>
      <c r="AS852" s="234">
        <v>0</v>
      </c>
      <c r="AT852" s="234">
        <v>0</v>
      </c>
      <c r="AU852" s="234">
        <v>0</v>
      </c>
      <c r="AV852" s="234">
        <v>60</v>
      </c>
      <c r="AW852" s="234">
        <v>61</v>
      </c>
      <c r="AX852" s="234">
        <v>29</v>
      </c>
      <c r="AY852" s="234">
        <v>0</v>
      </c>
      <c r="AZ852" s="234">
        <v>0</v>
      </c>
      <c r="BA852" s="234">
        <v>0</v>
      </c>
      <c r="BB852" s="234">
        <v>0</v>
      </c>
      <c r="BC852" s="234">
        <v>0</v>
      </c>
      <c r="BD852" s="234">
        <v>0</v>
      </c>
      <c r="BE852" s="234">
        <v>0</v>
      </c>
      <c r="BF852" s="234">
        <v>0</v>
      </c>
      <c r="BG852" s="234">
        <v>0</v>
      </c>
      <c r="BH852" s="234">
        <v>0</v>
      </c>
      <c r="BI852" s="234">
        <v>0</v>
      </c>
      <c r="BJ852" s="234">
        <v>0</v>
      </c>
      <c r="BK852" s="234">
        <v>0</v>
      </c>
      <c r="BL852" s="234">
        <v>0</v>
      </c>
      <c r="BM852" s="234">
        <v>0</v>
      </c>
      <c r="BN852" s="234">
        <v>0</v>
      </c>
      <c r="BO852" s="234">
        <v>0</v>
      </c>
      <c r="BP852" s="234"/>
      <c r="BQ852" s="234"/>
      <c r="BR852" s="237" t="s">
        <v>150</v>
      </c>
      <c r="BS852" s="238">
        <v>8</v>
      </c>
      <c r="BZ852" s="239">
        <f t="shared" ref="BZ852:BZ857" si="104">M852/3</f>
        <v>50</v>
      </c>
      <c r="CA852" s="239">
        <f>M852/3</f>
        <v>50</v>
      </c>
      <c r="CB852" s="239">
        <f>M852/3</f>
        <v>50</v>
      </c>
      <c r="CN852" s="238">
        <f t="shared" si="99"/>
        <v>0</v>
      </c>
      <c r="CO852" s="238">
        <f t="shared" si="100"/>
        <v>150</v>
      </c>
    </row>
    <row r="853" spans="1:93" ht="13.95" customHeight="1" x14ac:dyDescent="0.2">
      <c r="A853" s="231">
        <v>7101</v>
      </c>
      <c r="B853" s="232" t="s">
        <v>822</v>
      </c>
      <c r="C853" s="232" t="s">
        <v>2501</v>
      </c>
      <c r="D853" s="232" t="s">
        <v>1295</v>
      </c>
      <c r="E853" s="232" t="s">
        <v>2504</v>
      </c>
      <c r="F853" s="231">
        <v>526922</v>
      </c>
      <c r="G853" s="231">
        <v>175807</v>
      </c>
      <c r="H853" s="232" t="s">
        <v>165</v>
      </c>
      <c r="I853" s="233">
        <v>44609</v>
      </c>
      <c r="J853" s="231"/>
      <c r="K853" s="231">
        <v>0</v>
      </c>
      <c r="L853" s="231">
        <v>89</v>
      </c>
      <c r="M853" s="231">
        <v>89</v>
      </c>
      <c r="N853" s="231">
        <v>2550</v>
      </c>
      <c r="O853" s="231">
        <v>1791</v>
      </c>
      <c r="P853" s="234" t="s">
        <v>318</v>
      </c>
      <c r="Q853" s="232" t="s">
        <v>2503</v>
      </c>
      <c r="R853" s="234" t="s">
        <v>320</v>
      </c>
      <c r="S853" s="235">
        <v>43483</v>
      </c>
      <c r="T853" s="235">
        <v>44225</v>
      </c>
      <c r="U853" s="234"/>
      <c r="V853" s="232" t="s">
        <v>321</v>
      </c>
      <c r="W853" s="231"/>
      <c r="X853" s="232" t="s">
        <v>322</v>
      </c>
      <c r="Y853" s="232" t="s">
        <v>323</v>
      </c>
      <c r="Z853" s="232" t="s">
        <v>323</v>
      </c>
      <c r="AA853" s="232" t="s">
        <v>324</v>
      </c>
      <c r="AB853" s="236">
        <v>0.13700000000000001</v>
      </c>
      <c r="AC853" s="235"/>
      <c r="AD853" s="234"/>
      <c r="AE853" s="234"/>
      <c r="AF853" s="232" t="s">
        <v>77</v>
      </c>
      <c r="AG853" s="232" t="s">
        <v>350</v>
      </c>
      <c r="AH853" s="234" t="s">
        <v>317</v>
      </c>
      <c r="AJ853" s="234">
        <v>0</v>
      </c>
      <c r="AK853" s="234">
        <v>80</v>
      </c>
      <c r="AL853" s="234">
        <v>0</v>
      </c>
      <c r="AM853" s="234">
        <v>9</v>
      </c>
      <c r="AN853" s="234">
        <v>7</v>
      </c>
      <c r="AO853" s="234">
        <v>30</v>
      </c>
      <c r="AP853" s="234">
        <v>34</v>
      </c>
      <c r="AQ853" s="234">
        <v>18</v>
      </c>
      <c r="AR853" s="234">
        <v>0</v>
      </c>
      <c r="AS853" s="234">
        <v>0</v>
      </c>
      <c r="AT853" s="234">
        <v>0</v>
      </c>
      <c r="AU853" s="234">
        <v>7</v>
      </c>
      <c r="AV853" s="234">
        <v>30</v>
      </c>
      <c r="AW853" s="234">
        <v>34</v>
      </c>
      <c r="AX853" s="234">
        <v>18</v>
      </c>
      <c r="AY853" s="234">
        <v>0</v>
      </c>
      <c r="AZ853" s="234">
        <v>0</v>
      </c>
      <c r="BA853" s="234">
        <v>0</v>
      </c>
      <c r="BB853" s="234">
        <v>0</v>
      </c>
      <c r="BC853" s="234">
        <v>0</v>
      </c>
      <c r="BD853" s="234">
        <v>0</v>
      </c>
      <c r="BE853" s="234">
        <v>0</v>
      </c>
      <c r="BF853" s="234">
        <v>0</v>
      </c>
      <c r="BG853" s="234">
        <v>0</v>
      </c>
      <c r="BH853" s="234">
        <v>0</v>
      </c>
      <c r="BI853" s="234">
        <v>0</v>
      </c>
      <c r="BJ853" s="234">
        <v>0</v>
      </c>
      <c r="BK853" s="234">
        <v>0</v>
      </c>
      <c r="BL853" s="234">
        <v>0</v>
      </c>
      <c r="BM853" s="234">
        <v>0</v>
      </c>
      <c r="BN853" s="234">
        <v>0</v>
      </c>
      <c r="BO853" s="234">
        <v>0</v>
      </c>
      <c r="BP853" s="234"/>
      <c r="BQ853" s="234"/>
      <c r="BR853" s="237" t="s">
        <v>150</v>
      </c>
      <c r="BS853" s="238">
        <v>8</v>
      </c>
      <c r="BZ853" s="239">
        <f t="shared" si="104"/>
        <v>29.666666666666668</v>
      </c>
      <c r="CA853" s="239">
        <f>M853/3</f>
        <v>29.666666666666668</v>
      </c>
      <c r="CB853" s="239">
        <f>M853/3</f>
        <v>29.666666666666668</v>
      </c>
      <c r="CN853" s="238">
        <f t="shared" si="99"/>
        <v>0</v>
      </c>
      <c r="CO853" s="238">
        <f t="shared" si="100"/>
        <v>89</v>
      </c>
    </row>
    <row r="854" spans="1:93" ht="13.95" customHeight="1" x14ac:dyDescent="0.2">
      <c r="A854" s="231">
        <v>7101</v>
      </c>
      <c r="B854" s="232" t="s">
        <v>822</v>
      </c>
      <c r="C854" s="232" t="s">
        <v>2501</v>
      </c>
      <c r="D854" s="232" t="s">
        <v>1295</v>
      </c>
      <c r="E854" s="232" t="s">
        <v>2505</v>
      </c>
      <c r="F854" s="231">
        <v>526922</v>
      </c>
      <c r="G854" s="231">
        <v>175807</v>
      </c>
      <c r="H854" s="232" t="s">
        <v>165</v>
      </c>
      <c r="I854" s="233">
        <v>44609</v>
      </c>
      <c r="J854" s="231"/>
      <c r="K854" s="231">
        <v>0</v>
      </c>
      <c r="L854" s="231">
        <v>64</v>
      </c>
      <c r="M854" s="231">
        <v>64</v>
      </c>
      <c r="N854" s="231">
        <v>2550</v>
      </c>
      <c r="O854" s="231">
        <v>1791</v>
      </c>
      <c r="P854" s="234" t="s">
        <v>318</v>
      </c>
      <c r="Q854" s="232" t="s">
        <v>2503</v>
      </c>
      <c r="R854" s="234" t="s">
        <v>320</v>
      </c>
      <c r="S854" s="235">
        <v>43483</v>
      </c>
      <c r="T854" s="235">
        <v>44225</v>
      </c>
      <c r="U854" s="234"/>
      <c r="V854" s="232" t="s">
        <v>321</v>
      </c>
      <c r="W854" s="231"/>
      <c r="X854" s="232" t="s">
        <v>322</v>
      </c>
      <c r="Y854" s="232" t="s">
        <v>323</v>
      </c>
      <c r="Z854" s="232" t="s">
        <v>323</v>
      </c>
      <c r="AA854" s="232" t="s">
        <v>324</v>
      </c>
      <c r="AB854" s="236">
        <v>9.8000000000000004E-2</v>
      </c>
      <c r="AC854" s="235"/>
      <c r="AD854" s="234"/>
      <c r="AE854" s="234"/>
      <c r="AF854" s="232" t="s">
        <v>77</v>
      </c>
      <c r="AG854" s="232" t="s">
        <v>350</v>
      </c>
      <c r="AH854" s="234" t="s">
        <v>317</v>
      </c>
      <c r="AJ854" s="234">
        <v>0</v>
      </c>
      <c r="AK854" s="234">
        <v>58</v>
      </c>
      <c r="AL854" s="234">
        <v>0</v>
      </c>
      <c r="AM854" s="234">
        <v>6</v>
      </c>
      <c r="AN854" s="234">
        <v>0</v>
      </c>
      <c r="AO854" s="234">
        <v>18</v>
      </c>
      <c r="AP854" s="234">
        <v>24</v>
      </c>
      <c r="AQ854" s="234">
        <v>22</v>
      </c>
      <c r="AR854" s="234">
        <v>0</v>
      </c>
      <c r="AS854" s="234">
        <v>0</v>
      </c>
      <c r="AT854" s="234">
        <v>0</v>
      </c>
      <c r="AU854" s="234">
        <v>0</v>
      </c>
      <c r="AV854" s="234">
        <v>18</v>
      </c>
      <c r="AW854" s="234">
        <v>24</v>
      </c>
      <c r="AX854" s="234">
        <v>22</v>
      </c>
      <c r="AY854" s="234">
        <v>0</v>
      </c>
      <c r="AZ854" s="234">
        <v>0</v>
      </c>
      <c r="BA854" s="234">
        <v>0</v>
      </c>
      <c r="BB854" s="234">
        <v>0</v>
      </c>
      <c r="BC854" s="234">
        <v>0</v>
      </c>
      <c r="BD854" s="234">
        <v>0</v>
      </c>
      <c r="BE854" s="234">
        <v>0</v>
      </c>
      <c r="BF854" s="234">
        <v>0</v>
      </c>
      <c r="BG854" s="234">
        <v>0</v>
      </c>
      <c r="BH854" s="234">
        <v>0</v>
      </c>
      <c r="BI854" s="234">
        <v>0</v>
      </c>
      <c r="BJ854" s="234">
        <v>0</v>
      </c>
      <c r="BK854" s="234">
        <v>0</v>
      </c>
      <c r="BL854" s="234">
        <v>0</v>
      </c>
      <c r="BM854" s="234">
        <v>0</v>
      </c>
      <c r="BN854" s="234">
        <v>0</v>
      </c>
      <c r="BO854" s="234">
        <v>0</v>
      </c>
      <c r="BP854" s="234"/>
      <c r="BQ854" s="234"/>
      <c r="BR854" s="237" t="s">
        <v>150</v>
      </c>
      <c r="BS854" s="238">
        <v>8</v>
      </c>
      <c r="BZ854" s="239">
        <f t="shared" si="104"/>
        <v>21.333333333333332</v>
      </c>
      <c r="CA854" s="239">
        <f>M854/3</f>
        <v>21.333333333333332</v>
      </c>
      <c r="CB854" s="239">
        <f>M854/3</f>
        <v>21.333333333333332</v>
      </c>
      <c r="CN854" s="238">
        <f t="shared" si="99"/>
        <v>0</v>
      </c>
      <c r="CO854" s="238">
        <f t="shared" si="100"/>
        <v>64</v>
      </c>
    </row>
    <row r="855" spans="1:93" ht="13.95" customHeight="1" x14ac:dyDescent="0.2">
      <c r="A855" s="231">
        <v>7101</v>
      </c>
      <c r="B855" s="232" t="s">
        <v>822</v>
      </c>
      <c r="C855" s="232" t="s">
        <v>2501</v>
      </c>
      <c r="D855" s="232" t="s">
        <v>1295</v>
      </c>
      <c r="E855" s="232" t="s">
        <v>2505</v>
      </c>
      <c r="F855" s="231">
        <v>526922</v>
      </c>
      <c r="G855" s="231">
        <v>175807</v>
      </c>
      <c r="H855" s="232" t="s">
        <v>165</v>
      </c>
      <c r="I855" s="233">
        <v>44609</v>
      </c>
      <c r="J855" s="231"/>
      <c r="K855" s="231">
        <v>0</v>
      </c>
      <c r="L855" s="231">
        <v>54</v>
      </c>
      <c r="M855" s="231">
        <v>54</v>
      </c>
      <c r="N855" s="231">
        <v>2550</v>
      </c>
      <c r="O855" s="231">
        <v>1791</v>
      </c>
      <c r="P855" s="234" t="s">
        <v>318</v>
      </c>
      <c r="Q855" s="232" t="s">
        <v>2503</v>
      </c>
      <c r="R855" s="234" t="s">
        <v>320</v>
      </c>
      <c r="S855" s="235">
        <v>43483</v>
      </c>
      <c r="T855" s="235">
        <v>44225</v>
      </c>
      <c r="U855" s="234"/>
      <c r="V855" s="232" t="s">
        <v>321</v>
      </c>
      <c r="W855" s="231"/>
      <c r="X855" s="232" t="s">
        <v>322</v>
      </c>
      <c r="Y855" s="232" t="s">
        <v>323</v>
      </c>
      <c r="Z855" s="232" t="s">
        <v>323</v>
      </c>
      <c r="AA855" s="232" t="s">
        <v>324</v>
      </c>
      <c r="AB855" s="236">
        <v>8.3000000000000004E-2</v>
      </c>
      <c r="AC855" s="235"/>
      <c r="AD855" s="234"/>
      <c r="AE855" s="234"/>
      <c r="AF855" s="232" t="s">
        <v>57</v>
      </c>
      <c r="AG855" s="232" t="s">
        <v>333</v>
      </c>
      <c r="AH855" s="234" t="s">
        <v>317</v>
      </c>
      <c r="AJ855" s="234">
        <v>0</v>
      </c>
      <c r="AK855" s="234">
        <v>48</v>
      </c>
      <c r="AL855" s="234">
        <v>0</v>
      </c>
      <c r="AM855" s="234">
        <v>6</v>
      </c>
      <c r="AN855" s="234">
        <v>0</v>
      </c>
      <c r="AO855" s="234">
        <v>19</v>
      </c>
      <c r="AP855" s="234">
        <v>15</v>
      </c>
      <c r="AQ855" s="234">
        <v>17</v>
      </c>
      <c r="AR855" s="234">
        <v>3</v>
      </c>
      <c r="AS855" s="234">
        <v>0</v>
      </c>
      <c r="AT855" s="234">
        <v>0</v>
      </c>
      <c r="AU855" s="234">
        <v>0</v>
      </c>
      <c r="AV855" s="234">
        <v>19</v>
      </c>
      <c r="AW855" s="234">
        <v>15</v>
      </c>
      <c r="AX855" s="234">
        <v>17</v>
      </c>
      <c r="AY855" s="234">
        <v>3</v>
      </c>
      <c r="AZ855" s="234">
        <v>0</v>
      </c>
      <c r="BA855" s="234">
        <v>0</v>
      </c>
      <c r="BB855" s="234">
        <v>0</v>
      </c>
      <c r="BC855" s="234">
        <v>0</v>
      </c>
      <c r="BD855" s="234">
        <v>0</v>
      </c>
      <c r="BE855" s="234">
        <v>0</v>
      </c>
      <c r="BF855" s="234">
        <v>0</v>
      </c>
      <c r="BG855" s="234">
        <v>0</v>
      </c>
      <c r="BH855" s="234">
        <v>0</v>
      </c>
      <c r="BI855" s="234">
        <v>0</v>
      </c>
      <c r="BJ855" s="234">
        <v>0</v>
      </c>
      <c r="BK855" s="234">
        <v>0</v>
      </c>
      <c r="BL855" s="234">
        <v>0</v>
      </c>
      <c r="BM855" s="234">
        <v>0</v>
      </c>
      <c r="BN855" s="234">
        <v>0</v>
      </c>
      <c r="BO855" s="234">
        <v>0</v>
      </c>
      <c r="BP855" s="234"/>
      <c r="BQ855" s="234"/>
      <c r="BR855" s="237" t="s">
        <v>150</v>
      </c>
      <c r="BS855" s="238">
        <v>8</v>
      </c>
      <c r="BZ855" s="239">
        <f t="shared" si="104"/>
        <v>18</v>
      </c>
      <c r="CA855" s="239">
        <f>M855/3</f>
        <v>18</v>
      </c>
      <c r="CB855" s="239">
        <f>M855/3</f>
        <v>18</v>
      </c>
      <c r="CN855" s="238">
        <f t="shared" si="99"/>
        <v>0</v>
      </c>
      <c r="CO855" s="238">
        <f t="shared" si="100"/>
        <v>54</v>
      </c>
    </row>
    <row r="856" spans="1:93" ht="13.95" customHeight="1" x14ac:dyDescent="0.2">
      <c r="A856" s="231">
        <v>7101</v>
      </c>
      <c r="B856" s="232" t="s">
        <v>822</v>
      </c>
      <c r="C856" s="232" t="s">
        <v>2501</v>
      </c>
      <c r="D856" s="232" t="s">
        <v>1295</v>
      </c>
      <c r="E856" s="232" t="s">
        <v>2505</v>
      </c>
      <c r="F856" s="231">
        <v>526922</v>
      </c>
      <c r="G856" s="231">
        <v>175807</v>
      </c>
      <c r="H856" s="232" t="s">
        <v>165</v>
      </c>
      <c r="I856" s="233">
        <v>44609</v>
      </c>
      <c r="J856" s="231"/>
      <c r="K856" s="231">
        <v>0</v>
      </c>
      <c r="L856" s="231">
        <v>9</v>
      </c>
      <c r="M856" s="231">
        <v>9</v>
      </c>
      <c r="N856" s="231">
        <v>2550</v>
      </c>
      <c r="O856" s="231">
        <v>1791</v>
      </c>
      <c r="P856" s="234" t="s">
        <v>318</v>
      </c>
      <c r="Q856" s="232" t="s">
        <v>2503</v>
      </c>
      <c r="R856" s="234" t="s">
        <v>320</v>
      </c>
      <c r="S856" s="235">
        <v>43483</v>
      </c>
      <c r="T856" s="235">
        <v>44225</v>
      </c>
      <c r="U856" s="234"/>
      <c r="V856" s="232" t="s">
        <v>321</v>
      </c>
      <c r="W856" s="231"/>
      <c r="X856" s="232" t="s">
        <v>322</v>
      </c>
      <c r="Y856" s="232" t="s">
        <v>323</v>
      </c>
      <c r="Z856" s="232" t="s">
        <v>323</v>
      </c>
      <c r="AA856" s="232" t="s">
        <v>324</v>
      </c>
      <c r="AB856" s="236">
        <v>1.4E-2</v>
      </c>
      <c r="AC856" s="235"/>
      <c r="AD856" s="234"/>
      <c r="AE856" s="234"/>
      <c r="AF856" s="232" t="s">
        <v>56</v>
      </c>
      <c r="AG856" s="232" t="s">
        <v>1298</v>
      </c>
      <c r="AH856" s="234" t="s">
        <v>317</v>
      </c>
      <c r="AJ856" s="234">
        <v>0</v>
      </c>
      <c r="AK856" s="234">
        <v>8</v>
      </c>
      <c r="AL856" s="234">
        <v>0</v>
      </c>
      <c r="AM856" s="234">
        <v>1</v>
      </c>
      <c r="AN856" s="234">
        <v>0</v>
      </c>
      <c r="AO856" s="234">
        <v>2</v>
      </c>
      <c r="AP856" s="234">
        <v>3</v>
      </c>
      <c r="AQ856" s="234">
        <v>3</v>
      </c>
      <c r="AR856" s="234">
        <v>1</v>
      </c>
      <c r="AS856" s="234">
        <v>0</v>
      </c>
      <c r="AT856" s="234">
        <v>0</v>
      </c>
      <c r="AU856" s="234">
        <v>0</v>
      </c>
      <c r="AV856" s="234">
        <v>2</v>
      </c>
      <c r="AW856" s="234">
        <v>3</v>
      </c>
      <c r="AX856" s="234">
        <v>3</v>
      </c>
      <c r="AY856" s="234">
        <v>1</v>
      </c>
      <c r="AZ856" s="234">
        <v>0</v>
      </c>
      <c r="BA856" s="234">
        <v>0</v>
      </c>
      <c r="BB856" s="234">
        <v>0</v>
      </c>
      <c r="BC856" s="234">
        <v>0</v>
      </c>
      <c r="BD856" s="234">
        <v>0</v>
      </c>
      <c r="BE856" s="234">
        <v>0</v>
      </c>
      <c r="BF856" s="234">
        <v>0</v>
      </c>
      <c r="BG856" s="234">
        <v>0</v>
      </c>
      <c r="BH856" s="234">
        <v>0</v>
      </c>
      <c r="BI856" s="234">
        <v>0</v>
      </c>
      <c r="BJ856" s="234">
        <v>0</v>
      </c>
      <c r="BK856" s="234">
        <v>0</v>
      </c>
      <c r="BL856" s="234">
        <v>0</v>
      </c>
      <c r="BM856" s="234">
        <v>0</v>
      </c>
      <c r="BN856" s="234">
        <v>0</v>
      </c>
      <c r="BO856" s="234">
        <v>0</v>
      </c>
      <c r="BP856" s="234"/>
      <c r="BQ856" s="234"/>
      <c r="BR856" s="237" t="s">
        <v>150</v>
      </c>
      <c r="BS856" s="238">
        <v>8</v>
      </c>
      <c r="BZ856" s="239">
        <f t="shared" si="104"/>
        <v>3</v>
      </c>
      <c r="CA856" s="239">
        <f>M856/3</f>
        <v>3</v>
      </c>
      <c r="CB856" s="239">
        <f>M856/3</f>
        <v>3</v>
      </c>
      <c r="CN856" s="238">
        <f t="shared" si="99"/>
        <v>0</v>
      </c>
      <c r="CO856" s="238">
        <f t="shared" si="100"/>
        <v>9</v>
      </c>
    </row>
    <row r="857" spans="1:93" ht="13.95" customHeight="1" x14ac:dyDescent="0.2">
      <c r="A857" s="231">
        <v>464</v>
      </c>
      <c r="B857" s="232" t="s">
        <v>822</v>
      </c>
      <c r="C857" s="232" t="s">
        <v>2506</v>
      </c>
      <c r="D857" s="232" t="s">
        <v>2507</v>
      </c>
      <c r="E857" s="232" t="s">
        <v>801</v>
      </c>
      <c r="F857" s="231">
        <v>529321</v>
      </c>
      <c r="G857" s="231">
        <v>177258</v>
      </c>
      <c r="H857" s="232" t="s">
        <v>168</v>
      </c>
      <c r="I857" s="233">
        <v>44606</v>
      </c>
      <c r="J857" s="231"/>
      <c r="K857" s="231">
        <v>0</v>
      </c>
      <c r="L857" s="231">
        <v>42</v>
      </c>
      <c r="M857" s="231">
        <v>42</v>
      </c>
      <c r="N857" s="231">
        <v>307</v>
      </c>
      <c r="O857" s="231">
        <v>307</v>
      </c>
      <c r="P857" s="234" t="s">
        <v>318</v>
      </c>
      <c r="Q857" s="232" t="s">
        <v>2508</v>
      </c>
      <c r="R857" s="234" t="s">
        <v>320</v>
      </c>
      <c r="S857" s="235">
        <v>42338</v>
      </c>
      <c r="T857" s="235">
        <v>43552</v>
      </c>
      <c r="U857" s="234"/>
      <c r="V857" s="232" t="s">
        <v>321</v>
      </c>
      <c r="W857" s="231"/>
      <c r="X857" s="232" t="s">
        <v>322</v>
      </c>
      <c r="Y857" s="232" t="s">
        <v>323</v>
      </c>
      <c r="Z857" s="232" t="s">
        <v>323</v>
      </c>
      <c r="AA857" s="232" t="s">
        <v>324</v>
      </c>
      <c r="AB857" s="236">
        <v>3.9E-2</v>
      </c>
      <c r="AC857" s="235"/>
      <c r="AD857" s="234"/>
      <c r="AE857" s="234"/>
      <c r="AF857" s="232" t="s">
        <v>77</v>
      </c>
      <c r="AG857" s="232" t="s">
        <v>350</v>
      </c>
      <c r="AH857" s="234" t="s">
        <v>2509</v>
      </c>
      <c r="AI857" s="234">
        <v>17320035</v>
      </c>
      <c r="AJ857" s="234">
        <v>0</v>
      </c>
      <c r="AK857" s="234">
        <v>38</v>
      </c>
      <c r="AL857" s="234">
        <v>0</v>
      </c>
      <c r="AM857" s="234">
        <v>4</v>
      </c>
      <c r="AN857" s="234">
        <v>0</v>
      </c>
      <c r="AO857" s="234">
        <v>10</v>
      </c>
      <c r="AP857" s="234">
        <v>21</v>
      </c>
      <c r="AQ857" s="234">
        <v>10</v>
      </c>
      <c r="AR857" s="234">
        <v>1</v>
      </c>
      <c r="AS857" s="234">
        <v>0</v>
      </c>
      <c r="AT857" s="234">
        <v>0</v>
      </c>
      <c r="AU857" s="234">
        <v>0</v>
      </c>
      <c r="AV857" s="234">
        <v>10</v>
      </c>
      <c r="AW857" s="234">
        <v>21</v>
      </c>
      <c r="AX857" s="234">
        <v>10</v>
      </c>
      <c r="AY857" s="234">
        <v>1</v>
      </c>
      <c r="AZ857" s="234">
        <v>0</v>
      </c>
      <c r="BA857" s="234">
        <v>0</v>
      </c>
      <c r="BB857" s="234">
        <v>0</v>
      </c>
      <c r="BC857" s="234">
        <v>0</v>
      </c>
      <c r="BD857" s="234">
        <v>0</v>
      </c>
      <c r="BE857" s="234">
        <v>0</v>
      </c>
      <c r="BF857" s="234">
        <v>0</v>
      </c>
      <c r="BG857" s="234">
        <v>0</v>
      </c>
      <c r="BH857" s="234">
        <v>0</v>
      </c>
      <c r="BI857" s="234">
        <v>0</v>
      </c>
      <c r="BJ857" s="234">
        <v>0</v>
      </c>
      <c r="BK857" s="234">
        <v>0</v>
      </c>
      <c r="BL857" s="234">
        <v>0</v>
      </c>
      <c r="BM857" s="234">
        <v>0</v>
      </c>
      <c r="BN857" s="234">
        <v>0</v>
      </c>
      <c r="BO857" s="234">
        <v>0</v>
      </c>
      <c r="BP857" s="234"/>
      <c r="BQ857" s="234" t="s">
        <v>318</v>
      </c>
      <c r="BR857" s="237" t="s">
        <v>151</v>
      </c>
      <c r="BS857" s="238">
        <v>10</v>
      </c>
      <c r="BX857" s="239">
        <f>M857/3</f>
        <v>14</v>
      </c>
      <c r="BY857" s="239">
        <f>M857/3</f>
        <v>14</v>
      </c>
      <c r="BZ857" s="239">
        <f t="shared" si="104"/>
        <v>14</v>
      </c>
      <c r="CN857" s="238">
        <f t="shared" si="99"/>
        <v>28</v>
      </c>
      <c r="CO857" s="238">
        <f t="shared" si="100"/>
        <v>42</v>
      </c>
    </row>
    <row r="858" spans="1:93" ht="13.95" customHeight="1" x14ac:dyDescent="0.2">
      <c r="A858" s="231">
        <v>518</v>
      </c>
      <c r="B858" s="232" t="s">
        <v>822</v>
      </c>
      <c r="C858" s="232" t="s">
        <v>2510</v>
      </c>
      <c r="D858" s="232" t="s">
        <v>2511</v>
      </c>
      <c r="E858" s="232" t="s">
        <v>801</v>
      </c>
      <c r="F858" s="231">
        <v>527485</v>
      </c>
      <c r="G858" s="231">
        <v>171424</v>
      </c>
      <c r="H858" s="232" t="s">
        <v>177</v>
      </c>
      <c r="I858" s="233"/>
      <c r="J858" s="231"/>
      <c r="K858" s="231">
        <v>4</v>
      </c>
      <c r="L858" s="231">
        <v>5</v>
      </c>
      <c r="M858" s="231">
        <v>1</v>
      </c>
      <c r="N858" s="231">
        <v>9</v>
      </c>
      <c r="O858" s="231">
        <v>5</v>
      </c>
      <c r="P858" s="234"/>
      <c r="Q858" s="232" t="s">
        <v>2512</v>
      </c>
      <c r="R858" s="234" t="s">
        <v>332</v>
      </c>
      <c r="S858" s="235">
        <v>43896</v>
      </c>
      <c r="T858" s="235">
        <v>44013</v>
      </c>
      <c r="U858" s="234"/>
      <c r="V858" s="232" t="s">
        <v>321</v>
      </c>
      <c r="W858" s="231"/>
      <c r="X858" s="232" t="s">
        <v>322</v>
      </c>
      <c r="Y858" s="232" t="s">
        <v>338</v>
      </c>
      <c r="Z858" s="232" t="s">
        <v>324</v>
      </c>
      <c r="AA858" s="232" t="s">
        <v>411</v>
      </c>
      <c r="AB858" s="236">
        <v>1.2E-2</v>
      </c>
      <c r="AC858" s="235"/>
      <c r="AD858" s="234"/>
      <c r="AE858" s="234"/>
      <c r="AF858" s="232" t="s">
        <v>77</v>
      </c>
      <c r="AG858" s="232" t="s">
        <v>350</v>
      </c>
      <c r="AH858" s="234" t="s">
        <v>317</v>
      </c>
      <c r="AJ858" s="234">
        <v>0</v>
      </c>
      <c r="AK858" s="224"/>
      <c r="AL858" s="234">
        <v>0</v>
      </c>
      <c r="AM858" s="224"/>
      <c r="AN858" s="234">
        <v>0</v>
      </c>
      <c r="AO858" s="234">
        <v>2</v>
      </c>
      <c r="AP858" s="234">
        <v>-2</v>
      </c>
      <c r="AQ858" s="234">
        <v>1</v>
      </c>
      <c r="AR858" s="234">
        <v>0</v>
      </c>
      <c r="AS858" s="234">
        <v>0</v>
      </c>
      <c r="AT858" s="234">
        <v>0</v>
      </c>
      <c r="AU858" s="234">
        <v>0</v>
      </c>
      <c r="AV858" s="234">
        <v>2</v>
      </c>
      <c r="AW858" s="234">
        <v>-2</v>
      </c>
      <c r="AX858" s="234">
        <v>1</v>
      </c>
      <c r="AY858" s="234">
        <v>0</v>
      </c>
      <c r="AZ858" s="234">
        <v>0</v>
      </c>
      <c r="BA858" s="234">
        <v>0</v>
      </c>
      <c r="BB858" s="234">
        <v>0</v>
      </c>
      <c r="BC858" s="234">
        <v>0</v>
      </c>
      <c r="BD858" s="234">
        <v>0</v>
      </c>
      <c r="BE858" s="234">
        <v>0</v>
      </c>
      <c r="BF858" s="234">
        <v>0</v>
      </c>
      <c r="BG858" s="234">
        <v>0</v>
      </c>
      <c r="BH858" s="234">
        <v>0</v>
      </c>
      <c r="BI858" s="234">
        <v>0</v>
      </c>
      <c r="BJ858" s="234">
        <v>0</v>
      </c>
      <c r="BK858" s="234">
        <v>0</v>
      </c>
      <c r="BL858" s="234">
        <v>0</v>
      </c>
      <c r="BM858" s="234">
        <v>0</v>
      </c>
      <c r="BN858" s="234">
        <v>0</v>
      </c>
      <c r="BO858" s="234">
        <v>0</v>
      </c>
      <c r="BP858" s="234" t="s">
        <v>144</v>
      </c>
      <c r="BQ858" s="234"/>
      <c r="BR858" s="237" t="s">
        <v>144</v>
      </c>
      <c r="BS858" s="238">
        <v>15</v>
      </c>
      <c r="BU858" s="239">
        <f>M858/4</f>
        <v>0.25</v>
      </c>
      <c r="BV858" s="239">
        <f>M858/4</f>
        <v>0.25</v>
      </c>
      <c r="BW858" s="239">
        <f>M858/4</f>
        <v>0.25</v>
      </c>
      <c r="BX858" s="239">
        <f>M858/4</f>
        <v>0.25</v>
      </c>
      <c r="CN858" s="238">
        <f t="shared" si="99"/>
        <v>1</v>
      </c>
      <c r="CO858" s="238">
        <f t="shared" si="100"/>
        <v>1</v>
      </c>
    </row>
    <row r="859" spans="1:93" ht="13.95" customHeight="1" x14ac:dyDescent="0.2">
      <c r="A859" s="231">
        <v>518</v>
      </c>
      <c r="B859" s="232" t="s">
        <v>822</v>
      </c>
      <c r="C859" s="232" t="s">
        <v>2510</v>
      </c>
      <c r="D859" s="232" t="s">
        <v>2511</v>
      </c>
      <c r="E859" s="232" t="s">
        <v>781</v>
      </c>
      <c r="F859" s="231">
        <v>527485</v>
      </c>
      <c r="G859" s="231">
        <v>171424</v>
      </c>
      <c r="H859" s="232" t="s">
        <v>177</v>
      </c>
      <c r="I859" s="233"/>
      <c r="J859" s="231"/>
      <c r="K859" s="231">
        <v>0</v>
      </c>
      <c r="L859" s="231">
        <v>4</v>
      </c>
      <c r="M859" s="231">
        <v>4</v>
      </c>
      <c r="N859" s="231">
        <v>9</v>
      </c>
      <c r="O859" s="231">
        <v>5</v>
      </c>
      <c r="P859" s="234"/>
      <c r="Q859" s="232" t="s">
        <v>2512</v>
      </c>
      <c r="R859" s="234" t="s">
        <v>332</v>
      </c>
      <c r="S859" s="235">
        <v>43896</v>
      </c>
      <c r="T859" s="235">
        <v>44013</v>
      </c>
      <c r="U859" s="234"/>
      <c r="V859" s="232" t="s">
        <v>321</v>
      </c>
      <c r="W859" s="231"/>
      <c r="X859" s="232" t="s">
        <v>322</v>
      </c>
      <c r="Y859" s="232" t="s">
        <v>338</v>
      </c>
      <c r="Z859" s="232" t="s">
        <v>324</v>
      </c>
      <c r="AA859" s="232" t="s">
        <v>354</v>
      </c>
      <c r="AB859" s="236">
        <v>8.9999999999999993E-3</v>
      </c>
      <c r="AC859" s="235"/>
      <c r="AD859" s="234"/>
      <c r="AE859" s="234"/>
      <c r="AF859" s="232" t="s">
        <v>77</v>
      </c>
      <c r="AG859" s="232" t="s">
        <v>350</v>
      </c>
      <c r="AH859" s="234" t="s">
        <v>317</v>
      </c>
      <c r="AJ859" s="234">
        <v>0</v>
      </c>
      <c r="AK859" s="224"/>
      <c r="AL859" s="234">
        <v>0</v>
      </c>
      <c r="AM859" s="224"/>
      <c r="AN859" s="234">
        <v>0</v>
      </c>
      <c r="AO859" s="234">
        <v>0</v>
      </c>
      <c r="AP859" s="234">
        <v>4</v>
      </c>
      <c r="AQ859" s="234">
        <v>0</v>
      </c>
      <c r="AR859" s="234">
        <v>0</v>
      </c>
      <c r="AS859" s="234">
        <v>0</v>
      </c>
      <c r="AT859" s="234">
        <v>0</v>
      </c>
      <c r="AU859" s="234">
        <v>0</v>
      </c>
      <c r="AV859" s="234">
        <v>0</v>
      </c>
      <c r="AW859" s="234">
        <v>4</v>
      </c>
      <c r="AX859" s="234">
        <v>0</v>
      </c>
      <c r="AY859" s="234">
        <v>0</v>
      </c>
      <c r="AZ859" s="234">
        <v>0</v>
      </c>
      <c r="BA859" s="234">
        <v>0</v>
      </c>
      <c r="BB859" s="234">
        <v>0</v>
      </c>
      <c r="BC859" s="234">
        <v>0</v>
      </c>
      <c r="BD859" s="234">
        <v>0</v>
      </c>
      <c r="BE859" s="234">
        <v>0</v>
      </c>
      <c r="BF859" s="234">
        <v>0</v>
      </c>
      <c r="BG859" s="234">
        <v>0</v>
      </c>
      <c r="BH859" s="234">
        <v>0</v>
      </c>
      <c r="BI859" s="234">
        <v>0</v>
      </c>
      <c r="BJ859" s="234">
        <v>0</v>
      </c>
      <c r="BK859" s="234">
        <v>0</v>
      </c>
      <c r="BL859" s="234">
        <v>0</v>
      </c>
      <c r="BM859" s="234">
        <v>0</v>
      </c>
      <c r="BN859" s="234">
        <v>0</v>
      </c>
      <c r="BO859" s="234">
        <v>0</v>
      </c>
      <c r="BP859" s="234" t="s">
        <v>144</v>
      </c>
      <c r="BQ859" s="234"/>
      <c r="BR859" s="237" t="s">
        <v>144</v>
      </c>
      <c r="BS859" s="238">
        <v>15</v>
      </c>
      <c r="BU859" s="239">
        <f>M859/4</f>
        <v>1</v>
      </c>
      <c r="BV859" s="239">
        <f>M859/4</f>
        <v>1</v>
      </c>
      <c r="BW859" s="239">
        <f>M859/4</f>
        <v>1</v>
      </c>
      <c r="BX859" s="239">
        <f>M859/4</f>
        <v>1</v>
      </c>
      <c r="CN859" s="238">
        <f t="shared" si="99"/>
        <v>4</v>
      </c>
      <c r="CO859" s="238">
        <f t="shared" si="100"/>
        <v>4</v>
      </c>
    </row>
    <row r="860" spans="1:93" ht="13.95" customHeight="1" x14ac:dyDescent="0.2">
      <c r="A860" s="231">
        <v>464</v>
      </c>
      <c r="B860" s="232" t="s">
        <v>822</v>
      </c>
      <c r="C860" s="232" t="s">
        <v>2506</v>
      </c>
      <c r="D860" s="232" t="s">
        <v>2507</v>
      </c>
      <c r="E860" s="232" t="s">
        <v>781</v>
      </c>
      <c r="F860" s="231">
        <v>529321</v>
      </c>
      <c r="G860" s="231">
        <v>177258</v>
      </c>
      <c r="H860" s="232" t="s">
        <v>168</v>
      </c>
      <c r="I860" s="233">
        <v>44606</v>
      </c>
      <c r="J860" s="231"/>
      <c r="K860" s="231">
        <v>0</v>
      </c>
      <c r="L860" s="231">
        <v>111</v>
      </c>
      <c r="M860" s="231">
        <v>111</v>
      </c>
      <c r="N860" s="231">
        <v>307</v>
      </c>
      <c r="O860" s="231">
        <v>307</v>
      </c>
      <c r="P860" s="234" t="s">
        <v>318</v>
      </c>
      <c r="Q860" s="232" t="s">
        <v>2508</v>
      </c>
      <c r="R860" s="234" t="s">
        <v>320</v>
      </c>
      <c r="S860" s="235">
        <v>42338</v>
      </c>
      <c r="T860" s="235">
        <v>43552</v>
      </c>
      <c r="U860" s="234"/>
      <c r="V860" s="232" t="s">
        <v>321</v>
      </c>
      <c r="W860" s="231"/>
      <c r="X860" s="232" t="s">
        <v>322</v>
      </c>
      <c r="Y860" s="232" t="s">
        <v>323</v>
      </c>
      <c r="Z860" s="232" t="s">
        <v>323</v>
      </c>
      <c r="AA860" s="232" t="s">
        <v>324</v>
      </c>
      <c r="AB860" s="236">
        <v>0.09</v>
      </c>
      <c r="AC860" s="235"/>
      <c r="AD860" s="234"/>
      <c r="AE860" s="234"/>
      <c r="AF860" s="232" t="s">
        <v>77</v>
      </c>
      <c r="AG860" s="232" t="s">
        <v>350</v>
      </c>
      <c r="AH860" s="234" t="s">
        <v>2509</v>
      </c>
      <c r="AI860" s="234">
        <v>17320035</v>
      </c>
      <c r="AJ860" s="234">
        <v>0</v>
      </c>
      <c r="AK860" s="234">
        <v>100</v>
      </c>
      <c r="AL860" s="234">
        <v>0</v>
      </c>
      <c r="AM860" s="234">
        <v>11</v>
      </c>
      <c r="AN860" s="234">
        <v>1</v>
      </c>
      <c r="AO860" s="234">
        <v>40</v>
      </c>
      <c r="AP860" s="234">
        <v>60</v>
      </c>
      <c r="AQ860" s="234">
        <v>10</v>
      </c>
      <c r="AR860" s="234">
        <v>0</v>
      </c>
      <c r="AS860" s="234">
        <v>0</v>
      </c>
      <c r="AT860" s="234">
        <v>0</v>
      </c>
      <c r="AU860" s="234">
        <v>1</v>
      </c>
      <c r="AV860" s="234">
        <v>40</v>
      </c>
      <c r="AW860" s="234">
        <v>60</v>
      </c>
      <c r="AX860" s="234">
        <v>10</v>
      </c>
      <c r="AY860" s="234">
        <v>0</v>
      </c>
      <c r="AZ860" s="234">
        <v>0</v>
      </c>
      <c r="BA860" s="234">
        <v>0</v>
      </c>
      <c r="BB860" s="234">
        <v>0</v>
      </c>
      <c r="BC860" s="234">
        <v>0</v>
      </c>
      <c r="BD860" s="234">
        <v>0</v>
      </c>
      <c r="BE860" s="234">
        <v>0</v>
      </c>
      <c r="BF860" s="234">
        <v>0</v>
      </c>
      <c r="BG860" s="234">
        <v>0</v>
      </c>
      <c r="BH860" s="234">
        <v>0</v>
      </c>
      <c r="BI860" s="234">
        <v>0</v>
      </c>
      <c r="BJ860" s="234">
        <v>0</v>
      </c>
      <c r="BK860" s="234">
        <v>0</v>
      </c>
      <c r="BL860" s="234">
        <v>0</v>
      </c>
      <c r="BM860" s="234">
        <v>0</v>
      </c>
      <c r="BN860" s="234">
        <v>0</v>
      </c>
      <c r="BO860" s="234">
        <v>0</v>
      </c>
      <c r="BP860" s="234"/>
      <c r="BQ860" s="234" t="s">
        <v>318</v>
      </c>
      <c r="BR860" s="237" t="s">
        <v>151</v>
      </c>
      <c r="BS860" s="238">
        <v>10</v>
      </c>
      <c r="BX860" s="239">
        <f t="shared" ref="BX860:BX871" si="105">M860/3</f>
        <v>37</v>
      </c>
      <c r="BY860" s="239">
        <f t="shared" ref="BY860:BY871" si="106">M860/3</f>
        <v>37</v>
      </c>
      <c r="BZ860" s="239">
        <f t="shared" ref="BZ860:BZ881" si="107">M860/3</f>
        <v>37</v>
      </c>
      <c r="CN860" s="238">
        <f t="shared" si="99"/>
        <v>74</v>
      </c>
      <c r="CO860" s="238">
        <f t="shared" si="100"/>
        <v>111</v>
      </c>
    </row>
    <row r="861" spans="1:93" ht="13.95" customHeight="1" x14ac:dyDescent="0.2">
      <c r="A861" s="231">
        <v>464</v>
      </c>
      <c r="B861" s="232" t="s">
        <v>822</v>
      </c>
      <c r="C861" s="232" t="s">
        <v>2506</v>
      </c>
      <c r="D861" s="232" t="s">
        <v>2507</v>
      </c>
      <c r="E861" s="232" t="s">
        <v>783</v>
      </c>
      <c r="F861" s="231">
        <v>529321</v>
      </c>
      <c r="G861" s="231">
        <v>177258</v>
      </c>
      <c r="H861" s="232" t="s">
        <v>168</v>
      </c>
      <c r="I861" s="233">
        <v>44606</v>
      </c>
      <c r="J861" s="231"/>
      <c r="K861" s="231">
        <v>0</v>
      </c>
      <c r="L861" s="231">
        <v>52</v>
      </c>
      <c r="M861" s="231">
        <v>52</v>
      </c>
      <c r="N861" s="231">
        <v>307</v>
      </c>
      <c r="O861" s="231">
        <v>307</v>
      </c>
      <c r="P861" s="234" t="s">
        <v>318</v>
      </c>
      <c r="Q861" s="232" t="s">
        <v>2508</v>
      </c>
      <c r="R861" s="234" t="s">
        <v>320</v>
      </c>
      <c r="S861" s="235">
        <v>42338</v>
      </c>
      <c r="T861" s="235">
        <v>43552</v>
      </c>
      <c r="U861" s="234"/>
      <c r="V861" s="232" t="s">
        <v>321</v>
      </c>
      <c r="W861" s="231"/>
      <c r="X861" s="232" t="s">
        <v>322</v>
      </c>
      <c r="Y861" s="232" t="s">
        <v>323</v>
      </c>
      <c r="Z861" s="232" t="s">
        <v>323</v>
      </c>
      <c r="AA861" s="232" t="s">
        <v>324</v>
      </c>
      <c r="AB861" s="236">
        <v>4.3999999999999997E-2</v>
      </c>
      <c r="AC861" s="235"/>
      <c r="AD861" s="234"/>
      <c r="AE861" s="234"/>
      <c r="AF861" s="232" t="s">
        <v>77</v>
      </c>
      <c r="AG861" s="232" t="s">
        <v>350</v>
      </c>
      <c r="AH861" s="234" t="s">
        <v>2509</v>
      </c>
      <c r="AI861" s="234">
        <v>17320035</v>
      </c>
      <c r="AJ861" s="234">
        <v>0</v>
      </c>
      <c r="AK861" s="234">
        <v>47</v>
      </c>
      <c r="AL861" s="234">
        <v>0</v>
      </c>
      <c r="AM861" s="234">
        <v>5</v>
      </c>
      <c r="AN861" s="234">
        <v>0</v>
      </c>
      <c r="AO861" s="234">
        <v>9</v>
      </c>
      <c r="AP861" s="234">
        <v>42</v>
      </c>
      <c r="AQ861" s="234">
        <v>1</v>
      </c>
      <c r="AR861" s="234">
        <v>0</v>
      </c>
      <c r="AS861" s="234">
        <v>0</v>
      </c>
      <c r="AT861" s="234">
        <v>0</v>
      </c>
      <c r="AU861" s="234">
        <v>0</v>
      </c>
      <c r="AV861" s="234">
        <v>9</v>
      </c>
      <c r="AW861" s="234">
        <v>42</v>
      </c>
      <c r="AX861" s="234">
        <v>1</v>
      </c>
      <c r="AY861" s="234">
        <v>0</v>
      </c>
      <c r="AZ861" s="234">
        <v>0</v>
      </c>
      <c r="BA861" s="234">
        <v>0</v>
      </c>
      <c r="BB861" s="234">
        <v>0</v>
      </c>
      <c r="BC861" s="234">
        <v>0</v>
      </c>
      <c r="BD861" s="234">
        <v>0</v>
      </c>
      <c r="BE861" s="234">
        <v>0</v>
      </c>
      <c r="BF861" s="234">
        <v>0</v>
      </c>
      <c r="BG861" s="234">
        <v>0</v>
      </c>
      <c r="BH861" s="234">
        <v>0</v>
      </c>
      <c r="BI861" s="234">
        <v>0</v>
      </c>
      <c r="BJ861" s="234">
        <v>0</v>
      </c>
      <c r="BK861" s="234">
        <v>0</v>
      </c>
      <c r="BL861" s="234">
        <v>0</v>
      </c>
      <c r="BM861" s="234">
        <v>0</v>
      </c>
      <c r="BN861" s="234">
        <v>0</v>
      </c>
      <c r="BO861" s="234">
        <v>0</v>
      </c>
      <c r="BP861" s="234"/>
      <c r="BQ861" s="234" t="s">
        <v>318</v>
      </c>
      <c r="BR861" s="237" t="s">
        <v>151</v>
      </c>
      <c r="BS861" s="238">
        <v>10</v>
      </c>
      <c r="BX861" s="239">
        <f t="shared" si="105"/>
        <v>17.333333333333332</v>
      </c>
      <c r="BY861" s="239">
        <f t="shared" si="106"/>
        <v>17.333333333333332</v>
      </c>
      <c r="BZ861" s="239">
        <f t="shared" si="107"/>
        <v>17.333333333333332</v>
      </c>
      <c r="CN861" s="238">
        <f t="shared" si="99"/>
        <v>34.666666666666664</v>
      </c>
      <c r="CO861" s="238">
        <f t="shared" si="100"/>
        <v>52</v>
      </c>
    </row>
    <row r="862" spans="1:93" ht="13.95" customHeight="1" x14ac:dyDescent="0.2">
      <c r="A862" s="231">
        <v>464</v>
      </c>
      <c r="B862" s="232" t="s">
        <v>822</v>
      </c>
      <c r="C862" s="232" t="s">
        <v>2506</v>
      </c>
      <c r="D862" s="232" t="s">
        <v>2507</v>
      </c>
      <c r="E862" s="232" t="s">
        <v>783</v>
      </c>
      <c r="F862" s="231">
        <v>529321</v>
      </c>
      <c r="G862" s="231">
        <v>177258</v>
      </c>
      <c r="H862" s="232" t="s">
        <v>168</v>
      </c>
      <c r="I862" s="233">
        <v>44606</v>
      </c>
      <c r="J862" s="231"/>
      <c r="K862" s="231">
        <v>0</v>
      </c>
      <c r="L862" s="231">
        <v>10</v>
      </c>
      <c r="M862" s="231">
        <v>10</v>
      </c>
      <c r="N862" s="231">
        <v>307</v>
      </c>
      <c r="O862" s="231">
        <v>307</v>
      </c>
      <c r="P862" s="234" t="s">
        <v>318</v>
      </c>
      <c r="Q862" s="232" t="s">
        <v>2508</v>
      </c>
      <c r="R862" s="234" t="s">
        <v>320</v>
      </c>
      <c r="S862" s="235">
        <v>42338</v>
      </c>
      <c r="T862" s="235">
        <v>43552</v>
      </c>
      <c r="U862" s="234"/>
      <c r="V862" s="232" t="s">
        <v>321</v>
      </c>
      <c r="W862" s="231"/>
      <c r="X862" s="232" t="s">
        <v>322</v>
      </c>
      <c r="Y862" s="232" t="s">
        <v>323</v>
      </c>
      <c r="Z862" s="232" t="s">
        <v>323</v>
      </c>
      <c r="AA862" s="232" t="s">
        <v>324</v>
      </c>
      <c r="AB862" s="236">
        <v>5.0000000000000001E-3</v>
      </c>
      <c r="AC862" s="235"/>
      <c r="AD862" s="234"/>
      <c r="AE862" s="234"/>
      <c r="AF862" s="232" t="s">
        <v>56</v>
      </c>
      <c r="AG862" s="232" t="s">
        <v>345</v>
      </c>
      <c r="AH862" s="234" t="s">
        <v>2509</v>
      </c>
      <c r="AI862" s="234">
        <v>17320035</v>
      </c>
      <c r="AJ862" s="234">
        <v>0</v>
      </c>
      <c r="AK862" s="234">
        <v>9</v>
      </c>
      <c r="AL862" s="234">
        <v>0</v>
      </c>
      <c r="AM862" s="234">
        <v>1</v>
      </c>
      <c r="AN862" s="234">
        <v>0</v>
      </c>
      <c r="AO862" s="234">
        <v>10</v>
      </c>
      <c r="AP862" s="234">
        <v>0</v>
      </c>
      <c r="AQ862" s="234">
        <v>0</v>
      </c>
      <c r="AR862" s="234">
        <v>0</v>
      </c>
      <c r="AS862" s="234">
        <v>0</v>
      </c>
      <c r="AT862" s="234">
        <v>0</v>
      </c>
      <c r="AU862" s="234">
        <v>0</v>
      </c>
      <c r="AV862" s="234">
        <v>10</v>
      </c>
      <c r="AW862" s="234">
        <v>0</v>
      </c>
      <c r="AX862" s="234">
        <v>0</v>
      </c>
      <c r="AY862" s="234">
        <v>0</v>
      </c>
      <c r="AZ862" s="234">
        <v>0</v>
      </c>
      <c r="BA862" s="234">
        <v>0</v>
      </c>
      <c r="BB862" s="234">
        <v>0</v>
      </c>
      <c r="BC862" s="234">
        <v>0</v>
      </c>
      <c r="BD862" s="234">
        <v>0</v>
      </c>
      <c r="BE862" s="234">
        <v>0</v>
      </c>
      <c r="BF862" s="234">
        <v>0</v>
      </c>
      <c r="BG862" s="234">
        <v>0</v>
      </c>
      <c r="BH862" s="234">
        <v>0</v>
      </c>
      <c r="BI862" s="234">
        <v>0</v>
      </c>
      <c r="BJ862" s="234">
        <v>0</v>
      </c>
      <c r="BK862" s="234">
        <v>0</v>
      </c>
      <c r="BL862" s="234">
        <v>0</v>
      </c>
      <c r="BM862" s="234">
        <v>0</v>
      </c>
      <c r="BN862" s="234">
        <v>0</v>
      </c>
      <c r="BO862" s="234">
        <v>0</v>
      </c>
      <c r="BP862" s="234"/>
      <c r="BQ862" s="234" t="s">
        <v>318</v>
      </c>
      <c r="BR862" s="237" t="s">
        <v>151</v>
      </c>
      <c r="BS862" s="238">
        <v>10</v>
      </c>
      <c r="BX862" s="239">
        <f t="shared" si="105"/>
        <v>3.3333333333333335</v>
      </c>
      <c r="BY862" s="239">
        <f t="shared" si="106"/>
        <v>3.3333333333333335</v>
      </c>
      <c r="BZ862" s="239">
        <f t="shared" si="107"/>
        <v>3.3333333333333335</v>
      </c>
      <c r="CN862" s="238">
        <f t="shared" si="99"/>
        <v>6.666666666666667</v>
      </c>
      <c r="CO862" s="238">
        <f t="shared" si="100"/>
        <v>10</v>
      </c>
    </row>
    <row r="863" spans="1:93" ht="13.95" customHeight="1" x14ac:dyDescent="0.2">
      <c r="A863" s="231">
        <v>464</v>
      </c>
      <c r="B863" s="232" t="s">
        <v>822</v>
      </c>
      <c r="C863" s="232" t="s">
        <v>2506</v>
      </c>
      <c r="D863" s="232" t="s">
        <v>2507</v>
      </c>
      <c r="E863" s="232" t="s">
        <v>1343</v>
      </c>
      <c r="F863" s="231">
        <v>529321</v>
      </c>
      <c r="G863" s="231">
        <v>177258</v>
      </c>
      <c r="H863" s="232" t="s">
        <v>168</v>
      </c>
      <c r="I863" s="233">
        <v>44606</v>
      </c>
      <c r="J863" s="231"/>
      <c r="K863" s="231">
        <v>0</v>
      </c>
      <c r="L863" s="231">
        <v>20</v>
      </c>
      <c r="M863" s="231">
        <v>20</v>
      </c>
      <c r="N863" s="231">
        <v>307</v>
      </c>
      <c r="O863" s="231">
        <v>307</v>
      </c>
      <c r="P863" s="234" t="s">
        <v>318</v>
      </c>
      <c r="Q863" s="232" t="s">
        <v>2508</v>
      </c>
      <c r="R863" s="234" t="s">
        <v>320</v>
      </c>
      <c r="S863" s="235">
        <v>42338</v>
      </c>
      <c r="T863" s="235">
        <v>43552</v>
      </c>
      <c r="U863" s="234"/>
      <c r="V863" s="232" t="s">
        <v>321</v>
      </c>
      <c r="W863" s="231"/>
      <c r="X863" s="232" t="s">
        <v>322</v>
      </c>
      <c r="Y863" s="232" t="s">
        <v>323</v>
      </c>
      <c r="Z863" s="232" t="s">
        <v>323</v>
      </c>
      <c r="AA863" s="232" t="s">
        <v>324</v>
      </c>
      <c r="AB863" s="236">
        <v>1.7999999999999999E-2</v>
      </c>
      <c r="AC863" s="235"/>
      <c r="AD863" s="234"/>
      <c r="AE863" s="234"/>
      <c r="AF863" s="232" t="s">
        <v>57</v>
      </c>
      <c r="AG863" s="232" t="s">
        <v>470</v>
      </c>
      <c r="AH863" s="234" t="s">
        <v>2509</v>
      </c>
      <c r="AI863" s="234">
        <v>17320035</v>
      </c>
      <c r="AJ863" s="234">
        <v>0</v>
      </c>
      <c r="AK863" s="234">
        <v>18</v>
      </c>
      <c r="AL863" s="234">
        <v>0</v>
      </c>
      <c r="AM863" s="234">
        <v>2</v>
      </c>
      <c r="AN863" s="234">
        <v>1</v>
      </c>
      <c r="AO863" s="234">
        <v>9</v>
      </c>
      <c r="AP863" s="234">
        <v>6</v>
      </c>
      <c r="AQ863" s="234">
        <v>4</v>
      </c>
      <c r="AR863" s="234">
        <v>0</v>
      </c>
      <c r="AS863" s="234">
        <v>0</v>
      </c>
      <c r="AT863" s="234">
        <v>0</v>
      </c>
      <c r="AU863" s="234">
        <v>1</v>
      </c>
      <c r="AV863" s="234">
        <v>9</v>
      </c>
      <c r="AW863" s="234">
        <v>6</v>
      </c>
      <c r="AX863" s="234">
        <v>4</v>
      </c>
      <c r="AY863" s="234">
        <v>0</v>
      </c>
      <c r="AZ863" s="234">
        <v>0</v>
      </c>
      <c r="BA863" s="234">
        <v>0</v>
      </c>
      <c r="BB863" s="234">
        <v>0</v>
      </c>
      <c r="BC863" s="234">
        <v>0</v>
      </c>
      <c r="BD863" s="234">
        <v>0</v>
      </c>
      <c r="BE863" s="234">
        <v>0</v>
      </c>
      <c r="BF863" s="234">
        <v>0</v>
      </c>
      <c r="BG863" s="234">
        <v>0</v>
      </c>
      <c r="BH863" s="234">
        <v>0</v>
      </c>
      <c r="BI863" s="234">
        <v>0</v>
      </c>
      <c r="BJ863" s="234">
        <v>0</v>
      </c>
      <c r="BK863" s="234">
        <v>0</v>
      </c>
      <c r="BL863" s="234">
        <v>0</v>
      </c>
      <c r="BM863" s="234">
        <v>0</v>
      </c>
      <c r="BN863" s="234">
        <v>0</v>
      </c>
      <c r="BO863" s="234">
        <v>0</v>
      </c>
      <c r="BP863" s="234"/>
      <c r="BQ863" s="234" t="s">
        <v>318</v>
      </c>
      <c r="BR863" s="237" t="s">
        <v>151</v>
      </c>
      <c r="BS863" s="238">
        <v>10</v>
      </c>
      <c r="BX863" s="239">
        <f t="shared" si="105"/>
        <v>6.666666666666667</v>
      </c>
      <c r="BY863" s="239">
        <f t="shared" si="106"/>
        <v>6.666666666666667</v>
      </c>
      <c r="BZ863" s="239">
        <f t="shared" si="107"/>
        <v>6.666666666666667</v>
      </c>
      <c r="CN863" s="238">
        <f t="shared" si="99"/>
        <v>13.333333333333334</v>
      </c>
      <c r="CO863" s="238">
        <f t="shared" si="100"/>
        <v>20</v>
      </c>
    </row>
    <row r="864" spans="1:93" ht="13.95" customHeight="1" x14ac:dyDescent="0.2">
      <c r="A864" s="231">
        <v>464</v>
      </c>
      <c r="B864" s="232" t="s">
        <v>822</v>
      </c>
      <c r="C864" s="232" t="s">
        <v>2506</v>
      </c>
      <c r="D864" s="232" t="s">
        <v>2507</v>
      </c>
      <c r="E864" s="232" t="s">
        <v>1346</v>
      </c>
      <c r="F864" s="231">
        <v>529321</v>
      </c>
      <c r="G864" s="231">
        <v>177258</v>
      </c>
      <c r="H864" s="232" t="s">
        <v>168</v>
      </c>
      <c r="I864" s="233">
        <v>44606</v>
      </c>
      <c r="J864" s="231"/>
      <c r="K864" s="231">
        <v>0</v>
      </c>
      <c r="L864" s="231">
        <v>47</v>
      </c>
      <c r="M864" s="231">
        <v>47</v>
      </c>
      <c r="N864" s="231">
        <v>307</v>
      </c>
      <c r="O864" s="231">
        <v>307</v>
      </c>
      <c r="P864" s="234" t="s">
        <v>318</v>
      </c>
      <c r="Q864" s="232" t="s">
        <v>2508</v>
      </c>
      <c r="R864" s="234" t="s">
        <v>320</v>
      </c>
      <c r="S864" s="235">
        <v>42338</v>
      </c>
      <c r="T864" s="235">
        <v>43552</v>
      </c>
      <c r="U864" s="234"/>
      <c r="V864" s="232" t="s">
        <v>321</v>
      </c>
      <c r="W864" s="231"/>
      <c r="X864" s="232" t="s">
        <v>322</v>
      </c>
      <c r="Y864" s="232" t="s">
        <v>323</v>
      </c>
      <c r="Z864" s="232" t="s">
        <v>323</v>
      </c>
      <c r="AA864" s="232" t="s">
        <v>324</v>
      </c>
      <c r="AB864" s="236">
        <v>3.9E-2</v>
      </c>
      <c r="AC864" s="235"/>
      <c r="AD864" s="234"/>
      <c r="AE864" s="234"/>
      <c r="AF864" s="232" t="s">
        <v>56</v>
      </c>
      <c r="AG864" s="232" t="s">
        <v>345</v>
      </c>
      <c r="AH864" s="234" t="s">
        <v>2509</v>
      </c>
      <c r="AI864" s="234">
        <v>17320035</v>
      </c>
      <c r="AJ864" s="234">
        <v>0</v>
      </c>
      <c r="AK864" s="234">
        <v>42</v>
      </c>
      <c r="AL864" s="234">
        <v>0</v>
      </c>
      <c r="AM864" s="234">
        <v>5</v>
      </c>
      <c r="AN864" s="234">
        <v>0</v>
      </c>
      <c r="AO864" s="234">
        <v>12</v>
      </c>
      <c r="AP864" s="234">
        <v>35</v>
      </c>
      <c r="AQ864" s="234">
        <v>0</v>
      </c>
      <c r="AR864" s="234">
        <v>0</v>
      </c>
      <c r="AS864" s="234">
        <v>0</v>
      </c>
      <c r="AT864" s="234">
        <v>0</v>
      </c>
      <c r="AU864" s="234">
        <v>0</v>
      </c>
      <c r="AV864" s="234">
        <v>12</v>
      </c>
      <c r="AW864" s="234">
        <v>35</v>
      </c>
      <c r="AX864" s="234">
        <v>0</v>
      </c>
      <c r="AY864" s="234">
        <v>0</v>
      </c>
      <c r="AZ864" s="234">
        <v>0</v>
      </c>
      <c r="BA864" s="234">
        <v>0</v>
      </c>
      <c r="BB864" s="234">
        <v>0</v>
      </c>
      <c r="BC864" s="234">
        <v>0</v>
      </c>
      <c r="BD864" s="234">
        <v>0</v>
      </c>
      <c r="BE864" s="234">
        <v>0</v>
      </c>
      <c r="BF864" s="234">
        <v>0</v>
      </c>
      <c r="BG864" s="234">
        <v>0</v>
      </c>
      <c r="BH864" s="234">
        <v>0</v>
      </c>
      <c r="BI864" s="234">
        <v>0</v>
      </c>
      <c r="BJ864" s="234">
        <v>0</v>
      </c>
      <c r="BK864" s="234">
        <v>0</v>
      </c>
      <c r="BL864" s="234">
        <v>0</v>
      </c>
      <c r="BM864" s="234">
        <v>0</v>
      </c>
      <c r="BN864" s="234">
        <v>0</v>
      </c>
      <c r="BO864" s="234">
        <v>0</v>
      </c>
      <c r="BP864" s="234"/>
      <c r="BQ864" s="234" t="s">
        <v>318</v>
      </c>
      <c r="BR864" s="237" t="s">
        <v>151</v>
      </c>
      <c r="BS864" s="238">
        <v>10</v>
      </c>
      <c r="BX864" s="239">
        <f t="shared" si="105"/>
        <v>15.666666666666666</v>
      </c>
      <c r="BY864" s="239">
        <f t="shared" si="106"/>
        <v>15.666666666666666</v>
      </c>
      <c r="BZ864" s="239">
        <f t="shared" si="107"/>
        <v>15.666666666666666</v>
      </c>
      <c r="CN864" s="238">
        <f t="shared" si="99"/>
        <v>31.333333333333332</v>
      </c>
      <c r="CO864" s="238">
        <f t="shared" si="100"/>
        <v>47</v>
      </c>
    </row>
    <row r="865" spans="1:93" ht="13.95" customHeight="1" x14ac:dyDescent="0.2">
      <c r="A865" s="231">
        <v>464</v>
      </c>
      <c r="B865" s="232" t="s">
        <v>822</v>
      </c>
      <c r="C865" s="232" t="s">
        <v>2506</v>
      </c>
      <c r="D865" s="232" t="s">
        <v>2507</v>
      </c>
      <c r="E865" s="232" t="s">
        <v>1346</v>
      </c>
      <c r="F865" s="231">
        <v>529321</v>
      </c>
      <c r="G865" s="231">
        <v>177258</v>
      </c>
      <c r="H865" s="232" t="s">
        <v>168</v>
      </c>
      <c r="I865" s="233">
        <v>44606</v>
      </c>
      <c r="J865" s="231"/>
      <c r="K865" s="231">
        <v>0</v>
      </c>
      <c r="L865" s="231">
        <v>25</v>
      </c>
      <c r="M865" s="231">
        <v>25</v>
      </c>
      <c r="N865" s="231">
        <v>307</v>
      </c>
      <c r="O865" s="231">
        <v>307</v>
      </c>
      <c r="P865" s="234" t="s">
        <v>318</v>
      </c>
      <c r="Q865" s="232" t="s">
        <v>2508</v>
      </c>
      <c r="R865" s="234" t="s">
        <v>320</v>
      </c>
      <c r="S865" s="235">
        <v>42338</v>
      </c>
      <c r="T865" s="235">
        <v>43552</v>
      </c>
      <c r="U865" s="234"/>
      <c r="V865" s="232" t="s">
        <v>321</v>
      </c>
      <c r="W865" s="231"/>
      <c r="X865" s="232" t="s">
        <v>322</v>
      </c>
      <c r="Y865" s="232" t="s">
        <v>323</v>
      </c>
      <c r="Z865" s="232" t="s">
        <v>323</v>
      </c>
      <c r="AA865" s="232" t="s">
        <v>324</v>
      </c>
      <c r="AB865" s="236">
        <v>2.1000000000000001E-2</v>
      </c>
      <c r="AC865" s="235"/>
      <c r="AD865" s="234"/>
      <c r="AE865" s="234"/>
      <c r="AF865" s="232" t="s">
        <v>77</v>
      </c>
      <c r="AG865" s="232" t="s">
        <v>350</v>
      </c>
      <c r="AH865" s="234" t="s">
        <v>2509</v>
      </c>
      <c r="AI865" s="234">
        <v>17320035</v>
      </c>
      <c r="AJ865" s="234">
        <v>0</v>
      </c>
      <c r="AK865" s="234">
        <v>22</v>
      </c>
      <c r="AL865" s="234">
        <v>0</v>
      </c>
      <c r="AM865" s="234">
        <v>3</v>
      </c>
      <c r="AN865" s="234">
        <v>0</v>
      </c>
      <c r="AO865" s="234">
        <v>0</v>
      </c>
      <c r="AP865" s="234">
        <v>25</v>
      </c>
      <c r="AQ865" s="234">
        <v>0</v>
      </c>
      <c r="AR865" s="234">
        <v>0</v>
      </c>
      <c r="AS865" s="234">
        <v>0</v>
      </c>
      <c r="AT865" s="234">
        <v>0</v>
      </c>
      <c r="AU865" s="234">
        <v>0</v>
      </c>
      <c r="AV865" s="234">
        <v>0</v>
      </c>
      <c r="AW865" s="234">
        <v>25</v>
      </c>
      <c r="AX865" s="234">
        <v>0</v>
      </c>
      <c r="AY865" s="234">
        <v>0</v>
      </c>
      <c r="AZ865" s="234">
        <v>0</v>
      </c>
      <c r="BA865" s="234">
        <v>0</v>
      </c>
      <c r="BB865" s="234">
        <v>0</v>
      </c>
      <c r="BC865" s="234">
        <v>0</v>
      </c>
      <c r="BD865" s="234">
        <v>0</v>
      </c>
      <c r="BE865" s="234">
        <v>0</v>
      </c>
      <c r="BF865" s="234">
        <v>0</v>
      </c>
      <c r="BG865" s="234">
        <v>0</v>
      </c>
      <c r="BH865" s="234">
        <v>0</v>
      </c>
      <c r="BI865" s="234">
        <v>0</v>
      </c>
      <c r="BJ865" s="234">
        <v>0</v>
      </c>
      <c r="BK865" s="234">
        <v>0</v>
      </c>
      <c r="BL865" s="234">
        <v>0</v>
      </c>
      <c r="BM865" s="234">
        <v>0</v>
      </c>
      <c r="BN865" s="234">
        <v>0</v>
      </c>
      <c r="BO865" s="234">
        <v>0</v>
      </c>
      <c r="BP865" s="234"/>
      <c r="BQ865" s="234" t="s">
        <v>318</v>
      </c>
      <c r="BR865" s="237" t="s">
        <v>151</v>
      </c>
      <c r="BS865" s="238">
        <v>10</v>
      </c>
      <c r="BX865" s="239">
        <f t="shared" si="105"/>
        <v>8.3333333333333339</v>
      </c>
      <c r="BY865" s="239">
        <f t="shared" si="106"/>
        <v>8.3333333333333339</v>
      </c>
      <c r="BZ865" s="239">
        <f t="shared" si="107"/>
        <v>8.3333333333333339</v>
      </c>
      <c r="CN865" s="238">
        <f t="shared" si="99"/>
        <v>16.666666666666668</v>
      </c>
      <c r="CO865" s="238">
        <f t="shared" si="100"/>
        <v>25</v>
      </c>
    </row>
    <row r="866" spans="1:93" ht="13.95" customHeight="1" x14ac:dyDescent="0.2">
      <c r="A866" s="231">
        <v>7304</v>
      </c>
      <c r="B866" s="232" t="s">
        <v>822</v>
      </c>
      <c r="C866" s="232" t="s">
        <v>2513</v>
      </c>
      <c r="D866" s="232" t="s">
        <v>2514</v>
      </c>
      <c r="E866" s="232" t="s">
        <v>2515</v>
      </c>
      <c r="F866" s="231">
        <v>522152</v>
      </c>
      <c r="G866" s="231">
        <v>173834</v>
      </c>
      <c r="H866" s="232" t="s">
        <v>170</v>
      </c>
      <c r="I866" s="233"/>
      <c r="J866" s="231"/>
      <c r="K866" s="231">
        <v>0</v>
      </c>
      <c r="L866" s="231">
        <v>230</v>
      </c>
      <c r="M866" s="231">
        <v>230</v>
      </c>
      <c r="N866" s="231">
        <v>1068</v>
      </c>
      <c r="O866" s="231">
        <v>780</v>
      </c>
      <c r="P866" s="234" t="s">
        <v>318</v>
      </c>
      <c r="Q866" s="232" t="s">
        <v>2516</v>
      </c>
      <c r="R866" s="234" t="s">
        <v>320</v>
      </c>
      <c r="S866" s="235">
        <v>43623</v>
      </c>
      <c r="T866" s="235">
        <v>44643</v>
      </c>
      <c r="U866" s="234"/>
      <c r="V866" s="232" t="s">
        <v>321</v>
      </c>
      <c r="W866" s="231"/>
      <c r="X866" s="232" t="s">
        <v>322</v>
      </c>
      <c r="Y866" s="232" t="s">
        <v>323</v>
      </c>
      <c r="Z866" s="232" t="s">
        <v>323</v>
      </c>
      <c r="AA866" s="232" t="s">
        <v>324</v>
      </c>
      <c r="AB866" s="236">
        <v>0.83599999999999997</v>
      </c>
      <c r="AC866" s="235"/>
      <c r="AD866" s="234"/>
      <c r="AE866" s="234"/>
      <c r="AF866" s="232" t="s">
        <v>77</v>
      </c>
      <c r="AG866" s="232" t="s">
        <v>350</v>
      </c>
      <c r="AH866" s="234" t="s">
        <v>2517</v>
      </c>
      <c r="AJ866" s="234">
        <v>0</v>
      </c>
      <c r="AK866" s="224"/>
      <c r="AL866" s="234">
        <v>0</v>
      </c>
      <c r="AM866" s="224"/>
      <c r="AN866" s="234">
        <v>0</v>
      </c>
      <c r="AO866" s="234">
        <v>57</v>
      </c>
      <c r="AP866" s="234">
        <v>159</v>
      </c>
      <c r="AQ866" s="234">
        <v>14</v>
      </c>
      <c r="AR866" s="234">
        <v>0</v>
      </c>
      <c r="AS866" s="234">
        <v>0</v>
      </c>
      <c r="AT866" s="234">
        <v>0</v>
      </c>
      <c r="AU866" s="234">
        <v>0</v>
      </c>
      <c r="AV866" s="234">
        <v>57</v>
      </c>
      <c r="AW866" s="234">
        <v>159</v>
      </c>
      <c r="AX866" s="234">
        <v>14</v>
      </c>
      <c r="AY866" s="234">
        <v>0</v>
      </c>
      <c r="AZ866" s="234">
        <v>0</v>
      </c>
      <c r="BA866" s="234">
        <v>0</v>
      </c>
      <c r="BB866" s="234">
        <v>0</v>
      </c>
      <c r="BC866" s="234">
        <v>0</v>
      </c>
      <c r="BD866" s="234">
        <v>0</v>
      </c>
      <c r="BE866" s="234">
        <v>0</v>
      </c>
      <c r="BF866" s="234">
        <v>0</v>
      </c>
      <c r="BG866" s="234">
        <v>0</v>
      </c>
      <c r="BH866" s="234">
        <v>0</v>
      </c>
      <c r="BI866" s="234">
        <v>0</v>
      </c>
      <c r="BJ866" s="234">
        <v>0</v>
      </c>
      <c r="BK866" s="234">
        <v>0</v>
      </c>
      <c r="BL866" s="234">
        <v>0</v>
      </c>
      <c r="BM866" s="234">
        <v>0</v>
      </c>
      <c r="BN866" s="234">
        <v>0</v>
      </c>
      <c r="BO866" s="234">
        <v>0</v>
      </c>
      <c r="BP866" s="234"/>
      <c r="BQ866" s="234"/>
      <c r="BR866" s="237" t="s">
        <v>153</v>
      </c>
      <c r="BS866" s="238">
        <v>10</v>
      </c>
      <c r="BX866" s="239">
        <f t="shared" si="105"/>
        <v>76.666666666666671</v>
      </c>
      <c r="BY866" s="239">
        <f t="shared" si="106"/>
        <v>76.666666666666671</v>
      </c>
      <c r="BZ866" s="239">
        <f t="shared" si="107"/>
        <v>76.666666666666671</v>
      </c>
      <c r="CN866" s="238">
        <f t="shared" si="99"/>
        <v>153.33333333333334</v>
      </c>
      <c r="CO866" s="238">
        <f t="shared" si="100"/>
        <v>230</v>
      </c>
    </row>
    <row r="867" spans="1:93" ht="13.95" customHeight="1" x14ac:dyDescent="0.2">
      <c r="A867" s="231">
        <v>7304</v>
      </c>
      <c r="B867" s="232" t="s">
        <v>822</v>
      </c>
      <c r="C867" s="232" t="s">
        <v>2513</v>
      </c>
      <c r="D867" s="232" t="s">
        <v>2514</v>
      </c>
      <c r="E867" s="232" t="s">
        <v>2518</v>
      </c>
      <c r="F867" s="231">
        <v>522152</v>
      </c>
      <c r="G867" s="231">
        <v>173834</v>
      </c>
      <c r="H867" s="232" t="s">
        <v>170</v>
      </c>
      <c r="I867" s="233"/>
      <c r="J867" s="231"/>
      <c r="K867" s="231">
        <v>0</v>
      </c>
      <c r="L867" s="231">
        <v>107</v>
      </c>
      <c r="M867" s="231">
        <v>107</v>
      </c>
      <c r="N867" s="231">
        <v>1068</v>
      </c>
      <c r="O867" s="231">
        <v>780</v>
      </c>
      <c r="P867" s="234" t="s">
        <v>318</v>
      </c>
      <c r="Q867" s="232" t="s">
        <v>2516</v>
      </c>
      <c r="R867" s="234" t="s">
        <v>320</v>
      </c>
      <c r="S867" s="235">
        <v>43623</v>
      </c>
      <c r="T867" s="235">
        <v>44643</v>
      </c>
      <c r="U867" s="234"/>
      <c r="V867" s="232" t="s">
        <v>321</v>
      </c>
      <c r="W867" s="231"/>
      <c r="X867" s="232" t="s">
        <v>322</v>
      </c>
      <c r="Y867" s="232" t="s">
        <v>323</v>
      </c>
      <c r="Z867" s="232" t="s">
        <v>323</v>
      </c>
      <c r="AA867" s="232" t="s">
        <v>324</v>
      </c>
      <c r="AB867" s="236">
        <v>0.38900000000000001</v>
      </c>
      <c r="AC867" s="235"/>
      <c r="AD867" s="234"/>
      <c r="AE867" s="234"/>
      <c r="AF867" s="232" t="s">
        <v>77</v>
      </c>
      <c r="AG867" s="232" t="s">
        <v>350</v>
      </c>
      <c r="AH867" s="234" t="s">
        <v>2517</v>
      </c>
      <c r="AJ867" s="234">
        <v>0</v>
      </c>
      <c r="AK867" s="224"/>
      <c r="AL867" s="234">
        <v>0</v>
      </c>
      <c r="AM867" s="224"/>
      <c r="AN867" s="234">
        <v>0</v>
      </c>
      <c r="AO867" s="234">
        <v>33</v>
      </c>
      <c r="AP867" s="234">
        <v>74</v>
      </c>
      <c r="AQ867" s="234">
        <v>0</v>
      </c>
      <c r="AR867" s="234">
        <v>0</v>
      </c>
      <c r="AS867" s="234">
        <v>0</v>
      </c>
      <c r="AT867" s="234">
        <v>0</v>
      </c>
      <c r="AU867" s="234">
        <v>0</v>
      </c>
      <c r="AV867" s="234">
        <v>33</v>
      </c>
      <c r="AW867" s="234">
        <v>74</v>
      </c>
      <c r="AX867" s="234">
        <v>0</v>
      </c>
      <c r="AY867" s="234">
        <v>0</v>
      </c>
      <c r="AZ867" s="234">
        <v>0</v>
      </c>
      <c r="BA867" s="234">
        <v>0</v>
      </c>
      <c r="BB867" s="234">
        <v>0</v>
      </c>
      <c r="BC867" s="234">
        <v>0</v>
      </c>
      <c r="BD867" s="234">
        <v>0</v>
      </c>
      <c r="BE867" s="234">
        <v>0</v>
      </c>
      <c r="BF867" s="234">
        <v>0</v>
      </c>
      <c r="BG867" s="234">
        <v>0</v>
      </c>
      <c r="BH867" s="234">
        <v>0</v>
      </c>
      <c r="BI867" s="234">
        <v>0</v>
      </c>
      <c r="BJ867" s="234">
        <v>0</v>
      </c>
      <c r="BK867" s="234">
        <v>0</v>
      </c>
      <c r="BL867" s="234">
        <v>0</v>
      </c>
      <c r="BM867" s="234">
        <v>0</v>
      </c>
      <c r="BN867" s="234">
        <v>0</v>
      </c>
      <c r="BO867" s="234">
        <v>0</v>
      </c>
      <c r="BP867" s="234"/>
      <c r="BQ867" s="234"/>
      <c r="BR867" s="237" t="s">
        <v>153</v>
      </c>
      <c r="BS867" s="238">
        <v>10</v>
      </c>
      <c r="BX867" s="239">
        <f t="shared" si="105"/>
        <v>35.666666666666664</v>
      </c>
      <c r="BY867" s="239">
        <f t="shared" si="106"/>
        <v>35.666666666666664</v>
      </c>
      <c r="BZ867" s="239">
        <f t="shared" si="107"/>
        <v>35.666666666666664</v>
      </c>
      <c r="CN867" s="238">
        <f t="shared" si="99"/>
        <v>71.333333333333329</v>
      </c>
      <c r="CO867" s="238">
        <f t="shared" si="100"/>
        <v>107</v>
      </c>
    </row>
    <row r="868" spans="1:93" ht="13.95" customHeight="1" x14ac:dyDescent="0.2">
      <c r="A868" s="231">
        <v>7304</v>
      </c>
      <c r="B868" s="232" t="s">
        <v>822</v>
      </c>
      <c r="C868" s="232" t="s">
        <v>2513</v>
      </c>
      <c r="D868" s="232" t="s">
        <v>2514</v>
      </c>
      <c r="E868" s="232" t="s">
        <v>2519</v>
      </c>
      <c r="F868" s="231">
        <v>522152</v>
      </c>
      <c r="G868" s="231">
        <v>173834</v>
      </c>
      <c r="H868" s="232" t="s">
        <v>170</v>
      </c>
      <c r="I868" s="233"/>
      <c r="J868" s="231"/>
      <c r="K868" s="231">
        <v>0</v>
      </c>
      <c r="L868" s="231">
        <v>121</v>
      </c>
      <c r="M868" s="231">
        <v>121</v>
      </c>
      <c r="N868" s="231">
        <v>1068</v>
      </c>
      <c r="O868" s="231">
        <v>780</v>
      </c>
      <c r="P868" s="234" t="s">
        <v>318</v>
      </c>
      <c r="Q868" s="232" t="s">
        <v>2516</v>
      </c>
      <c r="R868" s="234" t="s">
        <v>320</v>
      </c>
      <c r="S868" s="235">
        <v>43623</v>
      </c>
      <c r="T868" s="235">
        <v>44643</v>
      </c>
      <c r="U868" s="234"/>
      <c r="V868" s="232" t="s">
        <v>321</v>
      </c>
      <c r="W868" s="231"/>
      <c r="X868" s="232" t="s">
        <v>322</v>
      </c>
      <c r="Y868" s="232" t="s">
        <v>323</v>
      </c>
      <c r="Z868" s="232" t="s">
        <v>323</v>
      </c>
      <c r="AA868" s="232" t="s">
        <v>324</v>
      </c>
      <c r="AB868" s="236">
        <v>0.44</v>
      </c>
      <c r="AC868" s="235"/>
      <c r="AD868" s="234"/>
      <c r="AE868" s="234"/>
      <c r="AF868" s="232" t="s">
        <v>77</v>
      </c>
      <c r="AG868" s="232" t="s">
        <v>350</v>
      </c>
      <c r="AH868" s="234" t="s">
        <v>2517</v>
      </c>
      <c r="AJ868" s="234">
        <v>0</v>
      </c>
      <c r="AK868" s="224"/>
      <c r="AL868" s="234">
        <v>0</v>
      </c>
      <c r="AM868" s="224"/>
      <c r="AN868" s="234">
        <v>0</v>
      </c>
      <c r="AO868" s="234">
        <v>38</v>
      </c>
      <c r="AP868" s="234">
        <v>83</v>
      </c>
      <c r="AQ868" s="234">
        <v>0</v>
      </c>
      <c r="AR868" s="234">
        <v>0</v>
      </c>
      <c r="AS868" s="234">
        <v>0</v>
      </c>
      <c r="AT868" s="234">
        <v>0</v>
      </c>
      <c r="AU868" s="234">
        <v>0</v>
      </c>
      <c r="AV868" s="234">
        <v>38</v>
      </c>
      <c r="AW868" s="234">
        <v>83</v>
      </c>
      <c r="AX868" s="234">
        <v>0</v>
      </c>
      <c r="AY868" s="234">
        <v>0</v>
      </c>
      <c r="AZ868" s="234">
        <v>0</v>
      </c>
      <c r="BA868" s="234">
        <v>0</v>
      </c>
      <c r="BB868" s="234">
        <v>0</v>
      </c>
      <c r="BC868" s="234">
        <v>0</v>
      </c>
      <c r="BD868" s="234">
        <v>0</v>
      </c>
      <c r="BE868" s="234">
        <v>0</v>
      </c>
      <c r="BF868" s="234">
        <v>0</v>
      </c>
      <c r="BG868" s="234">
        <v>0</v>
      </c>
      <c r="BH868" s="234">
        <v>0</v>
      </c>
      <c r="BI868" s="234">
        <v>0</v>
      </c>
      <c r="BJ868" s="234">
        <v>0</v>
      </c>
      <c r="BK868" s="234">
        <v>0</v>
      </c>
      <c r="BL868" s="234">
        <v>0</v>
      </c>
      <c r="BM868" s="234">
        <v>0</v>
      </c>
      <c r="BN868" s="234">
        <v>0</v>
      </c>
      <c r="BO868" s="234">
        <v>0</v>
      </c>
      <c r="BP868" s="234"/>
      <c r="BQ868" s="234"/>
      <c r="BR868" s="237" t="s">
        <v>153</v>
      </c>
      <c r="BS868" s="238">
        <v>10</v>
      </c>
      <c r="BX868" s="239">
        <f t="shared" si="105"/>
        <v>40.333333333333336</v>
      </c>
      <c r="BY868" s="239">
        <f t="shared" si="106"/>
        <v>40.333333333333336</v>
      </c>
      <c r="BZ868" s="239">
        <f t="shared" si="107"/>
        <v>40.333333333333336</v>
      </c>
      <c r="CN868" s="238">
        <f t="shared" si="99"/>
        <v>80.666666666666671</v>
      </c>
      <c r="CO868" s="238">
        <f t="shared" si="100"/>
        <v>121</v>
      </c>
    </row>
    <row r="869" spans="1:93" ht="13.95" customHeight="1" x14ac:dyDescent="0.2">
      <c r="A869" s="231">
        <v>7304</v>
      </c>
      <c r="B869" s="232" t="s">
        <v>822</v>
      </c>
      <c r="C869" s="232" t="s">
        <v>2513</v>
      </c>
      <c r="D869" s="232" t="s">
        <v>2514</v>
      </c>
      <c r="E869" s="232" t="s">
        <v>2520</v>
      </c>
      <c r="F869" s="231">
        <v>522152</v>
      </c>
      <c r="G869" s="231">
        <v>173834</v>
      </c>
      <c r="H869" s="232" t="s">
        <v>170</v>
      </c>
      <c r="I869" s="233"/>
      <c r="J869" s="231"/>
      <c r="K869" s="231">
        <v>0</v>
      </c>
      <c r="L869" s="231">
        <v>29</v>
      </c>
      <c r="M869" s="231">
        <v>29</v>
      </c>
      <c r="N869" s="231">
        <v>1068</v>
      </c>
      <c r="O869" s="231">
        <v>780</v>
      </c>
      <c r="P869" s="234" t="s">
        <v>318</v>
      </c>
      <c r="Q869" s="232" t="s">
        <v>2516</v>
      </c>
      <c r="R869" s="234" t="s">
        <v>320</v>
      </c>
      <c r="S869" s="235">
        <v>43623</v>
      </c>
      <c r="T869" s="235">
        <v>44643</v>
      </c>
      <c r="U869" s="234"/>
      <c r="V869" s="232" t="s">
        <v>321</v>
      </c>
      <c r="W869" s="231"/>
      <c r="X869" s="232" t="s">
        <v>322</v>
      </c>
      <c r="Y869" s="232" t="s">
        <v>323</v>
      </c>
      <c r="Z869" s="232" t="s">
        <v>323</v>
      </c>
      <c r="AA869" s="232" t="s">
        <v>324</v>
      </c>
      <c r="AB869" s="236">
        <v>0.14499999999999999</v>
      </c>
      <c r="AC869" s="235"/>
      <c r="AD869" s="234"/>
      <c r="AE869" s="234"/>
      <c r="AF869" s="232" t="s">
        <v>57</v>
      </c>
      <c r="AG869" s="232" t="s">
        <v>333</v>
      </c>
      <c r="AH869" s="234" t="s">
        <v>2517</v>
      </c>
      <c r="AJ869" s="234">
        <v>0</v>
      </c>
      <c r="AK869" s="224"/>
      <c r="AL869" s="234">
        <v>0</v>
      </c>
      <c r="AM869" s="224"/>
      <c r="AN869" s="234">
        <v>0</v>
      </c>
      <c r="AO869" s="234">
        <v>12</v>
      </c>
      <c r="AP869" s="234">
        <v>14</v>
      </c>
      <c r="AQ869" s="234">
        <v>3</v>
      </c>
      <c r="AR869" s="234">
        <v>0</v>
      </c>
      <c r="AS869" s="234">
        <v>0</v>
      </c>
      <c r="AT869" s="234">
        <v>0</v>
      </c>
      <c r="AU869" s="234">
        <v>0</v>
      </c>
      <c r="AV869" s="234">
        <v>12</v>
      </c>
      <c r="AW869" s="234">
        <v>14</v>
      </c>
      <c r="AX869" s="234">
        <v>3</v>
      </c>
      <c r="AY869" s="234">
        <v>0</v>
      </c>
      <c r="AZ869" s="234">
        <v>0</v>
      </c>
      <c r="BA869" s="234">
        <v>0</v>
      </c>
      <c r="BB869" s="234">
        <v>0</v>
      </c>
      <c r="BC869" s="234">
        <v>0</v>
      </c>
      <c r="BD869" s="234">
        <v>0</v>
      </c>
      <c r="BE869" s="234">
        <v>0</v>
      </c>
      <c r="BF869" s="234">
        <v>0</v>
      </c>
      <c r="BG869" s="234">
        <v>0</v>
      </c>
      <c r="BH869" s="234">
        <v>0</v>
      </c>
      <c r="BI869" s="234">
        <v>0</v>
      </c>
      <c r="BJ869" s="234">
        <v>0</v>
      </c>
      <c r="BK869" s="234">
        <v>0</v>
      </c>
      <c r="BL869" s="234">
        <v>0</v>
      </c>
      <c r="BM869" s="234">
        <v>0</v>
      </c>
      <c r="BN869" s="234">
        <v>0</v>
      </c>
      <c r="BO869" s="234">
        <v>0</v>
      </c>
      <c r="BP869" s="234"/>
      <c r="BQ869" s="234"/>
      <c r="BR869" s="237" t="s">
        <v>153</v>
      </c>
      <c r="BS869" s="238">
        <v>10</v>
      </c>
      <c r="BX869" s="239">
        <f t="shared" si="105"/>
        <v>9.6666666666666661</v>
      </c>
      <c r="BY869" s="239">
        <f t="shared" si="106"/>
        <v>9.6666666666666661</v>
      </c>
      <c r="BZ869" s="239">
        <f t="shared" si="107"/>
        <v>9.6666666666666661</v>
      </c>
      <c r="CN869" s="238">
        <f t="shared" si="99"/>
        <v>19.333333333333332</v>
      </c>
      <c r="CO869" s="238">
        <f t="shared" si="100"/>
        <v>29</v>
      </c>
    </row>
    <row r="870" spans="1:93" ht="13.95" customHeight="1" x14ac:dyDescent="0.2">
      <c r="A870" s="231">
        <v>7304</v>
      </c>
      <c r="B870" s="232" t="s">
        <v>822</v>
      </c>
      <c r="C870" s="232" t="s">
        <v>2513</v>
      </c>
      <c r="D870" s="232" t="s">
        <v>2514</v>
      </c>
      <c r="E870" s="232" t="s">
        <v>2520</v>
      </c>
      <c r="F870" s="231">
        <v>522152</v>
      </c>
      <c r="G870" s="231">
        <v>173834</v>
      </c>
      <c r="H870" s="232" t="s">
        <v>170</v>
      </c>
      <c r="I870" s="233"/>
      <c r="J870" s="231"/>
      <c r="K870" s="231">
        <v>0</v>
      </c>
      <c r="L870" s="231">
        <v>6</v>
      </c>
      <c r="M870" s="231">
        <v>6</v>
      </c>
      <c r="N870" s="231">
        <v>1068</v>
      </c>
      <c r="O870" s="231">
        <v>780</v>
      </c>
      <c r="P870" s="234" t="s">
        <v>318</v>
      </c>
      <c r="Q870" s="232" t="s">
        <v>2516</v>
      </c>
      <c r="R870" s="234" t="s">
        <v>320</v>
      </c>
      <c r="S870" s="235">
        <v>43623</v>
      </c>
      <c r="T870" s="235">
        <v>44643</v>
      </c>
      <c r="U870" s="234"/>
      <c r="V870" s="232" t="s">
        <v>321</v>
      </c>
      <c r="W870" s="231"/>
      <c r="X870" s="232" t="s">
        <v>322</v>
      </c>
      <c r="Y870" s="232" t="s">
        <v>323</v>
      </c>
      <c r="Z870" s="232" t="s">
        <v>323</v>
      </c>
      <c r="AA870" s="232" t="s">
        <v>324</v>
      </c>
      <c r="AB870" s="236">
        <v>2.1780000000000001E-2</v>
      </c>
      <c r="AC870" s="235"/>
      <c r="AD870" s="234"/>
      <c r="AE870" s="234"/>
      <c r="AF870" s="232" t="s">
        <v>56</v>
      </c>
      <c r="AG870" s="232" t="s">
        <v>1298</v>
      </c>
      <c r="AH870" s="234" t="s">
        <v>2517</v>
      </c>
      <c r="AJ870" s="234">
        <v>0</v>
      </c>
      <c r="AK870" s="224"/>
      <c r="AL870" s="234">
        <v>0</v>
      </c>
      <c r="AM870" s="224"/>
      <c r="AN870" s="234">
        <v>0</v>
      </c>
      <c r="AO870" s="234">
        <v>0</v>
      </c>
      <c r="AP870" s="234">
        <v>2</v>
      </c>
      <c r="AQ870" s="234">
        <v>2</v>
      </c>
      <c r="AR870" s="234">
        <v>2</v>
      </c>
      <c r="AS870" s="234">
        <v>0</v>
      </c>
      <c r="AT870" s="234">
        <v>0</v>
      </c>
      <c r="AU870" s="234">
        <v>0</v>
      </c>
      <c r="AV870" s="234">
        <v>0</v>
      </c>
      <c r="AW870" s="234">
        <v>2</v>
      </c>
      <c r="AX870" s="234">
        <v>2</v>
      </c>
      <c r="AY870" s="234">
        <v>2</v>
      </c>
      <c r="AZ870" s="234">
        <v>0</v>
      </c>
      <c r="BA870" s="234">
        <v>0</v>
      </c>
      <c r="BB870" s="234">
        <v>0</v>
      </c>
      <c r="BC870" s="234">
        <v>0</v>
      </c>
      <c r="BD870" s="234">
        <v>0</v>
      </c>
      <c r="BE870" s="234">
        <v>0</v>
      </c>
      <c r="BF870" s="234">
        <v>0</v>
      </c>
      <c r="BG870" s="234">
        <v>0</v>
      </c>
      <c r="BH870" s="234">
        <v>0</v>
      </c>
      <c r="BI870" s="234">
        <v>0</v>
      </c>
      <c r="BJ870" s="234">
        <v>0</v>
      </c>
      <c r="BK870" s="234">
        <v>0</v>
      </c>
      <c r="BL870" s="234">
        <v>0</v>
      </c>
      <c r="BM870" s="234">
        <v>0</v>
      </c>
      <c r="BN870" s="234">
        <v>0</v>
      </c>
      <c r="BO870" s="234">
        <v>0</v>
      </c>
      <c r="BP870" s="234"/>
      <c r="BQ870" s="234"/>
      <c r="BR870" s="237" t="s">
        <v>153</v>
      </c>
      <c r="BS870" s="238">
        <v>10</v>
      </c>
      <c r="BX870" s="239">
        <f t="shared" si="105"/>
        <v>2</v>
      </c>
      <c r="BY870" s="239">
        <f t="shared" si="106"/>
        <v>2</v>
      </c>
      <c r="BZ870" s="239">
        <f t="shared" si="107"/>
        <v>2</v>
      </c>
      <c r="CN870" s="238">
        <f t="shared" si="99"/>
        <v>4</v>
      </c>
      <c r="CO870" s="238">
        <f t="shared" si="100"/>
        <v>6</v>
      </c>
    </row>
    <row r="871" spans="1:93" ht="13.95" customHeight="1" x14ac:dyDescent="0.2">
      <c r="A871" s="231">
        <v>7304</v>
      </c>
      <c r="B871" s="232" t="s">
        <v>822</v>
      </c>
      <c r="C871" s="232" t="s">
        <v>2513</v>
      </c>
      <c r="D871" s="232" t="s">
        <v>2514</v>
      </c>
      <c r="E871" s="232" t="s">
        <v>2521</v>
      </c>
      <c r="F871" s="231">
        <v>522152</v>
      </c>
      <c r="G871" s="231">
        <v>173834</v>
      </c>
      <c r="H871" s="232" t="s">
        <v>170</v>
      </c>
      <c r="I871" s="233"/>
      <c r="J871" s="231"/>
      <c r="K871" s="231">
        <v>0</v>
      </c>
      <c r="L871" s="231">
        <v>31</v>
      </c>
      <c r="M871" s="231">
        <v>31</v>
      </c>
      <c r="N871" s="231">
        <v>1068</v>
      </c>
      <c r="O871" s="231">
        <v>780</v>
      </c>
      <c r="P871" s="234" t="s">
        <v>318</v>
      </c>
      <c r="Q871" s="232" t="s">
        <v>2516</v>
      </c>
      <c r="R871" s="234" t="s">
        <v>320</v>
      </c>
      <c r="S871" s="235">
        <v>43623</v>
      </c>
      <c r="T871" s="235">
        <v>44643</v>
      </c>
      <c r="U871" s="234"/>
      <c r="V871" s="232" t="s">
        <v>321</v>
      </c>
      <c r="W871" s="231"/>
      <c r="X871" s="232" t="s">
        <v>322</v>
      </c>
      <c r="Y871" s="232" t="s">
        <v>323</v>
      </c>
      <c r="Z871" s="232" t="s">
        <v>323</v>
      </c>
      <c r="AA871" s="232" t="s">
        <v>324</v>
      </c>
      <c r="AB871" s="236">
        <v>0.11253000000000001</v>
      </c>
      <c r="AC871" s="235"/>
      <c r="AD871" s="234"/>
      <c r="AE871" s="234"/>
      <c r="AF871" s="232" t="s">
        <v>56</v>
      </c>
      <c r="AG871" s="232" t="s">
        <v>325</v>
      </c>
      <c r="AH871" s="234" t="s">
        <v>2517</v>
      </c>
      <c r="AJ871" s="234">
        <v>0</v>
      </c>
      <c r="AK871" s="224"/>
      <c r="AL871" s="234">
        <v>0</v>
      </c>
      <c r="AM871" s="224"/>
      <c r="AN871" s="234">
        <v>0</v>
      </c>
      <c r="AO871" s="234">
        <v>12</v>
      </c>
      <c r="AP871" s="234">
        <v>14</v>
      </c>
      <c r="AQ871" s="234">
        <v>5</v>
      </c>
      <c r="AR871" s="234">
        <v>0</v>
      </c>
      <c r="AS871" s="234">
        <v>0</v>
      </c>
      <c r="AT871" s="234">
        <v>0</v>
      </c>
      <c r="AU871" s="234">
        <v>0</v>
      </c>
      <c r="AV871" s="234">
        <v>12</v>
      </c>
      <c r="AW871" s="234">
        <v>14</v>
      </c>
      <c r="AX871" s="234">
        <v>5</v>
      </c>
      <c r="AY871" s="234">
        <v>0</v>
      </c>
      <c r="AZ871" s="234">
        <v>0</v>
      </c>
      <c r="BA871" s="234">
        <v>0</v>
      </c>
      <c r="BB871" s="234">
        <v>0</v>
      </c>
      <c r="BC871" s="234">
        <v>0</v>
      </c>
      <c r="BD871" s="234">
        <v>0</v>
      </c>
      <c r="BE871" s="234">
        <v>0</v>
      </c>
      <c r="BF871" s="234">
        <v>0</v>
      </c>
      <c r="BG871" s="234">
        <v>0</v>
      </c>
      <c r="BH871" s="234">
        <v>0</v>
      </c>
      <c r="BI871" s="234">
        <v>0</v>
      </c>
      <c r="BJ871" s="234">
        <v>0</v>
      </c>
      <c r="BK871" s="234">
        <v>0</v>
      </c>
      <c r="BL871" s="234">
        <v>0</v>
      </c>
      <c r="BM871" s="234">
        <v>0</v>
      </c>
      <c r="BN871" s="234">
        <v>0</v>
      </c>
      <c r="BO871" s="234">
        <v>0</v>
      </c>
      <c r="BP871" s="234"/>
      <c r="BQ871" s="234"/>
      <c r="BR871" s="237" t="s">
        <v>153</v>
      </c>
      <c r="BS871" s="238">
        <v>10</v>
      </c>
      <c r="BX871" s="239">
        <f t="shared" si="105"/>
        <v>10.333333333333334</v>
      </c>
      <c r="BY871" s="239">
        <f t="shared" si="106"/>
        <v>10.333333333333334</v>
      </c>
      <c r="BZ871" s="239">
        <f t="shared" si="107"/>
        <v>10.333333333333334</v>
      </c>
      <c r="CN871" s="238">
        <f t="shared" si="99"/>
        <v>20.666666666666668</v>
      </c>
      <c r="CO871" s="238">
        <f t="shared" si="100"/>
        <v>31</v>
      </c>
    </row>
    <row r="872" spans="1:93" ht="13.95" customHeight="1" x14ac:dyDescent="0.2">
      <c r="A872" s="231">
        <v>7101</v>
      </c>
      <c r="B872" s="232" t="s">
        <v>822</v>
      </c>
      <c r="C872" s="232" t="s">
        <v>2501</v>
      </c>
      <c r="D872" s="232" t="s">
        <v>1295</v>
      </c>
      <c r="E872" s="232" t="s">
        <v>2522</v>
      </c>
      <c r="F872" s="231">
        <v>526922</v>
      </c>
      <c r="G872" s="231">
        <v>175807</v>
      </c>
      <c r="H872" s="232" t="s">
        <v>165</v>
      </c>
      <c r="I872" s="233">
        <v>44609</v>
      </c>
      <c r="J872" s="231"/>
      <c r="K872" s="231">
        <v>0</v>
      </c>
      <c r="L872" s="231">
        <v>1355</v>
      </c>
      <c r="M872" s="231">
        <v>1355</v>
      </c>
      <c r="N872" s="231">
        <v>2550</v>
      </c>
      <c r="O872" s="231">
        <v>1791</v>
      </c>
      <c r="P872" s="234" t="s">
        <v>318</v>
      </c>
      <c r="Q872" s="232" t="s">
        <v>2503</v>
      </c>
      <c r="R872" s="234" t="s">
        <v>320</v>
      </c>
      <c r="S872" s="235">
        <v>43483</v>
      </c>
      <c r="T872" s="235">
        <v>44225</v>
      </c>
      <c r="U872" s="234"/>
      <c r="V872" s="232" t="s">
        <v>321</v>
      </c>
      <c r="W872" s="231"/>
      <c r="X872" s="232" t="s">
        <v>322</v>
      </c>
      <c r="Y872" s="232" t="s">
        <v>323</v>
      </c>
      <c r="Z872" s="232" t="s">
        <v>323</v>
      </c>
      <c r="AA872" s="232" t="s">
        <v>324</v>
      </c>
      <c r="AB872" s="236">
        <v>2.0819999999999999</v>
      </c>
      <c r="AC872" s="235"/>
      <c r="AD872" s="234"/>
      <c r="AE872" s="234"/>
      <c r="AF872" s="232" t="s">
        <v>77</v>
      </c>
      <c r="AG872" s="232" t="s">
        <v>350</v>
      </c>
      <c r="AH872" s="234" t="s">
        <v>317</v>
      </c>
      <c r="AJ872" s="234">
        <v>0</v>
      </c>
      <c r="AK872" s="234">
        <v>1219</v>
      </c>
      <c r="AL872" s="234">
        <v>0</v>
      </c>
      <c r="AM872" s="234">
        <v>136</v>
      </c>
      <c r="AN872" s="234">
        <v>0</v>
      </c>
      <c r="AO872" s="234">
        <v>0</v>
      </c>
      <c r="AP872" s="234">
        <v>0</v>
      </c>
      <c r="AQ872" s="234">
        <v>0</v>
      </c>
      <c r="AR872" s="234">
        <v>0</v>
      </c>
      <c r="AS872" s="234">
        <v>0</v>
      </c>
      <c r="AT872" s="234">
        <v>1355</v>
      </c>
      <c r="AU872" s="234">
        <v>0</v>
      </c>
      <c r="AV872" s="234">
        <v>0</v>
      </c>
      <c r="AW872" s="234">
        <v>0</v>
      </c>
      <c r="AX872" s="234">
        <v>0</v>
      </c>
      <c r="AY872" s="234">
        <v>0</v>
      </c>
      <c r="AZ872" s="234">
        <v>0</v>
      </c>
      <c r="BA872" s="234">
        <v>1355</v>
      </c>
      <c r="BB872" s="234">
        <v>0</v>
      </c>
      <c r="BC872" s="234">
        <v>0</v>
      </c>
      <c r="BD872" s="234">
        <v>0</v>
      </c>
      <c r="BE872" s="234">
        <v>0</v>
      </c>
      <c r="BF872" s="234">
        <v>0</v>
      </c>
      <c r="BG872" s="234">
        <v>0</v>
      </c>
      <c r="BH872" s="234">
        <v>0</v>
      </c>
      <c r="BI872" s="234">
        <v>0</v>
      </c>
      <c r="BJ872" s="234">
        <v>0</v>
      </c>
      <c r="BK872" s="234">
        <v>0</v>
      </c>
      <c r="BL872" s="234">
        <v>0</v>
      </c>
      <c r="BM872" s="234">
        <v>0</v>
      </c>
      <c r="BN872" s="234">
        <v>0</v>
      </c>
      <c r="BO872" s="234">
        <v>0</v>
      </c>
      <c r="BP872" s="234"/>
      <c r="BQ872" s="234"/>
      <c r="BR872" s="237" t="s">
        <v>150</v>
      </c>
      <c r="BS872" s="238">
        <v>8</v>
      </c>
      <c r="BZ872" s="239">
        <f t="shared" si="107"/>
        <v>451.66666666666669</v>
      </c>
      <c r="CA872" s="239">
        <f>M872/3</f>
        <v>451.66666666666669</v>
      </c>
      <c r="CB872" s="239">
        <f>M872/3</f>
        <v>451.66666666666669</v>
      </c>
      <c r="CN872" s="238">
        <f t="shared" si="99"/>
        <v>0</v>
      </c>
      <c r="CO872" s="238">
        <f t="shared" si="100"/>
        <v>1355</v>
      </c>
    </row>
    <row r="873" spans="1:93" ht="13.95" customHeight="1" x14ac:dyDescent="0.2">
      <c r="A873" s="231">
        <v>7101</v>
      </c>
      <c r="B873" s="232" t="s">
        <v>822</v>
      </c>
      <c r="C873" s="232" t="s">
        <v>2501</v>
      </c>
      <c r="D873" s="232" t="s">
        <v>1295</v>
      </c>
      <c r="E873" s="232" t="s">
        <v>2522</v>
      </c>
      <c r="F873" s="231">
        <v>526922</v>
      </c>
      <c r="G873" s="231">
        <v>175807</v>
      </c>
      <c r="H873" s="232" t="s">
        <v>165</v>
      </c>
      <c r="I873" s="233">
        <v>44609</v>
      </c>
      <c r="J873" s="231"/>
      <c r="K873" s="231">
        <v>0</v>
      </c>
      <c r="L873" s="231">
        <v>379</v>
      </c>
      <c r="M873" s="231">
        <v>379</v>
      </c>
      <c r="N873" s="231">
        <v>2550</v>
      </c>
      <c r="O873" s="231">
        <v>1791</v>
      </c>
      <c r="P873" s="234" t="s">
        <v>318</v>
      </c>
      <c r="Q873" s="232" t="s">
        <v>2503</v>
      </c>
      <c r="R873" s="234" t="s">
        <v>320</v>
      </c>
      <c r="S873" s="235">
        <v>43483</v>
      </c>
      <c r="T873" s="235">
        <v>44225</v>
      </c>
      <c r="U873" s="234"/>
      <c r="V873" s="232" t="s">
        <v>321</v>
      </c>
      <c r="W873" s="231"/>
      <c r="X873" s="232" t="s">
        <v>322</v>
      </c>
      <c r="Y873" s="232" t="s">
        <v>323</v>
      </c>
      <c r="Z873" s="232" t="s">
        <v>323</v>
      </c>
      <c r="AA873" s="232" t="s">
        <v>324</v>
      </c>
      <c r="AB873" s="236">
        <v>0.58199999999999996</v>
      </c>
      <c r="AC873" s="235"/>
      <c r="AD873" s="234"/>
      <c r="AE873" s="234"/>
      <c r="AF873" s="232" t="s">
        <v>57</v>
      </c>
      <c r="AG873" s="232" t="s">
        <v>898</v>
      </c>
      <c r="AH873" s="234" t="s">
        <v>317</v>
      </c>
      <c r="AJ873" s="234">
        <v>0</v>
      </c>
      <c r="AK873" s="234">
        <v>341</v>
      </c>
      <c r="AL873" s="234">
        <v>0</v>
      </c>
      <c r="AM873" s="234">
        <v>38</v>
      </c>
      <c r="AN873" s="234">
        <v>0</v>
      </c>
      <c r="AO873" s="234">
        <v>0</v>
      </c>
      <c r="AP873" s="234">
        <v>0</v>
      </c>
      <c r="AQ873" s="234">
        <v>0</v>
      </c>
      <c r="AR873" s="234">
        <v>0</v>
      </c>
      <c r="AS873" s="234">
        <v>0</v>
      </c>
      <c r="AT873" s="234">
        <v>379</v>
      </c>
      <c r="AU873" s="234">
        <v>0</v>
      </c>
      <c r="AV873" s="234">
        <v>0</v>
      </c>
      <c r="AW873" s="234">
        <v>0</v>
      </c>
      <c r="AX873" s="234">
        <v>0</v>
      </c>
      <c r="AY873" s="234">
        <v>0</v>
      </c>
      <c r="AZ873" s="234">
        <v>0</v>
      </c>
      <c r="BA873" s="234">
        <v>379</v>
      </c>
      <c r="BB873" s="234">
        <v>0</v>
      </c>
      <c r="BC873" s="234">
        <v>0</v>
      </c>
      <c r="BD873" s="234">
        <v>0</v>
      </c>
      <c r="BE873" s="234">
        <v>0</v>
      </c>
      <c r="BF873" s="234">
        <v>0</v>
      </c>
      <c r="BG873" s="234">
        <v>0</v>
      </c>
      <c r="BH873" s="234">
        <v>0</v>
      </c>
      <c r="BI873" s="234">
        <v>0</v>
      </c>
      <c r="BJ873" s="234">
        <v>0</v>
      </c>
      <c r="BK873" s="234">
        <v>0</v>
      </c>
      <c r="BL873" s="234">
        <v>0</v>
      </c>
      <c r="BM873" s="234">
        <v>0</v>
      </c>
      <c r="BN873" s="234">
        <v>0</v>
      </c>
      <c r="BO873" s="234">
        <v>0</v>
      </c>
      <c r="BP873" s="234"/>
      <c r="BQ873" s="234"/>
      <c r="BR873" s="237" t="s">
        <v>150</v>
      </c>
      <c r="BS873" s="238">
        <v>8</v>
      </c>
      <c r="BZ873" s="239">
        <f t="shared" si="107"/>
        <v>126.33333333333333</v>
      </c>
      <c r="CA873" s="239">
        <f>M873/3</f>
        <v>126.33333333333333</v>
      </c>
      <c r="CB873" s="239">
        <f>M873/3</f>
        <v>126.33333333333333</v>
      </c>
      <c r="CN873" s="238">
        <f t="shared" si="99"/>
        <v>0</v>
      </c>
      <c r="CO873" s="238">
        <f t="shared" si="100"/>
        <v>379</v>
      </c>
    </row>
    <row r="874" spans="1:93" ht="13.95" customHeight="1" x14ac:dyDescent="0.2">
      <c r="A874" s="231">
        <v>7101</v>
      </c>
      <c r="B874" s="232" t="s">
        <v>822</v>
      </c>
      <c r="C874" s="232" t="s">
        <v>2501</v>
      </c>
      <c r="D874" s="232" t="s">
        <v>1295</v>
      </c>
      <c r="E874" s="232" t="s">
        <v>2522</v>
      </c>
      <c r="F874" s="231">
        <v>526922</v>
      </c>
      <c r="G874" s="231">
        <v>175807</v>
      </c>
      <c r="H874" s="232" t="s">
        <v>165</v>
      </c>
      <c r="I874" s="233">
        <v>44609</v>
      </c>
      <c r="J874" s="231"/>
      <c r="K874" s="231">
        <v>0</v>
      </c>
      <c r="L874" s="231">
        <v>214</v>
      </c>
      <c r="M874" s="231">
        <v>214</v>
      </c>
      <c r="N874" s="231">
        <v>2550</v>
      </c>
      <c r="O874" s="231">
        <v>1791</v>
      </c>
      <c r="P874" s="234" t="s">
        <v>318</v>
      </c>
      <c r="Q874" s="232" t="s">
        <v>2503</v>
      </c>
      <c r="R874" s="234" t="s">
        <v>320</v>
      </c>
      <c r="S874" s="235">
        <v>43483</v>
      </c>
      <c r="T874" s="235">
        <v>44225</v>
      </c>
      <c r="U874" s="234"/>
      <c r="V874" s="232" t="s">
        <v>321</v>
      </c>
      <c r="W874" s="231"/>
      <c r="X874" s="232" t="s">
        <v>322</v>
      </c>
      <c r="Y874" s="232" t="s">
        <v>323</v>
      </c>
      <c r="Z874" s="232" t="s">
        <v>323</v>
      </c>
      <c r="AA874" s="232" t="s">
        <v>324</v>
      </c>
      <c r="AB874" s="236">
        <v>0.32900000000000001</v>
      </c>
      <c r="AC874" s="235"/>
      <c r="AD874" s="234"/>
      <c r="AE874" s="234"/>
      <c r="AF874" s="232" t="s">
        <v>56</v>
      </c>
      <c r="AG874" s="232" t="s">
        <v>1298</v>
      </c>
      <c r="AH874" s="234" t="s">
        <v>317</v>
      </c>
      <c r="AJ874" s="234">
        <v>0</v>
      </c>
      <c r="AK874" s="234">
        <v>193</v>
      </c>
      <c r="AL874" s="234">
        <v>0</v>
      </c>
      <c r="AM874" s="234">
        <v>21</v>
      </c>
      <c r="AN874" s="234">
        <v>0</v>
      </c>
      <c r="AO874" s="234">
        <v>0</v>
      </c>
      <c r="AP874" s="234">
        <v>0</v>
      </c>
      <c r="AQ874" s="234">
        <v>0</v>
      </c>
      <c r="AR874" s="234">
        <v>0</v>
      </c>
      <c r="AS874" s="234">
        <v>0</v>
      </c>
      <c r="AT874" s="234">
        <v>214</v>
      </c>
      <c r="AU874" s="234">
        <v>0</v>
      </c>
      <c r="AV874" s="234">
        <v>0</v>
      </c>
      <c r="AW874" s="234">
        <v>0</v>
      </c>
      <c r="AX874" s="234">
        <v>0</v>
      </c>
      <c r="AY874" s="234">
        <v>0</v>
      </c>
      <c r="AZ874" s="234">
        <v>0</v>
      </c>
      <c r="BA874" s="234">
        <v>214</v>
      </c>
      <c r="BB874" s="234">
        <v>0</v>
      </c>
      <c r="BC874" s="234">
        <v>0</v>
      </c>
      <c r="BD874" s="234">
        <v>0</v>
      </c>
      <c r="BE874" s="234">
        <v>0</v>
      </c>
      <c r="BF874" s="234">
        <v>0</v>
      </c>
      <c r="BG874" s="234">
        <v>0</v>
      </c>
      <c r="BH874" s="234">
        <v>0</v>
      </c>
      <c r="BI874" s="234">
        <v>0</v>
      </c>
      <c r="BJ874" s="234">
        <v>0</v>
      </c>
      <c r="BK874" s="234">
        <v>0</v>
      </c>
      <c r="BL874" s="234">
        <v>0</v>
      </c>
      <c r="BM874" s="234">
        <v>0</v>
      </c>
      <c r="BN874" s="234">
        <v>0</v>
      </c>
      <c r="BO874" s="234">
        <v>0</v>
      </c>
      <c r="BP874" s="234"/>
      <c r="BQ874" s="234"/>
      <c r="BR874" s="237" t="s">
        <v>150</v>
      </c>
      <c r="BS874" s="238">
        <v>8</v>
      </c>
      <c r="BZ874" s="239">
        <f t="shared" si="107"/>
        <v>71.333333333333329</v>
      </c>
      <c r="CA874" s="239">
        <f>M874/3</f>
        <v>71.333333333333329</v>
      </c>
      <c r="CB874" s="239">
        <f>M874/3</f>
        <v>71.333333333333329</v>
      </c>
      <c r="CN874" s="238">
        <f t="shared" si="99"/>
        <v>0</v>
      </c>
      <c r="CO874" s="238">
        <f t="shared" si="100"/>
        <v>214</v>
      </c>
    </row>
    <row r="875" spans="1:93" ht="13.95" customHeight="1" x14ac:dyDescent="0.2">
      <c r="A875" s="231">
        <v>7101</v>
      </c>
      <c r="B875" s="232" t="s">
        <v>822</v>
      </c>
      <c r="C875" s="232" t="s">
        <v>2501</v>
      </c>
      <c r="D875" s="232" t="s">
        <v>1295</v>
      </c>
      <c r="E875" s="232" t="s">
        <v>2522</v>
      </c>
      <c r="F875" s="231">
        <v>526922</v>
      </c>
      <c r="G875" s="231">
        <v>175807</v>
      </c>
      <c r="H875" s="232" t="s">
        <v>165</v>
      </c>
      <c r="I875" s="233">
        <v>44609</v>
      </c>
      <c r="J875" s="231"/>
      <c r="K875" s="231">
        <v>0</v>
      </c>
      <c r="L875" s="231">
        <v>100</v>
      </c>
      <c r="M875" s="231">
        <v>100</v>
      </c>
      <c r="N875" s="231">
        <v>2550</v>
      </c>
      <c r="O875" s="231">
        <v>1791</v>
      </c>
      <c r="P875" s="234" t="s">
        <v>318</v>
      </c>
      <c r="Q875" s="232" t="s">
        <v>2503</v>
      </c>
      <c r="R875" s="234" t="s">
        <v>320</v>
      </c>
      <c r="S875" s="235">
        <v>43483</v>
      </c>
      <c r="T875" s="235">
        <v>44225</v>
      </c>
      <c r="U875" s="234"/>
      <c r="V875" s="232" t="s">
        <v>321</v>
      </c>
      <c r="W875" s="231"/>
      <c r="X875" s="232" t="s">
        <v>322</v>
      </c>
      <c r="Y875" s="232" t="s">
        <v>323</v>
      </c>
      <c r="Z875" s="232" t="s">
        <v>323</v>
      </c>
      <c r="AA875" s="232" t="s">
        <v>324</v>
      </c>
      <c r="AB875" s="236">
        <v>0.154</v>
      </c>
      <c r="AC875" s="235"/>
      <c r="AD875" s="234"/>
      <c r="AE875" s="234"/>
      <c r="AF875" s="232" t="s">
        <v>57</v>
      </c>
      <c r="AG875" s="232" t="s">
        <v>470</v>
      </c>
      <c r="AH875" s="234" t="s">
        <v>317</v>
      </c>
      <c r="AJ875" s="234">
        <v>0</v>
      </c>
      <c r="AK875" s="234">
        <v>90</v>
      </c>
      <c r="AL875" s="234">
        <v>0</v>
      </c>
      <c r="AM875" s="234">
        <v>10</v>
      </c>
      <c r="AN875" s="234">
        <v>0</v>
      </c>
      <c r="AO875" s="234">
        <v>0</v>
      </c>
      <c r="AP875" s="234">
        <v>0</v>
      </c>
      <c r="AQ875" s="234">
        <v>0</v>
      </c>
      <c r="AR875" s="234">
        <v>0</v>
      </c>
      <c r="AS875" s="234">
        <v>0</v>
      </c>
      <c r="AT875" s="234">
        <v>100</v>
      </c>
      <c r="AU875" s="234">
        <v>0</v>
      </c>
      <c r="AV875" s="234">
        <v>0</v>
      </c>
      <c r="AW875" s="234">
        <v>0</v>
      </c>
      <c r="AX875" s="234">
        <v>0</v>
      </c>
      <c r="AY875" s="234">
        <v>0</v>
      </c>
      <c r="AZ875" s="234">
        <v>0</v>
      </c>
      <c r="BA875" s="234">
        <v>100</v>
      </c>
      <c r="BB875" s="234">
        <v>0</v>
      </c>
      <c r="BC875" s="234">
        <v>0</v>
      </c>
      <c r="BD875" s="234">
        <v>0</v>
      </c>
      <c r="BE875" s="234">
        <v>0</v>
      </c>
      <c r="BF875" s="234">
        <v>0</v>
      </c>
      <c r="BG875" s="234">
        <v>0</v>
      </c>
      <c r="BH875" s="234">
        <v>0</v>
      </c>
      <c r="BI875" s="234">
        <v>0</v>
      </c>
      <c r="BJ875" s="234">
        <v>0</v>
      </c>
      <c r="BK875" s="234">
        <v>0</v>
      </c>
      <c r="BL875" s="234">
        <v>0</v>
      </c>
      <c r="BM875" s="234">
        <v>0</v>
      </c>
      <c r="BN875" s="234">
        <v>0</v>
      </c>
      <c r="BO875" s="234">
        <v>0</v>
      </c>
      <c r="BP875" s="234"/>
      <c r="BQ875" s="234"/>
      <c r="BR875" s="237" t="s">
        <v>150</v>
      </c>
      <c r="BS875" s="238">
        <v>8</v>
      </c>
      <c r="BZ875" s="239">
        <f t="shared" si="107"/>
        <v>33.333333333333336</v>
      </c>
      <c r="CA875" s="239">
        <f>M875/3</f>
        <v>33.333333333333336</v>
      </c>
      <c r="CB875" s="239">
        <f>M875/3</f>
        <v>33.333333333333336</v>
      </c>
      <c r="CN875" s="238">
        <f t="shared" si="99"/>
        <v>0</v>
      </c>
      <c r="CO875" s="238">
        <f t="shared" si="100"/>
        <v>100</v>
      </c>
    </row>
    <row r="876" spans="1:93" ht="13.95" customHeight="1" x14ac:dyDescent="0.2">
      <c r="A876" s="231">
        <v>7304</v>
      </c>
      <c r="B876" s="232" t="s">
        <v>822</v>
      </c>
      <c r="C876" s="232" t="s">
        <v>2513</v>
      </c>
      <c r="D876" s="232" t="s">
        <v>2514</v>
      </c>
      <c r="E876" s="232" t="s">
        <v>2523</v>
      </c>
      <c r="F876" s="231">
        <v>522152</v>
      </c>
      <c r="G876" s="231">
        <v>173834</v>
      </c>
      <c r="H876" s="232" t="s">
        <v>170</v>
      </c>
      <c r="I876" s="233"/>
      <c r="J876" s="231"/>
      <c r="K876" s="231">
        <v>0</v>
      </c>
      <c r="L876" s="231">
        <v>107</v>
      </c>
      <c r="M876" s="231">
        <v>107</v>
      </c>
      <c r="N876" s="231">
        <v>1068</v>
      </c>
      <c r="O876" s="231">
        <v>780</v>
      </c>
      <c r="P876" s="234" t="s">
        <v>318</v>
      </c>
      <c r="Q876" s="232" t="s">
        <v>2516</v>
      </c>
      <c r="R876" s="234" t="s">
        <v>320</v>
      </c>
      <c r="S876" s="235">
        <v>43623</v>
      </c>
      <c r="T876" s="235">
        <v>44643</v>
      </c>
      <c r="U876" s="234"/>
      <c r="V876" s="232" t="s">
        <v>321</v>
      </c>
      <c r="W876" s="231"/>
      <c r="X876" s="232" t="s">
        <v>322</v>
      </c>
      <c r="Y876" s="232" t="s">
        <v>323</v>
      </c>
      <c r="Z876" s="232" t="s">
        <v>323</v>
      </c>
      <c r="AA876" s="232" t="s">
        <v>324</v>
      </c>
      <c r="AB876" s="236">
        <v>0.40300000000000002</v>
      </c>
      <c r="AC876" s="235"/>
      <c r="AD876" s="234"/>
      <c r="AE876" s="234"/>
      <c r="AF876" s="232" t="s">
        <v>57</v>
      </c>
      <c r="AG876" s="232" t="s">
        <v>333</v>
      </c>
      <c r="AH876" s="234" t="s">
        <v>2517</v>
      </c>
      <c r="AJ876" s="234">
        <v>0</v>
      </c>
      <c r="AK876" s="224"/>
      <c r="AL876" s="234">
        <v>0</v>
      </c>
      <c r="AM876" s="224"/>
      <c r="AN876" s="234">
        <v>0</v>
      </c>
      <c r="AO876" s="234">
        <v>21</v>
      </c>
      <c r="AP876" s="234">
        <v>27</v>
      </c>
      <c r="AQ876" s="234">
        <v>40</v>
      </c>
      <c r="AR876" s="234">
        <v>19</v>
      </c>
      <c r="AS876" s="234">
        <v>0</v>
      </c>
      <c r="AT876" s="234">
        <v>0</v>
      </c>
      <c r="AU876" s="234">
        <v>0</v>
      </c>
      <c r="AV876" s="234">
        <v>21</v>
      </c>
      <c r="AW876" s="234">
        <v>27</v>
      </c>
      <c r="AX876" s="234">
        <v>40</v>
      </c>
      <c r="AY876" s="234">
        <v>19</v>
      </c>
      <c r="AZ876" s="234">
        <v>0</v>
      </c>
      <c r="BA876" s="234">
        <v>0</v>
      </c>
      <c r="BB876" s="234">
        <v>0</v>
      </c>
      <c r="BC876" s="234">
        <v>0</v>
      </c>
      <c r="BD876" s="234">
        <v>0</v>
      </c>
      <c r="BE876" s="234">
        <v>0</v>
      </c>
      <c r="BF876" s="234">
        <v>0</v>
      </c>
      <c r="BG876" s="234">
        <v>0</v>
      </c>
      <c r="BH876" s="234">
        <v>0</v>
      </c>
      <c r="BI876" s="234">
        <v>0</v>
      </c>
      <c r="BJ876" s="234">
        <v>0</v>
      </c>
      <c r="BK876" s="234">
        <v>0</v>
      </c>
      <c r="BL876" s="234">
        <v>0</v>
      </c>
      <c r="BM876" s="234">
        <v>0</v>
      </c>
      <c r="BN876" s="234">
        <v>0</v>
      </c>
      <c r="BO876" s="234">
        <v>0</v>
      </c>
      <c r="BP876" s="234"/>
      <c r="BQ876" s="234"/>
      <c r="BR876" s="237" t="s">
        <v>153</v>
      </c>
      <c r="BS876" s="238">
        <v>10</v>
      </c>
      <c r="BX876" s="239">
        <f>M876/3</f>
        <v>35.666666666666664</v>
      </c>
      <c r="BY876" s="239">
        <f>M876/3</f>
        <v>35.666666666666664</v>
      </c>
      <c r="BZ876" s="239">
        <f t="shared" si="107"/>
        <v>35.666666666666664</v>
      </c>
      <c r="CN876" s="238">
        <f t="shared" si="99"/>
        <v>71.333333333333329</v>
      </c>
      <c r="CO876" s="238">
        <f t="shared" si="100"/>
        <v>107</v>
      </c>
    </row>
    <row r="877" spans="1:93" ht="13.95" customHeight="1" x14ac:dyDescent="0.2">
      <c r="A877" s="231">
        <v>7304</v>
      </c>
      <c r="B877" s="232" t="s">
        <v>822</v>
      </c>
      <c r="C877" s="232" t="s">
        <v>2513</v>
      </c>
      <c r="D877" s="232" t="s">
        <v>2514</v>
      </c>
      <c r="E877" s="232" t="s">
        <v>2523</v>
      </c>
      <c r="F877" s="231">
        <v>522152</v>
      </c>
      <c r="G877" s="231">
        <v>173834</v>
      </c>
      <c r="H877" s="232" t="s">
        <v>170</v>
      </c>
      <c r="I877" s="233"/>
      <c r="J877" s="231"/>
      <c r="K877" s="231">
        <v>0</v>
      </c>
      <c r="L877" s="231">
        <v>23</v>
      </c>
      <c r="M877" s="231">
        <v>23</v>
      </c>
      <c r="N877" s="231">
        <v>1068</v>
      </c>
      <c r="O877" s="231">
        <v>780</v>
      </c>
      <c r="P877" s="234" t="s">
        <v>318</v>
      </c>
      <c r="Q877" s="232" t="s">
        <v>2516</v>
      </c>
      <c r="R877" s="234" t="s">
        <v>320</v>
      </c>
      <c r="S877" s="235">
        <v>43623</v>
      </c>
      <c r="T877" s="235">
        <v>44643</v>
      </c>
      <c r="U877" s="234"/>
      <c r="V877" s="232" t="s">
        <v>321</v>
      </c>
      <c r="W877" s="231"/>
      <c r="X877" s="232" t="s">
        <v>322</v>
      </c>
      <c r="Y877" s="232" t="s">
        <v>323</v>
      </c>
      <c r="Z877" s="232" t="s">
        <v>323</v>
      </c>
      <c r="AA877" s="232" t="s">
        <v>324</v>
      </c>
      <c r="AB877" s="236">
        <v>0.16400000000000001</v>
      </c>
      <c r="AC877" s="235"/>
      <c r="AD877" s="234"/>
      <c r="AE877" s="234"/>
      <c r="AF877" s="232" t="s">
        <v>56</v>
      </c>
      <c r="AG877" s="232" t="s">
        <v>1298</v>
      </c>
      <c r="AH877" s="234" t="s">
        <v>2517</v>
      </c>
      <c r="AJ877" s="234">
        <v>0</v>
      </c>
      <c r="AK877" s="224"/>
      <c r="AL877" s="234">
        <v>0</v>
      </c>
      <c r="AM877" s="224"/>
      <c r="AN877" s="234">
        <v>0</v>
      </c>
      <c r="AO877" s="234">
        <v>0</v>
      </c>
      <c r="AP877" s="234">
        <v>3</v>
      </c>
      <c r="AQ877" s="234">
        <v>20</v>
      </c>
      <c r="AR877" s="234">
        <v>0</v>
      </c>
      <c r="AS877" s="234">
        <v>0</v>
      </c>
      <c r="AT877" s="234">
        <v>0</v>
      </c>
      <c r="AU877" s="234">
        <v>0</v>
      </c>
      <c r="AV877" s="234">
        <v>0</v>
      </c>
      <c r="AW877" s="234">
        <v>3</v>
      </c>
      <c r="AX877" s="234">
        <v>20</v>
      </c>
      <c r="AY877" s="234">
        <v>0</v>
      </c>
      <c r="AZ877" s="234">
        <v>0</v>
      </c>
      <c r="BA877" s="234">
        <v>0</v>
      </c>
      <c r="BB877" s="234">
        <v>0</v>
      </c>
      <c r="BC877" s="234">
        <v>0</v>
      </c>
      <c r="BD877" s="234">
        <v>0</v>
      </c>
      <c r="BE877" s="234">
        <v>0</v>
      </c>
      <c r="BF877" s="234">
        <v>0</v>
      </c>
      <c r="BG877" s="234">
        <v>0</v>
      </c>
      <c r="BH877" s="234">
        <v>0</v>
      </c>
      <c r="BI877" s="234">
        <v>0</v>
      </c>
      <c r="BJ877" s="234">
        <v>0</v>
      </c>
      <c r="BK877" s="234">
        <v>0</v>
      </c>
      <c r="BL877" s="234">
        <v>0</v>
      </c>
      <c r="BM877" s="234">
        <v>0</v>
      </c>
      <c r="BN877" s="234">
        <v>0</v>
      </c>
      <c r="BO877" s="234">
        <v>0</v>
      </c>
      <c r="BP877" s="234"/>
      <c r="BQ877" s="234"/>
      <c r="BR877" s="237" t="s">
        <v>153</v>
      </c>
      <c r="BS877" s="238">
        <v>10</v>
      </c>
      <c r="BX877" s="239">
        <f>M877/3</f>
        <v>7.666666666666667</v>
      </c>
      <c r="BY877" s="239">
        <f>M877/3</f>
        <v>7.666666666666667</v>
      </c>
      <c r="BZ877" s="239">
        <f t="shared" si="107"/>
        <v>7.666666666666667</v>
      </c>
      <c r="CN877" s="238">
        <f t="shared" si="99"/>
        <v>15.333333333333334</v>
      </c>
      <c r="CO877" s="238">
        <f t="shared" si="100"/>
        <v>23</v>
      </c>
    </row>
    <row r="878" spans="1:93" ht="13.95" customHeight="1" x14ac:dyDescent="0.2">
      <c r="A878" s="231">
        <v>7101</v>
      </c>
      <c r="B878" s="232" t="s">
        <v>822</v>
      </c>
      <c r="C878" s="232" t="s">
        <v>2501</v>
      </c>
      <c r="D878" s="232" t="s">
        <v>1295</v>
      </c>
      <c r="E878" s="232" t="s">
        <v>2524</v>
      </c>
      <c r="F878" s="231">
        <v>526922</v>
      </c>
      <c r="G878" s="231">
        <v>175807</v>
      </c>
      <c r="H878" s="232" t="s">
        <v>165</v>
      </c>
      <c r="I878" s="233">
        <v>44609</v>
      </c>
      <c r="J878" s="231"/>
      <c r="K878" s="231">
        <v>527</v>
      </c>
      <c r="L878" s="231">
        <v>0</v>
      </c>
      <c r="M878" s="231">
        <v>-527</v>
      </c>
      <c r="N878" s="231">
        <v>2550</v>
      </c>
      <c r="O878" s="231">
        <v>1791</v>
      </c>
      <c r="P878" s="234" t="s">
        <v>318</v>
      </c>
      <c r="Q878" s="232" t="s">
        <v>2503</v>
      </c>
      <c r="R878" s="234" t="s">
        <v>320</v>
      </c>
      <c r="S878" s="235">
        <v>43483</v>
      </c>
      <c r="T878" s="235">
        <v>44225</v>
      </c>
      <c r="U878" s="234"/>
      <c r="V878" s="232" t="s">
        <v>321</v>
      </c>
      <c r="W878" s="231"/>
      <c r="X878" s="232" t="s">
        <v>322</v>
      </c>
      <c r="Y878" s="232" t="s">
        <v>323</v>
      </c>
      <c r="Z878" s="232" t="s">
        <v>323</v>
      </c>
      <c r="AA878" s="232" t="s">
        <v>324</v>
      </c>
      <c r="AB878" s="236">
        <v>0</v>
      </c>
      <c r="AC878" s="235"/>
      <c r="AD878" s="234"/>
      <c r="AE878" s="234"/>
      <c r="AF878" s="232" t="s">
        <v>57</v>
      </c>
      <c r="AG878" s="232" t="s">
        <v>898</v>
      </c>
      <c r="AH878" s="234" t="s">
        <v>317</v>
      </c>
      <c r="AJ878" s="234">
        <v>0</v>
      </c>
      <c r="AK878" s="224"/>
      <c r="AL878" s="234">
        <v>0</v>
      </c>
      <c r="AM878" s="224"/>
      <c r="AN878" s="234">
        <v>-79</v>
      </c>
      <c r="AO878" s="234">
        <v>-120</v>
      </c>
      <c r="AP878" s="234">
        <v>-256</v>
      </c>
      <c r="AQ878" s="234">
        <v>-47</v>
      </c>
      <c r="AR878" s="234">
        <v>-25</v>
      </c>
      <c r="AS878" s="234">
        <v>0</v>
      </c>
      <c r="AT878" s="234">
        <v>0</v>
      </c>
      <c r="AU878" s="234">
        <v>-79</v>
      </c>
      <c r="AV878" s="234">
        <v>-120</v>
      </c>
      <c r="AW878" s="234">
        <v>-256</v>
      </c>
      <c r="AX878" s="234">
        <v>-47</v>
      </c>
      <c r="AY878" s="234">
        <v>-25</v>
      </c>
      <c r="AZ878" s="234">
        <v>0</v>
      </c>
      <c r="BA878" s="234">
        <v>0</v>
      </c>
      <c r="BB878" s="234">
        <v>0</v>
      </c>
      <c r="BC878" s="234">
        <v>0</v>
      </c>
      <c r="BD878" s="234">
        <v>0</v>
      </c>
      <c r="BE878" s="234">
        <v>0</v>
      </c>
      <c r="BF878" s="234">
        <v>0</v>
      </c>
      <c r="BG878" s="234">
        <v>0</v>
      </c>
      <c r="BH878" s="234">
        <v>0</v>
      </c>
      <c r="BI878" s="234">
        <v>0</v>
      </c>
      <c r="BJ878" s="234">
        <v>0</v>
      </c>
      <c r="BK878" s="234">
        <v>0</v>
      </c>
      <c r="BL878" s="234">
        <v>0</v>
      </c>
      <c r="BM878" s="234">
        <v>0</v>
      </c>
      <c r="BN878" s="234">
        <v>0</v>
      </c>
      <c r="BO878" s="234">
        <v>0</v>
      </c>
      <c r="BP878" s="234"/>
      <c r="BQ878" s="234"/>
      <c r="BR878" s="237" t="s">
        <v>150</v>
      </c>
      <c r="BS878" s="238">
        <v>8</v>
      </c>
      <c r="BZ878" s="239">
        <f t="shared" si="107"/>
        <v>-175.66666666666666</v>
      </c>
      <c r="CA878" s="239">
        <f>M878/3</f>
        <v>-175.66666666666666</v>
      </c>
      <c r="CB878" s="239">
        <f>M878/3</f>
        <v>-175.66666666666666</v>
      </c>
      <c r="CN878" s="238">
        <f t="shared" si="99"/>
        <v>0</v>
      </c>
      <c r="CO878" s="238">
        <f t="shared" si="100"/>
        <v>-527</v>
      </c>
    </row>
    <row r="879" spans="1:93" ht="13.95" customHeight="1" x14ac:dyDescent="0.2">
      <c r="A879" s="231">
        <v>7101</v>
      </c>
      <c r="B879" s="232" t="s">
        <v>822</v>
      </c>
      <c r="C879" s="232" t="s">
        <v>2501</v>
      </c>
      <c r="D879" s="232" t="s">
        <v>1295</v>
      </c>
      <c r="E879" s="232" t="s">
        <v>2524</v>
      </c>
      <c r="F879" s="231">
        <v>526922</v>
      </c>
      <c r="G879" s="231">
        <v>175807</v>
      </c>
      <c r="H879" s="232" t="s">
        <v>165</v>
      </c>
      <c r="I879" s="233">
        <v>44609</v>
      </c>
      <c r="J879" s="231"/>
      <c r="K879" s="231">
        <v>14</v>
      </c>
      <c r="L879" s="231">
        <v>0</v>
      </c>
      <c r="M879" s="231">
        <v>-14</v>
      </c>
      <c r="N879" s="231">
        <v>2550</v>
      </c>
      <c r="O879" s="231">
        <v>1791</v>
      </c>
      <c r="P879" s="234" t="s">
        <v>318</v>
      </c>
      <c r="Q879" s="232" t="s">
        <v>2503</v>
      </c>
      <c r="R879" s="234" t="s">
        <v>320</v>
      </c>
      <c r="S879" s="235">
        <v>43483</v>
      </c>
      <c r="T879" s="235">
        <v>44225</v>
      </c>
      <c r="U879" s="234"/>
      <c r="V879" s="232" t="s">
        <v>321</v>
      </c>
      <c r="W879" s="231"/>
      <c r="X879" s="232" t="s">
        <v>322</v>
      </c>
      <c r="Y879" s="232" t="s">
        <v>323</v>
      </c>
      <c r="Z879" s="232" t="s">
        <v>323</v>
      </c>
      <c r="AA879" s="232" t="s">
        <v>324</v>
      </c>
      <c r="AB879" s="236">
        <v>0</v>
      </c>
      <c r="AC879" s="235"/>
      <c r="AD879" s="234"/>
      <c r="AE879" s="234"/>
      <c r="AF879" s="232" t="s">
        <v>56</v>
      </c>
      <c r="AG879" s="232" t="s">
        <v>1355</v>
      </c>
      <c r="AH879" s="234" t="s">
        <v>317</v>
      </c>
      <c r="AJ879" s="234">
        <v>0</v>
      </c>
      <c r="AK879" s="224"/>
      <c r="AL879" s="234">
        <v>0</v>
      </c>
      <c r="AM879" s="224"/>
      <c r="AN879" s="234">
        <v>0</v>
      </c>
      <c r="AO879" s="234">
        <v>-2</v>
      </c>
      <c r="AP879" s="234">
        <v>-11</v>
      </c>
      <c r="AQ879" s="234">
        <v>-1</v>
      </c>
      <c r="AR879" s="234">
        <v>0</v>
      </c>
      <c r="AS879" s="234">
        <v>0</v>
      </c>
      <c r="AT879" s="234">
        <v>0</v>
      </c>
      <c r="AU879" s="234">
        <v>0</v>
      </c>
      <c r="AV879" s="234">
        <v>-2</v>
      </c>
      <c r="AW879" s="234">
        <v>-11</v>
      </c>
      <c r="AX879" s="234">
        <v>-1</v>
      </c>
      <c r="AY879" s="234">
        <v>0</v>
      </c>
      <c r="AZ879" s="234">
        <v>0</v>
      </c>
      <c r="BA879" s="234">
        <v>0</v>
      </c>
      <c r="BB879" s="234">
        <v>0</v>
      </c>
      <c r="BC879" s="234">
        <v>0</v>
      </c>
      <c r="BD879" s="234">
        <v>0</v>
      </c>
      <c r="BE879" s="234">
        <v>0</v>
      </c>
      <c r="BF879" s="234">
        <v>0</v>
      </c>
      <c r="BG879" s="234">
        <v>0</v>
      </c>
      <c r="BH879" s="234">
        <v>0</v>
      </c>
      <c r="BI879" s="234">
        <v>0</v>
      </c>
      <c r="BJ879" s="234">
        <v>0</v>
      </c>
      <c r="BK879" s="234">
        <v>0</v>
      </c>
      <c r="BL879" s="234">
        <v>0</v>
      </c>
      <c r="BM879" s="234">
        <v>0</v>
      </c>
      <c r="BN879" s="234">
        <v>0</v>
      </c>
      <c r="BO879" s="234">
        <v>0</v>
      </c>
      <c r="BP879" s="234"/>
      <c r="BQ879" s="234"/>
      <c r="BR879" s="237" t="s">
        <v>150</v>
      </c>
      <c r="BS879" s="238">
        <v>8</v>
      </c>
      <c r="BZ879" s="239">
        <f t="shared" si="107"/>
        <v>-4.666666666666667</v>
      </c>
      <c r="CA879" s="239">
        <f>M879/3</f>
        <v>-4.666666666666667</v>
      </c>
      <c r="CB879" s="239">
        <f>M879/3</f>
        <v>-4.666666666666667</v>
      </c>
      <c r="CN879" s="238">
        <f t="shared" si="99"/>
        <v>0</v>
      </c>
      <c r="CO879" s="238">
        <f t="shared" si="100"/>
        <v>-14</v>
      </c>
    </row>
    <row r="880" spans="1:93" ht="13.95" customHeight="1" x14ac:dyDescent="0.2">
      <c r="A880" s="231">
        <v>7101</v>
      </c>
      <c r="B880" s="232" t="s">
        <v>822</v>
      </c>
      <c r="C880" s="232" t="s">
        <v>2501</v>
      </c>
      <c r="D880" s="232" t="s">
        <v>1295</v>
      </c>
      <c r="E880" s="232" t="s">
        <v>2524</v>
      </c>
      <c r="F880" s="231">
        <v>526922</v>
      </c>
      <c r="G880" s="231">
        <v>175807</v>
      </c>
      <c r="H880" s="232" t="s">
        <v>165</v>
      </c>
      <c r="I880" s="233">
        <v>44609</v>
      </c>
      <c r="J880" s="231"/>
      <c r="K880" s="231">
        <v>218</v>
      </c>
      <c r="L880" s="231">
        <v>0</v>
      </c>
      <c r="M880" s="231">
        <v>-218</v>
      </c>
      <c r="N880" s="231">
        <v>2550</v>
      </c>
      <c r="O880" s="231">
        <v>1791</v>
      </c>
      <c r="P880" s="234" t="s">
        <v>318</v>
      </c>
      <c r="Q880" s="232" t="s">
        <v>2503</v>
      </c>
      <c r="R880" s="234" t="s">
        <v>320</v>
      </c>
      <c r="S880" s="235">
        <v>43483</v>
      </c>
      <c r="T880" s="235">
        <v>44225</v>
      </c>
      <c r="U880" s="234"/>
      <c r="V880" s="232" t="s">
        <v>321</v>
      </c>
      <c r="W880" s="231"/>
      <c r="X880" s="232" t="s">
        <v>322</v>
      </c>
      <c r="Y880" s="232" t="s">
        <v>323</v>
      </c>
      <c r="Z880" s="232" t="s">
        <v>323</v>
      </c>
      <c r="AA880" s="232" t="s">
        <v>324</v>
      </c>
      <c r="AB880" s="236">
        <v>0</v>
      </c>
      <c r="AC880" s="235"/>
      <c r="AD880" s="234"/>
      <c r="AE880" s="234"/>
      <c r="AF880" s="232" t="s">
        <v>77</v>
      </c>
      <c r="AG880" s="232" t="s">
        <v>350</v>
      </c>
      <c r="AH880" s="234" t="s">
        <v>317</v>
      </c>
      <c r="AJ880" s="234">
        <v>0</v>
      </c>
      <c r="AK880" s="224"/>
      <c r="AL880" s="234">
        <v>0</v>
      </c>
      <c r="AM880" s="224"/>
      <c r="AN880" s="234">
        <v>-12</v>
      </c>
      <c r="AO880" s="234">
        <v>-54</v>
      </c>
      <c r="AP880" s="234">
        <v>-89</v>
      </c>
      <c r="AQ880" s="234">
        <v>-33</v>
      </c>
      <c r="AR880" s="234">
        <v>-30</v>
      </c>
      <c r="AS880" s="234">
        <v>0</v>
      </c>
      <c r="AT880" s="234">
        <v>0</v>
      </c>
      <c r="AU880" s="234">
        <v>-12</v>
      </c>
      <c r="AV880" s="234">
        <v>-54</v>
      </c>
      <c r="AW880" s="234">
        <v>-89</v>
      </c>
      <c r="AX880" s="234">
        <v>-33</v>
      </c>
      <c r="AY880" s="234">
        <v>-30</v>
      </c>
      <c r="AZ880" s="234">
        <v>0</v>
      </c>
      <c r="BA880" s="234">
        <v>0</v>
      </c>
      <c r="BB880" s="234">
        <v>0</v>
      </c>
      <c r="BC880" s="234">
        <v>0</v>
      </c>
      <c r="BD880" s="234">
        <v>0</v>
      </c>
      <c r="BE880" s="234">
        <v>0</v>
      </c>
      <c r="BF880" s="234">
        <v>0</v>
      </c>
      <c r="BG880" s="234">
        <v>0</v>
      </c>
      <c r="BH880" s="234">
        <v>0</v>
      </c>
      <c r="BI880" s="234">
        <v>0</v>
      </c>
      <c r="BJ880" s="234">
        <v>0</v>
      </c>
      <c r="BK880" s="234">
        <v>0</v>
      </c>
      <c r="BL880" s="234">
        <v>0</v>
      </c>
      <c r="BM880" s="234">
        <v>0</v>
      </c>
      <c r="BN880" s="234">
        <v>0</v>
      </c>
      <c r="BO880" s="234">
        <v>0</v>
      </c>
      <c r="BP880" s="234"/>
      <c r="BQ880" s="234"/>
      <c r="BR880" s="237" t="s">
        <v>150</v>
      </c>
      <c r="BS880" s="238">
        <v>8</v>
      </c>
      <c r="BZ880" s="239">
        <f t="shared" si="107"/>
        <v>-72.666666666666671</v>
      </c>
      <c r="CA880" s="239">
        <f>M880/3</f>
        <v>-72.666666666666671</v>
      </c>
      <c r="CB880" s="239">
        <f>M880/3</f>
        <v>-72.666666666666671</v>
      </c>
      <c r="CN880" s="238">
        <f t="shared" si="99"/>
        <v>0</v>
      </c>
      <c r="CO880" s="238">
        <f t="shared" si="100"/>
        <v>-218</v>
      </c>
    </row>
    <row r="881" spans="1:93" ht="13.95" customHeight="1" x14ac:dyDescent="0.2">
      <c r="A881" s="231">
        <v>7304</v>
      </c>
      <c r="B881" s="232" t="s">
        <v>822</v>
      </c>
      <c r="C881" s="232" t="s">
        <v>2513</v>
      </c>
      <c r="D881" s="232" t="s">
        <v>2514</v>
      </c>
      <c r="E881" s="232" t="s">
        <v>2525</v>
      </c>
      <c r="F881" s="231">
        <v>522152</v>
      </c>
      <c r="G881" s="231">
        <v>173834</v>
      </c>
      <c r="H881" s="232" t="s">
        <v>170</v>
      </c>
      <c r="I881" s="233"/>
      <c r="J881" s="231"/>
      <c r="K881" s="231">
        <v>0</v>
      </c>
      <c r="L881" s="231">
        <v>349</v>
      </c>
      <c r="M881" s="231">
        <v>349</v>
      </c>
      <c r="N881" s="231">
        <v>1068</v>
      </c>
      <c r="O881" s="231">
        <v>780</v>
      </c>
      <c r="P881" s="234" t="s">
        <v>318</v>
      </c>
      <c r="Q881" s="232" t="s">
        <v>2516</v>
      </c>
      <c r="R881" s="234" t="s">
        <v>320</v>
      </c>
      <c r="S881" s="235">
        <v>43623</v>
      </c>
      <c r="T881" s="235">
        <v>44643</v>
      </c>
      <c r="U881" s="234"/>
      <c r="V881" s="232" t="s">
        <v>321</v>
      </c>
      <c r="W881" s="231"/>
      <c r="X881" s="232" t="s">
        <v>322</v>
      </c>
      <c r="Y881" s="232" t="s">
        <v>323</v>
      </c>
      <c r="Z881" s="232" t="s">
        <v>323</v>
      </c>
      <c r="AA881" s="232" t="s">
        <v>324</v>
      </c>
      <c r="AB881" s="236">
        <v>1.268</v>
      </c>
      <c r="AC881" s="235"/>
      <c r="AD881" s="234"/>
      <c r="AE881" s="234"/>
      <c r="AF881" s="232" t="s">
        <v>77</v>
      </c>
      <c r="AG881" s="232" t="s">
        <v>350</v>
      </c>
      <c r="AH881" s="234" t="s">
        <v>2517</v>
      </c>
      <c r="AJ881" s="234">
        <v>0</v>
      </c>
      <c r="AK881" s="224"/>
      <c r="AL881" s="234">
        <v>0</v>
      </c>
      <c r="AM881" s="224"/>
      <c r="AN881" s="234">
        <v>0</v>
      </c>
      <c r="AO881" s="234">
        <v>0</v>
      </c>
      <c r="AP881" s="234">
        <v>0</v>
      </c>
      <c r="AQ881" s="234">
        <v>0</v>
      </c>
      <c r="AR881" s="234">
        <v>0</v>
      </c>
      <c r="AS881" s="234">
        <v>0</v>
      </c>
      <c r="AT881" s="234">
        <v>349</v>
      </c>
      <c r="AU881" s="234">
        <v>0</v>
      </c>
      <c r="AV881" s="234">
        <v>0</v>
      </c>
      <c r="AW881" s="234">
        <v>0</v>
      </c>
      <c r="AX881" s="234">
        <v>0</v>
      </c>
      <c r="AY881" s="234">
        <v>0</v>
      </c>
      <c r="AZ881" s="234">
        <v>0</v>
      </c>
      <c r="BA881" s="234">
        <v>349</v>
      </c>
      <c r="BB881" s="234">
        <v>0</v>
      </c>
      <c r="BC881" s="234">
        <v>0</v>
      </c>
      <c r="BD881" s="234">
        <v>0</v>
      </c>
      <c r="BE881" s="234">
        <v>0</v>
      </c>
      <c r="BF881" s="234">
        <v>0</v>
      </c>
      <c r="BG881" s="234">
        <v>0</v>
      </c>
      <c r="BH881" s="234">
        <v>0</v>
      </c>
      <c r="BI881" s="234">
        <v>0</v>
      </c>
      <c r="BJ881" s="234">
        <v>0</v>
      </c>
      <c r="BK881" s="234">
        <v>0</v>
      </c>
      <c r="BL881" s="234">
        <v>0</v>
      </c>
      <c r="BM881" s="234">
        <v>0</v>
      </c>
      <c r="BN881" s="234">
        <v>0</v>
      </c>
      <c r="BO881" s="234">
        <v>0</v>
      </c>
      <c r="BP881" s="234"/>
      <c r="BQ881" s="234"/>
      <c r="BR881" s="237" t="s">
        <v>153</v>
      </c>
      <c r="BS881" s="238">
        <v>10</v>
      </c>
      <c r="BX881" s="239">
        <f>M881/3</f>
        <v>116.33333333333333</v>
      </c>
      <c r="BY881" s="239">
        <f>M881/3</f>
        <v>116.33333333333333</v>
      </c>
      <c r="BZ881" s="239">
        <f t="shared" si="107"/>
        <v>116.33333333333333</v>
      </c>
      <c r="CN881" s="238">
        <f t="shared" si="99"/>
        <v>232.66666666666666</v>
      </c>
      <c r="CO881" s="238">
        <f t="shared" si="100"/>
        <v>349</v>
      </c>
    </row>
    <row r="882" spans="1:93" ht="13.95" customHeight="1" x14ac:dyDescent="0.2">
      <c r="A882" s="231">
        <v>3518</v>
      </c>
      <c r="B882" s="232" t="s">
        <v>822</v>
      </c>
      <c r="C882" s="232" t="s">
        <v>2526</v>
      </c>
      <c r="D882" s="232" t="s">
        <v>2527</v>
      </c>
      <c r="E882" s="232" t="s">
        <v>2528</v>
      </c>
      <c r="F882" s="231">
        <v>525666</v>
      </c>
      <c r="G882" s="231">
        <v>174804</v>
      </c>
      <c r="H882" s="232" t="s">
        <v>181</v>
      </c>
      <c r="I882" s="233">
        <v>42095</v>
      </c>
      <c r="J882" s="231"/>
      <c r="K882" s="231">
        <v>0</v>
      </c>
      <c r="L882" s="231">
        <v>16</v>
      </c>
      <c r="M882" s="231">
        <v>16</v>
      </c>
      <c r="N882" s="231">
        <v>663</v>
      </c>
      <c r="O882" s="231">
        <v>662</v>
      </c>
      <c r="P882" s="234" t="s">
        <v>318</v>
      </c>
      <c r="Q882" s="232" t="s">
        <v>2529</v>
      </c>
      <c r="R882" s="234" t="s">
        <v>847</v>
      </c>
      <c r="S882" s="235">
        <v>41234</v>
      </c>
      <c r="T882" s="235">
        <v>41614</v>
      </c>
      <c r="U882" s="234"/>
      <c r="V882" s="232" t="s">
        <v>321</v>
      </c>
      <c r="W882" s="231"/>
      <c r="X882" s="232" t="s">
        <v>322</v>
      </c>
      <c r="Y882" s="232" t="s">
        <v>323</v>
      </c>
      <c r="Z882" s="232" t="s">
        <v>323</v>
      </c>
      <c r="AA882" s="232" t="s">
        <v>324</v>
      </c>
      <c r="AB882" s="236">
        <v>2.5899999999999999E-2</v>
      </c>
      <c r="AC882" s="235"/>
      <c r="AD882" s="234"/>
      <c r="AE882" s="234"/>
      <c r="AF882" s="232" t="s">
        <v>77</v>
      </c>
      <c r="AG882" s="232" t="s">
        <v>350</v>
      </c>
      <c r="AH882" s="234" t="s">
        <v>2530</v>
      </c>
      <c r="AJ882" s="234">
        <v>0</v>
      </c>
      <c r="AK882" s="224"/>
      <c r="AL882" s="234">
        <v>0</v>
      </c>
      <c r="AM882" s="224"/>
      <c r="AN882" s="234">
        <v>0</v>
      </c>
      <c r="AO882" s="234">
        <v>10</v>
      </c>
      <c r="AP882" s="234">
        <v>6</v>
      </c>
      <c r="AQ882" s="234">
        <v>0</v>
      </c>
      <c r="AR882" s="234">
        <v>0</v>
      </c>
      <c r="AS882" s="234">
        <v>0</v>
      </c>
      <c r="AT882" s="234">
        <v>0</v>
      </c>
      <c r="AU882" s="234">
        <v>0</v>
      </c>
      <c r="AV882" s="234">
        <v>10</v>
      </c>
      <c r="AW882" s="234">
        <v>6</v>
      </c>
      <c r="AX882" s="234">
        <v>0</v>
      </c>
      <c r="AY882" s="234">
        <v>0</v>
      </c>
      <c r="AZ882" s="234">
        <v>0</v>
      </c>
      <c r="BA882" s="234">
        <v>0</v>
      </c>
      <c r="BB882" s="234">
        <v>0</v>
      </c>
      <c r="BC882" s="234">
        <v>0</v>
      </c>
      <c r="BD882" s="234">
        <v>0</v>
      </c>
      <c r="BE882" s="234">
        <v>0</v>
      </c>
      <c r="BF882" s="234">
        <v>0</v>
      </c>
      <c r="BG882" s="234">
        <v>0</v>
      </c>
      <c r="BH882" s="234">
        <v>0</v>
      </c>
      <c r="BI882" s="234">
        <v>0</v>
      </c>
      <c r="BJ882" s="234">
        <v>0</v>
      </c>
      <c r="BK882" s="234">
        <v>0</v>
      </c>
      <c r="BL882" s="234">
        <v>0</v>
      </c>
      <c r="BM882" s="234">
        <v>0</v>
      </c>
      <c r="BN882" s="234">
        <v>0</v>
      </c>
      <c r="BO882" s="234">
        <v>0</v>
      </c>
      <c r="BP882" s="234" t="s">
        <v>145</v>
      </c>
      <c r="BQ882" s="234"/>
      <c r="BR882" s="237" t="s">
        <v>327</v>
      </c>
      <c r="BS882" s="238">
        <v>8</v>
      </c>
      <c r="BY882" s="239">
        <f>M882</f>
        <v>16</v>
      </c>
      <c r="CN882" s="238">
        <f t="shared" si="99"/>
        <v>16</v>
      </c>
      <c r="CO882" s="238">
        <f t="shared" si="100"/>
        <v>16</v>
      </c>
    </row>
    <row r="883" spans="1:93" ht="13.95" customHeight="1" x14ac:dyDescent="0.2">
      <c r="A883" s="231">
        <v>3518</v>
      </c>
      <c r="B883" s="232" t="s">
        <v>822</v>
      </c>
      <c r="C883" s="232" t="s">
        <v>2526</v>
      </c>
      <c r="D883" s="232" t="s">
        <v>2527</v>
      </c>
      <c r="E883" s="232" t="s">
        <v>2531</v>
      </c>
      <c r="F883" s="231">
        <v>525666</v>
      </c>
      <c r="G883" s="231">
        <v>174804</v>
      </c>
      <c r="H883" s="232" t="s">
        <v>181</v>
      </c>
      <c r="I883" s="233">
        <v>42095</v>
      </c>
      <c r="J883" s="231"/>
      <c r="K883" s="231">
        <v>0</v>
      </c>
      <c r="L883" s="231">
        <v>23</v>
      </c>
      <c r="M883" s="231">
        <v>23</v>
      </c>
      <c r="N883" s="231">
        <v>663</v>
      </c>
      <c r="O883" s="231">
        <v>662</v>
      </c>
      <c r="P883" s="234" t="s">
        <v>318</v>
      </c>
      <c r="Q883" s="232" t="s">
        <v>2529</v>
      </c>
      <c r="R883" s="234" t="s">
        <v>847</v>
      </c>
      <c r="S883" s="235">
        <v>41234</v>
      </c>
      <c r="T883" s="235">
        <v>41614</v>
      </c>
      <c r="U883" s="234"/>
      <c r="V883" s="232" t="s">
        <v>321</v>
      </c>
      <c r="W883" s="231"/>
      <c r="X883" s="232" t="s">
        <v>322</v>
      </c>
      <c r="Y883" s="232" t="s">
        <v>323</v>
      </c>
      <c r="Z883" s="232" t="s">
        <v>323</v>
      </c>
      <c r="AA883" s="232" t="s">
        <v>324</v>
      </c>
      <c r="AB883" s="236">
        <v>3.0200000000000001E-2</v>
      </c>
      <c r="AC883" s="235"/>
      <c r="AD883" s="234"/>
      <c r="AE883" s="234"/>
      <c r="AF883" s="232" t="s">
        <v>77</v>
      </c>
      <c r="AG883" s="232" t="s">
        <v>350</v>
      </c>
      <c r="AH883" s="234" t="s">
        <v>2530</v>
      </c>
      <c r="AJ883" s="234">
        <v>0</v>
      </c>
      <c r="AK883" s="224"/>
      <c r="AL883" s="234">
        <v>1</v>
      </c>
      <c r="AM883" s="224"/>
      <c r="AN883" s="234">
        <v>0</v>
      </c>
      <c r="AO883" s="234">
        <v>10</v>
      </c>
      <c r="AP883" s="234">
        <v>7</v>
      </c>
      <c r="AQ883" s="234">
        <v>4</v>
      </c>
      <c r="AR883" s="234">
        <v>2</v>
      </c>
      <c r="AS883" s="234">
        <v>0</v>
      </c>
      <c r="AT883" s="234">
        <v>0</v>
      </c>
      <c r="AU883" s="234">
        <v>0</v>
      </c>
      <c r="AV883" s="234">
        <v>10</v>
      </c>
      <c r="AW883" s="234">
        <v>7</v>
      </c>
      <c r="AX883" s="234">
        <v>4</v>
      </c>
      <c r="AY883" s="234">
        <v>2</v>
      </c>
      <c r="AZ883" s="234">
        <v>0</v>
      </c>
      <c r="BA883" s="234">
        <v>0</v>
      </c>
      <c r="BB883" s="234">
        <v>0</v>
      </c>
      <c r="BC883" s="234">
        <v>0</v>
      </c>
      <c r="BD883" s="234">
        <v>0</v>
      </c>
      <c r="BE883" s="234">
        <v>0</v>
      </c>
      <c r="BF883" s="234">
        <v>0</v>
      </c>
      <c r="BG883" s="234">
        <v>0</v>
      </c>
      <c r="BH883" s="234">
        <v>0</v>
      </c>
      <c r="BI883" s="234">
        <v>0</v>
      </c>
      <c r="BJ883" s="234">
        <v>0</v>
      </c>
      <c r="BK883" s="234">
        <v>0</v>
      </c>
      <c r="BL883" s="234">
        <v>0</v>
      </c>
      <c r="BM883" s="234">
        <v>0</v>
      </c>
      <c r="BN883" s="234">
        <v>0</v>
      </c>
      <c r="BO883" s="234">
        <v>0</v>
      </c>
      <c r="BP883" s="234" t="s">
        <v>145</v>
      </c>
      <c r="BQ883" s="234"/>
      <c r="BR883" s="237" t="s">
        <v>327</v>
      </c>
      <c r="BS883" s="238">
        <v>8</v>
      </c>
      <c r="BY883" s="239">
        <f>M883</f>
        <v>23</v>
      </c>
      <c r="CN883" s="238">
        <f t="shared" si="99"/>
        <v>23</v>
      </c>
      <c r="CO883" s="238">
        <f t="shared" si="100"/>
        <v>23</v>
      </c>
    </row>
    <row r="884" spans="1:93" ht="13.95" customHeight="1" x14ac:dyDescent="0.2">
      <c r="A884" s="231">
        <v>3518</v>
      </c>
      <c r="B884" s="232" t="s">
        <v>822</v>
      </c>
      <c r="C884" s="232" t="s">
        <v>2526</v>
      </c>
      <c r="D884" s="232" t="s">
        <v>2527</v>
      </c>
      <c r="E884" s="232" t="s">
        <v>2532</v>
      </c>
      <c r="F884" s="231">
        <v>525666</v>
      </c>
      <c r="G884" s="231">
        <v>174804</v>
      </c>
      <c r="H884" s="232" t="s">
        <v>181</v>
      </c>
      <c r="I884" s="233">
        <v>42095</v>
      </c>
      <c r="J884" s="231"/>
      <c r="K884" s="231">
        <v>0</v>
      </c>
      <c r="L884" s="231">
        <v>24</v>
      </c>
      <c r="M884" s="231">
        <v>24</v>
      </c>
      <c r="N884" s="231">
        <v>663</v>
      </c>
      <c r="O884" s="231">
        <v>662</v>
      </c>
      <c r="P884" s="234" t="s">
        <v>318</v>
      </c>
      <c r="Q884" s="232" t="s">
        <v>2529</v>
      </c>
      <c r="R884" s="234" t="s">
        <v>847</v>
      </c>
      <c r="S884" s="235">
        <v>41234</v>
      </c>
      <c r="T884" s="235">
        <v>41614</v>
      </c>
      <c r="U884" s="234"/>
      <c r="V884" s="232" t="s">
        <v>321</v>
      </c>
      <c r="W884" s="231"/>
      <c r="X884" s="232" t="s">
        <v>322</v>
      </c>
      <c r="Y884" s="232" t="s">
        <v>323</v>
      </c>
      <c r="Z884" s="232" t="s">
        <v>323</v>
      </c>
      <c r="AA884" s="232" t="s">
        <v>324</v>
      </c>
      <c r="AB884" s="236">
        <v>4.0300000000000002E-2</v>
      </c>
      <c r="AC884" s="235"/>
      <c r="AD884" s="234"/>
      <c r="AE884" s="234"/>
      <c r="AF884" s="232" t="s">
        <v>77</v>
      </c>
      <c r="AG884" s="232" t="s">
        <v>350</v>
      </c>
      <c r="AH884" s="234" t="s">
        <v>2530</v>
      </c>
      <c r="AJ884" s="234">
        <v>0</v>
      </c>
      <c r="AK884" s="224"/>
      <c r="AL884" s="234">
        <v>5</v>
      </c>
      <c r="AM884" s="224"/>
      <c r="AN884" s="234">
        <v>0</v>
      </c>
      <c r="AO884" s="234">
        <v>1</v>
      </c>
      <c r="AP884" s="234">
        <v>19</v>
      </c>
      <c r="AQ884" s="234">
        <v>4</v>
      </c>
      <c r="AR884" s="234">
        <v>0</v>
      </c>
      <c r="AS884" s="234">
        <v>0</v>
      </c>
      <c r="AT884" s="234">
        <v>0</v>
      </c>
      <c r="AU884" s="234">
        <v>0</v>
      </c>
      <c r="AV884" s="234">
        <v>1</v>
      </c>
      <c r="AW884" s="234">
        <v>19</v>
      </c>
      <c r="AX884" s="234">
        <v>4</v>
      </c>
      <c r="AY884" s="234">
        <v>0</v>
      </c>
      <c r="AZ884" s="234">
        <v>0</v>
      </c>
      <c r="BA884" s="234">
        <v>0</v>
      </c>
      <c r="BB884" s="234">
        <v>0</v>
      </c>
      <c r="BC884" s="234">
        <v>0</v>
      </c>
      <c r="BD884" s="234">
        <v>0</v>
      </c>
      <c r="BE884" s="234">
        <v>0</v>
      </c>
      <c r="BF884" s="234">
        <v>0</v>
      </c>
      <c r="BG884" s="234">
        <v>0</v>
      </c>
      <c r="BH884" s="234">
        <v>0</v>
      </c>
      <c r="BI884" s="234">
        <v>0</v>
      </c>
      <c r="BJ884" s="234">
        <v>0</v>
      </c>
      <c r="BK884" s="234">
        <v>0</v>
      </c>
      <c r="BL884" s="234">
        <v>0</v>
      </c>
      <c r="BM884" s="234">
        <v>0</v>
      </c>
      <c r="BN884" s="234">
        <v>0</v>
      </c>
      <c r="BO884" s="234">
        <v>0</v>
      </c>
      <c r="BP884" s="234" t="s">
        <v>145</v>
      </c>
      <c r="BQ884" s="234"/>
      <c r="BR884" s="237" t="s">
        <v>327</v>
      </c>
      <c r="BS884" s="238">
        <v>8</v>
      </c>
      <c r="BY884" s="239">
        <f>M884</f>
        <v>24</v>
      </c>
      <c r="CN884" s="238">
        <f t="shared" si="99"/>
        <v>24</v>
      </c>
      <c r="CO884" s="238">
        <f t="shared" si="100"/>
        <v>24</v>
      </c>
    </row>
    <row r="885" spans="1:93" ht="13.95" customHeight="1" x14ac:dyDescent="0.2">
      <c r="A885" s="231">
        <v>3518</v>
      </c>
      <c r="B885" s="232" t="s">
        <v>822</v>
      </c>
      <c r="C885" s="232" t="s">
        <v>2526</v>
      </c>
      <c r="D885" s="232" t="s">
        <v>2527</v>
      </c>
      <c r="E885" s="232" t="s">
        <v>2533</v>
      </c>
      <c r="F885" s="231">
        <v>525666</v>
      </c>
      <c r="G885" s="231">
        <v>174804</v>
      </c>
      <c r="H885" s="232" t="s">
        <v>181</v>
      </c>
      <c r="I885" s="233">
        <v>42095</v>
      </c>
      <c r="J885" s="231"/>
      <c r="K885" s="231">
        <v>0</v>
      </c>
      <c r="L885" s="231">
        <v>166</v>
      </c>
      <c r="M885" s="231">
        <v>166</v>
      </c>
      <c r="N885" s="231">
        <v>663</v>
      </c>
      <c r="O885" s="231">
        <v>662</v>
      </c>
      <c r="P885" s="234" t="s">
        <v>318</v>
      </c>
      <c r="Q885" s="232" t="s">
        <v>2529</v>
      </c>
      <c r="R885" s="234" t="s">
        <v>847</v>
      </c>
      <c r="S885" s="235">
        <v>41234</v>
      </c>
      <c r="T885" s="235">
        <v>41614</v>
      </c>
      <c r="U885" s="234"/>
      <c r="V885" s="232" t="s">
        <v>321</v>
      </c>
      <c r="W885" s="231"/>
      <c r="X885" s="232" t="s">
        <v>322</v>
      </c>
      <c r="Y885" s="232" t="s">
        <v>323</v>
      </c>
      <c r="Z885" s="232" t="s">
        <v>323</v>
      </c>
      <c r="AA885" s="232" t="s">
        <v>324</v>
      </c>
      <c r="AB885" s="236">
        <v>4.4396999999999999E-2</v>
      </c>
      <c r="AC885" s="235"/>
      <c r="AD885" s="234"/>
      <c r="AE885" s="234"/>
      <c r="AF885" s="232" t="s">
        <v>77</v>
      </c>
      <c r="AG885" s="232" t="s">
        <v>350</v>
      </c>
      <c r="AH885" s="234" t="s">
        <v>2530</v>
      </c>
      <c r="AJ885" s="234">
        <v>0</v>
      </c>
      <c r="AK885" s="224"/>
      <c r="AL885" s="234">
        <v>10</v>
      </c>
      <c r="AM885" s="224"/>
      <c r="AN885" s="234">
        <v>23</v>
      </c>
      <c r="AO885" s="234">
        <v>23</v>
      </c>
      <c r="AP885" s="234">
        <v>70</v>
      </c>
      <c r="AQ885" s="234">
        <v>44</v>
      </c>
      <c r="AR885" s="234">
        <v>6</v>
      </c>
      <c r="AS885" s="234">
        <v>0</v>
      </c>
      <c r="AT885" s="234">
        <v>0</v>
      </c>
      <c r="AU885" s="234">
        <v>23</v>
      </c>
      <c r="AV885" s="234">
        <v>23</v>
      </c>
      <c r="AW885" s="234">
        <v>70</v>
      </c>
      <c r="AX885" s="234">
        <v>44</v>
      </c>
      <c r="AY885" s="234">
        <v>6</v>
      </c>
      <c r="AZ885" s="234">
        <v>0</v>
      </c>
      <c r="BA885" s="234">
        <v>0</v>
      </c>
      <c r="BB885" s="234">
        <v>0</v>
      </c>
      <c r="BC885" s="234">
        <v>0</v>
      </c>
      <c r="BD885" s="234">
        <v>0</v>
      </c>
      <c r="BE885" s="234">
        <v>0</v>
      </c>
      <c r="BF885" s="234">
        <v>0</v>
      </c>
      <c r="BG885" s="234">
        <v>0</v>
      </c>
      <c r="BH885" s="234">
        <v>0</v>
      </c>
      <c r="BI885" s="234">
        <v>0</v>
      </c>
      <c r="BJ885" s="234">
        <v>0</v>
      </c>
      <c r="BK885" s="234">
        <v>0</v>
      </c>
      <c r="BL885" s="234">
        <v>0</v>
      </c>
      <c r="BM885" s="234">
        <v>0</v>
      </c>
      <c r="BN885" s="234">
        <v>0</v>
      </c>
      <c r="BO885" s="234">
        <v>0</v>
      </c>
      <c r="BP885" s="234" t="s">
        <v>145</v>
      </c>
      <c r="BQ885" s="234"/>
      <c r="BR885" s="237" t="s">
        <v>327</v>
      </c>
      <c r="BS885" s="238">
        <v>8</v>
      </c>
      <c r="BY885" s="239">
        <f>M885</f>
        <v>166</v>
      </c>
      <c r="CN885" s="238">
        <f t="shared" ref="CN885:CN948" si="108">SUM(BU885:BY885)</f>
        <v>166</v>
      </c>
      <c r="CO885" s="238">
        <f t="shared" ref="CO885:CO948" si="109">SUM(BU885:CD885)</f>
        <v>166</v>
      </c>
    </row>
    <row r="886" spans="1:93" ht="13.95" customHeight="1" x14ac:dyDescent="0.2">
      <c r="A886" s="231">
        <v>3518</v>
      </c>
      <c r="B886" s="232" t="s">
        <v>822</v>
      </c>
      <c r="C886" s="232" t="s">
        <v>2526</v>
      </c>
      <c r="D886" s="232" t="s">
        <v>2527</v>
      </c>
      <c r="E886" s="232" t="s">
        <v>2534</v>
      </c>
      <c r="F886" s="231">
        <v>525666</v>
      </c>
      <c r="G886" s="231">
        <v>174804</v>
      </c>
      <c r="H886" s="232" t="s">
        <v>181</v>
      </c>
      <c r="I886" s="233">
        <v>42095</v>
      </c>
      <c r="J886" s="231"/>
      <c r="K886" s="231">
        <v>0</v>
      </c>
      <c r="L886" s="231">
        <v>30</v>
      </c>
      <c r="M886" s="231">
        <v>30</v>
      </c>
      <c r="N886" s="231">
        <v>663</v>
      </c>
      <c r="O886" s="231">
        <v>662</v>
      </c>
      <c r="P886" s="234" t="s">
        <v>318</v>
      </c>
      <c r="Q886" s="232" t="s">
        <v>2529</v>
      </c>
      <c r="R886" s="234" t="s">
        <v>847</v>
      </c>
      <c r="S886" s="235">
        <v>41234</v>
      </c>
      <c r="T886" s="235">
        <v>41614</v>
      </c>
      <c r="U886" s="234"/>
      <c r="V886" s="232" t="s">
        <v>321</v>
      </c>
      <c r="W886" s="231"/>
      <c r="X886" s="232" t="s">
        <v>322</v>
      </c>
      <c r="Y886" s="232" t="s">
        <v>323</v>
      </c>
      <c r="Z886" s="232" t="s">
        <v>323</v>
      </c>
      <c r="AA886" s="232" t="s">
        <v>324</v>
      </c>
      <c r="AB886" s="236">
        <v>4.7699999999999999E-2</v>
      </c>
      <c r="AC886" s="235"/>
      <c r="AD886" s="234"/>
      <c r="AE886" s="234"/>
      <c r="AF886" s="232" t="s">
        <v>77</v>
      </c>
      <c r="AG886" s="232" t="s">
        <v>350</v>
      </c>
      <c r="AH886" s="234" t="s">
        <v>2530</v>
      </c>
      <c r="AJ886" s="234">
        <v>0</v>
      </c>
      <c r="AK886" s="224"/>
      <c r="AL886" s="234">
        <v>5</v>
      </c>
      <c r="AM886" s="224"/>
      <c r="AN886" s="234">
        <v>0</v>
      </c>
      <c r="AO886" s="234">
        <v>15</v>
      </c>
      <c r="AP886" s="234">
        <v>5</v>
      </c>
      <c r="AQ886" s="234">
        <v>10</v>
      </c>
      <c r="AR886" s="234">
        <v>0</v>
      </c>
      <c r="AS886" s="234">
        <v>0</v>
      </c>
      <c r="AT886" s="234">
        <v>0</v>
      </c>
      <c r="AU886" s="234">
        <v>0</v>
      </c>
      <c r="AV886" s="234">
        <v>15</v>
      </c>
      <c r="AW886" s="234">
        <v>5</v>
      </c>
      <c r="AX886" s="234">
        <v>10</v>
      </c>
      <c r="AY886" s="234">
        <v>0</v>
      </c>
      <c r="AZ886" s="234">
        <v>0</v>
      </c>
      <c r="BA886" s="234">
        <v>0</v>
      </c>
      <c r="BB886" s="234">
        <v>0</v>
      </c>
      <c r="BC886" s="234">
        <v>0</v>
      </c>
      <c r="BD886" s="234">
        <v>0</v>
      </c>
      <c r="BE886" s="234">
        <v>0</v>
      </c>
      <c r="BF886" s="234">
        <v>0</v>
      </c>
      <c r="BG886" s="234">
        <v>0</v>
      </c>
      <c r="BH886" s="234">
        <v>0</v>
      </c>
      <c r="BI886" s="234">
        <v>0</v>
      </c>
      <c r="BJ886" s="234">
        <v>0</v>
      </c>
      <c r="BK886" s="234">
        <v>0</v>
      </c>
      <c r="BL886" s="234">
        <v>0</v>
      </c>
      <c r="BM886" s="234">
        <v>0</v>
      </c>
      <c r="BN886" s="234">
        <v>0</v>
      </c>
      <c r="BO886" s="234">
        <v>0</v>
      </c>
      <c r="BP886" s="234" t="s">
        <v>145</v>
      </c>
      <c r="BQ886" s="234"/>
      <c r="BR886" s="237" t="s">
        <v>327</v>
      </c>
      <c r="BS886" s="238">
        <v>8</v>
      </c>
      <c r="BY886" s="239">
        <f>M886</f>
        <v>30</v>
      </c>
      <c r="CN886" s="238">
        <f t="shared" si="108"/>
        <v>30</v>
      </c>
      <c r="CO886" s="238">
        <f t="shared" si="109"/>
        <v>30</v>
      </c>
    </row>
    <row r="887" spans="1:93" ht="13.95" customHeight="1" x14ac:dyDescent="0.2">
      <c r="A887" s="231">
        <v>3518</v>
      </c>
      <c r="B887" s="232" t="s">
        <v>822</v>
      </c>
      <c r="C887" s="232" t="s">
        <v>2535</v>
      </c>
      <c r="D887" s="232" t="s">
        <v>2527</v>
      </c>
      <c r="E887" s="232" t="s">
        <v>2536</v>
      </c>
      <c r="F887" s="231">
        <v>525666</v>
      </c>
      <c r="G887" s="231">
        <v>174804</v>
      </c>
      <c r="H887" s="232" t="s">
        <v>181</v>
      </c>
      <c r="I887" s="233">
        <v>42095</v>
      </c>
      <c r="J887" s="231"/>
      <c r="K887" s="231">
        <v>0</v>
      </c>
      <c r="L887" s="231">
        <v>66</v>
      </c>
      <c r="M887" s="231">
        <v>66</v>
      </c>
      <c r="N887" s="231">
        <v>66</v>
      </c>
      <c r="O887" s="231">
        <v>66</v>
      </c>
      <c r="P887" s="234" t="s">
        <v>318</v>
      </c>
      <c r="Q887" s="232" t="s">
        <v>2537</v>
      </c>
      <c r="R887" s="234" t="s">
        <v>344</v>
      </c>
      <c r="S887" s="235">
        <v>42671</v>
      </c>
      <c r="T887" s="235">
        <v>42706</v>
      </c>
      <c r="U887" s="234"/>
      <c r="V887" s="232" t="s">
        <v>321</v>
      </c>
      <c r="W887" s="232"/>
      <c r="X887" s="240" t="s">
        <v>322</v>
      </c>
      <c r="Y887" s="232" t="s">
        <v>323</v>
      </c>
      <c r="Z887" s="232" t="s">
        <v>323</v>
      </c>
      <c r="AA887" s="232" t="s">
        <v>324</v>
      </c>
      <c r="AB887" s="236">
        <v>4.5183300000000003E-2</v>
      </c>
      <c r="AC887" s="235"/>
      <c r="AD887" s="234"/>
      <c r="AE887" s="234"/>
      <c r="AF887" s="232" t="s">
        <v>56</v>
      </c>
      <c r="AG887" s="232" t="s">
        <v>345</v>
      </c>
      <c r="AH887" s="234" t="s">
        <v>2530</v>
      </c>
      <c r="AI887" s="234"/>
      <c r="AJ887" s="224">
        <v>10</v>
      </c>
      <c r="AK887" s="234"/>
      <c r="AL887" s="224">
        <v>10</v>
      </c>
      <c r="AM887" s="234"/>
      <c r="AN887" s="224">
        <v>0</v>
      </c>
      <c r="AO887" s="234">
        <v>36</v>
      </c>
      <c r="AP887" s="234">
        <v>24</v>
      </c>
      <c r="AQ887" s="234">
        <v>6</v>
      </c>
      <c r="AR887" s="234">
        <v>0</v>
      </c>
      <c r="AS887" s="234">
        <v>0</v>
      </c>
      <c r="AT887" s="234">
        <v>0</v>
      </c>
      <c r="AU887" s="234">
        <v>0</v>
      </c>
      <c r="AV887" s="234">
        <v>36</v>
      </c>
      <c r="AW887" s="234">
        <v>24</v>
      </c>
      <c r="AX887" s="234">
        <v>6</v>
      </c>
      <c r="AY887" s="234">
        <v>0</v>
      </c>
      <c r="AZ887" s="234">
        <v>0</v>
      </c>
      <c r="BA887" s="234">
        <v>0</v>
      </c>
      <c r="BB887" s="234">
        <v>0</v>
      </c>
      <c r="BC887" s="234">
        <v>0</v>
      </c>
      <c r="BD887" s="234">
        <v>0</v>
      </c>
      <c r="BE887" s="234">
        <v>0</v>
      </c>
      <c r="BF887" s="234">
        <v>0</v>
      </c>
      <c r="BG887" s="234">
        <v>0</v>
      </c>
      <c r="BH887" s="234">
        <v>0</v>
      </c>
      <c r="BI887" s="234">
        <v>0</v>
      </c>
      <c r="BJ887" s="234">
        <v>0</v>
      </c>
      <c r="BK887" s="234">
        <v>0</v>
      </c>
      <c r="BL887" s="234">
        <v>0</v>
      </c>
      <c r="BM887" s="234">
        <v>0</v>
      </c>
      <c r="BN887" s="234">
        <v>0</v>
      </c>
      <c r="BO887" s="234">
        <v>0</v>
      </c>
      <c r="BP887" s="234" t="s">
        <v>145</v>
      </c>
      <c r="BQ887" s="234"/>
      <c r="BR887" s="237" t="s">
        <v>327</v>
      </c>
      <c r="BS887" s="238">
        <v>8</v>
      </c>
      <c r="BX887" s="239">
        <f>M887</f>
        <v>66</v>
      </c>
      <c r="CN887" s="238">
        <f t="shared" si="108"/>
        <v>66</v>
      </c>
      <c r="CO887" s="238">
        <f t="shared" si="109"/>
        <v>66</v>
      </c>
    </row>
    <row r="888" spans="1:93" ht="13.95" customHeight="1" x14ac:dyDescent="0.2">
      <c r="A888" s="231">
        <v>3980</v>
      </c>
      <c r="B888" s="232" t="s">
        <v>822</v>
      </c>
      <c r="C888" s="232" t="s">
        <v>2538</v>
      </c>
      <c r="D888" s="232" t="s">
        <v>2539</v>
      </c>
      <c r="E888" s="232" t="s">
        <v>2540</v>
      </c>
      <c r="F888" s="231">
        <v>526592</v>
      </c>
      <c r="G888" s="231">
        <v>175883</v>
      </c>
      <c r="H888" s="232" t="s">
        <v>174</v>
      </c>
      <c r="I888" s="233"/>
      <c r="J888" s="231"/>
      <c r="K888" s="231">
        <v>0</v>
      </c>
      <c r="L888" s="231">
        <v>64</v>
      </c>
      <c r="M888" s="231">
        <v>64</v>
      </c>
      <c r="N888" s="231">
        <v>177</v>
      </c>
      <c r="O888" s="231">
        <v>177</v>
      </c>
      <c r="P888" s="234" t="s">
        <v>318</v>
      </c>
      <c r="Q888" s="232" t="s">
        <v>2541</v>
      </c>
      <c r="R888" s="234" t="s">
        <v>320</v>
      </c>
      <c r="S888" s="235">
        <v>44582</v>
      </c>
      <c r="T888" s="235">
        <v>44754</v>
      </c>
      <c r="U888" s="234" t="s">
        <v>318</v>
      </c>
      <c r="V888" s="232" t="s">
        <v>321</v>
      </c>
      <c r="W888" s="231"/>
      <c r="X888" s="232" t="s">
        <v>322</v>
      </c>
      <c r="Y888" s="232" t="s">
        <v>323</v>
      </c>
      <c r="Z888" s="232" t="s">
        <v>323</v>
      </c>
      <c r="AA888" s="232" t="s">
        <v>324</v>
      </c>
      <c r="AB888" s="236">
        <v>8.5000000000000006E-2</v>
      </c>
      <c r="AC888" s="235"/>
      <c r="AD888" s="234"/>
      <c r="AE888" s="234"/>
      <c r="AF888" s="232" t="s">
        <v>56</v>
      </c>
      <c r="AG888" s="232" t="s">
        <v>325</v>
      </c>
      <c r="AH888" s="234" t="s">
        <v>2542</v>
      </c>
      <c r="AJ888" s="234">
        <v>0</v>
      </c>
      <c r="AK888" s="224"/>
      <c r="AL888" s="234">
        <v>0</v>
      </c>
      <c r="AM888" s="224"/>
      <c r="AN888" s="234">
        <v>0</v>
      </c>
      <c r="AO888" s="234">
        <v>32</v>
      </c>
      <c r="AP888" s="234">
        <v>32</v>
      </c>
      <c r="AQ888" s="234">
        <v>0</v>
      </c>
      <c r="AR888" s="234">
        <v>0</v>
      </c>
      <c r="AS888" s="234">
        <v>0</v>
      </c>
      <c r="AT888" s="234">
        <v>0</v>
      </c>
      <c r="AU888" s="234">
        <v>0</v>
      </c>
      <c r="AV888" s="234">
        <v>32</v>
      </c>
      <c r="AW888" s="234">
        <v>32</v>
      </c>
      <c r="AX888" s="234">
        <v>0</v>
      </c>
      <c r="AY888" s="234">
        <v>0</v>
      </c>
      <c r="AZ888" s="234">
        <v>0</v>
      </c>
      <c r="BA888" s="234">
        <v>0</v>
      </c>
      <c r="BB888" s="234">
        <v>0</v>
      </c>
      <c r="BC888" s="234">
        <v>0</v>
      </c>
      <c r="BD888" s="234">
        <v>0</v>
      </c>
      <c r="BE888" s="234">
        <v>0</v>
      </c>
      <c r="BF888" s="234">
        <v>0</v>
      </c>
      <c r="BG888" s="234">
        <v>0</v>
      </c>
      <c r="BH888" s="234">
        <v>0</v>
      </c>
      <c r="BI888" s="234">
        <v>0</v>
      </c>
      <c r="BJ888" s="234">
        <v>0</v>
      </c>
      <c r="BK888" s="234">
        <v>0</v>
      </c>
      <c r="BL888" s="234">
        <v>0</v>
      </c>
      <c r="BM888" s="234">
        <v>0</v>
      </c>
      <c r="BN888" s="234">
        <v>0</v>
      </c>
      <c r="BO888" s="234">
        <v>0</v>
      </c>
      <c r="BP888" s="234"/>
      <c r="BQ888" s="234"/>
      <c r="BR888" s="237" t="s">
        <v>150</v>
      </c>
      <c r="BS888" s="238">
        <v>8</v>
      </c>
      <c r="BW888" s="239">
        <f>M888</f>
        <v>64</v>
      </c>
      <c r="CN888" s="238">
        <f t="shared" si="108"/>
        <v>64</v>
      </c>
      <c r="CO888" s="238">
        <f t="shared" si="109"/>
        <v>64</v>
      </c>
    </row>
    <row r="889" spans="1:93" ht="13.95" customHeight="1" x14ac:dyDescent="0.2">
      <c r="A889" s="231">
        <v>3980</v>
      </c>
      <c r="B889" s="232" t="s">
        <v>822</v>
      </c>
      <c r="C889" s="232" t="s">
        <v>2538</v>
      </c>
      <c r="D889" s="232" t="s">
        <v>2539</v>
      </c>
      <c r="E889" s="232" t="s">
        <v>2543</v>
      </c>
      <c r="F889" s="231">
        <v>526592</v>
      </c>
      <c r="G889" s="231">
        <v>175883</v>
      </c>
      <c r="H889" s="232" t="s">
        <v>174</v>
      </c>
      <c r="I889" s="233"/>
      <c r="J889" s="231"/>
      <c r="K889" s="231">
        <v>0</v>
      </c>
      <c r="L889" s="231">
        <v>113</v>
      </c>
      <c r="M889" s="231">
        <v>113</v>
      </c>
      <c r="N889" s="231">
        <v>177</v>
      </c>
      <c r="O889" s="231">
        <v>177</v>
      </c>
      <c r="P889" s="234" t="s">
        <v>318</v>
      </c>
      <c r="Q889" s="232" t="s">
        <v>2541</v>
      </c>
      <c r="R889" s="234" t="s">
        <v>320</v>
      </c>
      <c r="S889" s="235">
        <v>44582</v>
      </c>
      <c r="T889" s="235">
        <v>44754</v>
      </c>
      <c r="U889" s="234" t="s">
        <v>318</v>
      </c>
      <c r="V889" s="232" t="s">
        <v>321</v>
      </c>
      <c r="W889" s="231"/>
      <c r="X889" s="232" t="s">
        <v>322</v>
      </c>
      <c r="Y889" s="232" t="s">
        <v>323</v>
      </c>
      <c r="Z889" s="232" t="s">
        <v>323</v>
      </c>
      <c r="AA889" s="232" t="s">
        <v>324</v>
      </c>
      <c r="AB889" s="236">
        <v>0.17299999999999999</v>
      </c>
      <c r="AC889" s="235"/>
      <c r="AD889" s="234"/>
      <c r="AE889" s="234"/>
      <c r="AF889" s="232" t="s">
        <v>77</v>
      </c>
      <c r="AG889" s="232" t="s">
        <v>350</v>
      </c>
      <c r="AH889" s="234" t="s">
        <v>2542</v>
      </c>
      <c r="AJ889" s="234">
        <v>0</v>
      </c>
      <c r="AK889" s="224"/>
      <c r="AL889" s="234">
        <v>0</v>
      </c>
      <c r="AM889" s="224"/>
      <c r="AN889" s="234">
        <v>0</v>
      </c>
      <c r="AO889" s="234">
        <v>50</v>
      </c>
      <c r="AP889" s="234">
        <v>54</v>
      </c>
      <c r="AQ889" s="234">
        <v>9</v>
      </c>
      <c r="AR889" s="234">
        <v>0</v>
      </c>
      <c r="AS889" s="234">
        <v>0</v>
      </c>
      <c r="AT889" s="234">
        <v>0</v>
      </c>
      <c r="AU889" s="234">
        <v>0</v>
      </c>
      <c r="AV889" s="234">
        <v>50</v>
      </c>
      <c r="AW889" s="234">
        <v>54</v>
      </c>
      <c r="AX889" s="234">
        <v>9</v>
      </c>
      <c r="AY889" s="234">
        <v>0</v>
      </c>
      <c r="AZ889" s="234">
        <v>0</v>
      </c>
      <c r="BA889" s="234">
        <v>0</v>
      </c>
      <c r="BB889" s="234">
        <v>0</v>
      </c>
      <c r="BC889" s="234">
        <v>0</v>
      </c>
      <c r="BD889" s="234">
        <v>0</v>
      </c>
      <c r="BE889" s="234">
        <v>0</v>
      </c>
      <c r="BF889" s="234">
        <v>0</v>
      </c>
      <c r="BG889" s="234">
        <v>0</v>
      </c>
      <c r="BH889" s="234">
        <v>0</v>
      </c>
      <c r="BI889" s="234">
        <v>0</v>
      </c>
      <c r="BJ889" s="234">
        <v>0</v>
      </c>
      <c r="BK889" s="234">
        <v>0</v>
      </c>
      <c r="BL889" s="234">
        <v>0</v>
      </c>
      <c r="BM889" s="234">
        <v>0</v>
      </c>
      <c r="BN889" s="234">
        <v>0</v>
      </c>
      <c r="BO889" s="234">
        <v>0</v>
      </c>
      <c r="BP889" s="234"/>
      <c r="BQ889" s="234"/>
      <c r="BR889" s="237" t="s">
        <v>150</v>
      </c>
      <c r="BS889" s="238">
        <v>8</v>
      </c>
      <c r="BW889" s="239">
        <f>M889</f>
        <v>113</v>
      </c>
      <c r="CN889" s="238">
        <f t="shared" si="108"/>
        <v>113</v>
      </c>
      <c r="CO889" s="238">
        <f t="shared" si="109"/>
        <v>113</v>
      </c>
    </row>
    <row r="890" spans="1:93" ht="13.95" customHeight="1" x14ac:dyDescent="0.2">
      <c r="A890" s="231">
        <v>1993</v>
      </c>
      <c r="B890" s="232" t="s">
        <v>822</v>
      </c>
      <c r="C890" s="232" t="s">
        <v>2544</v>
      </c>
      <c r="D890" s="232" t="s">
        <v>2545</v>
      </c>
      <c r="E890" s="232" t="s">
        <v>1352</v>
      </c>
      <c r="F890" s="231">
        <v>529441</v>
      </c>
      <c r="G890" s="231">
        <v>170836</v>
      </c>
      <c r="H890" s="232" t="s">
        <v>166</v>
      </c>
      <c r="I890" s="233"/>
      <c r="J890" s="231"/>
      <c r="K890" s="231">
        <v>0</v>
      </c>
      <c r="L890" s="231">
        <v>2</v>
      </c>
      <c r="M890" s="231">
        <v>2</v>
      </c>
      <c r="N890" s="231">
        <v>8</v>
      </c>
      <c r="O890" s="231">
        <v>8</v>
      </c>
      <c r="P890" s="234"/>
      <c r="Q890" s="232" t="s">
        <v>2546</v>
      </c>
      <c r="R890" s="234" t="s">
        <v>332</v>
      </c>
      <c r="S890" s="235">
        <v>44057</v>
      </c>
      <c r="T890" s="235">
        <v>44228</v>
      </c>
      <c r="U890" s="234"/>
      <c r="V890" s="232" t="s">
        <v>321</v>
      </c>
      <c r="W890" s="231"/>
      <c r="X890" s="232" t="s">
        <v>322</v>
      </c>
      <c r="Y890" s="232" t="s">
        <v>323</v>
      </c>
      <c r="Z890" s="232" t="s">
        <v>324</v>
      </c>
      <c r="AA890" s="232" t="s">
        <v>349</v>
      </c>
      <c r="AB890" s="236">
        <v>8.9999999999999993E-3</v>
      </c>
      <c r="AC890" s="235"/>
      <c r="AD890" s="234"/>
      <c r="AE890" s="234"/>
      <c r="AF890" s="232" t="s">
        <v>77</v>
      </c>
      <c r="AG890" s="232" t="s">
        <v>350</v>
      </c>
      <c r="AH890" s="234" t="s">
        <v>317</v>
      </c>
      <c r="AJ890" s="234">
        <v>0</v>
      </c>
      <c r="AK890" s="224"/>
      <c r="AL890" s="234">
        <v>0</v>
      </c>
      <c r="AM890" s="224"/>
      <c r="AN890" s="234">
        <v>0</v>
      </c>
      <c r="AO890" s="234">
        <v>2</v>
      </c>
      <c r="AP890" s="234">
        <v>0</v>
      </c>
      <c r="AQ890" s="234">
        <v>0</v>
      </c>
      <c r="AR890" s="234">
        <v>0</v>
      </c>
      <c r="AS890" s="234">
        <v>0</v>
      </c>
      <c r="AT890" s="234">
        <v>0</v>
      </c>
      <c r="AU890" s="234">
        <v>0</v>
      </c>
      <c r="AV890" s="234">
        <v>2</v>
      </c>
      <c r="AW890" s="234">
        <v>0</v>
      </c>
      <c r="AX890" s="234">
        <v>0</v>
      </c>
      <c r="AY890" s="234">
        <v>0</v>
      </c>
      <c r="AZ890" s="234">
        <v>0</v>
      </c>
      <c r="BA890" s="234">
        <v>0</v>
      </c>
      <c r="BB890" s="234">
        <v>0</v>
      </c>
      <c r="BC890" s="234">
        <v>0</v>
      </c>
      <c r="BD890" s="234">
        <v>0</v>
      </c>
      <c r="BE890" s="234">
        <v>0</v>
      </c>
      <c r="BF890" s="234">
        <v>0</v>
      </c>
      <c r="BG890" s="234">
        <v>0</v>
      </c>
      <c r="BH890" s="234">
        <v>0</v>
      </c>
      <c r="BI890" s="234">
        <v>0</v>
      </c>
      <c r="BJ890" s="234">
        <v>0</v>
      </c>
      <c r="BK890" s="234">
        <v>0</v>
      </c>
      <c r="BL890" s="234">
        <v>0</v>
      </c>
      <c r="BM890" s="234">
        <v>0</v>
      </c>
      <c r="BN890" s="234">
        <v>0</v>
      </c>
      <c r="BO890" s="234">
        <v>0</v>
      </c>
      <c r="BP890" s="234"/>
      <c r="BQ890" s="234"/>
      <c r="BR890" s="237" t="s">
        <v>334</v>
      </c>
      <c r="BS890" s="238">
        <v>10</v>
      </c>
      <c r="BX890" s="239">
        <f>M890/3</f>
        <v>0.66666666666666663</v>
      </c>
      <c r="BY890" s="239">
        <f>M890/3</f>
        <v>0.66666666666666663</v>
      </c>
      <c r="BZ890" s="239">
        <f>M890/3</f>
        <v>0.66666666666666663</v>
      </c>
      <c r="CN890" s="238">
        <f t="shared" si="108"/>
        <v>1.3333333333333333</v>
      </c>
      <c r="CO890" s="238">
        <f t="shared" si="109"/>
        <v>2</v>
      </c>
    </row>
    <row r="891" spans="1:93" ht="13.95" customHeight="1" x14ac:dyDescent="0.2">
      <c r="A891" s="231">
        <v>1993</v>
      </c>
      <c r="B891" s="232" t="s">
        <v>822</v>
      </c>
      <c r="C891" s="232" t="s">
        <v>2544</v>
      </c>
      <c r="D891" s="232" t="s">
        <v>2545</v>
      </c>
      <c r="E891" s="232" t="s">
        <v>1354</v>
      </c>
      <c r="F891" s="231">
        <v>529441</v>
      </c>
      <c r="G891" s="231">
        <v>170836</v>
      </c>
      <c r="H891" s="232" t="s">
        <v>166</v>
      </c>
      <c r="I891" s="233"/>
      <c r="J891" s="231"/>
      <c r="K891" s="231">
        <v>0</v>
      </c>
      <c r="L891" s="231">
        <v>6</v>
      </c>
      <c r="M891" s="231">
        <v>6</v>
      </c>
      <c r="N891" s="231">
        <v>8</v>
      </c>
      <c r="O891" s="231">
        <v>8</v>
      </c>
      <c r="P891" s="234"/>
      <c r="Q891" s="232" t="s">
        <v>2546</v>
      </c>
      <c r="R891" s="234" t="s">
        <v>332</v>
      </c>
      <c r="S891" s="235">
        <v>44057</v>
      </c>
      <c r="T891" s="235">
        <v>44228</v>
      </c>
      <c r="U891" s="234"/>
      <c r="V891" s="232" t="s">
        <v>321</v>
      </c>
      <c r="W891" s="231"/>
      <c r="X891" s="232" t="s">
        <v>322</v>
      </c>
      <c r="Y891" s="232" t="s">
        <v>323</v>
      </c>
      <c r="Z891" s="232" t="s">
        <v>324</v>
      </c>
      <c r="AA891" s="232" t="s">
        <v>349</v>
      </c>
      <c r="AB891" s="236">
        <v>2.7E-2</v>
      </c>
      <c r="AC891" s="235"/>
      <c r="AD891" s="234"/>
      <c r="AE891" s="234"/>
      <c r="AF891" s="232" t="s">
        <v>77</v>
      </c>
      <c r="AG891" s="232" t="s">
        <v>350</v>
      </c>
      <c r="AH891" s="234" t="s">
        <v>317</v>
      </c>
      <c r="AJ891" s="234">
        <v>0</v>
      </c>
      <c r="AK891" s="224"/>
      <c r="AL891" s="234">
        <v>0</v>
      </c>
      <c r="AM891" s="224"/>
      <c r="AN891" s="234">
        <v>0</v>
      </c>
      <c r="AO891" s="234">
        <v>4</v>
      </c>
      <c r="AP891" s="234">
        <v>1</v>
      </c>
      <c r="AQ891" s="234">
        <v>1</v>
      </c>
      <c r="AR891" s="234">
        <v>0</v>
      </c>
      <c r="AS891" s="234">
        <v>0</v>
      </c>
      <c r="AT891" s="234">
        <v>0</v>
      </c>
      <c r="AU891" s="234">
        <v>0</v>
      </c>
      <c r="AV891" s="234">
        <v>4</v>
      </c>
      <c r="AW891" s="234">
        <v>1</v>
      </c>
      <c r="AX891" s="234">
        <v>1</v>
      </c>
      <c r="AY891" s="234">
        <v>0</v>
      </c>
      <c r="AZ891" s="234">
        <v>0</v>
      </c>
      <c r="BA891" s="234">
        <v>0</v>
      </c>
      <c r="BB891" s="234">
        <v>0</v>
      </c>
      <c r="BC891" s="234">
        <v>0</v>
      </c>
      <c r="BD891" s="234">
        <v>0</v>
      </c>
      <c r="BE891" s="234">
        <v>0</v>
      </c>
      <c r="BF891" s="234">
        <v>0</v>
      </c>
      <c r="BG891" s="234">
        <v>0</v>
      </c>
      <c r="BH891" s="234">
        <v>0</v>
      </c>
      <c r="BI891" s="234">
        <v>0</v>
      </c>
      <c r="BJ891" s="234">
        <v>0</v>
      </c>
      <c r="BK891" s="234">
        <v>0</v>
      </c>
      <c r="BL891" s="234">
        <v>0</v>
      </c>
      <c r="BM891" s="234">
        <v>0</v>
      </c>
      <c r="BN891" s="234">
        <v>0</v>
      </c>
      <c r="BO891" s="234">
        <v>0</v>
      </c>
      <c r="BP891" s="234"/>
      <c r="BQ891" s="234"/>
      <c r="BR891" s="237" t="s">
        <v>334</v>
      </c>
      <c r="BS891" s="238">
        <v>10</v>
      </c>
      <c r="BX891" s="239">
        <f>M891/3</f>
        <v>2</v>
      </c>
      <c r="BY891" s="239">
        <f>M891/3</f>
        <v>2</v>
      </c>
      <c r="BZ891" s="239">
        <f>M891/3</f>
        <v>2</v>
      </c>
      <c r="CN891" s="238">
        <f t="shared" si="108"/>
        <v>4</v>
      </c>
      <c r="CO891" s="238">
        <f t="shared" si="109"/>
        <v>6</v>
      </c>
    </row>
    <row r="892" spans="1:93" ht="13.95" customHeight="1" x14ac:dyDescent="0.2">
      <c r="A892" s="231">
        <v>3154</v>
      </c>
      <c r="B892" s="232" t="s">
        <v>822</v>
      </c>
      <c r="C892" s="232" t="s">
        <v>2547</v>
      </c>
      <c r="D892" s="232" t="s">
        <v>2548</v>
      </c>
      <c r="E892" s="232" t="s">
        <v>1366</v>
      </c>
      <c r="F892" s="231">
        <v>527643</v>
      </c>
      <c r="G892" s="231">
        <v>171818</v>
      </c>
      <c r="H892" s="232" t="s">
        <v>176</v>
      </c>
      <c r="I892" s="233"/>
      <c r="J892" s="231"/>
      <c r="K892" s="231">
        <v>2</v>
      </c>
      <c r="L892" s="231">
        <v>4</v>
      </c>
      <c r="M892" s="231">
        <v>2</v>
      </c>
      <c r="N892" s="231">
        <v>7</v>
      </c>
      <c r="O892" s="231">
        <v>5</v>
      </c>
      <c r="P892" s="234"/>
      <c r="Q892" s="232" t="s">
        <v>2549</v>
      </c>
      <c r="R892" s="234" t="s">
        <v>332</v>
      </c>
      <c r="S892" s="235">
        <v>43294</v>
      </c>
      <c r="T892" s="235">
        <v>43553</v>
      </c>
      <c r="U892" s="234"/>
      <c r="V892" s="232" t="s">
        <v>321</v>
      </c>
      <c r="W892" s="231"/>
      <c r="X892" s="232" t="s">
        <v>322</v>
      </c>
      <c r="Y892" s="232" t="s">
        <v>339</v>
      </c>
      <c r="Z892" s="232" t="s">
        <v>324</v>
      </c>
      <c r="AA892" s="232" t="s">
        <v>354</v>
      </c>
      <c r="AB892" s="236">
        <v>6.0000000000000001E-3</v>
      </c>
      <c r="AC892" s="235"/>
      <c r="AD892" s="234"/>
      <c r="AE892" s="234"/>
      <c r="AF892" s="232" t="s">
        <v>77</v>
      </c>
      <c r="AG892" s="232" t="s">
        <v>350</v>
      </c>
      <c r="AH892" s="234" t="s">
        <v>657</v>
      </c>
      <c r="AJ892" s="234">
        <v>0</v>
      </c>
      <c r="AK892" s="224"/>
      <c r="AL892" s="234">
        <v>0</v>
      </c>
      <c r="AM892" s="224"/>
      <c r="AN892" s="234">
        <v>3</v>
      </c>
      <c r="AO892" s="234">
        <v>0</v>
      </c>
      <c r="AP892" s="234">
        <v>0</v>
      </c>
      <c r="AQ892" s="234">
        <v>-1</v>
      </c>
      <c r="AR892" s="234">
        <v>0</v>
      </c>
      <c r="AS892" s="234">
        <v>0</v>
      </c>
      <c r="AT892" s="234">
        <v>0</v>
      </c>
      <c r="AU892" s="234">
        <v>3</v>
      </c>
      <c r="AV892" s="234">
        <v>0</v>
      </c>
      <c r="AW892" s="234">
        <v>0</v>
      </c>
      <c r="AX892" s="234">
        <v>-1</v>
      </c>
      <c r="AY892" s="234">
        <v>0</v>
      </c>
      <c r="AZ892" s="234">
        <v>0</v>
      </c>
      <c r="BA892" s="234">
        <v>0</v>
      </c>
      <c r="BB892" s="234">
        <v>0</v>
      </c>
      <c r="BC892" s="234">
        <v>0</v>
      </c>
      <c r="BD892" s="234">
        <v>0</v>
      </c>
      <c r="BE892" s="234">
        <v>0</v>
      </c>
      <c r="BF892" s="234">
        <v>0</v>
      </c>
      <c r="BG892" s="234">
        <v>0</v>
      </c>
      <c r="BH892" s="234">
        <v>0</v>
      </c>
      <c r="BI892" s="234">
        <v>0</v>
      </c>
      <c r="BJ892" s="234">
        <v>0</v>
      </c>
      <c r="BK892" s="234">
        <v>0</v>
      </c>
      <c r="BL892" s="234">
        <v>0</v>
      </c>
      <c r="BM892" s="234">
        <v>0</v>
      </c>
      <c r="BN892" s="234">
        <v>0</v>
      </c>
      <c r="BO892" s="234">
        <v>0</v>
      </c>
      <c r="BP892" s="234" t="s">
        <v>144</v>
      </c>
      <c r="BQ892" s="234"/>
      <c r="BR892" s="237" t="s">
        <v>144</v>
      </c>
      <c r="BS892" s="238">
        <v>15</v>
      </c>
      <c r="BU892" s="239">
        <f>M892/4</f>
        <v>0.5</v>
      </c>
      <c r="BV892" s="239">
        <f>M892/4</f>
        <v>0.5</v>
      </c>
      <c r="BW892" s="239">
        <f>M892/4</f>
        <v>0.5</v>
      </c>
      <c r="BX892" s="239">
        <f>M892/4</f>
        <v>0.5</v>
      </c>
      <c r="CN892" s="238">
        <f t="shared" si="108"/>
        <v>2</v>
      </c>
      <c r="CO892" s="238">
        <f t="shared" si="109"/>
        <v>2</v>
      </c>
    </row>
    <row r="893" spans="1:93" ht="13.95" customHeight="1" x14ac:dyDescent="0.2">
      <c r="A893" s="231">
        <v>6885</v>
      </c>
      <c r="B893" s="232" t="s">
        <v>822</v>
      </c>
      <c r="C893" s="232" t="s">
        <v>2550</v>
      </c>
      <c r="D893" s="232" t="s">
        <v>1928</v>
      </c>
      <c r="E893" s="232" t="s">
        <v>1366</v>
      </c>
      <c r="F893" s="231">
        <v>525906</v>
      </c>
      <c r="G893" s="231">
        <v>173856</v>
      </c>
      <c r="H893" s="232" t="s">
        <v>179</v>
      </c>
      <c r="I893" s="233"/>
      <c r="J893" s="231"/>
      <c r="K893" s="231">
        <v>1</v>
      </c>
      <c r="L893" s="231">
        <v>2</v>
      </c>
      <c r="M893" s="231">
        <v>1</v>
      </c>
      <c r="N893" s="231">
        <v>3</v>
      </c>
      <c r="O893" s="231">
        <v>1</v>
      </c>
      <c r="P893" s="234"/>
      <c r="Q893" s="232" t="s">
        <v>2551</v>
      </c>
      <c r="R893" s="234" t="s">
        <v>332</v>
      </c>
      <c r="S893" s="235">
        <v>43186</v>
      </c>
      <c r="T893" s="235">
        <v>43242</v>
      </c>
      <c r="U893" s="234"/>
      <c r="V893" s="232" t="s">
        <v>321</v>
      </c>
      <c r="W893" s="231"/>
      <c r="X893" s="232" t="s">
        <v>322</v>
      </c>
      <c r="Y893" s="232" t="s">
        <v>338</v>
      </c>
      <c r="Z893" s="232" t="s">
        <v>324</v>
      </c>
      <c r="AA893" s="232" t="s">
        <v>411</v>
      </c>
      <c r="AB893" s="236">
        <v>8.0000000000000002E-3</v>
      </c>
      <c r="AC893" s="235"/>
      <c r="AD893" s="234"/>
      <c r="AE893" s="234"/>
      <c r="AF893" s="232" t="s">
        <v>77</v>
      </c>
      <c r="AG893" s="232" t="s">
        <v>350</v>
      </c>
      <c r="AH893" s="234" t="s">
        <v>317</v>
      </c>
      <c r="AJ893" s="234">
        <v>0</v>
      </c>
      <c r="AK893" s="224"/>
      <c r="AL893" s="234">
        <v>0</v>
      </c>
      <c r="AM893" s="224"/>
      <c r="AN893" s="234">
        <v>0</v>
      </c>
      <c r="AO893" s="234">
        <v>2</v>
      </c>
      <c r="AP893" s="234">
        <v>-1</v>
      </c>
      <c r="AQ893" s="234">
        <v>0</v>
      </c>
      <c r="AR893" s="234">
        <v>0</v>
      </c>
      <c r="AS893" s="234">
        <v>0</v>
      </c>
      <c r="AT893" s="234">
        <v>0</v>
      </c>
      <c r="AU893" s="234">
        <v>0</v>
      </c>
      <c r="AV893" s="234">
        <v>2</v>
      </c>
      <c r="AW893" s="234">
        <v>-1</v>
      </c>
      <c r="AX893" s="234">
        <v>0</v>
      </c>
      <c r="AY893" s="234">
        <v>0</v>
      </c>
      <c r="AZ893" s="234">
        <v>0</v>
      </c>
      <c r="BA893" s="234">
        <v>0</v>
      </c>
      <c r="BB893" s="234">
        <v>0</v>
      </c>
      <c r="BC893" s="234">
        <v>0</v>
      </c>
      <c r="BD893" s="234">
        <v>0</v>
      </c>
      <c r="BE893" s="234">
        <v>0</v>
      </c>
      <c r="BF893" s="234">
        <v>0</v>
      </c>
      <c r="BG893" s="234">
        <v>0</v>
      </c>
      <c r="BH893" s="234">
        <v>0</v>
      </c>
      <c r="BI893" s="234">
        <v>0</v>
      </c>
      <c r="BJ893" s="234">
        <v>0</v>
      </c>
      <c r="BK893" s="234">
        <v>0</v>
      </c>
      <c r="BL893" s="234">
        <v>0</v>
      </c>
      <c r="BM893" s="234">
        <v>0</v>
      </c>
      <c r="BN893" s="234">
        <v>0</v>
      </c>
      <c r="BO893" s="234">
        <v>0</v>
      </c>
      <c r="BP893" s="234"/>
      <c r="BQ893" s="234"/>
      <c r="BR893" s="237" t="s">
        <v>154</v>
      </c>
      <c r="BS893" s="238">
        <v>15</v>
      </c>
      <c r="BU893" s="239">
        <f>M893/4</f>
        <v>0.25</v>
      </c>
      <c r="BV893" s="239">
        <f>M893/4</f>
        <v>0.25</v>
      </c>
      <c r="BW893" s="239">
        <f>M893/4</f>
        <v>0.25</v>
      </c>
      <c r="BX893" s="239">
        <f>M893/4</f>
        <v>0.25</v>
      </c>
      <c r="CN893" s="238">
        <f t="shared" si="108"/>
        <v>1</v>
      </c>
      <c r="CO893" s="238">
        <f t="shared" si="109"/>
        <v>1</v>
      </c>
    </row>
    <row r="894" spans="1:93" ht="13.95" customHeight="1" x14ac:dyDescent="0.2">
      <c r="A894" s="231">
        <v>1563</v>
      </c>
      <c r="B894" s="232" t="s">
        <v>822</v>
      </c>
      <c r="C894" s="232" t="s">
        <v>2552</v>
      </c>
      <c r="D894" s="232" t="s">
        <v>2553</v>
      </c>
      <c r="E894" s="232" t="s">
        <v>1366</v>
      </c>
      <c r="F894" s="231">
        <v>527638</v>
      </c>
      <c r="G894" s="231">
        <v>171599</v>
      </c>
      <c r="H894" s="232" t="s">
        <v>177</v>
      </c>
      <c r="I894" s="233"/>
      <c r="J894" s="231"/>
      <c r="K894" s="231">
        <v>3</v>
      </c>
      <c r="L894" s="231">
        <v>3</v>
      </c>
      <c r="M894" s="231">
        <v>0</v>
      </c>
      <c r="N894" s="231">
        <v>4</v>
      </c>
      <c r="O894" s="231">
        <v>1</v>
      </c>
      <c r="P894" s="234"/>
      <c r="Q894" s="232" t="s">
        <v>2554</v>
      </c>
      <c r="R894" s="234" t="s">
        <v>332</v>
      </c>
      <c r="S894" s="235">
        <v>43244</v>
      </c>
      <c r="T894" s="235">
        <v>43294</v>
      </c>
      <c r="U894" s="234"/>
      <c r="V894" s="232" t="s">
        <v>321</v>
      </c>
      <c r="W894" s="231"/>
      <c r="X894" s="232" t="s">
        <v>322</v>
      </c>
      <c r="Y894" s="232" t="s">
        <v>338</v>
      </c>
      <c r="Z894" s="232" t="s">
        <v>324</v>
      </c>
      <c r="AA894" s="232" t="s">
        <v>411</v>
      </c>
      <c r="AB894" s="236">
        <v>5.0000000000000001E-3</v>
      </c>
      <c r="AC894" s="235"/>
      <c r="AD894" s="234"/>
      <c r="AE894" s="234"/>
      <c r="AF894" s="232" t="s">
        <v>77</v>
      </c>
      <c r="AG894" s="232" t="s">
        <v>350</v>
      </c>
      <c r="AH894" s="234" t="s">
        <v>883</v>
      </c>
      <c r="AJ894" s="234">
        <v>0</v>
      </c>
      <c r="AK894" s="224"/>
      <c r="AL894" s="234">
        <v>0</v>
      </c>
      <c r="AM894" s="224"/>
      <c r="AN894" s="234">
        <v>0</v>
      </c>
      <c r="AO894" s="234">
        <v>1</v>
      </c>
      <c r="AP894" s="234">
        <v>-1</v>
      </c>
      <c r="AQ894" s="234">
        <v>0</v>
      </c>
      <c r="AR894" s="234">
        <v>0</v>
      </c>
      <c r="AS894" s="234">
        <v>0</v>
      </c>
      <c r="AT894" s="234">
        <v>0</v>
      </c>
      <c r="AU894" s="234">
        <v>0</v>
      </c>
      <c r="AV894" s="234">
        <v>1</v>
      </c>
      <c r="AW894" s="234">
        <v>-1</v>
      </c>
      <c r="AX894" s="234">
        <v>0</v>
      </c>
      <c r="AY894" s="234">
        <v>0</v>
      </c>
      <c r="AZ894" s="234">
        <v>0</v>
      </c>
      <c r="BA894" s="234">
        <v>0</v>
      </c>
      <c r="BB894" s="234">
        <v>0</v>
      </c>
      <c r="BC894" s="234">
        <v>0</v>
      </c>
      <c r="BD894" s="234">
        <v>0</v>
      </c>
      <c r="BE894" s="234">
        <v>0</v>
      </c>
      <c r="BF894" s="234">
        <v>0</v>
      </c>
      <c r="BG894" s="234">
        <v>0</v>
      </c>
      <c r="BH894" s="234">
        <v>0</v>
      </c>
      <c r="BI894" s="234">
        <v>0</v>
      </c>
      <c r="BJ894" s="234">
        <v>0</v>
      </c>
      <c r="BK894" s="234">
        <v>0</v>
      </c>
      <c r="BL894" s="234">
        <v>0</v>
      </c>
      <c r="BM894" s="234">
        <v>0</v>
      </c>
      <c r="BN894" s="234">
        <v>0</v>
      </c>
      <c r="BO894" s="234">
        <v>0</v>
      </c>
      <c r="BP894" s="234" t="s">
        <v>144</v>
      </c>
      <c r="BQ894" s="234"/>
      <c r="BR894" s="237" t="s">
        <v>144</v>
      </c>
      <c r="BS894" s="238">
        <v>15</v>
      </c>
      <c r="BU894" s="239">
        <f>M894/4</f>
        <v>0</v>
      </c>
      <c r="BV894" s="239">
        <f>M894/4</f>
        <v>0</v>
      </c>
      <c r="BW894" s="239">
        <f>M894/4</f>
        <v>0</v>
      </c>
      <c r="BX894" s="239">
        <f>M894/4</f>
        <v>0</v>
      </c>
      <c r="CN894" s="238">
        <f t="shared" si="108"/>
        <v>0</v>
      </c>
      <c r="CO894" s="238">
        <f t="shared" si="109"/>
        <v>0</v>
      </c>
    </row>
    <row r="895" spans="1:93" ht="13.95" customHeight="1" x14ac:dyDescent="0.2">
      <c r="A895" s="231">
        <v>7076</v>
      </c>
      <c r="B895" s="232" t="s">
        <v>822</v>
      </c>
      <c r="C895" s="232" t="s">
        <v>2555</v>
      </c>
      <c r="D895" s="232" t="s">
        <v>2556</v>
      </c>
      <c r="E895" s="232" t="s">
        <v>1366</v>
      </c>
      <c r="F895" s="231">
        <v>527497</v>
      </c>
      <c r="G895" s="231">
        <v>171501</v>
      </c>
      <c r="H895" s="232" t="s">
        <v>177</v>
      </c>
      <c r="I895" s="233"/>
      <c r="J895" s="231"/>
      <c r="K895" s="231">
        <v>7</v>
      </c>
      <c r="L895" s="231">
        <v>7</v>
      </c>
      <c r="M895" s="231">
        <v>0</v>
      </c>
      <c r="N895" s="231">
        <v>11</v>
      </c>
      <c r="O895" s="231">
        <v>4</v>
      </c>
      <c r="P895" s="234" t="s">
        <v>318</v>
      </c>
      <c r="Q895" s="232" t="s">
        <v>2557</v>
      </c>
      <c r="R895" s="234" t="s">
        <v>332</v>
      </c>
      <c r="S895" s="235">
        <v>43570</v>
      </c>
      <c r="T895" s="235">
        <v>43626</v>
      </c>
      <c r="U895" s="234"/>
      <c r="V895" s="232" t="s">
        <v>321</v>
      </c>
      <c r="W895" s="231"/>
      <c r="X895" s="232" t="s">
        <v>322</v>
      </c>
      <c r="Y895" s="232" t="s">
        <v>338</v>
      </c>
      <c r="Z895" s="232" t="s">
        <v>812</v>
      </c>
      <c r="AA895" s="232" t="s">
        <v>324</v>
      </c>
      <c r="AB895" s="236">
        <v>2.3E-2</v>
      </c>
      <c r="AC895" s="235"/>
      <c r="AD895" s="234"/>
      <c r="AE895" s="234"/>
      <c r="AF895" s="232" t="s">
        <v>77</v>
      </c>
      <c r="AG895" s="232" t="s">
        <v>350</v>
      </c>
      <c r="AH895" s="234" t="s">
        <v>883</v>
      </c>
      <c r="AJ895" s="234">
        <v>0</v>
      </c>
      <c r="AK895" s="224"/>
      <c r="AL895" s="234">
        <v>0</v>
      </c>
      <c r="AM895" s="224"/>
      <c r="AN895" s="234">
        <v>2</v>
      </c>
      <c r="AO895" s="234">
        <v>0</v>
      </c>
      <c r="AP895" s="234">
        <v>3</v>
      </c>
      <c r="AQ895" s="234">
        <v>-4</v>
      </c>
      <c r="AR895" s="234">
        <v>-1</v>
      </c>
      <c r="AS895" s="234">
        <v>0</v>
      </c>
      <c r="AT895" s="234">
        <v>0</v>
      </c>
      <c r="AU895" s="234">
        <v>2</v>
      </c>
      <c r="AV895" s="234">
        <v>0</v>
      </c>
      <c r="AW895" s="234">
        <v>3</v>
      </c>
      <c r="AX895" s="234">
        <v>-4</v>
      </c>
      <c r="AY895" s="234">
        <v>-1</v>
      </c>
      <c r="AZ895" s="234">
        <v>0</v>
      </c>
      <c r="BA895" s="234">
        <v>0</v>
      </c>
      <c r="BB895" s="234">
        <v>0</v>
      </c>
      <c r="BC895" s="234">
        <v>0</v>
      </c>
      <c r="BD895" s="234">
        <v>0</v>
      </c>
      <c r="BE895" s="234">
        <v>0</v>
      </c>
      <c r="BF895" s="234">
        <v>0</v>
      </c>
      <c r="BG895" s="234">
        <v>0</v>
      </c>
      <c r="BH895" s="234">
        <v>0</v>
      </c>
      <c r="BI895" s="234">
        <v>0</v>
      </c>
      <c r="BJ895" s="234">
        <v>0</v>
      </c>
      <c r="BK895" s="234">
        <v>0</v>
      </c>
      <c r="BL895" s="234">
        <v>0</v>
      </c>
      <c r="BM895" s="234">
        <v>0</v>
      </c>
      <c r="BN895" s="234">
        <v>0</v>
      </c>
      <c r="BO895" s="234">
        <v>0</v>
      </c>
      <c r="BP895" s="234" t="s">
        <v>144</v>
      </c>
      <c r="BQ895" s="234"/>
      <c r="BR895" s="237" t="s">
        <v>144</v>
      </c>
      <c r="BS895" s="238">
        <v>15</v>
      </c>
      <c r="BU895" s="239">
        <f>M895/4</f>
        <v>0</v>
      </c>
      <c r="BV895" s="239">
        <f>M895/4</f>
        <v>0</v>
      </c>
      <c r="BW895" s="239">
        <f>M895/4</f>
        <v>0</v>
      </c>
      <c r="BX895" s="239">
        <f>M895/4</f>
        <v>0</v>
      </c>
      <c r="CN895" s="238">
        <f t="shared" si="108"/>
        <v>0</v>
      </c>
      <c r="CO895" s="238">
        <f t="shared" si="109"/>
        <v>0</v>
      </c>
    </row>
    <row r="896" spans="1:93" ht="13.95" customHeight="1" x14ac:dyDescent="0.2">
      <c r="A896" s="231">
        <v>6983</v>
      </c>
      <c r="B896" s="232" t="s">
        <v>822</v>
      </c>
      <c r="C896" s="232" t="s">
        <v>2558</v>
      </c>
      <c r="D896" s="232" t="s">
        <v>2559</v>
      </c>
      <c r="E896" s="232" t="s">
        <v>2560</v>
      </c>
      <c r="F896" s="231">
        <v>526930</v>
      </c>
      <c r="G896" s="231">
        <v>171771</v>
      </c>
      <c r="H896" s="232" t="s">
        <v>177</v>
      </c>
      <c r="I896" s="233"/>
      <c r="J896" s="231"/>
      <c r="K896" s="231">
        <v>1</v>
      </c>
      <c r="L896" s="231">
        <v>1</v>
      </c>
      <c r="M896" s="231">
        <v>0</v>
      </c>
      <c r="N896" s="231">
        <v>3</v>
      </c>
      <c r="O896" s="231">
        <v>2</v>
      </c>
      <c r="P896" s="234"/>
      <c r="Q896" s="232" t="s">
        <v>2561</v>
      </c>
      <c r="R896" s="234" t="s">
        <v>332</v>
      </c>
      <c r="S896" s="235">
        <v>43560</v>
      </c>
      <c r="T896" s="235">
        <v>43733</v>
      </c>
      <c r="U896" s="234"/>
      <c r="V896" s="232" t="s">
        <v>321</v>
      </c>
      <c r="W896" s="231"/>
      <c r="X896" s="232" t="s">
        <v>322</v>
      </c>
      <c r="Y896" s="232" t="s">
        <v>338</v>
      </c>
      <c r="Z896" s="232" t="s">
        <v>324</v>
      </c>
      <c r="AA896" s="232" t="s">
        <v>411</v>
      </c>
      <c r="AB896" s="236">
        <v>3.0000000000000001E-3</v>
      </c>
      <c r="AC896" s="235"/>
      <c r="AD896" s="234"/>
      <c r="AE896" s="234"/>
      <c r="AF896" s="232" t="s">
        <v>77</v>
      </c>
      <c r="AG896" s="232" t="s">
        <v>350</v>
      </c>
      <c r="AH896" s="234" t="s">
        <v>317</v>
      </c>
      <c r="AJ896" s="234">
        <v>0</v>
      </c>
      <c r="AK896" s="224"/>
      <c r="AL896" s="234">
        <v>0</v>
      </c>
      <c r="AM896" s="224"/>
      <c r="AN896" s="234">
        <v>0</v>
      </c>
      <c r="AO896" s="234">
        <v>1</v>
      </c>
      <c r="AP896" s="234">
        <v>-1</v>
      </c>
      <c r="AQ896" s="234">
        <v>0</v>
      </c>
      <c r="AR896" s="234">
        <v>0</v>
      </c>
      <c r="AS896" s="234">
        <v>0</v>
      </c>
      <c r="AT896" s="234">
        <v>0</v>
      </c>
      <c r="AU896" s="234">
        <v>0</v>
      </c>
      <c r="AV896" s="234">
        <v>1</v>
      </c>
      <c r="AW896" s="234">
        <v>-1</v>
      </c>
      <c r="AX896" s="234">
        <v>0</v>
      </c>
      <c r="AY896" s="234">
        <v>0</v>
      </c>
      <c r="AZ896" s="234">
        <v>0</v>
      </c>
      <c r="BA896" s="234">
        <v>0</v>
      </c>
      <c r="BB896" s="234">
        <v>0</v>
      </c>
      <c r="BC896" s="234">
        <v>0</v>
      </c>
      <c r="BD896" s="234">
        <v>0</v>
      </c>
      <c r="BE896" s="234">
        <v>0</v>
      </c>
      <c r="BF896" s="234">
        <v>0</v>
      </c>
      <c r="BG896" s="234">
        <v>0</v>
      </c>
      <c r="BH896" s="234">
        <v>0</v>
      </c>
      <c r="BI896" s="234">
        <v>0</v>
      </c>
      <c r="BJ896" s="234">
        <v>0</v>
      </c>
      <c r="BK896" s="234">
        <v>0</v>
      </c>
      <c r="BL896" s="234">
        <v>0</v>
      </c>
      <c r="BM896" s="234">
        <v>0</v>
      </c>
      <c r="BN896" s="234">
        <v>0</v>
      </c>
      <c r="BO896" s="234">
        <v>0</v>
      </c>
      <c r="BP896" s="234"/>
      <c r="BQ896" s="234"/>
      <c r="BR896" s="237" t="s">
        <v>334</v>
      </c>
      <c r="BS896" s="238">
        <v>15</v>
      </c>
      <c r="BU896" s="239">
        <f>M896/4</f>
        <v>0</v>
      </c>
      <c r="BV896" s="239">
        <f>M896/4</f>
        <v>0</v>
      </c>
      <c r="BW896" s="239">
        <f>M896/4</f>
        <v>0</v>
      </c>
      <c r="BX896" s="239">
        <f>M896/4</f>
        <v>0</v>
      </c>
      <c r="CN896" s="238">
        <f t="shared" si="108"/>
        <v>0</v>
      </c>
      <c r="CO896" s="238">
        <f t="shared" si="109"/>
        <v>0</v>
      </c>
    </row>
    <row r="897" spans="1:93" ht="13.95" customHeight="1" x14ac:dyDescent="0.2">
      <c r="A897" s="231">
        <v>7015</v>
      </c>
      <c r="B897" s="232" t="s">
        <v>822</v>
      </c>
      <c r="C897" s="232" t="s">
        <v>2562</v>
      </c>
      <c r="D897" s="232" t="s">
        <v>2563</v>
      </c>
      <c r="E897" s="232" t="s">
        <v>2564</v>
      </c>
      <c r="F897" s="231">
        <v>526723</v>
      </c>
      <c r="G897" s="231">
        <v>176108</v>
      </c>
      <c r="H897" s="232" t="s">
        <v>174</v>
      </c>
      <c r="I897" s="233">
        <v>43646</v>
      </c>
      <c r="J897" s="231"/>
      <c r="K897" s="231">
        <v>0</v>
      </c>
      <c r="L897" s="231">
        <v>108</v>
      </c>
      <c r="M897" s="231">
        <v>108</v>
      </c>
      <c r="N897" s="231">
        <v>168</v>
      </c>
      <c r="O897" s="231">
        <v>168</v>
      </c>
      <c r="P897" s="234" t="s">
        <v>318</v>
      </c>
      <c r="Q897" s="232" t="s">
        <v>2565</v>
      </c>
      <c r="R897" s="234" t="s">
        <v>320</v>
      </c>
      <c r="S897" s="235">
        <v>43347</v>
      </c>
      <c r="T897" s="235">
        <v>43573</v>
      </c>
      <c r="U897" s="234"/>
      <c r="V897" s="232" t="s">
        <v>321</v>
      </c>
      <c r="W897" s="231"/>
      <c r="X897" s="232" t="s">
        <v>322</v>
      </c>
      <c r="Y897" s="232" t="s">
        <v>323</v>
      </c>
      <c r="Z897" s="232" t="s">
        <v>323</v>
      </c>
      <c r="AA897" s="232" t="s">
        <v>324</v>
      </c>
      <c r="AB897" s="236">
        <v>0.19500000000000001</v>
      </c>
      <c r="AC897" s="235"/>
      <c r="AD897" s="234"/>
      <c r="AE897" s="234"/>
      <c r="AF897" s="232" t="s">
        <v>77</v>
      </c>
      <c r="AG897" s="232" t="s">
        <v>350</v>
      </c>
      <c r="AH897" s="234" t="s">
        <v>2566</v>
      </c>
      <c r="AJ897" s="234">
        <v>0</v>
      </c>
      <c r="AK897" s="234">
        <v>157</v>
      </c>
      <c r="AL897" s="234">
        <v>0</v>
      </c>
      <c r="AM897" s="234">
        <v>5</v>
      </c>
      <c r="AN897" s="234">
        <v>0</v>
      </c>
      <c r="AO897" s="234">
        <v>27</v>
      </c>
      <c r="AP897" s="234">
        <v>60</v>
      </c>
      <c r="AQ897" s="234">
        <v>18</v>
      </c>
      <c r="AR897" s="234">
        <v>3</v>
      </c>
      <c r="AS897" s="234">
        <v>0</v>
      </c>
      <c r="AT897" s="234">
        <v>0</v>
      </c>
      <c r="AU897" s="234">
        <v>0</v>
      </c>
      <c r="AV897" s="234">
        <v>27</v>
      </c>
      <c r="AW897" s="234">
        <v>60</v>
      </c>
      <c r="AX897" s="234">
        <v>18</v>
      </c>
      <c r="AY897" s="234">
        <v>3</v>
      </c>
      <c r="AZ897" s="234">
        <v>0</v>
      </c>
      <c r="BA897" s="234">
        <v>0</v>
      </c>
      <c r="BB897" s="234">
        <v>0</v>
      </c>
      <c r="BC897" s="234">
        <v>0</v>
      </c>
      <c r="BD897" s="234">
        <v>0</v>
      </c>
      <c r="BE897" s="234">
        <v>0</v>
      </c>
      <c r="BF897" s="234">
        <v>0</v>
      </c>
      <c r="BG897" s="234">
        <v>0</v>
      </c>
      <c r="BH897" s="234">
        <v>0</v>
      </c>
      <c r="BI897" s="234">
        <v>0</v>
      </c>
      <c r="BJ897" s="234">
        <v>0</v>
      </c>
      <c r="BK897" s="234">
        <v>0</v>
      </c>
      <c r="BL897" s="234">
        <v>0</v>
      </c>
      <c r="BM897" s="234">
        <v>0</v>
      </c>
      <c r="BN897" s="234">
        <v>0</v>
      </c>
      <c r="BO897" s="234">
        <v>0</v>
      </c>
      <c r="BP897" s="234"/>
      <c r="BQ897" s="234"/>
      <c r="BR897" s="237" t="s">
        <v>150</v>
      </c>
      <c r="BS897" s="238">
        <v>10</v>
      </c>
      <c r="BX897" s="239">
        <f>M897/3</f>
        <v>36</v>
      </c>
      <c r="BY897" s="239">
        <f>M897/3</f>
        <v>36</v>
      </c>
      <c r="BZ897" s="239">
        <f>M897/3</f>
        <v>36</v>
      </c>
      <c r="CN897" s="238">
        <f t="shared" si="108"/>
        <v>72</v>
      </c>
      <c r="CO897" s="238">
        <f t="shared" si="109"/>
        <v>108</v>
      </c>
    </row>
    <row r="898" spans="1:93" ht="13.95" customHeight="1" x14ac:dyDescent="0.2">
      <c r="A898" s="231">
        <v>7015</v>
      </c>
      <c r="B898" s="232" t="s">
        <v>822</v>
      </c>
      <c r="C898" s="232" t="s">
        <v>2562</v>
      </c>
      <c r="D898" s="232" t="s">
        <v>2563</v>
      </c>
      <c r="E898" s="232" t="s">
        <v>2567</v>
      </c>
      <c r="F898" s="231">
        <v>526723</v>
      </c>
      <c r="G898" s="231">
        <v>176108</v>
      </c>
      <c r="H898" s="232" t="s">
        <v>174</v>
      </c>
      <c r="I898" s="233">
        <v>43646</v>
      </c>
      <c r="J898" s="231"/>
      <c r="K898" s="231">
        <v>0</v>
      </c>
      <c r="L898" s="231">
        <v>21</v>
      </c>
      <c r="M898" s="231">
        <v>21</v>
      </c>
      <c r="N898" s="231">
        <v>168</v>
      </c>
      <c r="O898" s="231">
        <v>168</v>
      </c>
      <c r="P898" s="234" t="s">
        <v>318</v>
      </c>
      <c r="Q898" s="232" t="s">
        <v>2565</v>
      </c>
      <c r="R898" s="234" t="s">
        <v>320</v>
      </c>
      <c r="S898" s="235">
        <v>43347</v>
      </c>
      <c r="T898" s="235">
        <v>43573</v>
      </c>
      <c r="U898" s="234"/>
      <c r="V898" s="232" t="s">
        <v>321</v>
      </c>
      <c r="W898" s="231"/>
      <c r="X898" s="232" t="s">
        <v>322</v>
      </c>
      <c r="Y898" s="232" t="s">
        <v>323</v>
      </c>
      <c r="Z898" s="232" t="s">
        <v>323</v>
      </c>
      <c r="AA898" s="232" t="s">
        <v>324</v>
      </c>
      <c r="AB898" s="236">
        <v>3.7999999999999999E-2</v>
      </c>
      <c r="AC898" s="235"/>
      <c r="AD898" s="234"/>
      <c r="AE898" s="234"/>
      <c r="AF898" s="232" t="s">
        <v>56</v>
      </c>
      <c r="AG898" s="232" t="s">
        <v>1355</v>
      </c>
      <c r="AH898" s="234" t="s">
        <v>2566</v>
      </c>
      <c r="AJ898" s="234">
        <v>0</v>
      </c>
      <c r="AK898" s="224"/>
      <c r="AL898" s="234">
        <v>0</v>
      </c>
      <c r="AM898" s="234">
        <v>2</v>
      </c>
      <c r="AN898" s="234">
        <v>0</v>
      </c>
      <c r="AO898" s="234">
        <v>4</v>
      </c>
      <c r="AP898" s="234">
        <v>14</v>
      </c>
      <c r="AQ898" s="234">
        <v>3</v>
      </c>
      <c r="AR898" s="234">
        <v>0</v>
      </c>
      <c r="AS898" s="234">
        <v>0</v>
      </c>
      <c r="AT898" s="234">
        <v>0</v>
      </c>
      <c r="AU898" s="234">
        <v>0</v>
      </c>
      <c r="AV898" s="234">
        <v>4</v>
      </c>
      <c r="AW898" s="234">
        <v>14</v>
      </c>
      <c r="AX898" s="234">
        <v>3</v>
      </c>
      <c r="AY898" s="234">
        <v>0</v>
      </c>
      <c r="AZ898" s="234">
        <v>0</v>
      </c>
      <c r="BA898" s="234">
        <v>0</v>
      </c>
      <c r="BB898" s="234">
        <v>0</v>
      </c>
      <c r="BC898" s="234">
        <v>0</v>
      </c>
      <c r="BD898" s="234">
        <v>0</v>
      </c>
      <c r="BE898" s="234">
        <v>0</v>
      </c>
      <c r="BF898" s="234">
        <v>0</v>
      </c>
      <c r="BG898" s="234">
        <v>0</v>
      </c>
      <c r="BH898" s="234">
        <v>0</v>
      </c>
      <c r="BI898" s="234">
        <v>0</v>
      </c>
      <c r="BJ898" s="234">
        <v>0</v>
      </c>
      <c r="BK898" s="234">
        <v>0</v>
      </c>
      <c r="BL898" s="234">
        <v>0</v>
      </c>
      <c r="BM898" s="234">
        <v>0</v>
      </c>
      <c r="BN898" s="234">
        <v>0</v>
      </c>
      <c r="BO898" s="234">
        <v>0</v>
      </c>
      <c r="BP898" s="234"/>
      <c r="BQ898" s="234"/>
      <c r="BR898" s="237" t="s">
        <v>150</v>
      </c>
      <c r="BS898" s="238">
        <v>10</v>
      </c>
      <c r="BX898" s="239">
        <f>M898/3</f>
        <v>7</v>
      </c>
      <c r="BY898" s="239">
        <f>M898/3</f>
        <v>7</v>
      </c>
      <c r="BZ898" s="239">
        <f>M898/3</f>
        <v>7</v>
      </c>
      <c r="CN898" s="238">
        <f t="shared" si="108"/>
        <v>14</v>
      </c>
      <c r="CO898" s="238">
        <f t="shared" si="109"/>
        <v>21</v>
      </c>
    </row>
    <row r="899" spans="1:93" ht="13.95" customHeight="1" x14ac:dyDescent="0.2">
      <c r="A899" s="231">
        <v>7015</v>
      </c>
      <c r="B899" s="232" t="s">
        <v>822</v>
      </c>
      <c r="C899" s="232" t="s">
        <v>2562</v>
      </c>
      <c r="D899" s="232" t="s">
        <v>2563</v>
      </c>
      <c r="E899" s="232" t="s">
        <v>2568</v>
      </c>
      <c r="F899" s="231">
        <v>526723</v>
      </c>
      <c r="G899" s="231">
        <v>176108</v>
      </c>
      <c r="H899" s="232" t="s">
        <v>174</v>
      </c>
      <c r="I899" s="233">
        <v>43646</v>
      </c>
      <c r="J899" s="231"/>
      <c r="K899" s="231">
        <v>0</v>
      </c>
      <c r="L899" s="231">
        <v>39</v>
      </c>
      <c r="M899" s="231">
        <v>39</v>
      </c>
      <c r="N899" s="231">
        <v>168</v>
      </c>
      <c r="O899" s="231">
        <v>168</v>
      </c>
      <c r="P899" s="234" t="s">
        <v>318</v>
      </c>
      <c r="Q899" s="232" t="s">
        <v>2565</v>
      </c>
      <c r="R899" s="234" t="s">
        <v>320</v>
      </c>
      <c r="S899" s="235">
        <v>43347</v>
      </c>
      <c r="T899" s="235">
        <v>43573</v>
      </c>
      <c r="U899" s="234"/>
      <c r="V899" s="232" t="s">
        <v>321</v>
      </c>
      <c r="W899" s="231"/>
      <c r="X899" s="232" t="s">
        <v>322</v>
      </c>
      <c r="Y899" s="232" t="s">
        <v>323</v>
      </c>
      <c r="Z899" s="232" t="s">
        <v>323</v>
      </c>
      <c r="AA899" s="232" t="s">
        <v>324</v>
      </c>
      <c r="AB899" s="236">
        <v>7.0999999999999994E-2</v>
      </c>
      <c r="AC899" s="235"/>
      <c r="AD899" s="234"/>
      <c r="AE899" s="234"/>
      <c r="AF899" s="232" t="s">
        <v>57</v>
      </c>
      <c r="AG899" s="232" t="s">
        <v>470</v>
      </c>
      <c r="AH899" s="234" t="s">
        <v>2566</v>
      </c>
      <c r="AJ899" s="234">
        <v>0</v>
      </c>
      <c r="AK899" s="224"/>
      <c r="AL899" s="234">
        <v>0</v>
      </c>
      <c r="AM899" s="234">
        <v>4</v>
      </c>
      <c r="AN899" s="234">
        <v>0</v>
      </c>
      <c r="AO899" s="234">
        <v>7</v>
      </c>
      <c r="AP899" s="234">
        <v>26</v>
      </c>
      <c r="AQ899" s="234">
        <v>6</v>
      </c>
      <c r="AR899" s="234">
        <v>0</v>
      </c>
      <c r="AS899" s="234">
        <v>0</v>
      </c>
      <c r="AT899" s="234">
        <v>0</v>
      </c>
      <c r="AU899" s="234">
        <v>0</v>
      </c>
      <c r="AV899" s="234">
        <v>7</v>
      </c>
      <c r="AW899" s="234">
        <v>26</v>
      </c>
      <c r="AX899" s="234">
        <v>6</v>
      </c>
      <c r="AY899" s="234">
        <v>0</v>
      </c>
      <c r="AZ899" s="234">
        <v>0</v>
      </c>
      <c r="BA899" s="234">
        <v>0</v>
      </c>
      <c r="BB899" s="234">
        <v>0</v>
      </c>
      <c r="BC899" s="234">
        <v>0</v>
      </c>
      <c r="BD899" s="234">
        <v>0</v>
      </c>
      <c r="BE899" s="234">
        <v>0</v>
      </c>
      <c r="BF899" s="234">
        <v>0</v>
      </c>
      <c r="BG899" s="234">
        <v>0</v>
      </c>
      <c r="BH899" s="234">
        <v>0</v>
      </c>
      <c r="BI899" s="234">
        <v>0</v>
      </c>
      <c r="BJ899" s="234">
        <v>0</v>
      </c>
      <c r="BK899" s="234">
        <v>0</v>
      </c>
      <c r="BL899" s="234">
        <v>0</v>
      </c>
      <c r="BM899" s="234">
        <v>0</v>
      </c>
      <c r="BN899" s="234">
        <v>0</v>
      </c>
      <c r="BO899" s="234">
        <v>0</v>
      </c>
      <c r="BP899" s="234"/>
      <c r="BQ899" s="234"/>
      <c r="BR899" s="237" t="s">
        <v>150</v>
      </c>
      <c r="BS899" s="238">
        <v>10</v>
      </c>
      <c r="BX899" s="239">
        <f>M899/3</f>
        <v>13</v>
      </c>
      <c r="BY899" s="239">
        <f>M899/3</f>
        <v>13</v>
      </c>
      <c r="BZ899" s="239">
        <f>M899/3</f>
        <v>13</v>
      </c>
      <c r="CN899" s="238">
        <f t="shared" si="108"/>
        <v>26</v>
      </c>
      <c r="CO899" s="238">
        <f t="shared" si="109"/>
        <v>39</v>
      </c>
    </row>
    <row r="900" spans="1:93" ht="13.95" customHeight="1" x14ac:dyDescent="0.2">
      <c r="A900" s="231">
        <v>6628</v>
      </c>
      <c r="B900" s="232" t="s">
        <v>822</v>
      </c>
      <c r="C900" s="232" t="s">
        <v>2569</v>
      </c>
      <c r="D900" s="232" t="s">
        <v>2570</v>
      </c>
      <c r="E900" s="232" t="s">
        <v>2571</v>
      </c>
      <c r="F900" s="231">
        <v>522237</v>
      </c>
      <c r="G900" s="231">
        <v>173213</v>
      </c>
      <c r="H900" s="232" t="s">
        <v>170</v>
      </c>
      <c r="I900" s="233"/>
      <c r="J900" s="231"/>
      <c r="K900" s="231">
        <v>0</v>
      </c>
      <c r="L900" s="231">
        <v>2</v>
      </c>
      <c r="M900" s="231">
        <v>2</v>
      </c>
      <c r="N900" s="231">
        <v>8</v>
      </c>
      <c r="O900" s="231">
        <v>5</v>
      </c>
      <c r="P900" s="234"/>
      <c r="Q900" s="232" t="s">
        <v>2572</v>
      </c>
      <c r="R900" s="234" t="s">
        <v>332</v>
      </c>
      <c r="S900" s="235">
        <v>44750</v>
      </c>
      <c r="T900" s="235">
        <v>44888</v>
      </c>
      <c r="U900" s="234" t="s">
        <v>318</v>
      </c>
      <c r="V900" s="232" t="s">
        <v>321</v>
      </c>
      <c r="W900" s="231"/>
      <c r="X900" s="232" t="s">
        <v>322</v>
      </c>
      <c r="Y900" s="232" t="s">
        <v>338</v>
      </c>
      <c r="Z900" s="232" t="s">
        <v>324</v>
      </c>
      <c r="AA900" s="232" t="s">
        <v>349</v>
      </c>
      <c r="AB900" s="236">
        <v>9.7999999999999997E-3</v>
      </c>
      <c r="AC900" s="235"/>
      <c r="AD900" s="234"/>
      <c r="AE900" s="234"/>
      <c r="AF900" s="232" t="s">
        <v>77</v>
      </c>
      <c r="AG900" s="232" t="s">
        <v>350</v>
      </c>
      <c r="AH900" s="234" t="s">
        <v>317</v>
      </c>
      <c r="AJ900" s="234">
        <v>0</v>
      </c>
      <c r="AK900" s="224"/>
      <c r="AL900" s="234">
        <v>0</v>
      </c>
      <c r="AM900" s="224"/>
      <c r="AN900" s="234">
        <v>0</v>
      </c>
      <c r="AO900" s="234">
        <v>0</v>
      </c>
      <c r="AP900" s="234">
        <v>2</v>
      </c>
      <c r="AQ900" s="234">
        <v>0</v>
      </c>
      <c r="AR900" s="234">
        <v>0</v>
      </c>
      <c r="AS900" s="234">
        <v>0</v>
      </c>
      <c r="AT900" s="234">
        <v>0</v>
      </c>
      <c r="AU900" s="234">
        <v>0</v>
      </c>
      <c r="AV900" s="234">
        <v>0</v>
      </c>
      <c r="AW900" s="234">
        <v>0</v>
      </c>
      <c r="AX900" s="234">
        <v>0</v>
      </c>
      <c r="AY900" s="234">
        <v>0</v>
      </c>
      <c r="AZ900" s="234">
        <v>0</v>
      </c>
      <c r="BA900" s="234">
        <v>0</v>
      </c>
      <c r="BB900" s="234">
        <v>0</v>
      </c>
      <c r="BC900" s="234">
        <v>0</v>
      </c>
      <c r="BD900" s="234">
        <v>2</v>
      </c>
      <c r="BE900" s="234">
        <v>0</v>
      </c>
      <c r="BF900" s="234">
        <v>0</v>
      </c>
      <c r="BG900" s="234">
        <v>0</v>
      </c>
      <c r="BH900" s="234">
        <v>0</v>
      </c>
      <c r="BI900" s="234">
        <v>0</v>
      </c>
      <c r="BJ900" s="234">
        <v>0</v>
      </c>
      <c r="BK900" s="234">
        <v>0</v>
      </c>
      <c r="BL900" s="234">
        <v>0</v>
      </c>
      <c r="BM900" s="234">
        <v>0</v>
      </c>
      <c r="BN900" s="234">
        <v>0</v>
      </c>
      <c r="BO900" s="234">
        <v>0</v>
      </c>
      <c r="BP900" s="234"/>
      <c r="BQ900" s="234"/>
      <c r="BR900" s="237" t="s">
        <v>334</v>
      </c>
      <c r="BS900" s="238">
        <v>15</v>
      </c>
      <c r="BW900" s="239">
        <f>M900</f>
        <v>2</v>
      </c>
      <c r="CN900" s="238">
        <f t="shared" si="108"/>
        <v>2</v>
      </c>
      <c r="CO900" s="238">
        <f t="shared" si="109"/>
        <v>2</v>
      </c>
    </row>
    <row r="901" spans="1:93" ht="13.95" customHeight="1" x14ac:dyDescent="0.2">
      <c r="A901" s="231">
        <v>6481</v>
      </c>
      <c r="B901" s="232" t="s">
        <v>822</v>
      </c>
      <c r="C901" s="232" t="s">
        <v>2573</v>
      </c>
      <c r="D901" s="232" t="s">
        <v>370</v>
      </c>
      <c r="E901" s="232" t="s">
        <v>2574</v>
      </c>
      <c r="F901" s="231">
        <v>528408</v>
      </c>
      <c r="G901" s="231">
        <v>173055</v>
      </c>
      <c r="H901" s="232" t="s">
        <v>172</v>
      </c>
      <c r="I901" s="233"/>
      <c r="J901" s="231"/>
      <c r="K901" s="231">
        <v>0</v>
      </c>
      <c r="L901" s="231">
        <v>2</v>
      </c>
      <c r="M901" s="231">
        <v>2</v>
      </c>
      <c r="N901" s="231">
        <v>3</v>
      </c>
      <c r="O901" s="231">
        <v>3</v>
      </c>
      <c r="P901" s="234"/>
      <c r="Q901" s="232" t="s">
        <v>2575</v>
      </c>
      <c r="R901" s="234" t="s">
        <v>332</v>
      </c>
      <c r="S901" s="235">
        <v>43993</v>
      </c>
      <c r="T901" s="235">
        <v>44049</v>
      </c>
      <c r="U901" s="234"/>
      <c r="V901" s="232" t="s">
        <v>321</v>
      </c>
      <c r="W901" s="231"/>
      <c r="X901" s="232" t="s">
        <v>322</v>
      </c>
      <c r="Y901" s="232" t="s">
        <v>338</v>
      </c>
      <c r="Z901" s="232" t="s">
        <v>324</v>
      </c>
      <c r="AA901" s="232" t="s">
        <v>28</v>
      </c>
      <c r="AB901" s="236">
        <v>6.0000000000000001E-3</v>
      </c>
      <c r="AC901" s="235"/>
      <c r="AD901" s="234"/>
      <c r="AE901" s="234"/>
      <c r="AF901" s="232" t="s">
        <v>77</v>
      </c>
      <c r="AG901" s="232" t="s">
        <v>350</v>
      </c>
      <c r="AH901" s="234" t="s">
        <v>317</v>
      </c>
      <c r="AJ901" s="234">
        <v>0</v>
      </c>
      <c r="AK901" s="224"/>
      <c r="AL901" s="234">
        <v>0</v>
      </c>
      <c r="AM901" s="224"/>
      <c r="AN901" s="234">
        <v>0</v>
      </c>
      <c r="AO901" s="234">
        <v>2</v>
      </c>
      <c r="AP901" s="234">
        <v>0</v>
      </c>
      <c r="AQ901" s="234">
        <v>0</v>
      </c>
      <c r="AR901" s="234">
        <v>0</v>
      </c>
      <c r="AS901" s="234">
        <v>0</v>
      </c>
      <c r="AT901" s="234">
        <v>0</v>
      </c>
      <c r="AU901" s="234">
        <v>0</v>
      </c>
      <c r="AV901" s="234">
        <v>2</v>
      </c>
      <c r="AW901" s="234">
        <v>0</v>
      </c>
      <c r="AX901" s="234">
        <v>0</v>
      </c>
      <c r="AY901" s="234">
        <v>0</v>
      </c>
      <c r="AZ901" s="234">
        <v>0</v>
      </c>
      <c r="BA901" s="234">
        <v>0</v>
      </c>
      <c r="BB901" s="234">
        <v>0</v>
      </c>
      <c r="BC901" s="234">
        <v>0</v>
      </c>
      <c r="BD901" s="234">
        <v>0</v>
      </c>
      <c r="BE901" s="234">
        <v>0</v>
      </c>
      <c r="BF901" s="234">
        <v>0</v>
      </c>
      <c r="BG901" s="234">
        <v>0</v>
      </c>
      <c r="BH901" s="234">
        <v>0</v>
      </c>
      <c r="BI901" s="234">
        <v>0</v>
      </c>
      <c r="BJ901" s="234">
        <v>0</v>
      </c>
      <c r="BK901" s="234">
        <v>0</v>
      </c>
      <c r="BL901" s="234">
        <v>0</v>
      </c>
      <c r="BM901" s="234">
        <v>0</v>
      </c>
      <c r="BN901" s="234">
        <v>0</v>
      </c>
      <c r="BO901" s="234">
        <v>0</v>
      </c>
      <c r="BP901" s="234"/>
      <c r="BQ901" s="234"/>
      <c r="BR901" s="237" t="s">
        <v>334</v>
      </c>
      <c r="BS901" s="238">
        <v>15</v>
      </c>
      <c r="BU901" s="239">
        <f>M901/4</f>
        <v>0.5</v>
      </c>
      <c r="BV901" s="239">
        <f>M901/4</f>
        <v>0.5</v>
      </c>
      <c r="BW901" s="239">
        <f>M901/4</f>
        <v>0.5</v>
      </c>
      <c r="BX901" s="239">
        <f>M901/4</f>
        <v>0.5</v>
      </c>
      <c r="CN901" s="238">
        <f t="shared" si="108"/>
        <v>2</v>
      </c>
      <c r="CO901" s="238">
        <f t="shared" si="109"/>
        <v>2</v>
      </c>
    </row>
    <row r="902" spans="1:93" ht="13.95" customHeight="1" x14ac:dyDescent="0.2">
      <c r="A902" s="231">
        <v>6953</v>
      </c>
      <c r="B902" s="232" t="s">
        <v>822</v>
      </c>
      <c r="C902" s="232" t="s">
        <v>2576</v>
      </c>
      <c r="D902" s="232" t="s">
        <v>2577</v>
      </c>
      <c r="E902" s="232" t="s">
        <v>2574</v>
      </c>
      <c r="F902" s="231">
        <v>527131</v>
      </c>
      <c r="G902" s="231">
        <v>171625</v>
      </c>
      <c r="H902" s="232" t="s">
        <v>177</v>
      </c>
      <c r="I902" s="233">
        <v>43555</v>
      </c>
      <c r="J902" s="231"/>
      <c r="K902" s="231">
        <v>0</v>
      </c>
      <c r="L902" s="231">
        <v>1</v>
      </c>
      <c r="M902" s="231">
        <v>1</v>
      </c>
      <c r="N902" s="231">
        <v>3</v>
      </c>
      <c r="O902" s="231">
        <v>2</v>
      </c>
      <c r="P902" s="234"/>
      <c r="Q902" s="232" t="s">
        <v>2578</v>
      </c>
      <c r="R902" s="234" t="s">
        <v>332</v>
      </c>
      <c r="S902" s="235">
        <v>43803</v>
      </c>
      <c r="T902" s="235">
        <v>43905</v>
      </c>
      <c r="U902" s="234"/>
      <c r="V902" s="232" t="s">
        <v>321</v>
      </c>
      <c r="W902" s="231"/>
      <c r="X902" s="232" t="s">
        <v>322</v>
      </c>
      <c r="Y902" s="232" t="s">
        <v>338</v>
      </c>
      <c r="Z902" s="232" t="s">
        <v>324</v>
      </c>
      <c r="AA902" s="232" t="s">
        <v>28</v>
      </c>
      <c r="AB902" s="236">
        <v>5.0000000000000001E-3</v>
      </c>
      <c r="AC902" s="235"/>
      <c r="AD902" s="234"/>
      <c r="AE902" s="234"/>
      <c r="AF902" s="232" t="s">
        <v>77</v>
      </c>
      <c r="AG902" s="232" t="s">
        <v>350</v>
      </c>
      <c r="AH902" s="234" t="s">
        <v>317</v>
      </c>
      <c r="AJ902" s="234">
        <v>0</v>
      </c>
      <c r="AK902" s="224"/>
      <c r="AL902" s="234">
        <v>0</v>
      </c>
      <c r="AM902" s="224"/>
      <c r="AN902" s="234">
        <v>0</v>
      </c>
      <c r="AO902" s="234">
        <v>1</v>
      </c>
      <c r="AP902" s="234">
        <v>0</v>
      </c>
      <c r="AQ902" s="234">
        <v>0</v>
      </c>
      <c r="AR902" s="234">
        <v>0</v>
      </c>
      <c r="AS902" s="234">
        <v>0</v>
      </c>
      <c r="AT902" s="234">
        <v>0</v>
      </c>
      <c r="AU902" s="234">
        <v>0</v>
      </c>
      <c r="AV902" s="234">
        <v>1</v>
      </c>
      <c r="AW902" s="234">
        <v>0</v>
      </c>
      <c r="AX902" s="234">
        <v>0</v>
      </c>
      <c r="AY902" s="234">
        <v>0</v>
      </c>
      <c r="AZ902" s="234">
        <v>0</v>
      </c>
      <c r="BA902" s="234">
        <v>0</v>
      </c>
      <c r="BB902" s="234">
        <v>0</v>
      </c>
      <c r="BC902" s="234">
        <v>0</v>
      </c>
      <c r="BD902" s="234">
        <v>0</v>
      </c>
      <c r="BE902" s="234">
        <v>0</v>
      </c>
      <c r="BF902" s="234">
        <v>0</v>
      </c>
      <c r="BG902" s="234">
        <v>0</v>
      </c>
      <c r="BH902" s="234">
        <v>0</v>
      </c>
      <c r="BI902" s="234">
        <v>0</v>
      </c>
      <c r="BJ902" s="234">
        <v>0</v>
      </c>
      <c r="BK902" s="234">
        <v>0</v>
      </c>
      <c r="BL902" s="234">
        <v>0</v>
      </c>
      <c r="BM902" s="234">
        <v>0</v>
      </c>
      <c r="BN902" s="234">
        <v>0</v>
      </c>
      <c r="BO902" s="234">
        <v>0</v>
      </c>
      <c r="BP902" s="234"/>
      <c r="BQ902" s="234"/>
      <c r="BR902" s="237" t="s">
        <v>334</v>
      </c>
      <c r="BS902" s="238">
        <v>15</v>
      </c>
      <c r="BU902" s="239">
        <f>M902/4</f>
        <v>0.25</v>
      </c>
      <c r="BV902" s="239">
        <f>M902/4</f>
        <v>0.25</v>
      </c>
      <c r="BW902" s="239">
        <f>M902/4</f>
        <v>0.25</v>
      </c>
      <c r="BX902" s="239">
        <f>M902/4</f>
        <v>0.25</v>
      </c>
      <c r="CN902" s="238">
        <f t="shared" si="108"/>
        <v>1</v>
      </c>
      <c r="CO902" s="238">
        <f t="shared" si="109"/>
        <v>1</v>
      </c>
    </row>
    <row r="903" spans="1:93" ht="13.95" customHeight="1" x14ac:dyDescent="0.2">
      <c r="A903" s="231">
        <v>6983</v>
      </c>
      <c r="B903" s="232" t="s">
        <v>822</v>
      </c>
      <c r="C903" s="232" t="s">
        <v>2558</v>
      </c>
      <c r="D903" s="232" t="s">
        <v>2559</v>
      </c>
      <c r="E903" s="232" t="s">
        <v>2579</v>
      </c>
      <c r="F903" s="231">
        <v>526930</v>
      </c>
      <c r="G903" s="231">
        <v>171771</v>
      </c>
      <c r="H903" s="232" t="s">
        <v>177</v>
      </c>
      <c r="I903" s="233"/>
      <c r="J903" s="231"/>
      <c r="K903" s="231">
        <v>0</v>
      </c>
      <c r="L903" s="231">
        <v>1</v>
      </c>
      <c r="M903" s="231">
        <v>1</v>
      </c>
      <c r="N903" s="231">
        <v>3</v>
      </c>
      <c r="O903" s="231">
        <v>2</v>
      </c>
      <c r="P903" s="234"/>
      <c r="Q903" s="232" t="s">
        <v>2561</v>
      </c>
      <c r="R903" s="234" t="s">
        <v>332</v>
      </c>
      <c r="S903" s="235">
        <v>43560</v>
      </c>
      <c r="T903" s="235">
        <v>43733</v>
      </c>
      <c r="U903" s="234"/>
      <c r="V903" s="232" t="s">
        <v>321</v>
      </c>
      <c r="W903" s="231"/>
      <c r="X903" s="232" t="s">
        <v>322</v>
      </c>
      <c r="Y903" s="232" t="s">
        <v>338</v>
      </c>
      <c r="Z903" s="232" t="s">
        <v>324</v>
      </c>
      <c r="AA903" s="232" t="s">
        <v>31</v>
      </c>
      <c r="AB903" s="236">
        <v>3.0000000000000001E-3</v>
      </c>
      <c r="AC903" s="235"/>
      <c r="AD903" s="234"/>
      <c r="AE903" s="234"/>
      <c r="AF903" s="232" t="s">
        <v>77</v>
      </c>
      <c r="AG903" s="232" t="s">
        <v>350</v>
      </c>
      <c r="AH903" s="234" t="s">
        <v>317</v>
      </c>
      <c r="AJ903" s="234">
        <v>0</v>
      </c>
      <c r="AK903" s="224"/>
      <c r="AL903" s="234">
        <v>0</v>
      </c>
      <c r="AM903" s="224"/>
      <c r="AN903" s="234">
        <v>0</v>
      </c>
      <c r="AO903" s="234">
        <v>1</v>
      </c>
      <c r="AP903" s="234">
        <v>0</v>
      </c>
      <c r="AQ903" s="234">
        <v>0</v>
      </c>
      <c r="AR903" s="234">
        <v>0</v>
      </c>
      <c r="AS903" s="234">
        <v>0</v>
      </c>
      <c r="AT903" s="234">
        <v>0</v>
      </c>
      <c r="AU903" s="234">
        <v>0</v>
      </c>
      <c r="AV903" s="234">
        <v>1</v>
      </c>
      <c r="AW903" s="234">
        <v>0</v>
      </c>
      <c r="AX903" s="234">
        <v>0</v>
      </c>
      <c r="AY903" s="234">
        <v>0</v>
      </c>
      <c r="AZ903" s="234">
        <v>0</v>
      </c>
      <c r="BA903" s="234">
        <v>0</v>
      </c>
      <c r="BB903" s="234">
        <v>0</v>
      </c>
      <c r="BC903" s="234">
        <v>0</v>
      </c>
      <c r="BD903" s="234">
        <v>0</v>
      </c>
      <c r="BE903" s="234">
        <v>0</v>
      </c>
      <c r="BF903" s="234">
        <v>0</v>
      </c>
      <c r="BG903" s="234">
        <v>0</v>
      </c>
      <c r="BH903" s="234">
        <v>0</v>
      </c>
      <c r="BI903" s="234">
        <v>0</v>
      </c>
      <c r="BJ903" s="234">
        <v>0</v>
      </c>
      <c r="BK903" s="234">
        <v>0</v>
      </c>
      <c r="BL903" s="234">
        <v>0</v>
      </c>
      <c r="BM903" s="234">
        <v>0</v>
      </c>
      <c r="BN903" s="234">
        <v>0</v>
      </c>
      <c r="BO903" s="234">
        <v>0</v>
      </c>
      <c r="BP903" s="234"/>
      <c r="BQ903" s="234"/>
      <c r="BR903" s="237" t="s">
        <v>334</v>
      </c>
      <c r="BS903" s="238">
        <v>15</v>
      </c>
      <c r="BU903" s="239">
        <f>M903/4</f>
        <v>0.25</v>
      </c>
      <c r="BV903" s="239">
        <f>M903/4</f>
        <v>0.25</v>
      </c>
      <c r="BW903" s="239">
        <f>M903/4</f>
        <v>0.25</v>
      </c>
      <c r="BX903" s="239">
        <f>M903/4</f>
        <v>0.25</v>
      </c>
      <c r="CN903" s="238">
        <f t="shared" si="108"/>
        <v>1</v>
      </c>
      <c r="CO903" s="238">
        <f t="shared" si="109"/>
        <v>1</v>
      </c>
    </row>
    <row r="904" spans="1:93" ht="13.95" customHeight="1" x14ac:dyDescent="0.2">
      <c r="A904" s="231">
        <v>179</v>
      </c>
      <c r="B904" s="232" t="s">
        <v>822</v>
      </c>
      <c r="C904" s="232" t="s">
        <v>2580</v>
      </c>
      <c r="D904" s="232" t="s">
        <v>2581</v>
      </c>
      <c r="E904" s="232" t="s">
        <v>2582</v>
      </c>
      <c r="F904" s="231">
        <v>524331</v>
      </c>
      <c r="G904" s="231">
        <v>175422</v>
      </c>
      <c r="H904" s="232" t="s">
        <v>175</v>
      </c>
      <c r="I904" s="233"/>
      <c r="J904" s="231"/>
      <c r="K904" s="231">
        <v>0</v>
      </c>
      <c r="L904" s="231">
        <v>4</v>
      </c>
      <c r="M904" s="231">
        <v>4</v>
      </c>
      <c r="N904" s="231">
        <v>7</v>
      </c>
      <c r="O904" s="231">
        <v>7</v>
      </c>
      <c r="P904" s="234"/>
      <c r="Q904" s="232" t="s">
        <v>2583</v>
      </c>
      <c r="R904" s="234" t="s">
        <v>320</v>
      </c>
      <c r="S904" s="235">
        <v>43243</v>
      </c>
      <c r="T904" s="235">
        <v>43756</v>
      </c>
      <c r="U904" s="234"/>
      <c r="V904" s="232" t="s">
        <v>321</v>
      </c>
      <c r="W904" s="231"/>
      <c r="X904" s="232" t="s">
        <v>322</v>
      </c>
      <c r="Y904" s="232" t="s">
        <v>338</v>
      </c>
      <c r="Z904" s="232" t="s">
        <v>324</v>
      </c>
      <c r="AA904" s="232" t="s">
        <v>31</v>
      </c>
      <c r="AB904" s="236">
        <v>3.9E-2</v>
      </c>
      <c r="AC904" s="235"/>
      <c r="AD904" s="234"/>
      <c r="AE904" s="234"/>
      <c r="AF904" s="232" t="s">
        <v>77</v>
      </c>
      <c r="AG904" s="232" t="s">
        <v>350</v>
      </c>
      <c r="AH904" s="234" t="s">
        <v>317</v>
      </c>
      <c r="AJ904" s="234">
        <v>0</v>
      </c>
      <c r="AK904" s="224"/>
      <c r="AL904" s="234">
        <v>0</v>
      </c>
      <c r="AM904" s="224"/>
      <c r="AN904" s="234">
        <v>0</v>
      </c>
      <c r="AO904" s="234">
        <v>1</v>
      </c>
      <c r="AP904" s="234">
        <v>2</v>
      </c>
      <c r="AQ904" s="234">
        <v>1</v>
      </c>
      <c r="AR904" s="234">
        <v>0</v>
      </c>
      <c r="AS904" s="234">
        <v>0</v>
      </c>
      <c r="AT904" s="234">
        <v>0</v>
      </c>
      <c r="AU904" s="234">
        <v>0</v>
      </c>
      <c r="AV904" s="234">
        <v>1</v>
      </c>
      <c r="AW904" s="234">
        <v>2</v>
      </c>
      <c r="AX904" s="234">
        <v>1</v>
      </c>
      <c r="AY904" s="234">
        <v>0</v>
      </c>
      <c r="AZ904" s="234">
        <v>0</v>
      </c>
      <c r="BA904" s="234">
        <v>0</v>
      </c>
      <c r="BB904" s="234">
        <v>0</v>
      </c>
      <c r="BC904" s="234">
        <v>0</v>
      </c>
      <c r="BD904" s="234">
        <v>0</v>
      </c>
      <c r="BE904" s="234">
        <v>0</v>
      </c>
      <c r="BF904" s="234">
        <v>0</v>
      </c>
      <c r="BG904" s="234">
        <v>0</v>
      </c>
      <c r="BH904" s="234">
        <v>0</v>
      </c>
      <c r="BI904" s="234">
        <v>0</v>
      </c>
      <c r="BJ904" s="234">
        <v>0</v>
      </c>
      <c r="BK904" s="234">
        <v>0</v>
      </c>
      <c r="BL904" s="234">
        <v>0</v>
      </c>
      <c r="BM904" s="234">
        <v>0</v>
      </c>
      <c r="BN904" s="234">
        <v>0</v>
      </c>
      <c r="BO904" s="234">
        <v>0</v>
      </c>
      <c r="BP904" s="234"/>
      <c r="BQ904" s="234"/>
      <c r="BR904" s="237" t="s">
        <v>334</v>
      </c>
      <c r="BS904" s="238">
        <v>18</v>
      </c>
      <c r="BU904" s="239">
        <f>M904/4</f>
        <v>1</v>
      </c>
      <c r="BV904" s="239">
        <f>M904/4</f>
        <v>1</v>
      </c>
      <c r="BW904" s="239">
        <f>M904/4</f>
        <v>1</v>
      </c>
      <c r="BX904" s="239">
        <f>M904/4</f>
        <v>1</v>
      </c>
      <c r="CN904" s="238">
        <f t="shared" si="108"/>
        <v>4</v>
      </c>
      <c r="CO904" s="238">
        <f t="shared" si="109"/>
        <v>4</v>
      </c>
    </row>
    <row r="905" spans="1:93" ht="13.95" customHeight="1" x14ac:dyDescent="0.2">
      <c r="A905" s="231">
        <v>6885</v>
      </c>
      <c r="B905" s="232" t="s">
        <v>822</v>
      </c>
      <c r="C905" s="232" t="s">
        <v>2550</v>
      </c>
      <c r="D905" s="232" t="s">
        <v>1928</v>
      </c>
      <c r="E905" s="232" t="s">
        <v>2584</v>
      </c>
      <c r="F905" s="231">
        <v>525906</v>
      </c>
      <c r="G905" s="231">
        <v>173856</v>
      </c>
      <c r="H905" s="232" t="s">
        <v>179</v>
      </c>
      <c r="I905" s="233"/>
      <c r="J905" s="231"/>
      <c r="K905" s="231">
        <v>1</v>
      </c>
      <c r="L905" s="231">
        <v>1</v>
      </c>
      <c r="M905" s="231">
        <v>0</v>
      </c>
      <c r="N905" s="231">
        <v>3</v>
      </c>
      <c r="O905" s="231">
        <v>1</v>
      </c>
      <c r="P905" s="234"/>
      <c r="Q905" s="232" t="s">
        <v>2551</v>
      </c>
      <c r="R905" s="234" t="s">
        <v>332</v>
      </c>
      <c r="S905" s="235">
        <v>43186</v>
      </c>
      <c r="T905" s="235">
        <v>43242</v>
      </c>
      <c r="U905" s="234"/>
      <c r="V905" s="232" t="s">
        <v>321</v>
      </c>
      <c r="W905" s="231"/>
      <c r="X905" s="232" t="s">
        <v>322</v>
      </c>
      <c r="Y905" s="232" t="s">
        <v>338</v>
      </c>
      <c r="Z905" s="232" t="s">
        <v>324</v>
      </c>
      <c r="AA905" s="232" t="s">
        <v>25</v>
      </c>
      <c r="AB905" s="236">
        <v>3.0000000000000001E-3</v>
      </c>
      <c r="AC905" s="235"/>
      <c r="AD905" s="234"/>
      <c r="AE905" s="234"/>
      <c r="AF905" s="232" t="s">
        <v>77</v>
      </c>
      <c r="AG905" s="232" t="s">
        <v>350</v>
      </c>
      <c r="AH905" s="234" t="s">
        <v>317</v>
      </c>
      <c r="AJ905" s="234">
        <v>0</v>
      </c>
      <c r="AK905" s="224"/>
      <c r="AL905" s="234">
        <v>0</v>
      </c>
      <c r="AM905" s="224"/>
      <c r="AN905" s="234">
        <v>-1</v>
      </c>
      <c r="AO905" s="234">
        <v>1</v>
      </c>
      <c r="AP905" s="234">
        <v>0</v>
      </c>
      <c r="AQ905" s="234">
        <v>0</v>
      </c>
      <c r="AR905" s="234">
        <v>0</v>
      </c>
      <c r="AS905" s="234">
        <v>0</v>
      </c>
      <c r="AT905" s="234">
        <v>0</v>
      </c>
      <c r="AU905" s="234">
        <v>-1</v>
      </c>
      <c r="AV905" s="234">
        <v>1</v>
      </c>
      <c r="AW905" s="234">
        <v>0</v>
      </c>
      <c r="AX905" s="234">
        <v>0</v>
      </c>
      <c r="AY905" s="234">
        <v>0</v>
      </c>
      <c r="AZ905" s="234">
        <v>0</v>
      </c>
      <c r="BA905" s="234">
        <v>0</v>
      </c>
      <c r="BB905" s="234">
        <v>0</v>
      </c>
      <c r="BC905" s="234">
        <v>0</v>
      </c>
      <c r="BD905" s="234">
        <v>0</v>
      </c>
      <c r="BE905" s="234">
        <v>0</v>
      </c>
      <c r="BF905" s="234">
        <v>0</v>
      </c>
      <c r="BG905" s="234">
        <v>0</v>
      </c>
      <c r="BH905" s="234">
        <v>0</v>
      </c>
      <c r="BI905" s="234">
        <v>0</v>
      </c>
      <c r="BJ905" s="234">
        <v>0</v>
      </c>
      <c r="BK905" s="234">
        <v>0</v>
      </c>
      <c r="BL905" s="234">
        <v>0</v>
      </c>
      <c r="BM905" s="234">
        <v>0</v>
      </c>
      <c r="BN905" s="234">
        <v>0</v>
      </c>
      <c r="BO905" s="234">
        <v>0</v>
      </c>
      <c r="BP905" s="234"/>
      <c r="BQ905" s="234"/>
      <c r="BR905" s="237" t="s">
        <v>154</v>
      </c>
      <c r="BS905" s="238">
        <v>15</v>
      </c>
      <c r="BU905" s="239">
        <f>M905/4</f>
        <v>0</v>
      </c>
      <c r="BV905" s="239">
        <f>M905/4</f>
        <v>0</v>
      </c>
      <c r="BW905" s="239">
        <f>M905/4</f>
        <v>0</v>
      </c>
      <c r="BX905" s="239">
        <f>M905/4</f>
        <v>0</v>
      </c>
      <c r="CN905" s="238">
        <f t="shared" si="108"/>
        <v>0</v>
      </c>
      <c r="CO905" s="238">
        <f t="shared" si="109"/>
        <v>0</v>
      </c>
    </row>
    <row r="906" spans="1:93" ht="13.95" customHeight="1" x14ac:dyDescent="0.2">
      <c r="A906" s="231">
        <v>6908</v>
      </c>
      <c r="B906" s="232" t="s">
        <v>822</v>
      </c>
      <c r="C906" s="232" t="s">
        <v>2585</v>
      </c>
      <c r="D906" s="232" t="s">
        <v>2586</v>
      </c>
      <c r="E906" s="232" t="s">
        <v>2587</v>
      </c>
      <c r="F906" s="231">
        <v>525716</v>
      </c>
      <c r="G906" s="231">
        <v>173464</v>
      </c>
      <c r="H906" s="232" t="s">
        <v>179</v>
      </c>
      <c r="I906" s="233"/>
      <c r="J906" s="231"/>
      <c r="K906" s="231">
        <v>0</v>
      </c>
      <c r="L906" s="231">
        <v>33</v>
      </c>
      <c r="M906" s="231">
        <v>33</v>
      </c>
      <c r="N906" s="231">
        <v>433</v>
      </c>
      <c r="O906" s="231">
        <v>433</v>
      </c>
      <c r="P906" s="234" t="s">
        <v>318</v>
      </c>
      <c r="Q906" s="232" t="s">
        <v>2588</v>
      </c>
      <c r="R906" s="234" t="s">
        <v>320</v>
      </c>
      <c r="S906" s="235">
        <v>44441</v>
      </c>
      <c r="T906" s="235">
        <v>44817</v>
      </c>
      <c r="U906" s="234" t="s">
        <v>318</v>
      </c>
      <c r="V906" s="232" t="s">
        <v>321</v>
      </c>
      <c r="W906" s="231"/>
      <c r="X906" s="232" t="s">
        <v>322</v>
      </c>
      <c r="Y906" s="232" t="s">
        <v>323</v>
      </c>
      <c r="Z906" s="232" t="s">
        <v>323</v>
      </c>
      <c r="AA906" s="232" t="s">
        <v>324</v>
      </c>
      <c r="AB906" s="236">
        <v>0</v>
      </c>
      <c r="AC906" s="235"/>
      <c r="AD906" s="234"/>
      <c r="AE906" s="234"/>
      <c r="AF906" s="232" t="s">
        <v>56</v>
      </c>
      <c r="AG906" s="232" t="s">
        <v>325</v>
      </c>
      <c r="AH906" s="234" t="s">
        <v>317</v>
      </c>
      <c r="AI906" s="234">
        <v>17320085</v>
      </c>
      <c r="AJ906" s="234">
        <v>0</v>
      </c>
      <c r="AK906" s="224"/>
      <c r="AL906" s="234">
        <v>0</v>
      </c>
      <c r="AM906" s="234">
        <v>4</v>
      </c>
      <c r="AN906" s="234">
        <v>0</v>
      </c>
      <c r="AO906" s="234">
        <v>13</v>
      </c>
      <c r="AP906" s="234">
        <v>14</v>
      </c>
      <c r="AQ906" s="234">
        <v>6</v>
      </c>
      <c r="AR906" s="234">
        <v>0</v>
      </c>
      <c r="AS906" s="234">
        <v>0</v>
      </c>
      <c r="AT906" s="234">
        <v>0</v>
      </c>
      <c r="AU906" s="234">
        <v>0</v>
      </c>
      <c r="AV906" s="234">
        <v>13</v>
      </c>
      <c r="AW906" s="234">
        <v>14</v>
      </c>
      <c r="AX906" s="234">
        <v>6</v>
      </c>
      <c r="AY906" s="234">
        <v>0</v>
      </c>
      <c r="AZ906" s="234">
        <v>0</v>
      </c>
      <c r="BA906" s="234">
        <v>0</v>
      </c>
      <c r="BB906" s="234">
        <v>0</v>
      </c>
      <c r="BC906" s="234">
        <v>0</v>
      </c>
      <c r="BD906" s="234">
        <v>0</v>
      </c>
      <c r="BE906" s="234">
        <v>0</v>
      </c>
      <c r="BF906" s="234">
        <v>0</v>
      </c>
      <c r="BG906" s="234">
        <v>0</v>
      </c>
      <c r="BH906" s="234">
        <v>0</v>
      </c>
      <c r="BI906" s="234">
        <v>0</v>
      </c>
      <c r="BJ906" s="234">
        <v>0</v>
      </c>
      <c r="BK906" s="234">
        <v>0</v>
      </c>
      <c r="BL906" s="234">
        <v>0</v>
      </c>
      <c r="BM906" s="234">
        <v>0</v>
      </c>
      <c r="BN906" s="234">
        <v>0</v>
      </c>
      <c r="BO906" s="234">
        <v>0</v>
      </c>
      <c r="BP906" s="234"/>
      <c r="BQ906" s="234"/>
      <c r="BR906" s="237" t="s">
        <v>154</v>
      </c>
      <c r="BS906" s="238">
        <v>8</v>
      </c>
      <c r="BX906" s="239">
        <f>M906</f>
        <v>33</v>
      </c>
      <c r="CN906" s="238">
        <f t="shared" si="108"/>
        <v>33</v>
      </c>
      <c r="CO906" s="238">
        <f t="shared" si="109"/>
        <v>33</v>
      </c>
    </row>
    <row r="907" spans="1:93" ht="13.95" customHeight="1" x14ac:dyDescent="0.2">
      <c r="A907" s="231">
        <v>6908</v>
      </c>
      <c r="B907" s="232" t="s">
        <v>822</v>
      </c>
      <c r="C907" s="232" t="s">
        <v>2585</v>
      </c>
      <c r="D907" s="232" t="s">
        <v>2586</v>
      </c>
      <c r="E907" s="232" t="s">
        <v>2589</v>
      </c>
      <c r="F907" s="231">
        <v>525716</v>
      </c>
      <c r="G907" s="231">
        <v>173464</v>
      </c>
      <c r="H907" s="232" t="s">
        <v>179</v>
      </c>
      <c r="I907" s="233"/>
      <c r="J907" s="231"/>
      <c r="K907" s="231">
        <v>0</v>
      </c>
      <c r="L907" s="231">
        <v>33</v>
      </c>
      <c r="M907" s="231">
        <v>33</v>
      </c>
      <c r="N907" s="231">
        <v>433</v>
      </c>
      <c r="O907" s="231">
        <v>433</v>
      </c>
      <c r="P907" s="234" t="s">
        <v>318</v>
      </c>
      <c r="Q907" s="232" t="s">
        <v>2588</v>
      </c>
      <c r="R907" s="234" t="s">
        <v>320</v>
      </c>
      <c r="S907" s="235">
        <v>44441</v>
      </c>
      <c r="T907" s="235">
        <v>44817</v>
      </c>
      <c r="U907" s="234" t="s">
        <v>318</v>
      </c>
      <c r="V907" s="232" t="s">
        <v>321</v>
      </c>
      <c r="W907" s="231"/>
      <c r="X907" s="232" t="s">
        <v>322</v>
      </c>
      <c r="Y907" s="232" t="s">
        <v>323</v>
      </c>
      <c r="Z907" s="232" t="s">
        <v>323</v>
      </c>
      <c r="AA907" s="232" t="s">
        <v>324</v>
      </c>
      <c r="AB907" s="236">
        <v>0</v>
      </c>
      <c r="AC907" s="235"/>
      <c r="AD907" s="234"/>
      <c r="AE907" s="234"/>
      <c r="AF907" s="232" t="s">
        <v>56</v>
      </c>
      <c r="AG907" s="232" t="s">
        <v>325</v>
      </c>
      <c r="AH907" s="234" t="s">
        <v>317</v>
      </c>
      <c r="AI907" s="234">
        <v>17320085</v>
      </c>
      <c r="AJ907" s="234">
        <v>0</v>
      </c>
      <c r="AK907" s="224"/>
      <c r="AL907" s="234">
        <v>0</v>
      </c>
      <c r="AM907" s="234">
        <v>4</v>
      </c>
      <c r="AN907" s="234">
        <v>0</v>
      </c>
      <c r="AO907" s="234">
        <v>14</v>
      </c>
      <c r="AP907" s="234">
        <v>19</v>
      </c>
      <c r="AQ907" s="234">
        <v>0</v>
      </c>
      <c r="AR907" s="234">
        <v>0</v>
      </c>
      <c r="AS907" s="234">
        <v>0</v>
      </c>
      <c r="AT907" s="234">
        <v>0</v>
      </c>
      <c r="AU907" s="234">
        <v>0</v>
      </c>
      <c r="AV907" s="234">
        <v>14</v>
      </c>
      <c r="AW907" s="234">
        <v>19</v>
      </c>
      <c r="AX907" s="234">
        <v>0</v>
      </c>
      <c r="AY907" s="234">
        <v>0</v>
      </c>
      <c r="AZ907" s="234">
        <v>0</v>
      </c>
      <c r="BA907" s="234">
        <v>0</v>
      </c>
      <c r="BB907" s="234">
        <v>0</v>
      </c>
      <c r="BC907" s="234">
        <v>0</v>
      </c>
      <c r="BD907" s="234">
        <v>0</v>
      </c>
      <c r="BE907" s="234">
        <v>0</v>
      </c>
      <c r="BF907" s="234">
        <v>0</v>
      </c>
      <c r="BG907" s="234">
        <v>0</v>
      </c>
      <c r="BH907" s="234">
        <v>0</v>
      </c>
      <c r="BI907" s="234">
        <v>0</v>
      </c>
      <c r="BJ907" s="234">
        <v>0</v>
      </c>
      <c r="BK907" s="234">
        <v>0</v>
      </c>
      <c r="BL907" s="234">
        <v>0</v>
      </c>
      <c r="BM907" s="234">
        <v>0</v>
      </c>
      <c r="BN907" s="234">
        <v>0</v>
      </c>
      <c r="BO907" s="234">
        <v>0</v>
      </c>
      <c r="BP907" s="234"/>
      <c r="BQ907" s="234"/>
      <c r="BR907" s="237" t="s">
        <v>154</v>
      </c>
      <c r="BS907" s="238">
        <v>8</v>
      </c>
      <c r="BX907" s="239">
        <f>M907</f>
        <v>33</v>
      </c>
      <c r="CN907" s="238">
        <f t="shared" si="108"/>
        <v>33</v>
      </c>
      <c r="CO907" s="238">
        <f t="shared" si="109"/>
        <v>33</v>
      </c>
    </row>
    <row r="908" spans="1:93" ht="13.95" customHeight="1" x14ac:dyDescent="0.2">
      <c r="A908" s="231">
        <v>6908</v>
      </c>
      <c r="B908" s="232" t="s">
        <v>822</v>
      </c>
      <c r="C908" s="232" t="s">
        <v>2585</v>
      </c>
      <c r="D908" s="232" t="s">
        <v>2586</v>
      </c>
      <c r="E908" s="232" t="s">
        <v>2590</v>
      </c>
      <c r="F908" s="231">
        <v>525716</v>
      </c>
      <c r="G908" s="231">
        <v>173464</v>
      </c>
      <c r="H908" s="232" t="s">
        <v>179</v>
      </c>
      <c r="I908" s="233"/>
      <c r="J908" s="231"/>
      <c r="K908" s="231">
        <v>0</v>
      </c>
      <c r="L908" s="231">
        <v>66</v>
      </c>
      <c r="M908" s="231">
        <v>66</v>
      </c>
      <c r="N908" s="231">
        <v>433</v>
      </c>
      <c r="O908" s="231">
        <v>433</v>
      </c>
      <c r="P908" s="234" t="s">
        <v>318</v>
      </c>
      <c r="Q908" s="232" t="s">
        <v>2588</v>
      </c>
      <c r="R908" s="234" t="s">
        <v>320</v>
      </c>
      <c r="S908" s="235">
        <v>44441</v>
      </c>
      <c r="T908" s="235">
        <v>44817</v>
      </c>
      <c r="U908" s="234" t="s">
        <v>318</v>
      </c>
      <c r="V908" s="232" t="s">
        <v>321</v>
      </c>
      <c r="W908" s="231"/>
      <c r="X908" s="232" t="s">
        <v>322</v>
      </c>
      <c r="Y908" s="232" t="s">
        <v>323</v>
      </c>
      <c r="Z908" s="232" t="s">
        <v>323</v>
      </c>
      <c r="AA908" s="232" t="s">
        <v>324</v>
      </c>
      <c r="AB908" s="236">
        <v>0</v>
      </c>
      <c r="AC908" s="235"/>
      <c r="AD908" s="234"/>
      <c r="AE908" s="234"/>
      <c r="AF908" s="232" t="s">
        <v>57</v>
      </c>
      <c r="AG908" s="232" t="s">
        <v>328</v>
      </c>
      <c r="AH908" s="234" t="s">
        <v>317</v>
      </c>
      <c r="AI908" s="234">
        <v>17320085</v>
      </c>
      <c r="AJ908" s="234">
        <v>0</v>
      </c>
      <c r="AK908" s="224"/>
      <c r="AL908" s="234">
        <v>0</v>
      </c>
      <c r="AM908" s="234">
        <v>8</v>
      </c>
      <c r="AN908" s="234">
        <v>0</v>
      </c>
      <c r="AO908" s="234">
        <v>8</v>
      </c>
      <c r="AP908" s="234">
        <v>27</v>
      </c>
      <c r="AQ908" s="234">
        <v>25</v>
      </c>
      <c r="AR908" s="234">
        <v>6</v>
      </c>
      <c r="AS908" s="234">
        <v>0</v>
      </c>
      <c r="AT908" s="234">
        <v>0</v>
      </c>
      <c r="AU908" s="234">
        <v>0</v>
      </c>
      <c r="AV908" s="234">
        <v>8</v>
      </c>
      <c r="AW908" s="234">
        <v>27</v>
      </c>
      <c r="AX908" s="234">
        <v>25</v>
      </c>
      <c r="AY908" s="234">
        <v>6</v>
      </c>
      <c r="AZ908" s="234">
        <v>0</v>
      </c>
      <c r="BA908" s="234">
        <v>0</v>
      </c>
      <c r="BB908" s="234">
        <v>0</v>
      </c>
      <c r="BC908" s="234">
        <v>0</v>
      </c>
      <c r="BD908" s="234">
        <v>0</v>
      </c>
      <c r="BE908" s="234">
        <v>0</v>
      </c>
      <c r="BF908" s="234">
        <v>0</v>
      </c>
      <c r="BG908" s="234">
        <v>0</v>
      </c>
      <c r="BH908" s="234">
        <v>0</v>
      </c>
      <c r="BI908" s="234">
        <v>0</v>
      </c>
      <c r="BJ908" s="234">
        <v>0</v>
      </c>
      <c r="BK908" s="234">
        <v>0</v>
      </c>
      <c r="BL908" s="234">
        <v>0</v>
      </c>
      <c r="BM908" s="234">
        <v>0</v>
      </c>
      <c r="BN908" s="234">
        <v>0</v>
      </c>
      <c r="BO908" s="234">
        <v>0</v>
      </c>
      <c r="BP908" s="234"/>
      <c r="BQ908" s="234"/>
      <c r="BR908" s="237" t="s">
        <v>154</v>
      </c>
      <c r="BS908" s="238">
        <v>8</v>
      </c>
      <c r="BX908" s="239">
        <f>M908</f>
        <v>66</v>
      </c>
      <c r="CN908" s="238">
        <f t="shared" si="108"/>
        <v>66</v>
      </c>
      <c r="CO908" s="238">
        <f t="shared" si="109"/>
        <v>66</v>
      </c>
    </row>
    <row r="909" spans="1:93" ht="13.95" customHeight="1" x14ac:dyDescent="0.2">
      <c r="A909" s="231">
        <v>6908</v>
      </c>
      <c r="B909" s="232" t="s">
        <v>822</v>
      </c>
      <c r="C909" s="232" t="s">
        <v>2585</v>
      </c>
      <c r="D909" s="232" t="s">
        <v>2586</v>
      </c>
      <c r="E909" s="232" t="s">
        <v>2591</v>
      </c>
      <c r="F909" s="231">
        <v>525716</v>
      </c>
      <c r="G909" s="231">
        <v>173464</v>
      </c>
      <c r="H909" s="232" t="s">
        <v>179</v>
      </c>
      <c r="I909" s="233"/>
      <c r="J909" s="231"/>
      <c r="K909" s="231">
        <v>0</v>
      </c>
      <c r="L909" s="231">
        <v>55</v>
      </c>
      <c r="M909" s="231">
        <v>55</v>
      </c>
      <c r="N909" s="231">
        <v>433</v>
      </c>
      <c r="O909" s="231">
        <v>433</v>
      </c>
      <c r="P909" s="234" t="s">
        <v>318</v>
      </c>
      <c r="Q909" s="232" t="s">
        <v>2588</v>
      </c>
      <c r="R909" s="234" t="s">
        <v>320</v>
      </c>
      <c r="S909" s="235">
        <v>44441</v>
      </c>
      <c r="T909" s="235">
        <v>44817</v>
      </c>
      <c r="U909" s="234" t="s">
        <v>318</v>
      </c>
      <c r="V909" s="232" t="s">
        <v>321</v>
      </c>
      <c r="W909" s="231"/>
      <c r="X909" s="232" t="s">
        <v>322</v>
      </c>
      <c r="Y909" s="232" t="s">
        <v>323</v>
      </c>
      <c r="Z909" s="232" t="s">
        <v>323</v>
      </c>
      <c r="AA909" s="232" t="s">
        <v>324</v>
      </c>
      <c r="AB909" s="236">
        <v>0</v>
      </c>
      <c r="AC909" s="235"/>
      <c r="AD909" s="234"/>
      <c r="AE909" s="234"/>
      <c r="AF909" s="232" t="s">
        <v>77</v>
      </c>
      <c r="AG909" s="232" t="s">
        <v>350</v>
      </c>
      <c r="AH909" s="234" t="s">
        <v>317</v>
      </c>
      <c r="AI909" s="234">
        <v>17320085</v>
      </c>
      <c r="AJ909" s="234">
        <v>0</v>
      </c>
      <c r="AK909" s="224"/>
      <c r="AL909" s="234">
        <v>0</v>
      </c>
      <c r="AM909" s="224"/>
      <c r="AN909" s="234">
        <v>0</v>
      </c>
      <c r="AO909" s="234">
        <v>14</v>
      </c>
      <c r="AP909" s="234">
        <v>35</v>
      </c>
      <c r="AQ909" s="234">
        <v>6</v>
      </c>
      <c r="AR909" s="234">
        <v>0</v>
      </c>
      <c r="AS909" s="234">
        <v>0</v>
      </c>
      <c r="AT909" s="234">
        <v>0</v>
      </c>
      <c r="AU909" s="234">
        <v>0</v>
      </c>
      <c r="AV909" s="234">
        <v>14</v>
      </c>
      <c r="AW909" s="234">
        <v>35</v>
      </c>
      <c r="AX909" s="234">
        <v>6</v>
      </c>
      <c r="AY909" s="234">
        <v>0</v>
      </c>
      <c r="AZ909" s="234">
        <v>0</v>
      </c>
      <c r="BA909" s="234">
        <v>0</v>
      </c>
      <c r="BB909" s="234">
        <v>0</v>
      </c>
      <c r="BC909" s="234">
        <v>0</v>
      </c>
      <c r="BD909" s="234">
        <v>0</v>
      </c>
      <c r="BE909" s="234">
        <v>0</v>
      </c>
      <c r="BF909" s="234">
        <v>0</v>
      </c>
      <c r="BG909" s="234">
        <v>0</v>
      </c>
      <c r="BH909" s="234">
        <v>0</v>
      </c>
      <c r="BI909" s="234">
        <v>0</v>
      </c>
      <c r="BJ909" s="234">
        <v>0</v>
      </c>
      <c r="BK909" s="234">
        <v>0</v>
      </c>
      <c r="BL909" s="234">
        <v>0</v>
      </c>
      <c r="BM909" s="234">
        <v>0</v>
      </c>
      <c r="BN909" s="234">
        <v>0</v>
      </c>
      <c r="BO909" s="234">
        <v>0</v>
      </c>
      <c r="BP909" s="234"/>
      <c r="BQ909" s="234"/>
      <c r="BR909" s="237" t="s">
        <v>154</v>
      </c>
      <c r="BS909" s="238">
        <v>8</v>
      </c>
      <c r="BX909" s="239">
        <f>M909</f>
        <v>55</v>
      </c>
      <c r="CN909" s="238">
        <f t="shared" si="108"/>
        <v>55</v>
      </c>
      <c r="CO909" s="238">
        <f t="shared" si="109"/>
        <v>55</v>
      </c>
    </row>
    <row r="910" spans="1:93" ht="13.95" customHeight="1" x14ac:dyDescent="0.2">
      <c r="A910" s="231">
        <v>6908</v>
      </c>
      <c r="B910" s="232" t="s">
        <v>822</v>
      </c>
      <c r="C910" s="232" t="s">
        <v>2585</v>
      </c>
      <c r="D910" s="232" t="s">
        <v>2586</v>
      </c>
      <c r="E910" s="232" t="s">
        <v>2592</v>
      </c>
      <c r="F910" s="231">
        <v>525716</v>
      </c>
      <c r="G910" s="231">
        <v>173464</v>
      </c>
      <c r="H910" s="232" t="s">
        <v>179</v>
      </c>
      <c r="I910" s="233"/>
      <c r="J910" s="231"/>
      <c r="K910" s="231">
        <v>0</v>
      </c>
      <c r="L910" s="231">
        <v>75</v>
      </c>
      <c r="M910" s="231">
        <v>75</v>
      </c>
      <c r="N910" s="231">
        <v>433</v>
      </c>
      <c r="O910" s="231">
        <v>433</v>
      </c>
      <c r="P910" s="234" t="s">
        <v>318</v>
      </c>
      <c r="Q910" s="232" t="s">
        <v>2588</v>
      </c>
      <c r="R910" s="234" t="s">
        <v>320</v>
      </c>
      <c r="S910" s="235">
        <v>44441</v>
      </c>
      <c r="T910" s="235">
        <v>44817</v>
      </c>
      <c r="U910" s="234" t="s">
        <v>318</v>
      </c>
      <c r="V910" s="232" t="s">
        <v>321</v>
      </c>
      <c r="W910" s="231"/>
      <c r="X910" s="232" t="s">
        <v>322</v>
      </c>
      <c r="Y910" s="232" t="s">
        <v>323</v>
      </c>
      <c r="Z910" s="232" t="s">
        <v>323</v>
      </c>
      <c r="AA910" s="232" t="s">
        <v>324</v>
      </c>
      <c r="AB910" s="236">
        <v>0</v>
      </c>
      <c r="AC910" s="235"/>
      <c r="AD910" s="234"/>
      <c r="AE910" s="234"/>
      <c r="AF910" s="232" t="s">
        <v>77</v>
      </c>
      <c r="AG910" s="232" t="s">
        <v>350</v>
      </c>
      <c r="AH910" s="234" t="s">
        <v>317</v>
      </c>
      <c r="AI910" s="234">
        <v>17320085</v>
      </c>
      <c r="AJ910" s="234">
        <v>0</v>
      </c>
      <c r="AK910" s="224"/>
      <c r="AL910" s="234">
        <v>0</v>
      </c>
      <c r="AM910" s="224"/>
      <c r="AN910" s="234">
        <v>5</v>
      </c>
      <c r="AO910" s="234">
        <v>47</v>
      </c>
      <c r="AP910" s="234">
        <v>23</v>
      </c>
      <c r="AQ910" s="234">
        <v>0</v>
      </c>
      <c r="AR910" s="234">
        <v>0</v>
      </c>
      <c r="AS910" s="234">
        <v>0</v>
      </c>
      <c r="AT910" s="234">
        <v>0</v>
      </c>
      <c r="AU910" s="234">
        <v>5</v>
      </c>
      <c r="AV910" s="234">
        <v>47</v>
      </c>
      <c r="AW910" s="234">
        <v>23</v>
      </c>
      <c r="AX910" s="234">
        <v>0</v>
      </c>
      <c r="AY910" s="234">
        <v>0</v>
      </c>
      <c r="AZ910" s="234">
        <v>0</v>
      </c>
      <c r="BA910" s="234">
        <v>0</v>
      </c>
      <c r="BB910" s="234">
        <v>0</v>
      </c>
      <c r="BC910" s="234">
        <v>0</v>
      </c>
      <c r="BD910" s="234">
        <v>0</v>
      </c>
      <c r="BE910" s="234">
        <v>0</v>
      </c>
      <c r="BF910" s="234">
        <v>0</v>
      </c>
      <c r="BG910" s="234">
        <v>0</v>
      </c>
      <c r="BH910" s="234">
        <v>0</v>
      </c>
      <c r="BI910" s="234">
        <v>0</v>
      </c>
      <c r="BJ910" s="234">
        <v>0</v>
      </c>
      <c r="BK910" s="234">
        <v>0</v>
      </c>
      <c r="BL910" s="234">
        <v>0</v>
      </c>
      <c r="BM910" s="234">
        <v>0</v>
      </c>
      <c r="BN910" s="234">
        <v>0</v>
      </c>
      <c r="BO910" s="234">
        <v>0</v>
      </c>
      <c r="BP910" s="234"/>
      <c r="BQ910" s="234"/>
      <c r="BR910" s="237" t="s">
        <v>154</v>
      </c>
      <c r="BS910" s="238">
        <v>8</v>
      </c>
      <c r="BX910" s="239">
        <f>M910</f>
        <v>75</v>
      </c>
      <c r="CN910" s="238">
        <f t="shared" si="108"/>
        <v>75</v>
      </c>
      <c r="CO910" s="238">
        <f t="shared" si="109"/>
        <v>75</v>
      </c>
    </row>
    <row r="911" spans="1:93" ht="13.95" customHeight="1" x14ac:dyDescent="0.2">
      <c r="A911" s="231">
        <v>1813</v>
      </c>
      <c r="B911" s="232" t="s">
        <v>822</v>
      </c>
      <c r="C911" s="232" t="s">
        <v>2593</v>
      </c>
      <c r="D911" s="232" t="s">
        <v>2594</v>
      </c>
      <c r="E911" s="232" t="s">
        <v>2595</v>
      </c>
      <c r="F911" s="231">
        <v>523804</v>
      </c>
      <c r="G911" s="231">
        <v>173079</v>
      </c>
      <c r="H911" s="232" t="s">
        <v>182</v>
      </c>
      <c r="I911" s="233"/>
      <c r="J911" s="231"/>
      <c r="K911" s="231">
        <v>0</v>
      </c>
      <c r="L911" s="231">
        <v>1</v>
      </c>
      <c r="M911" s="231">
        <v>1</v>
      </c>
      <c r="N911" s="231">
        <v>2</v>
      </c>
      <c r="O911" s="231">
        <v>2</v>
      </c>
      <c r="P911" s="234"/>
      <c r="Q911" s="232" t="s">
        <v>2596</v>
      </c>
      <c r="R911" s="234" t="s">
        <v>332</v>
      </c>
      <c r="S911" s="235">
        <v>43844</v>
      </c>
      <c r="T911" s="235">
        <v>43923</v>
      </c>
      <c r="U911" s="234"/>
      <c r="V911" s="232" t="s">
        <v>321</v>
      </c>
      <c r="W911" s="231"/>
      <c r="X911" s="232" t="s">
        <v>322</v>
      </c>
      <c r="Y911" s="232" t="s">
        <v>323</v>
      </c>
      <c r="Z911" s="232" t="s">
        <v>324</v>
      </c>
      <c r="AA911" s="232" t="s">
        <v>349</v>
      </c>
      <c r="AB911" s="236">
        <v>3.7999999999999999E-2</v>
      </c>
      <c r="AC911" s="235"/>
      <c r="AD911" s="234"/>
      <c r="AE911" s="234"/>
      <c r="AF911" s="232" t="s">
        <v>77</v>
      </c>
      <c r="AG911" s="232" t="s">
        <v>350</v>
      </c>
      <c r="AH911" s="234" t="s">
        <v>317</v>
      </c>
      <c r="AJ911" s="234">
        <v>0</v>
      </c>
      <c r="AK911" s="224"/>
      <c r="AL911" s="234">
        <v>0</v>
      </c>
      <c r="AM911" s="224"/>
      <c r="AN911" s="234">
        <v>0</v>
      </c>
      <c r="AO911" s="234">
        <v>0</v>
      </c>
      <c r="AP911" s="234">
        <v>0</v>
      </c>
      <c r="AQ911" s="234">
        <v>1</v>
      </c>
      <c r="AR911" s="234">
        <v>0</v>
      </c>
      <c r="AS911" s="234">
        <v>0</v>
      </c>
      <c r="AT911" s="234">
        <v>0</v>
      </c>
      <c r="AU911" s="234">
        <v>0</v>
      </c>
      <c r="AV911" s="234">
        <v>0</v>
      </c>
      <c r="AW911" s="234">
        <v>0</v>
      </c>
      <c r="AX911" s="234">
        <v>0</v>
      </c>
      <c r="AY911" s="234">
        <v>0</v>
      </c>
      <c r="AZ911" s="234">
        <v>0</v>
      </c>
      <c r="BA911" s="234">
        <v>0</v>
      </c>
      <c r="BB911" s="234">
        <v>0</v>
      </c>
      <c r="BC911" s="234">
        <v>0</v>
      </c>
      <c r="BD911" s="234">
        <v>0</v>
      </c>
      <c r="BE911" s="234">
        <v>1</v>
      </c>
      <c r="BF911" s="234">
        <v>0</v>
      </c>
      <c r="BG911" s="234">
        <v>0</v>
      </c>
      <c r="BH911" s="234">
        <v>0</v>
      </c>
      <c r="BI911" s="234">
        <v>0</v>
      </c>
      <c r="BJ911" s="234">
        <v>0</v>
      </c>
      <c r="BK911" s="234">
        <v>0</v>
      </c>
      <c r="BL911" s="234">
        <v>0</v>
      </c>
      <c r="BM911" s="234">
        <v>0</v>
      </c>
      <c r="BN911" s="234">
        <v>0</v>
      </c>
      <c r="BO911" s="234">
        <v>0</v>
      </c>
      <c r="BP911" s="234"/>
      <c r="BQ911" s="234"/>
      <c r="BR911" s="237" t="s">
        <v>334</v>
      </c>
      <c r="BS911" s="238">
        <v>7</v>
      </c>
      <c r="BV911" s="239">
        <f>M911/4</f>
        <v>0.25</v>
      </c>
      <c r="BW911" s="239">
        <f>M911/4</f>
        <v>0.25</v>
      </c>
      <c r="BX911" s="239">
        <f>M911/4</f>
        <v>0.25</v>
      </c>
      <c r="BY911" s="239">
        <f>M911/4</f>
        <v>0.25</v>
      </c>
      <c r="CN911" s="238">
        <f t="shared" si="108"/>
        <v>1</v>
      </c>
      <c r="CO911" s="238">
        <f t="shared" si="109"/>
        <v>1</v>
      </c>
    </row>
    <row r="912" spans="1:93" ht="13.95" customHeight="1" x14ac:dyDescent="0.2">
      <c r="A912" s="231">
        <v>1813</v>
      </c>
      <c r="B912" s="232" t="s">
        <v>822</v>
      </c>
      <c r="C912" s="232" t="s">
        <v>2593</v>
      </c>
      <c r="D912" s="232" t="s">
        <v>2594</v>
      </c>
      <c r="E912" s="232" t="s">
        <v>2597</v>
      </c>
      <c r="F912" s="231">
        <v>523804</v>
      </c>
      <c r="G912" s="231">
        <v>173079</v>
      </c>
      <c r="H912" s="232" t="s">
        <v>182</v>
      </c>
      <c r="I912" s="233"/>
      <c r="J912" s="231"/>
      <c r="K912" s="231">
        <v>0</v>
      </c>
      <c r="L912" s="231">
        <v>1</v>
      </c>
      <c r="M912" s="231">
        <v>1</v>
      </c>
      <c r="N912" s="231">
        <v>2</v>
      </c>
      <c r="O912" s="231">
        <v>2</v>
      </c>
      <c r="P912" s="234"/>
      <c r="Q912" s="232" t="s">
        <v>2596</v>
      </c>
      <c r="R912" s="234" t="s">
        <v>332</v>
      </c>
      <c r="S912" s="235">
        <v>43844</v>
      </c>
      <c r="T912" s="235">
        <v>43923</v>
      </c>
      <c r="U912" s="234"/>
      <c r="V912" s="232" t="s">
        <v>321</v>
      </c>
      <c r="W912" s="231"/>
      <c r="X912" s="232" t="s">
        <v>322</v>
      </c>
      <c r="Y912" s="232" t="s">
        <v>323</v>
      </c>
      <c r="Z912" s="232" t="s">
        <v>324</v>
      </c>
      <c r="AA912" s="232" t="s">
        <v>349</v>
      </c>
      <c r="AB912" s="236">
        <v>3.2000000000000001E-2</v>
      </c>
      <c r="AC912" s="235"/>
      <c r="AD912" s="234"/>
      <c r="AE912" s="234"/>
      <c r="AF912" s="232" t="s">
        <v>77</v>
      </c>
      <c r="AG912" s="232" t="s">
        <v>350</v>
      </c>
      <c r="AH912" s="234" t="s">
        <v>317</v>
      </c>
      <c r="AJ912" s="234">
        <v>0</v>
      </c>
      <c r="AK912" s="224"/>
      <c r="AL912" s="234">
        <v>0</v>
      </c>
      <c r="AM912" s="224"/>
      <c r="AN912" s="234">
        <v>0</v>
      </c>
      <c r="AO912" s="234">
        <v>0</v>
      </c>
      <c r="AP912" s="234">
        <v>0</v>
      </c>
      <c r="AQ912" s="234">
        <v>1</v>
      </c>
      <c r="AR912" s="234">
        <v>0</v>
      </c>
      <c r="AS912" s="234">
        <v>0</v>
      </c>
      <c r="AT912" s="234">
        <v>0</v>
      </c>
      <c r="AU912" s="234">
        <v>0</v>
      </c>
      <c r="AV912" s="234">
        <v>0</v>
      </c>
      <c r="AW912" s="234">
        <v>0</v>
      </c>
      <c r="AX912" s="234">
        <v>0</v>
      </c>
      <c r="AY912" s="234">
        <v>0</v>
      </c>
      <c r="AZ912" s="234">
        <v>0</v>
      </c>
      <c r="BA912" s="234">
        <v>0</v>
      </c>
      <c r="BB912" s="234">
        <v>0</v>
      </c>
      <c r="BC912" s="234">
        <v>0</v>
      </c>
      <c r="BD912" s="234">
        <v>0</v>
      </c>
      <c r="BE912" s="234">
        <v>1</v>
      </c>
      <c r="BF912" s="234">
        <v>0</v>
      </c>
      <c r="BG912" s="234">
        <v>0</v>
      </c>
      <c r="BH912" s="234">
        <v>0</v>
      </c>
      <c r="BI912" s="234">
        <v>0</v>
      </c>
      <c r="BJ912" s="234">
        <v>0</v>
      </c>
      <c r="BK912" s="234">
        <v>0</v>
      </c>
      <c r="BL912" s="234">
        <v>0</v>
      </c>
      <c r="BM912" s="234">
        <v>0</v>
      </c>
      <c r="BN912" s="234">
        <v>0</v>
      </c>
      <c r="BO912" s="234">
        <v>0</v>
      </c>
      <c r="BP912" s="234"/>
      <c r="BQ912" s="234"/>
      <c r="BR912" s="237" t="s">
        <v>334</v>
      </c>
      <c r="BS912" s="238">
        <v>7</v>
      </c>
      <c r="BV912" s="239">
        <f>M912/4</f>
        <v>0.25</v>
      </c>
      <c r="BW912" s="239">
        <f>M912/4</f>
        <v>0.25</v>
      </c>
      <c r="BX912" s="239">
        <f>M912/4</f>
        <v>0.25</v>
      </c>
      <c r="BY912" s="239">
        <f>M912/4</f>
        <v>0.25</v>
      </c>
      <c r="CN912" s="238">
        <f t="shared" si="108"/>
        <v>1</v>
      </c>
      <c r="CO912" s="238">
        <f t="shared" si="109"/>
        <v>1</v>
      </c>
    </row>
    <row r="913" spans="1:93" ht="13.95" customHeight="1" x14ac:dyDescent="0.2">
      <c r="A913" s="231">
        <v>3511</v>
      </c>
      <c r="B913" s="232" t="s">
        <v>822</v>
      </c>
      <c r="C913" s="232" t="s">
        <v>2598</v>
      </c>
      <c r="D913" s="232" t="s">
        <v>824</v>
      </c>
      <c r="E913" s="232" t="s">
        <v>2599</v>
      </c>
      <c r="F913" s="231">
        <v>529369</v>
      </c>
      <c r="G913" s="231">
        <v>177317</v>
      </c>
      <c r="H913" s="232" t="s">
        <v>168</v>
      </c>
      <c r="I913" s="233">
        <v>43672</v>
      </c>
      <c r="J913" s="231"/>
      <c r="K913" s="231">
        <v>0</v>
      </c>
      <c r="L913" s="231">
        <v>13</v>
      </c>
      <c r="M913" s="231">
        <v>13</v>
      </c>
      <c r="N913" s="231">
        <v>559</v>
      </c>
      <c r="O913" s="231">
        <v>559</v>
      </c>
      <c r="P913" s="234" t="s">
        <v>318</v>
      </c>
      <c r="Q913" s="232" t="s">
        <v>2600</v>
      </c>
      <c r="R913" s="234" t="s">
        <v>517</v>
      </c>
      <c r="S913" s="235">
        <v>43433</v>
      </c>
      <c r="T913" s="235">
        <v>43546</v>
      </c>
      <c r="U913" s="234"/>
      <c r="V913" s="232" t="s">
        <v>321</v>
      </c>
      <c r="W913" s="231"/>
      <c r="X913" s="232" t="s">
        <v>322</v>
      </c>
      <c r="Y913" s="232" t="s">
        <v>323</v>
      </c>
      <c r="Z913" s="232" t="s">
        <v>323</v>
      </c>
      <c r="AA913" s="232" t="s">
        <v>324</v>
      </c>
      <c r="AB913" s="236">
        <v>7.1999999999999995E-2</v>
      </c>
      <c r="AC913" s="235"/>
      <c r="AD913" s="234"/>
      <c r="AE913" s="234"/>
      <c r="AF913" s="232" t="s">
        <v>56</v>
      </c>
      <c r="AG913" s="232" t="s">
        <v>345</v>
      </c>
      <c r="AH913" s="234" t="s">
        <v>827</v>
      </c>
      <c r="AJ913" s="234">
        <v>13</v>
      </c>
      <c r="AK913" s="224"/>
      <c r="AL913" s="234">
        <v>0</v>
      </c>
      <c r="AM913" s="224"/>
      <c r="AN913" s="234">
        <v>0</v>
      </c>
      <c r="AO913" s="234">
        <v>6</v>
      </c>
      <c r="AP913" s="234">
        <v>6</v>
      </c>
      <c r="AQ913" s="234">
        <v>1</v>
      </c>
      <c r="AR913" s="234">
        <v>0</v>
      </c>
      <c r="AS913" s="234">
        <v>0</v>
      </c>
      <c r="AT913" s="234">
        <v>0</v>
      </c>
      <c r="AU913" s="234">
        <v>0</v>
      </c>
      <c r="AV913" s="234">
        <v>6</v>
      </c>
      <c r="AW913" s="234">
        <v>6</v>
      </c>
      <c r="AX913" s="234">
        <v>1</v>
      </c>
      <c r="AY913" s="234">
        <v>0</v>
      </c>
      <c r="AZ913" s="234">
        <v>0</v>
      </c>
      <c r="BA913" s="234">
        <v>0</v>
      </c>
      <c r="BB913" s="234">
        <v>0</v>
      </c>
      <c r="BC913" s="234">
        <v>0</v>
      </c>
      <c r="BD913" s="234">
        <v>0</v>
      </c>
      <c r="BE913" s="234">
        <v>0</v>
      </c>
      <c r="BF913" s="234">
        <v>0</v>
      </c>
      <c r="BG913" s="234">
        <v>0</v>
      </c>
      <c r="BH913" s="234">
        <v>0</v>
      </c>
      <c r="BI913" s="234">
        <v>0</v>
      </c>
      <c r="BJ913" s="234">
        <v>0</v>
      </c>
      <c r="BK913" s="234">
        <v>0</v>
      </c>
      <c r="BL913" s="234">
        <v>0</v>
      </c>
      <c r="BM913" s="234">
        <v>0</v>
      </c>
      <c r="BN913" s="234">
        <v>0</v>
      </c>
      <c r="BO913" s="234">
        <v>0</v>
      </c>
      <c r="BP913" s="234"/>
      <c r="BQ913" s="234" t="s">
        <v>318</v>
      </c>
      <c r="BR913" s="237" t="s">
        <v>151</v>
      </c>
      <c r="BS913" s="238">
        <v>10</v>
      </c>
      <c r="BX913" s="239">
        <f>M913/3</f>
        <v>4.333333333333333</v>
      </c>
      <c r="BY913" s="239">
        <f>M913/3</f>
        <v>4.333333333333333</v>
      </c>
      <c r="BZ913" s="239">
        <f>M913/3</f>
        <v>4.333333333333333</v>
      </c>
      <c r="CN913" s="238">
        <f t="shared" si="108"/>
        <v>8.6666666666666661</v>
      </c>
      <c r="CO913" s="238">
        <f t="shared" si="109"/>
        <v>13</v>
      </c>
    </row>
    <row r="914" spans="1:93" ht="13.95" customHeight="1" x14ac:dyDescent="0.2">
      <c r="A914" s="231">
        <v>3511</v>
      </c>
      <c r="B914" s="232" t="s">
        <v>848</v>
      </c>
      <c r="C914" s="232" t="s">
        <v>2495</v>
      </c>
      <c r="D914" s="232" t="s">
        <v>824</v>
      </c>
      <c r="E914" s="232" t="s">
        <v>2601</v>
      </c>
      <c r="F914" s="231">
        <v>529369</v>
      </c>
      <c r="G914" s="231">
        <v>177317</v>
      </c>
      <c r="H914" s="232" t="s">
        <v>168</v>
      </c>
      <c r="I914" s="233">
        <v>43800</v>
      </c>
      <c r="J914" s="231"/>
      <c r="K914" s="231">
        <v>0</v>
      </c>
      <c r="L914" s="231">
        <v>81</v>
      </c>
      <c r="M914" s="231">
        <v>81</v>
      </c>
      <c r="N914" s="231">
        <v>455</v>
      </c>
      <c r="O914" s="231">
        <v>455</v>
      </c>
      <c r="P914" s="234" t="s">
        <v>318</v>
      </c>
      <c r="Q914" s="232" t="s">
        <v>2497</v>
      </c>
      <c r="R914" s="234" t="s">
        <v>517</v>
      </c>
      <c r="S914" s="235">
        <v>43658</v>
      </c>
      <c r="T914" s="235">
        <v>43791</v>
      </c>
      <c r="U914" s="234"/>
      <c r="V914" s="232" t="s">
        <v>321</v>
      </c>
      <c r="W914" s="231"/>
      <c r="X914" s="232" t="s">
        <v>322</v>
      </c>
      <c r="Y914" s="232" t="s">
        <v>323</v>
      </c>
      <c r="Z914" s="232" t="s">
        <v>323</v>
      </c>
      <c r="AA914" s="232" t="s">
        <v>324</v>
      </c>
      <c r="AB914" s="236">
        <v>0.48799999999999999</v>
      </c>
      <c r="AC914" s="235">
        <v>43800</v>
      </c>
      <c r="AD914" s="234"/>
      <c r="AE914" s="234"/>
      <c r="AF914" s="232" t="s">
        <v>56</v>
      </c>
      <c r="AG914" s="232" t="s">
        <v>345</v>
      </c>
      <c r="AH914" s="234" t="s">
        <v>827</v>
      </c>
      <c r="AI914" s="250"/>
      <c r="AJ914" s="234">
        <v>0</v>
      </c>
      <c r="AK914" s="234">
        <v>65</v>
      </c>
      <c r="AL914" s="234">
        <v>0</v>
      </c>
      <c r="AM914" s="234">
        <v>16</v>
      </c>
      <c r="AN914" s="234">
        <v>0</v>
      </c>
      <c r="AO914" s="234">
        <v>37</v>
      </c>
      <c r="AP914" s="234">
        <v>36</v>
      </c>
      <c r="AQ914" s="234">
        <v>8</v>
      </c>
      <c r="AR914" s="234">
        <v>0</v>
      </c>
      <c r="AS914" s="234">
        <v>0</v>
      </c>
      <c r="AT914" s="234">
        <v>0</v>
      </c>
      <c r="AU914" s="234">
        <v>0</v>
      </c>
      <c r="AV914" s="234">
        <v>37</v>
      </c>
      <c r="AW914" s="234">
        <v>36</v>
      </c>
      <c r="AX914" s="234">
        <v>8</v>
      </c>
      <c r="AY914" s="234">
        <v>0</v>
      </c>
      <c r="AZ914" s="234">
        <v>0</v>
      </c>
      <c r="BA914" s="234">
        <v>0</v>
      </c>
      <c r="BB914" s="234">
        <v>0</v>
      </c>
      <c r="BC914" s="234">
        <v>0</v>
      </c>
      <c r="BD914" s="234">
        <v>0</v>
      </c>
      <c r="BE914" s="234">
        <v>0</v>
      </c>
      <c r="BF914" s="234">
        <v>0</v>
      </c>
      <c r="BG914" s="234">
        <v>0</v>
      </c>
      <c r="BH914" s="234">
        <v>0</v>
      </c>
      <c r="BI914" s="234">
        <v>0</v>
      </c>
      <c r="BJ914" s="234">
        <v>0</v>
      </c>
      <c r="BK914" s="234">
        <v>0</v>
      </c>
      <c r="BL914" s="234">
        <v>0</v>
      </c>
      <c r="BM914" s="234">
        <v>0</v>
      </c>
      <c r="BN914" s="234">
        <v>0</v>
      </c>
      <c r="BO914" s="234">
        <v>0</v>
      </c>
      <c r="BP914" s="234"/>
      <c r="BQ914" s="234" t="s">
        <v>318</v>
      </c>
      <c r="BR914" s="237" t="s">
        <v>151</v>
      </c>
      <c r="BS914" s="238">
        <v>5</v>
      </c>
      <c r="BW914" s="239">
        <f>M914</f>
        <v>81</v>
      </c>
      <c r="CN914" s="238">
        <f t="shared" si="108"/>
        <v>81</v>
      </c>
      <c r="CO914" s="238">
        <f t="shared" si="109"/>
        <v>81</v>
      </c>
    </row>
    <row r="915" spans="1:93" ht="13.95" customHeight="1" x14ac:dyDescent="0.2">
      <c r="A915" s="231">
        <v>3511</v>
      </c>
      <c r="B915" s="232" t="s">
        <v>848</v>
      </c>
      <c r="C915" s="232" t="s">
        <v>2495</v>
      </c>
      <c r="D915" s="232" t="s">
        <v>824</v>
      </c>
      <c r="E915" s="232" t="s">
        <v>2602</v>
      </c>
      <c r="F915" s="231">
        <v>529369</v>
      </c>
      <c r="G915" s="231">
        <v>177317</v>
      </c>
      <c r="H915" s="232" t="s">
        <v>168</v>
      </c>
      <c r="I915" s="233">
        <v>43800</v>
      </c>
      <c r="J915" s="231"/>
      <c r="K915" s="231">
        <v>0</v>
      </c>
      <c r="L915" s="231">
        <v>19</v>
      </c>
      <c r="M915" s="231">
        <v>19</v>
      </c>
      <c r="N915" s="231">
        <v>455</v>
      </c>
      <c r="O915" s="231">
        <v>455</v>
      </c>
      <c r="P915" s="234" t="s">
        <v>318</v>
      </c>
      <c r="Q915" s="232" t="s">
        <v>2497</v>
      </c>
      <c r="R915" s="234" t="s">
        <v>517</v>
      </c>
      <c r="S915" s="235">
        <v>43658</v>
      </c>
      <c r="T915" s="235">
        <v>43791</v>
      </c>
      <c r="U915" s="234"/>
      <c r="V915" s="232" t="s">
        <v>321</v>
      </c>
      <c r="W915" s="231"/>
      <c r="X915" s="232" t="s">
        <v>322</v>
      </c>
      <c r="Y915" s="232" t="s">
        <v>323</v>
      </c>
      <c r="Z915" s="232" t="s">
        <v>323</v>
      </c>
      <c r="AA915" s="232" t="s">
        <v>324</v>
      </c>
      <c r="AB915" s="236">
        <v>0.44</v>
      </c>
      <c r="AC915" s="235">
        <v>43800</v>
      </c>
      <c r="AD915" s="234"/>
      <c r="AE915" s="234"/>
      <c r="AF915" s="232" t="s">
        <v>77</v>
      </c>
      <c r="AG915" s="232" t="s">
        <v>350</v>
      </c>
      <c r="AH915" s="234" t="s">
        <v>827</v>
      </c>
      <c r="AI915" s="250"/>
      <c r="AJ915" s="234">
        <v>0</v>
      </c>
      <c r="AK915" s="234">
        <v>13</v>
      </c>
      <c r="AL915" s="234">
        <v>0</v>
      </c>
      <c r="AM915" s="234">
        <v>6</v>
      </c>
      <c r="AN915" s="234">
        <v>1</v>
      </c>
      <c r="AO915" s="234">
        <v>1</v>
      </c>
      <c r="AP915" s="234">
        <v>0</v>
      </c>
      <c r="AQ915" s="234">
        <v>17</v>
      </c>
      <c r="AR915" s="234">
        <v>0</v>
      </c>
      <c r="AS915" s="234">
        <v>0</v>
      </c>
      <c r="AT915" s="234">
        <v>0</v>
      </c>
      <c r="AU915" s="234">
        <v>1</v>
      </c>
      <c r="AV915" s="234">
        <v>1</v>
      </c>
      <c r="AW915" s="234">
        <v>0</v>
      </c>
      <c r="AX915" s="234">
        <v>17</v>
      </c>
      <c r="AY915" s="234">
        <v>0</v>
      </c>
      <c r="AZ915" s="234">
        <v>0</v>
      </c>
      <c r="BA915" s="234">
        <v>0</v>
      </c>
      <c r="BB915" s="234">
        <v>0</v>
      </c>
      <c r="BC915" s="234">
        <v>0</v>
      </c>
      <c r="BD915" s="234">
        <v>0</v>
      </c>
      <c r="BE915" s="234">
        <v>0</v>
      </c>
      <c r="BF915" s="234">
        <v>0</v>
      </c>
      <c r="BG915" s="234">
        <v>0</v>
      </c>
      <c r="BH915" s="234">
        <v>0</v>
      </c>
      <c r="BI915" s="234">
        <v>0</v>
      </c>
      <c r="BJ915" s="234">
        <v>0</v>
      </c>
      <c r="BK915" s="234">
        <v>0</v>
      </c>
      <c r="BL915" s="234">
        <v>0</v>
      </c>
      <c r="BM915" s="234">
        <v>0</v>
      </c>
      <c r="BN915" s="234">
        <v>0</v>
      </c>
      <c r="BO915" s="234">
        <v>0</v>
      </c>
      <c r="BP915" s="234"/>
      <c r="BQ915" s="234" t="s">
        <v>318</v>
      </c>
      <c r="BR915" s="237" t="s">
        <v>151</v>
      </c>
      <c r="BS915" s="238">
        <v>5</v>
      </c>
      <c r="BW915" s="239">
        <f>M915</f>
        <v>19</v>
      </c>
      <c r="CN915" s="238">
        <f t="shared" si="108"/>
        <v>19</v>
      </c>
      <c r="CO915" s="238">
        <f t="shared" si="109"/>
        <v>19</v>
      </c>
    </row>
    <row r="916" spans="1:93" ht="13.95" customHeight="1" x14ac:dyDescent="0.2">
      <c r="A916" s="231">
        <v>3511</v>
      </c>
      <c r="B916" s="232" t="s">
        <v>848</v>
      </c>
      <c r="C916" s="232" t="s">
        <v>2495</v>
      </c>
      <c r="D916" s="232" t="s">
        <v>824</v>
      </c>
      <c r="E916" s="232" t="s">
        <v>2603</v>
      </c>
      <c r="F916" s="231">
        <v>529369</v>
      </c>
      <c r="G916" s="231">
        <v>177317</v>
      </c>
      <c r="H916" s="232" t="s">
        <v>168</v>
      </c>
      <c r="I916" s="233">
        <v>43800</v>
      </c>
      <c r="J916" s="231"/>
      <c r="K916" s="231">
        <v>0</v>
      </c>
      <c r="L916" s="231">
        <v>41</v>
      </c>
      <c r="M916" s="231">
        <v>41</v>
      </c>
      <c r="N916" s="231">
        <v>455</v>
      </c>
      <c r="O916" s="231">
        <v>455</v>
      </c>
      <c r="P916" s="234" t="s">
        <v>318</v>
      </c>
      <c r="Q916" s="232" t="s">
        <v>2497</v>
      </c>
      <c r="R916" s="234" t="s">
        <v>517</v>
      </c>
      <c r="S916" s="235">
        <v>43658</v>
      </c>
      <c r="T916" s="235">
        <v>43791</v>
      </c>
      <c r="U916" s="234"/>
      <c r="V916" s="232" t="s">
        <v>321</v>
      </c>
      <c r="W916" s="231"/>
      <c r="X916" s="232" t="s">
        <v>322</v>
      </c>
      <c r="Y916" s="232" t="s">
        <v>323</v>
      </c>
      <c r="Z916" s="232" t="s">
        <v>323</v>
      </c>
      <c r="AA916" s="232" t="s">
        <v>324</v>
      </c>
      <c r="AB916" s="236">
        <v>0.50600000000000001</v>
      </c>
      <c r="AC916" s="235">
        <v>43800</v>
      </c>
      <c r="AD916" s="234"/>
      <c r="AE916" s="234"/>
      <c r="AF916" s="232" t="s">
        <v>77</v>
      </c>
      <c r="AG916" s="232" t="s">
        <v>350</v>
      </c>
      <c r="AH916" s="234" t="s">
        <v>827</v>
      </c>
      <c r="AI916" s="250"/>
      <c r="AJ916" s="234">
        <v>0</v>
      </c>
      <c r="AK916" s="234">
        <v>37</v>
      </c>
      <c r="AL916" s="234">
        <v>0</v>
      </c>
      <c r="AM916" s="234">
        <v>4</v>
      </c>
      <c r="AN916" s="234">
        <v>2</v>
      </c>
      <c r="AO916" s="234">
        <v>2</v>
      </c>
      <c r="AP916" s="234">
        <v>10</v>
      </c>
      <c r="AQ916" s="234">
        <v>25</v>
      </c>
      <c r="AR916" s="234">
        <v>2</v>
      </c>
      <c r="AS916" s="234">
        <v>0</v>
      </c>
      <c r="AT916" s="234">
        <v>0</v>
      </c>
      <c r="AU916" s="234">
        <v>2</v>
      </c>
      <c r="AV916" s="234">
        <v>2</v>
      </c>
      <c r="AW916" s="234">
        <v>10</v>
      </c>
      <c r="AX916" s="234">
        <v>25</v>
      </c>
      <c r="AY916" s="234">
        <v>2</v>
      </c>
      <c r="AZ916" s="234">
        <v>0</v>
      </c>
      <c r="BA916" s="234">
        <v>0</v>
      </c>
      <c r="BB916" s="234">
        <v>0</v>
      </c>
      <c r="BC916" s="234">
        <v>0</v>
      </c>
      <c r="BD916" s="234">
        <v>0</v>
      </c>
      <c r="BE916" s="234">
        <v>0</v>
      </c>
      <c r="BF916" s="234">
        <v>0</v>
      </c>
      <c r="BG916" s="234">
        <v>0</v>
      </c>
      <c r="BH916" s="234">
        <v>0</v>
      </c>
      <c r="BI916" s="234">
        <v>0</v>
      </c>
      <c r="BJ916" s="234">
        <v>0</v>
      </c>
      <c r="BK916" s="234">
        <v>0</v>
      </c>
      <c r="BL916" s="234">
        <v>0</v>
      </c>
      <c r="BM916" s="234">
        <v>0</v>
      </c>
      <c r="BN916" s="234">
        <v>0</v>
      </c>
      <c r="BO916" s="234">
        <v>0</v>
      </c>
      <c r="BP916" s="234"/>
      <c r="BQ916" s="234" t="s">
        <v>318</v>
      </c>
      <c r="BR916" s="237" t="s">
        <v>151</v>
      </c>
      <c r="BS916" s="238">
        <v>5</v>
      </c>
      <c r="BW916" s="239">
        <f>M916</f>
        <v>41</v>
      </c>
      <c r="CN916" s="238">
        <f t="shared" si="108"/>
        <v>41</v>
      </c>
      <c r="CO916" s="238">
        <f t="shared" si="109"/>
        <v>41</v>
      </c>
    </row>
    <row r="917" spans="1:93" ht="13.95" customHeight="1" x14ac:dyDescent="0.2">
      <c r="A917" s="231">
        <v>3511</v>
      </c>
      <c r="B917" s="232" t="s">
        <v>848</v>
      </c>
      <c r="C917" s="232" t="s">
        <v>2495</v>
      </c>
      <c r="D917" s="232" t="s">
        <v>824</v>
      </c>
      <c r="E917" s="232" t="s">
        <v>2604</v>
      </c>
      <c r="F917" s="231">
        <v>529369</v>
      </c>
      <c r="G917" s="231">
        <v>177317</v>
      </c>
      <c r="H917" s="232" t="s">
        <v>168</v>
      </c>
      <c r="I917" s="233">
        <v>43800</v>
      </c>
      <c r="J917" s="231"/>
      <c r="K917" s="231">
        <v>0</v>
      </c>
      <c r="L917" s="231">
        <v>59</v>
      </c>
      <c r="M917" s="231">
        <v>59</v>
      </c>
      <c r="N917" s="231">
        <v>455</v>
      </c>
      <c r="O917" s="231">
        <v>455</v>
      </c>
      <c r="P917" s="234" t="s">
        <v>318</v>
      </c>
      <c r="Q917" s="232" t="s">
        <v>2497</v>
      </c>
      <c r="R917" s="234" t="s">
        <v>517</v>
      </c>
      <c r="S917" s="235">
        <v>43658</v>
      </c>
      <c r="T917" s="235">
        <v>43791</v>
      </c>
      <c r="U917" s="234"/>
      <c r="V917" s="232" t="s">
        <v>321</v>
      </c>
      <c r="W917" s="231"/>
      <c r="X917" s="232" t="s">
        <v>322</v>
      </c>
      <c r="Y917" s="232" t="s">
        <v>323</v>
      </c>
      <c r="Z917" s="232" t="s">
        <v>323</v>
      </c>
      <c r="AA917" s="232" t="s">
        <v>324</v>
      </c>
      <c r="AB917" s="236">
        <v>0.48799999999999999</v>
      </c>
      <c r="AC917" s="235">
        <v>44287</v>
      </c>
      <c r="AD917" s="234"/>
      <c r="AE917" s="234"/>
      <c r="AF917" s="232" t="s">
        <v>77</v>
      </c>
      <c r="AG917" s="232" t="s">
        <v>350</v>
      </c>
      <c r="AH917" s="234" t="s">
        <v>827</v>
      </c>
      <c r="AI917" s="250"/>
      <c r="AJ917" s="234">
        <v>0</v>
      </c>
      <c r="AK917" s="234">
        <v>47</v>
      </c>
      <c r="AL917" s="234">
        <v>0</v>
      </c>
      <c r="AM917" s="234">
        <v>12</v>
      </c>
      <c r="AN917" s="234">
        <v>0</v>
      </c>
      <c r="AO917" s="234">
        <v>0</v>
      </c>
      <c r="AP917" s="234">
        <v>33</v>
      </c>
      <c r="AQ917" s="234">
        <v>25</v>
      </c>
      <c r="AR917" s="234">
        <v>1</v>
      </c>
      <c r="AS917" s="234">
        <v>0</v>
      </c>
      <c r="AT917" s="234">
        <v>0</v>
      </c>
      <c r="AU917" s="234">
        <v>0</v>
      </c>
      <c r="AV917" s="234">
        <v>0</v>
      </c>
      <c r="AW917" s="234">
        <v>33</v>
      </c>
      <c r="AX917" s="234">
        <v>25</v>
      </c>
      <c r="AY917" s="234">
        <v>1</v>
      </c>
      <c r="AZ917" s="234">
        <v>0</v>
      </c>
      <c r="BA917" s="234">
        <v>0</v>
      </c>
      <c r="BB917" s="234">
        <v>0</v>
      </c>
      <c r="BC917" s="234">
        <v>0</v>
      </c>
      <c r="BD917" s="234">
        <v>0</v>
      </c>
      <c r="BE917" s="234">
        <v>0</v>
      </c>
      <c r="BF917" s="234">
        <v>0</v>
      </c>
      <c r="BG917" s="234">
        <v>0</v>
      </c>
      <c r="BH917" s="234">
        <v>0</v>
      </c>
      <c r="BI917" s="234">
        <v>0</v>
      </c>
      <c r="BJ917" s="234">
        <v>0</v>
      </c>
      <c r="BK917" s="234">
        <v>0</v>
      </c>
      <c r="BL917" s="234">
        <v>0</v>
      </c>
      <c r="BM917" s="234">
        <v>0</v>
      </c>
      <c r="BN917" s="234">
        <v>0</v>
      </c>
      <c r="BO917" s="234">
        <v>0</v>
      </c>
      <c r="BP917" s="234"/>
      <c r="BQ917" s="234" t="s">
        <v>318</v>
      </c>
      <c r="BR917" s="237" t="s">
        <v>151</v>
      </c>
      <c r="BS917" s="238">
        <v>5</v>
      </c>
      <c r="BW917" s="239">
        <f>M917</f>
        <v>59</v>
      </c>
      <c r="CN917" s="238">
        <f t="shared" si="108"/>
        <v>59</v>
      </c>
      <c r="CO917" s="238">
        <f t="shared" si="109"/>
        <v>59</v>
      </c>
    </row>
    <row r="918" spans="1:93" ht="13.95" customHeight="1" x14ac:dyDescent="0.2">
      <c r="A918" s="231">
        <v>3511</v>
      </c>
      <c r="B918" s="232" t="s">
        <v>848</v>
      </c>
      <c r="C918" s="232" t="s">
        <v>2495</v>
      </c>
      <c r="D918" s="232" t="s">
        <v>824</v>
      </c>
      <c r="E918" s="232" t="s">
        <v>2605</v>
      </c>
      <c r="F918" s="231">
        <v>529369</v>
      </c>
      <c r="G918" s="231">
        <v>177317</v>
      </c>
      <c r="H918" s="232" t="s">
        <v>168</v>
      </c>
      <c r="I918" s="233">
        <v>43800</v>
      </c>
      <c r="J918" s="231"/>
      <c r="K918" s="231">
        <v>0</v>
      </c>
      <c r="L918" s="231">
        <v>60</v>
      </c>
      <c r="M918" s="231">
        <v>60</v>
      </c>
      <c r="N918" s="231">
        <v>455</v>
      </c>
      <c r="O918" s="231">
        <v>455</v>
      </c>
      <c r="P918" s="234" t="s">
        <v>318</v>
      </c>
      <c r="Q918" s="232" t="s">
        <v>2497</v>
      </c>
      <c r="R918" s="234" t="s">
        <v>517</v>
      </c>
      <c r="S918" s="235">
        <v>43658</v>
      </c>
      <c r="T918" s="235">
        <v>43791</v>
      </c>
      <c r="U918" s="234"/>
      <c r="V918" s="232" t="s">
        <v>321</v>
      </c>
      <c r="W918" s="231"/>
      <c r="X918" s="232" t="s">
        <v>322</v>
      </c>
      <c r="Y918" s="232" t="s">
        <v>323</v>
      </c>
      <c r="Z918" s="232" t="s">
        <v>323</v>
      </c>
      <c r="AA918" s="232" t="s">
        <v>324</v>
      </c>
      <c r="AB918" s="236">
        <v>0.69899999999999995</v>
      </c>
      <c r="AC918" s="235">
        <v>44287</v>
      </c>
      <c r="AD918" s="234"/>
      <c r="AE918" s="234"/>
      <c r="AF918" s="232" t="s">
        <v>77</v>
      </c>
      <c r="AG918" s="232" t="s">
        <v>350</v>
      </c>
      <c r="AH918" s="234" t="s">
        <v>827</v>
      </c>
      <c r="AI918" s="250"/>
      <c r="AJ918" s="234">
        <v>0</v>
      </c>
      <c r="AK918" s="234">
        <v>54</v>
      </c>
      <c r="AL918" s="234">
        <v>0</v>
      </c>
      <c r="AM918" s="234">
        <v>6</v>
      </c>
      <c r="AN918" s="234">
        <v>0</v>
      </c>
      <c r="AO918" s="234">
        <v>12</v>
      </c>
      <c r="AP918" s="234">
        <v>22</v>
      </c>
      <c r="AQ918" s="234">
        <v>25</v>
      </c>
      <c r="AR918" s="234">
        <v>1</v>
      </c>
      <c r="AS918" s="234">
        <v>0</v>
      </c>
      <c r="AT918" s="234">
        <v>0</v>
      </c>
      <c r="AU918" s="234">
        <v>0</v>
      </c>
      <c r="AV918" s="234">
        <v>12</v>
      </c>
      <c r="AW918" s="234">
        <v>22</v>
      </c>
      <c r="AX918" s="234">
        <v>25</v>
      </c>
      <c r="AY918" s="234">
        <v>1</v>
      </c>
      <c r="AZ918" s="234">
        <v>0</v>
      </c>
      <c r="BA918" s="234">
        <v>0</v>
      </c>
      <c r="BB918" s="234">
        <v>0</v>
      </c>
      <c r="BC918" s="234">
        <v>0</v>
      </c>
      <c r="BD918" s="234">
        <v>0</v>
      </c>
      <c r="BE918" s="234">
        <v>0</v>
      </c>
      <c r="BF918" s="234">
        <v>0</v>
      </c>
      <c r="BG918" s="234">
        <v>0</v>
      </c>
      <c r="BH918" s="234">
        <v>0</v>
      </c>
      <c r="BI918" s="234">
        <v>0</v>
      </c>
      <c r="BJ918" s="234">
        <v>0</v>
      </c>
      <c r="BK918" s="234">
        <v>0</v>
      </c>
      <c r="BL918" s="234">
        <v>0</v>
      </c>
      <c r="BM918" s="234">
        <v>0</v>
      </c>
      <c r="BN918" s="234">
        <v>0</v>
      </c>
      <c r="BO918" s="234">
        <v>0</v>
      </c>
      <c r="BP918" s="234"/>
      <c r="BQ918" s="234" t="s">
        <v>318</v>
      </c>
      <c r="BR918" s="237" t="s">
        <v>151</v>
      </c>
      <c r="BS918" s="238">
        <v>5</v>
      </c>
      <c r="BW918" s="239">
        <f>M918</f>
        <v>60</v>
      </c>
      <c r="CN918" s="238">
        <f t="shared" si="108"/>
        <v>60</v>
      </c>
      <c r="CO918" s="238">
        <f t="shared" si="109"/>
        <v>60</v>
      </c>
    </row>
    <row r="919" spans="1:93" ht="13.95" customHeight="1" x14ac:dyDescent="0.2">
      <c r="A919" s="231">
        <v>3511</v>
      </c>
      <c r="B919" s="232" t="s">
        <v>848</v>
      </c>
      <c r="C919" s="232" t="s">
        <v>2606</v>
      </c>
      <c r="D919" s="232" t="s">
        <v>824</v>
      </c>
      <c r="E919" s="232" t="s">
        <v>2607</v>
      </c>
      <c r="F919" s="231">
        <v>529369</v>
      </c>
      <c r="G919" s="231">
        <v>177317</v>
      </c>
      <c r="H919" s="232" t="s">
        <v>168</v>
      </c>
      <c r="I919" s="233">
        <v>43800</v>
      </c>
      <c r="J919" s="231"/>
      <c r="K919" s="231">
        <v>0</v>
      </c>
      <c r="L919" s="231">
        <v>17</v>
      </c>
      <c r="M919" s="231">
        <v>17</v>
      </c>
      <c r="N919" s="231">
        <v>17</v>
      </c>
      <c r="O919" s="231">
        <v>17</v>
      </c>
      <c r="P919" s="234" t="s">
        <v>318</v>
      </c>
      <c r="Q919" s="232" t="s">
        <v>2608</v>
      </c>
      <c r="R919" s="234" t="s">
        <v>469</v>
      </c>
      <c r="S919" s="235">
        <v>44239</v>
      </c>
      <c r="T919" s="235">
        <v>44328</v>
      </c>
      <c r="U919" s="234"/>
      <c r="V919" s="232" t="s">
        <v>321</v>
      </c>
      <c r="W919" s="231"/>
      <c r="X919" s="232" t="s">
        <v>322</v>
      </c>
      <c r="Y919" s="232" t="s">
        <v>323</v>
      </c>
      <c r="Z919" s="232" t="s">
        <v>323</v>
      </c>
      <c r="AA919" s="232" t="s">
        <v>324</v>
      </c>
      <c r="AB919" s="236">
        <v>0.72299999999999998</v>
      </c>
      <c r="AC919" s="235">
        <v>43800</v>
      </c>
      <c r="AD919" s="234"/>
      <c r="AE919" s="234"/>
      <c r="AF919" s="232" t="s">
        <v>77</v>
      </c>
      <c r="AG919" s="232" t="s">
        <v>350</v>
      </c>
      <c r="AH919" s="234" t="s">
        <v>827</v>
      </c>
      <c r="AI919" s="250"/>
      <c r="AJ919" s="234">
        <v>0</v>
      </c>
      <c r="AK919" s="224"/>
      <c r="AL919" s="234">
        <v>0</v>
      </c>
      <c r="AM919" s="224"/>
      <c r="AN919" s="234">
        <v>0</v>
      </c>
      <c r="AO919" s="234">
        <v>0</v>
      </c>
      <c r="AP919" s="234">
        <v>0</v>
      </c>
      <c r="AQ919" s="234">
        <v>0</v>
      </c>
      <c r="AR919" s="234">
        <v>17</v>
      </c>
      <c r="AS919" s="234">
        <v>0</v>
      </c>
      <c r="AT919" s="234">
        <v>0</v>
      </c>
      <c r="AU919" s="234">
        <v>0</v>
      </c>
      <c r="AV919" s="234">
        <v>0</v>
      </c>
      <c r="AW919" s="234">
        <v>0</v>
      </c>
      <c r="AX919" s="234">
        <v>0</v>
      </c>
      <c r="AY919" s="234">
        <v>17</v>
      </c>
      <c r="AZ919" s="234">
        <v>0</v>
      </c>
      <c r="BA919" s="234">
        <v>0</v>
      </c>
      <c r="BB919" s="234">
        <v>0</v>
      </c>
      <c r="BC919" s="234">
        <v>0</v>
      </c>
      <c r="BD919" s="234">
        <v>0</v>
      </c>
      <c r="BE919" s="234">
        <v>0</v>
      </c>
      <c r="BF919" s="234">
        <v>0</v>
      </c>
      <c r="BG919" s="234">
        <v>0</v>
      </c>
      <c r="BH919" s="234">
        <v>0</v>
      </c>
      <c r="BI919" s="234">
        <v>0</v>
      </c>
      <c r="BJ919" s="234">
        <v>0</v>
      </c>
      <c r="BK919" s="234">
        <v>0</v>
      </c>
      <c r="BL919" s="234">
        <v>0</v>
      </c>
      <c r="BM919" s="234">
        <v>0</v>
      </c>
      <c r="BN919" s="234">
        <v>0</v>
      </c>
      <c r="BO919" s="234">
        <v>0</v>
      </c>
      <c r="BP919" s="234"/>
      <c r="BQ919" s="234" t="s">
        <v>318</v>
      </c>
      <c r="BR919" s="237" t="s">
        <v>151</v>
      </c>
      <c r="BS919" s="238">
        <v>5</v>
      </c>
      <c r="BU919" s="239">
        <v>17</v>
      </c>
      <c r="CN919" s="238">
        <f t="shared" si="108"/>
        <v>17</v>
      </c>
      <c r="CO919" s="238">
        <f t="shared" si="109"/>
        <v>17</v>
      </c>
    </row>
    <row r="920" spans="1:93" ht="13.95" customHeight="1" x14ac:dyDescent="0.2">
      <c r="A920" s="231">
        <v>3511</v>
      </c>
      <c r="B920" s="232" t="s">
        <v>314</v>
      </c>
      <c r="C920" s="232" t="s">
        <v>2609</v>
      </c>
      <c r="D920" s="232" t="s">
        <v>824</v>
      </c>
      <c r="E920" s="232" t="s">
        <v>2610</v>
      </c>
      <c r="F920" s="231">
        <v>529369</v>
      </c>
      <c r="G920" s="231">
        <v>177317</v>
      </c>
      <c r="H920" s="232" t="s">
        <v>168</v>
      </c>
      <c r="I920" s="233">
        <v>43613</v>
      </c>
      <c r="J920" s="233">
        <v>45016</v>
      </c>
      <c r="K920" s="231">
        <v>0</v>
      </c>
      <c r="L920" s="231">
        <v>299</v>
      </c>
      <c r="M920" s="231">
        <v>299</v>
      </c>
      <c r="N920" s="231">
        <v>299</v>
      </c>
      <c r="O920" s="231">
        <v>299</v>
      </c>
      <c r="P920" s="234" t="s">
        <v>318</v>
      </c>
      <c r="Q920" s="232" t="s">
        <v>2611</v>
      </c>
      <c r="R920" s="234" t="s">
        <v>469</v>
      </c>
      <c r="S920" s="235">
        <v>44522</v>
      </c>
      <c r="T920" s="235">
        <v>44657</v>
      </c>
      <c r="U920" s="234" t="s">
        <v>318</v>
      </c>
      <c r="V920" s="232" t="s">
        <v>321</v>
      </c>
      <c r="W920" s="231"/>
      <c r="X920" s="232" t="s">
        <v>322</v>
      </c>
      <c r="Y920" s="232" t="s">
        <v>323</v>
      </c>
      <c r="Z920" s="232" t="s">
        <v>323</v>
      </c>
      <c r="AA920" s="232" t="s">
        <v>324</v>
      </c>
      <c r="AB920" s="236">
        <v>2.0390000000000001</v>
      </c>
      <c r="AC920" s="235">
        <v>43613</v>
      </c>
      <c r="AD920" s="234"/>
      <c r="AE920" s="235">
        <v>45016</v>
      </c>
      <c r="AF920" s="232" t="s">
        <v>77</v>
      </c>
      <c r="AG920" s="232" t="s">
        <v>350</v>
      </c>
      <c r="AH920" s="234" t="s">
        <v>827</v>
      </c>
      <c r="AI920" s="250"/>
      <c r="AJ920" s="234">
        <v>299</v>
      </c>
      <c r="AK920" s="224"/>
      <c r="AL920" s="234">
        <v>32</v>
      </c>
      <c r="AM920" s="224"/>
      <c r="AN920" s="234">
        <v>0</v>
      </c>
      <c r="AO920" s="234">
        <v>67</v>
      </c>
      <c r="AP920" s="234">
        <v>100</v>
      </c>
      <c r="AQ920" s="234">
        <v>109</v>
      </c>
      <c r="AR920" s="234">
        <v>19</v>
      </c>
      <c r="AS920" s="234">
        <v>4</v>
      </c>
      <c r="AT920" s="234">
        <v>0</v>
      </c>
      <c r="AU920" s="234">
        <v>0</v>
      </c>
      <c r="AV920" s="234">
        <v>67</v>
      </c>
      <c r="AW920" s="234">
        <v>100</v>
      </c>
      <c r="AX920" s="234">
        <v>109</v>
      </c>
      <c r="AY920" s="234">
        <v>19</v>
      </c>
      <c r="AZ920" s="234">
        <v>4</v>
      </c>
      <c r="BA920" s="234">
        <v>0</v>
      </c>
      <c r="BB920" s="234">
        <v>0</v>
      </c>
      <c r="BC920" s="234">
        <v>0</v>
      </c>
      <c r="BD920" s="234">
        <v>0</v>
      </c>
      <c r="BE920" s="234">
        <v>0</v>
      </c>
      <c r="BF920" s="234">
        <v>0</v>
      </c>
      <c r="BG920" s="234">
        <v>0</v>
      </c>
      <c r="BH920" s="234">
        <v>0</v>
      </c>
      <c r="BI920" s="234">
        <v>0</v>
      </c>
      <c r="BJ920" s="234">
        <v>0</v>
      </c>
      <c r="BK920" s="234">
        <v>0</v>
      </c>
      <c r="BL920" s="234">
        <v>0</v>
      </c>
      <c r="BM920" s="234">
        <v>0</v>
      </c>
      <c r="BN920" s="234">
        <v>0</v>
      </c>
      <c r="BO920" s="234">
        <v>0</v>
      </c>
      <c r="BP920" s="234"/>
      <c r="BQ920" s="234" t="s">
        <v>318</v>
      </c>
      <c r="BR920" s="237" t="s">
        <v>151</v>
      </c>
      <c r="BS920" s="238">
        <v>1</v>
      </c>
      <c r="BT920" s="239">
        <f>M920</f>
        <v>299</v>
      </c>
      <c r="CN920" s="238">
        <f t="shared" si="108"/>
        <v>0</v>
      </c>
      <c r="CO920" s="238">
        <f t="shared" si="109"/>
        <v>0</v>
      </c>
    </row>
    <row r="921" spans="1:93" ht="13.95" customHeight="1" x14ac:dyDescent="0.2">
      <c r="A921" s="231">
        <v>7304</v>
      </c>
      <c r="B921" s="232" t="s">
        <v>822</v>
      </c>
      <c r="C921" s="232" t="s">
        <v>2513</v>
      </c>
      <c r="D921" s="232" t="s">
        <v>2514</v>
      </c>
      <c r="E921" s="232" t="s">
        <v>1374</v>
      </c>
      <c r="F921" s="231">
        <v>522152</v>
      </c>
      <c r="G921" s="231">
        <v>173834</v>
      </c>
      <c r="H921" s="232" t="s">
        <v>170</v>
      </c>
      <c r="I921" s="233"/>
      <c r="J921" s="231"/>
      <c r="K921" s="231">
        <v>158</v>
      </c>
      <c r="L921" s="231">
        <v>0</v>
      </c>
      <c r="M921" s="231">
        <v>-158</v>
      </c>
      <c r="N921" s="231">
        <v>1068</v>
      </c>
      <c r="O921" s="231">
        <v>780</v>
      </c>
      <c r="P921" s="234" t="s">
        <v>318</v>
      </c>
      <c r="Q921" s="232" t="s">
        <v>2516</v>
      </c>
      <c r="R921" s="234" t="s">
        <v>320</v>
      </c>
      <c r="S921" s="235">
        <v>43623</v>
      </c>
      <c r="T921" s="235">
        <v>44643</v>
      </c>
      <c r="U921" s="234"/>
      <c r="V921" s="232" t="s">
        <v>321</v>
      </c>
      <c r="W921" s="231"/>
      <c r="X921" s="232" t="s">
        <v>322</v>
      </c>
      <c r="Y921" s="232" t="s">
        <v>323</v>
      </c>
      <c r="Z921" s="232" t="s">
        <v>323</v>
      </c>
      <c r="AA921" s="232" t="s">
        <v>324</v>
      </c>
      <c r="AB921" s="236">
        <v>0</v>
      </c>
      <c r="AC921" s="235"/>
      <c r="AD921" s="234"/>
      <c r="AE921" s="234"/>
      <c r="AF921" s="232" t="s">
        <v>57</v>
      </c>
      <c r="AG921" s="232" t="s">
        <v>898</v>
      </c>
      <c r="AH921" s="234" t="s">
        <v>2517</v>
      </c>
      <c r="AJ921" s="234">
        <v>0</v>
      </c>
      <c r="AK921" s="224"/>
      <c r="AL921" s="234">
        <v>0</v>
      </c>
      <c r="AM921" s="224"/>
      <c r="AN921" s="234">
        <v>0</v>
      </c>
      <c r="AO921" s="234">
        <v>-20</v>
      </c>
      <c r="AP921" s="234">
        <v>-34</v>
      </c>
      <c r="AQ921" s="234">
        <v>-103</v>
      </c>
      <c r="AR921" s="234">
        <v>0</v>
      </c>
      <c r="AS921" s="234">
        <v>-1</v>
      </c>
      <c r="AT921" s="234">
        <v>0</v>
      </c>
      <c r="AU921" s="234">
        <v>0</v>
      </c>
      <c r="AV921" s="234">
        <v>-20</v>
      </c>
      <c r="AW921" s="234">
        <v>-34</v>
      </c>
      <c r="AX921" s="234">
        <v>-103</v>
      </c>
      <c r="AY921" s="234">
        <v>0</v>
      </c>
      <c r="AZ921" s="234">
        <v>-1</v>
      </c>
      <c r="BA921" s="234">
        <v>0</v>
      </c>
      <c r="BB921" s="234">
        <v>0</v>
      </c>
      <c r="BC921" s="234">
        <v>0</v>
      </c>
      <c r="BD921" s="234">
        <v>0</v>
      </c>
      <c r="BE921" s="234">
        <v>0</v>
      </c>
      <c r="BF921" s="234">
        <v>0</v>
      </c>
      <c r="BG921" s="234">
        <v>0</v>
      </c>
      <c r="BH921" s="234">
        <v>0</v>
      </c>
      <c r="BI921" s="234">
        <v>0</v>
      </c>
      <c r="BJ921" s="234">
        <v>0</v>
      </c>
      <c r="BK921" s="234">
        <v>0</v>
      </c>
      <c r="BL921" s="234">
        <v>0</v>
      </c>
      <c r="BM921" s="234">
        <v>0</v>
      </c>
      <c r="BN921" s="234">
        <v>0</v>
      </c>
      <c r="BO921" s="234">
        <v>0</v>
      </c>
      <c r="BP921" s="234"/>
      <c r="BQ921" s="234"/>
      <c r="BR921" s="237" t="s">
        <v>153</v>
      </c>
      <c r="BS921" s="238">
        <v>10</v>
      </c>
      <c r="BX921" s="239">
        <f>M921/3</f>
        <v>-52.666666666666664</v>
      </c>
      <c r="BY921" s="239">
        <f>M921/3</f>
        <v>-52.666666666666664</v>
      </c>
      <c r="BZ921" s="239">
        <f>M921/3</f>
        <v>-52.666666666666664</v>
      </c>
      <c r="CN921" s="238">
        <f t="shared" si="108"/>
        <v>-105.33333333333333</v>
      </c>
      <c r="CO921" s="238">
        <f t="shared" si="109"/>
        <v>-158</v>
      </c>
    </row>
    <row r="922" spans="1:93" ht="13.95" customHeight="1" x14ac:dyDescent="0.2">
      <c r="A922" s="231">
        <v>7304</v>
      </c>
      <c r="B922" s="232" t="s">
        <v>822</v>
      </c>
      <c r="C922" s="232" t="s">
        <v>2513</v>
      </c>
      <c r="D922" s="232" t="s">
        <v>2514</v>
      </c>
      <c r="E922" s="232" t="s">
        <v>1374</v>
      </c>
      <c r="F922" s="231">
        <v>522152</v>
      </c>
      <c r="G922" s="231">
        <v>173834</v>
      </c>
      <c r="H922" s="232" t="s">
        <v>170</v>
      </c>
      <c r="I922" s="233"/>
      <c r="J922" s="231"/>
      <c r="K922" s="231">
        <v>130</v>
      </c>
      <c r="L922" s="231">
        <v>0</v>
      </c>
      <c r="M922" s="231">
        <v>-130</v>
      </c>
      <c r="N922" s="231">
        <v>1068</v>
      </c>
      <c r="O922" s="231">
        <v>780</v>
      </c>
      <c r="P922" s="234" t="s">
        <v>318</v>
      </c>
      <c r="Q922" s="232" t="s">
        <v>2516</v>
      </c>
      <c r="R922" s="234" t="s">
        <v>320</v>
      </c>
      <c r="S922" s="235">
        <v>43623</v>
      </c>
      <c r="T922" s="235">
        <v>44643</v>
      </c>
      <c r="U922" s="234"/>
      <c r="V922" s="232" t="s">
        <v>321</v>
      </c>
      <c r="W922" s="231"/>
      <c r="X922" s="232" t="s">
        <v>322</v>
      </c>
      <c r="Y922" s="232" t="s">
        <v>323</v>
      </c>
      <c r="Z922" s="232" t="s">
        <v>323</v>
      </c>
      <c r="AA922" s="232" t="s">
        <v>324</v>
      </c>
      <c r="AB922" s="236">
        <v>0</v>
      </c>
      <c r="AC922" s="235"/>
      <c r="AD922" s="234"/>
      <c r="AE922" s="234"/>
      <c r="AF922" s="232" t="s">
        <v>77</v>
      </c>
      <c r="AG922" s="232" t="s">
        <v>350</v>
      </c>
      <c r="AH922" s="234" t="s">
        <v>2517</v>
      </c>
      <c r="AJ922" s="234">
        <v>0</v>
      </c>
      <c r="AK922" s="224"/>
      <c r="AL922" s="234">
        <v>0</v>
      </c>
      <c r="AM922" s="224"/>
      <c r="AN922" s="234">
        <v>0</v>
      </c>
      <c r="AO922" s="234">
        <v>-4</v>
      </c>
      <c r="AP922" s="234">
        <v>-8</v>
      </c>
      <c r="AQ922" s="234">
        <v>-118</v>
      </c>
      <c r="AR922" s="234">
        <v>0</v>
      </c>
      <c r="AS922" s="234">
        <v>0</v>
      </c>
      <c r="AT922" s="234">
        <v>0</v>
      </c>
      <c r="AU922" s="234">
        <v>0</v>
      </c>
      <c r="AV922" s="234">
        <v>-4</v>
      </c>
      <c r="AW922" s="234">
        <v>-8</v>
      </c>
      <c r="AX922" s="234">
        <v>-118</v>
      </c>
      <c r="AY922" s="234">
        <v>0</v>
      </c>
      <c r="AZ922" s="234">
        <v>0</v>
      </c>
      <c r="BA922" s="234">
        <v>0</v>
      </c>
      <c r="BB922" s="234">
        <v>0</v>
      </c>
      <c r="BC922" s="234">
        <v>0</v>
      </c>
      <c r="BD922" s="234">
        <v>0</v>
      </c>
      <c r="BE922" s="234">
        <v>0</v>
      </c>
      <c r="BF922" s="234">
        <v>0</v>
      </c>
      <c r="BG922" s="234">
        <v>0</v>
      </c>
      <c r="BH922" s="234">
        <v>0</v>
      </c>
      <c r="BI922" s="234">
        <v>0</v>
      </c>
      <c r="BJ922" s="234">
        <v>0</v>
      </c>
      <c r="BK922" s="234">
        <v>0</v>
      </c>
      <c r="BL922" s="234">
        <v>0</v>
      </c>
      <c r="BM922" s="234">
        <v>0</v>
      </c>
      <c r="BN922" s="234">
        <v>0</v>
      </c>
      <c r="BO922" s="234">
        <v>0</v>
      </c>
      <c r="BP922" s="234"/>
      <c r="BQ922" s="234"/>
      <c r="BR922" s="237" t="s">
        <v>153</v>
      </c>
      <c r="BS922" s="238">
        <v>10</v>
      </c>
      <c r="BX922" s="239">
        <f>M922/3</f>
        <v>-43.333333333333336</v>
      </c>
      <c r="BY922" s="239">
        <f>M922/3</f>
        <v>-43.333333333333336</v>
      </c>
      <c r="BZ922" s="239">
        <f>M922/3</f>
        <v>-43.333333333333336</v>
      </c>
      <c r="CN922" s="238">
        <f t="shared" si="108"/>
        <v>-86.666666666666671</v>
      </c>
      <c r="CO922" s="238">
        <f t="shared" si="109"/>
        <v>-130</v>
      </c>
    </row>
    <row r="923" spans="1:93" ht="13.95" customHeight="1" x14ac:dyDescent="0.2">
      <c r="A923" s="231">
        <v>7367</v>
      </c>
      <c r="B923" s="232" t="s">
        <v>822</v>
      </c>
      <c r="C923" s="232" t="s">
        <v>2612</v>
      </c>
      <c r="D923" s="232" t="s">
        <v>2613</v>
      </c>
      <c r="E923" s="232" t="s">
        <v>2614</v>
      </c>
      <c r="F923" s="231">
        <v>525438</v>
      </c>
      <c r="G923" s="231">
        <v>173644</v>
      </c>
      <c r="H923" s="232" t="s">
        <v>173</v>
      </c>
      <c r="I923" s="233"/>
      <c r="J923" s="231"/>
      <c r="K923" s="231">
        <v>0</v>
      </c>
      <c r="L923" s="231">
        <v>20</v>
      </c>
      <c r="M923" s="231">
        <v>20</v>
      </c>
      <c r="N923" s="231">
        <v>23</v>
      </c>
      <c r="O923" s="231">
        <v>22</v>
      </c>
      <c r="P923" s="234" t="s">
        <v>318</v>
      </c>
      <c r="Q923" s="232" t="s">
        <v>2615</v>
      </c>
      <c r="R923" s="234" t="s">
        <v>320</v>
      </c>
      <c r="S923" s="235">
        <v>43915</v>
      </c>
      <c r="T923" s="235">
        <v>44603</v>
      </c>
      <c r="U923" s="234"/>
      <c r="V923" s="232" t="s">
        <v>321</v>
      </c>
      <c r="W923" s="231"/>
      <c r="X923" s="232" t="s">
        <v>322</v>
      </c>
      <c r="Y923" s="232" t="s">
        <v>338</v>
      </c>
      <c r="Z923" s="232" t="s">
        <v>339</v>
      </c>
      <c r="AA923" s="232" t="s">
        <v>324</v>
      </c>
      <c r="AB923" s="236">
        <v>0.11799999999999999</v>
      </c>
      <c r="AC923" s="235"/>
      <c r="AD923" s="234"/>
      <c r="AE923" s="234"/>
      <c r="AF923" s="232" t="s">
        <v>77</v>
      </c>
      <c r="AG923" s="232" t="s">
        <v>350</v>
      </c>
      <c r="AH923" s="234" t="s">
        <v>317</v>
      </c>
      <c r="AJ923" s="234">
        <v>0</v>
      </c>
      <c r="AK923" s="224"/>
      <c r="AL923" s="234">
        <v>0</v>
      </c>
      <c r="AM923" s="224"/>
      <c r="AN923" s="234">
        <v>5</v>
      </c>
      <c r="AO923" s="234">
        <v>15</v>
      </c>
      <c r="AP923" s="234">
        <v>0</v>
      </c>
      <c r="AQ923" s="234">
        <v>0</v>
      </c>
      <c r="AR923" s="234">
        <v>0</v>
      </c>
      <c r="AS923" s="234">
        <v>0</v>
      </c>
      <c r="AT923" s="234">
        <v>0</v>
      </c>
      <c r="AU923" s="234">
        <v>5</v>
      </c>
      <c r="AV923" s="234">
        <v>15</v>
      </c>
      <c r="AW923" s="234">
        <v>0</v>
      </c>
      <c r="AX923" s="234">
        <v>0</v>
      </c>
      <c r="AY923" s="234">
        <v>0</v>
      </c>
      <c r="AZ923" s="234">
        <v>0</v>
      </c>
      <c r="BA923" s="234">
        <v>0</v>
      </c>
      <c r="BB923" s="234">
        <v>0</v>
      </c>
      <c r="BC923" s="234">
        <v>0</v>
      </c>
      <c r="BD923" s="234">
        <v>0</v>
      </c>
      <c r="BE923" s="234">
        <v>0</v>
      </c>
      <c r="BF923" s="234">
        <v>0</v>
      </c>
      <c r="BG923" s="234">
        <v>0</v>
      </c>
      <c r="BH923" s="234">
        <v>0</v>
      </c>
      <c r="BI923" s="234">
        <v>0</v>
      </c>
      <c r="BJ923" s="234">
        <v>0</v>
      </c>
      <c r="BK923" s="234">
        <v>0</v>
      </c>
      <c r="BL923" s="234">
        <v>0</v>
      </c>
      <c r="BM923" s="234">
        <v>0</v>
      </c>
      <c r="BN923" s="234">
        <v>0</v>
      </c>
      <c r="BO923" s="234">
        <v>0</v>
      </c>
      <c r="BP923" s="234"/>
      <c r="BQ923" s="234"/>
      <c r="BR923" s="237" t="s">
        <v>154</v>
      </c>
      <c r="BS923" s="238">
        <v>17</v>
      </c>
      <c r="BZ923" s="239">
        <f>M923/4</f>
        <v>5</v>
      </c>
      <c r="CA923" s="239">
        <f>M923/4</f>
        <v>5</v>
      </c>
      <c r="CB923" s="239">
        <f>M923/4</f>
        <v>5</v>
      </c>
      <c r="CC923" s="239">
        <f>M923/4</f>
        <v>5</v>
      </c>
      <c r="CN923" s="238">
        <f t="shared" si="108"/>
        <v>0</v>
      </c>
      <c r="CO923" s="238">
        <f t="shared" si="109"/>
        <v>20</v>
      </c>
    </row>
    <row r="924" spans="1:93" ht="13.95" customHeight="1" x14ac:dyDescent="0.2">
      <c r="A924" s="231">
        <v>6481</v>
      </c>
      <c r="B924" s="232" t="s">
        <v>822</v>
      </c>
      <c r="C924" s="232" t="s">
        <v>2573</v>
      </c>
      <c r="D924" s="232" t="s">
        <v>370</v>
      </c>
      <c r="E924" s="232" t="s">
        <v>2616</v>
      </c>
      <c r="F924" s="231">
        <v>528408</v>
      </c>
      <c r="G924" s="231">
        <v>173055</v>
      </c>
      <c r="H924" s="232" t="s">
        <v>172</v>
      </c>
      <c r="I924" s="233"/>
      <c r="J924" s="231"/>
      <c r="K924" s="231">
        <v>0</v>
      </c>
      <c r="L924" s="231">
        <v>1</v>
      </c>
      <c r="M924" s="231">
        <v>1</v>
      </c>
      <c r="N924" s="231">
        <v>3</v>
      </c>
      <c r="O924" s="231">
        <v>3</v>
      </c>
      <c r="P924" s="234"/>
      <c r="Q924" s="232" t="s">
        <v>2575</v>
      </c>
      <c r="R924" s="234" t="s">
        <v>332</v>
      </c>
      <c r="S924" s="235">
        <v>43993</v>
      </c>
      <c r="T924" s="235">
        <v>44049</v>
      </c>
      <c r="U924" s="234"/>
      <c r="V924" s="232" t="s">
        <v>321</v>
      </c>
      <c r="W924" s="231"/>
      <c r="X924" s="232" t="s">
        <v>322</v>
      </c>
      <c r="Y924" s="232" t="s">
        <v>338</v>
      </c>
      <c r="Z924" s="232" t="s">
        <v>324</v>
      </c>
      <c r="AA924" s="232" t="s">
        <v>354</v>
      </c>
      <c r="AB924" s="236">
        <v>4.0000000000000001E-3</v>
      </c>
      <c r="AC924" s="235"/>
      <c r="AD924" s="234"/>
      <c r="AE924" s="234"/>
      <c r="AF924" s="232" t="s">
        <v>77</v>
      </c>
      <c r="AG924" s="232" t="s">
        <v>350</v>
      </c>
      <c r="AH924" s="234" t="s">
        <v>317</v>
      </c>
      <c r="AJ924" s="234">
        <v>0</v>
      </c>
      <c r="AK924" s="224"/>
      <c r="AL924" s="234">
        <v>0</v>
      </c>
      <c r="AM924" s="224"/>
      <c r="AN924" s="234">
        <v>0</v>
      </c>
      <c r="AO924" s="234">
        <v>0</v>
      </c>
      <c r="AP924" s="234">
        <v>1</v>
      </c>
      <c r="AQ924" s="234">
        <v>0</v>
      </c>
      <c r="AR924" s="234">
        <v>0</v>
      </c>
      <c r="AS924" s="234">
        <v>0</v>
      </c>
      <c r="AT924" s="234">
        <v>0</v>
      </c>
      <c r="AU924" s="234">
        <v>0</v>
      </c>
      <c r="AV924" s="234">
        <v>0</v>
      </c>
      <c r="AW924" s="234">
        <v>1</v>
      </c>
      <c r="AX924" s="234">
        <v>0</v>
      </c>
      <c r="AY924" s="234">
        <v>0</v>
      </c>
      <c r="AZ924" s="234">
        <v>0</v>
      </c>
      <c r="BA924" s="234">
        <v>0</v>
      </c>
      <c r="BB924" s="234">
        <v>0</v>
      </c>
      <c r="BC924" s="234">
        <v>0</v>
      </c>
      <c r="BD924" s="234">
        <v>0</v>
      </c>
      <c r="BE924" s="234">
        <v>0</v>
      </c>
      <c r="BF924" s="234">
        <v>0</v>
      </c>
      <c r="BG924" s="234">
        <v>0</v>
      </c>
      <c r="BH924" s="234">
        <v>0</v>
      </c>
      <c r="BI924" s="234">
        <v>0</v>
      </c>
      <c r="BJ924" s="234">
        <v>0</v>
      </c>
      <c r="BK924" s="234">
        <v>0</v>
      </c>
      <c r="BL924" s="234">
        <v>0</v>
      </c>
      <c r="BM924" s="234">
        <v>0</v>
      </c>
      <c r="BN924" s="234">
        <v>0</v>
      </c>
      <c r="BO924" s="234">
        <v>0</v>
      </c>
      <c r="BP924" s="234"/>
      <c r="BQ924" s="234"/>
      <c r="BR924" s="237" t="s">
        <v>334</v>
      </c>
      <c r="BS924" s="238">
        <v>15</v>
      </c>
      <c r="BU924" s="239">
        <f t="shared" ref="BU924:BU932" si="110">M924/4</f>
        <v>0.25</v>
      </c>
      <c r="BV924" s="239">
        <f t="shared" ref="BV924:BV932" si="111">M924/4</f>
        <v>0.25</v>
      </c>
      <c r="BW924" s="239">
        <f t="shared" ref="BW924:BW932" si="112">M924/4</f>
        <v>0.25</v>
      </c>
      <c r="BX924" s="239">
        <f t="shared" ref="BX924:BX932" si="113">M924/4</f>
        <v>0.25</v>
      </c>
      <c r="CN924" s="238">
        <f t="shared" si="108"/>
        <v>1</v>
      </c>
      <c r="CO924" s="238">
        <f t="shared" si="109"/>
        <v>1</v>
      </c>
    </row>
    <row r="925" spans="1:93" ht="13.95" customHeight="1" x14ac:dyDescent="0.2">
      <c r="A925" s="231">
        <v>6983</v>
      </c>
      <c r="B925" s="232" t="s">
        <v>822</v>
      </c>
      <c r="C925" s="232" t="s">
        <v>2558</v>
      </c>
      <c r="D925" s="232" t="s">
        <v>2559</v>
      </c>
      <c r="E925" s="232" t="s">
        <v>2616</v>
      </c>
      <c r="F925" s="231">
        <v>526930</v>
      </c>
      <c r="G925" s="231">
        <v>171771</v>
      </c>
      <c r="H925" s="232" t="s">
        <v>177</v>
      </c>
      <c r="I925" s="233"/>
      <c r="J925" s="231"/>
      <c r="K925" s="231">
        <v>0</v>
      </c>
      <c r="L925" s="231">
        <v>1</v>
      </c>
      <c r="M925" s="231">
        <v>1</v>
      </c>
      <c r="N925" s="231">
        <v>3</v>
      </c>
      <c r="O925" s="231">
        <v>2</v>
      </c>
      <c r="P925" s="234"/>
      <c r="Q925" s="232" t="s">
        <v>2561</v>
      </c>
      <c r="R925" s="234" t="s">
        <v>332</v>
      </c>
      <c r="S925" s="235">
        <v>43560</v>
      </c>
      <c r="T925" s="235">
        <v>43733</v>
      </c>
      <c r="U925" s="234"/>
      <c r="V925" s="232" t="s">
        <v>321</v>
      </c>
      <c r="W925" s="231"/>
      <c r="X925" s="232" t="s">
        <v>322</v>
      </c>
      <c r="Y925" s="232" t="s">
        <v>338</v>
      </c>
      <c r="Z925" s="232" t="s">
        <v>324</v>
      </c>
      <c r="AA925" s="232" t="s">
        <v>354</v>
      </c>
      <c r="AB925" s="236">
        <v>3.0000000000000001E-3</v>
      </c>
      <c r="AC925" s="235"/>
      <c r="AD925" s="234"/>
      <c r="AE925" s="234"/>
      <c r="AF925" s="232" t="s">
        <v>77</v>
      </c>
      <c r="AG925" s="232" t="s">
        <v>350</v>
      </c>
      <c r="AH925" s="234" t="s">
        <v>317</v>
      </c>
      <c r="AJ925" s="234">
        <v>0</v>
      </c>
      <c r="AK925" s="224"/>
      <c r="AL925" s="234">
        <v>0</v>
      </c>
      <c r="AM925" s="224"/>
      <c r="AN925" s="234">
        <v>0</v>
      </c>
      <c r="AO925" s="234">
        <v>1</v>
      </c>
      <c r="AP925" s="234">
        <v>0</v>
      </c>
      <c r="AQ925" s="234">
        <v>0</v>
      </c>
      <c r="AR925" s="234">
        <v>0</v>
      </c>
      <c r="AS925" s="234">
        <v>0</v>
      </c>
      <c r="AT925" s="234">
        <v>0</v>
      </c>
      <c r="AU925" s="234">
        <v>0</v>
      </c>
      <c r="AV925" s="234">
        <v>1</v>
      </c>
      <c r="AW925" s="234">
        <v>0</v>
      </c>
      <c r="AX925" s="234">
        <v>0</v>
      </c>
      <c r="AY925" s="234">
        <v>0</v>
      </c>
      <c r="AZ925" s="234">
        <v>0</v>
      </c>
      <c r="BA925" s="234">
        <v>0</v>
      </c>
      <c r="BB925" s="234">
        <v>0</v>
      </c>
      <c r="BC925" s="234">
        <v>0</v>
      </c>
      <c r="BD925" s="234">
        <v>0</v>
      </c>
      <c r="BE925" s="234">
        <v>0</v>
      </c>
      <c r="BF925" s="234">
        <v>0</v>
      </c>
      <c r="BG925" s="234">
        <v>0</v>
      </c>
      <c r="BH925" s="234">
        <v>0</v>
      </c>
      <c r="BI925" s="234">
        <v>0</v>
      </c>
      <c r="BJ925" s="234">
        <v>0</v>
      </c>
      <c r="BK925" s="234">
        <v>0</v>
      </c>
      <c r="BL925" s="234">
        <v>0</v>
      </c>
      <c r="BM925" s="234">
        <v>0</v>
      </c>
      <c r="BN925" s="234">
        <v>0</v>
      </c>
      <c r="BO925" s="234">
        <v>0</v>
      </c>
      <c r="BP925" s="234"/>
      <c r="BQ925" s="234"/>
      <c r="BR925" s="237" t="s">
        <v>334</v>
      </c>
      <c r="BS925" s="238">
        <v>15</v>
      </c>
      <c r="BU925" s="239">
        <f t="shared" si="110"/>
        <v>0.25</v>
      </c>
      <c r="BV925" s="239">
        <f t="shared" si="111"/>
        <v>0.25</v>
      </c>
      <c r="BW925" s="239">
        <f t="shared" si="112"/>
        <v>0.25</v>
      </c>
      <c r="BX925" s="239">
        <f t="shared" si="113"/>
        <v>0.25</v>
      </c>
      <c r="CN925" s="238">
        <f t="shared" si="108"/>
        <v>1</v>
      </c>
      <c r="CO925" s="238">
        <f t="shared" si="109"/>
        <v>1</v>
      </c>
    </row>
    <row r="926" spans="1:93" ht="13.95" customHeight="1" x14ac:dyDescent="0.2">
      <c r="A926" s="231">
        <v>2492</v>
      </c>
      <c r="B926" s="232" t="s">
        <v>822</v>
      </c>
      <c r="C926" s="232" t="s">
        <v>2617</v>
      </c>
      <c r="D926" s="232" t="s">
        <v>2618</v>
      </c>
      <c r="E926" s="232" t="s">
        <v>2619</v>
      </c>
      <c r="F926" s="231">
        <v>528761</v>
      </c>
      <c r="G926" s="231">
        <v>172884</v>
      </c>
      <c r="H926" s="232" t="s">
        <v>172</v>
      </c>
      <c r="I926" s="233"/>
      <c r="J926" s="231"/>
      <c r="K926" s="231">
        <v>0</v>
      </c>
      <c r="L926" s="231">
        <v>2</v>
      </c>
      <c r="M926" s="231">
        <v>2</v>
      </c>
      <c r="N926" s="231">
        <v>3</v>
      </c>
      <c r="O926" s="231">
        <v>3</v>
      </c>
      <c r="P926" s="234"/>
      <c r="Q926" s="232" t="s">
        <v>2620</v>
      </c>
      <c r="R926" s="234" t="s">
        <v>332</v>
      </c>
      <c r="S926" s="235">
        <v>43410</v>
      </c>
      <c r="T926" s="235">
        <v>43493</v>
      </c>
      <c r="U926" s="234"/>
      <c r="V926" s="232" t="s">
        <v>321</v>
      </c>
      <c r="W926" s="231"/>
      <c r="X926" s="232" t="s">
        <v>322</v>
      </c>
      <c r="Y926" s="232" t="s">
        <v>338</v>
      </c>
      <c r="Z926" s="232" t="s">
        <v>324</v>
      </c>
      <c r="AA926" s="232" t="s">
        <v>354</v>
      </c>
      <c r="AB926" s="236">
        <v>1.0999999999999999E-2</v>
      </c>
      <c r="AC926" s="235"/>
      <c r="AD926" s="234"/>
      <c r="AE926" s="234"/>
      <c r="AF926" s="232" t="s">
        <v>77</v>
      </c>
      <c r="AG926" s="232" t="s">
        <v>350</v>
      </c>
      <c r="AH926" s="234" t="s">
        <v>317</v>
      </c>
      <c r="AJ926" s="234">
        <v>0</v>
      </c>
      <c r="AK926" s="224"/>
      <c r="AL926" s="234">
        <v>0</v>
      </c>
      <c r="AM926" s="224"/>
      <c r="AN926" s="234">
        <v>0</v>
      </c>
      <c r="AO926" s="234">
        <v>0</v>
      </c>
      <c r="AP926" s="234">
        <v>2</v>
      </c>
      <c r="AQ926" s="234">
        <v>0</v>
      </c>
      <c r="AR926" s="234">
        <v>0</v>
      </c>
      <c r="AS926" s="234">
        <v>0</v>
      </c>
      <c r="AT926" s="234">
        <v>0</v>
      </c>
      <c r="AU926" s="234">
        <v>0</v>
      </c>
      <c r="AV926" s="234">
        <v>0</v>
      </c>
      <c r="AW926" s="234">
        <v>2</v>
      </c>
      <c r="AX926" s="234">
        <v>0</v>
      </c>
      <c r="AY926" s="234">
        <v>0</v>
      </c>
      <c r="AZ926" s="234">
        <v>0</v>
      </c>
      <c r="BA926" s="234">
        <v>0</v>
      </c>
      <c r="BB926" s="234">
        <v>0</v>
      </c>
      <c r="BC926" s="234">
        <v>0</v>
      </c>
      <c r="BD926" s="234">
        <v>0</v>
      </c>
      <c r="BE926" s="234">
        <v>0</v>
      </c>
      <c r="BF926" s="234">
        <v>0</v>
      </c>
      <c r="BG926" s="234">
        <v>0</v>
      </c>
      <c r="BH926" s="234">
        <v>0</v>
      </c>
      <c r="BI926" s="234">
        <v>0</v>
      </c>
      <c r="BJ926" s="234">
        <v>0</v>
      </c>
      <c r="BK926" s="234">
        <v>0</v>
      </c>
      <c r="BL926" s="234">
        <v>0</v>
      </c>
      <c r="BM926" s="234">
        <v>0</v>
      </c>
      <c r="BN926" s="234">
        <v>0</v>
      </c>
      <c r="BO926" s="234">
        <v>0</v>
      </c>
      <c r="BP926" s="234"/>
      <c r="BQ926" s="234"/>
      <c r="BR926" s="237" t="s">
        <v>334</v>
      </c>
      <c r="BS926" s="238">
        <v>15</v>
      </c>
      <c r="BU926" s="239">
        <f t="shared" si="110"/>
        <v>0.5</v>
      </c>
      <c r="BV926" s="239">
        <f t="shared" si="111"/>
        <v>0.5</v>
      </c>
      <c r="BW926" s="239">
        <f t="shared" si="112"/>
        <v>0.5</v>
      </c>
      <c r="BX926" s="239">
        <f t="shared" si="113"/>
        <v>0.5</v>
      </c>
      <c r="CN926" s="238">
        <f t="shared" si="108"/>
        <v>2</v>
      </c>
      <c r="CO926" s="238">
        <f t="shared" si="109"/>
        <v>2</v>
      </c>
    </row>
    <row r="927" spans="1:93" ht="13.95" customHeight="1" x14ac:dyDescent="0.2">
      <c r="A927" s="231">
        <v>1563</v>
      </c>
      <c r="B927" s="232" t="s">
        <v>822</v>
      </c>
      <c r="C927" s="232" t="s">
        <v>2552</v>
      </c>
      <c r="D927" s="232" t="s">
        <v>2553</v>
      </c>
      <c r="E927" s="232" t="s">
        <v>2621</v>
      </c>
      <c r="F927" s="231">
        <v>527638</v>
      </c>
      <c r="G927" s="231">
        <v>171599</v>
      </c>
      <c r="H927" s="232" t="s">
        <v>177</v>
      </c>
      <c r="I927" s="233"/>
      <c r="J927" s="231"/>
      <c r="K927" s="231">
        <v>0</v>
      </c>
      <c r="L927" s="231">
        <v>1</v>
      </c>
      <c r="M927" s="231">
        <v>1</v>
      </c>
      <c r="N927" s="231">
        <v>4</v>
      </c>
      <c r="O927" s="231">
        <v>1</v>
      </c>
      <c r="P927" s="234"/>
      <c r="Q927" s="232" t="s">
        <v>2554</v>
      </c>
      <c r="R927" s="234" t="s">
        <v>332</v>
      </c>
      <c r="S927" s="235">
        <v>43244</v>
      </c>
      <c r="T927" s="235">
        <v>43294</v>
      </c>
      <c r="U927" s="234"/>
      <c r="V927" s="232" t="s">
        <v>321</v>
      </c>
      <c r="W927" s="231"/>
      <c r="X927" s="232" t="s">
        <v>322</v>
      </c>
      <c r="Y927" s="232" t="s">
        <v>338</v>
      </c>
      <c r="Z927" s="232" t="s">
        <v>324</v>
      </c>
      <c r="AA927" s="232" t="s">
        <v>354</v>
      </c>
      <c r="AB927" s="236">
        <v>2E-3</v>
      </c>
      <c r="AC927" s="235"/>
      <c r="AD927" s="234"/>
      <c r="AE927" s="234"/>
      <c r="AF927" s="232" t="s">
        <v>77</v>
      </c>
      <c r="AG927" s="232" t="s">
        <v>350</v>
      </c>
      <c r="AH927" s="234" t="s">
        <v>883</v>
      </c>
      <c r="AJ927" s="234">
        <v>0</v>
      </c>
      <c r="AK927" s="224"/>
      <c r="AL927" s="234">
        <v>0</v>
      </c>
      <c r="AM927" s="224"/>
      <c r="AN927" s="234">
        <v>0</v>
      </c>
      <c r="AO927" s="234">
        <v>0</v>
      </c>
      <c r="AP927" s="234">
        <v>1</v>
      </c>
      <c r="AQ927" s="234">
        <v>0</v>
      </c>
      <c r="AR927" s="234">
        <v>0</v>
      </c>
      <c r="AS927" s="234">
        <v>0</v>
      </c>
      <c r="AT927" s="234">
        <v>0</v>
      </c>
      <c r="AU927" s="234">
        <v>0</v>
      </c>
      <c r="AV927" s="234">
        <v>0</v>
      </c>
      <c r="AW927" s="234">
        <v>1</v>
      </c>
      <c r="AX927" s="234">
        <v>0</v>
      </c>
      <c r="AY927" s="234">
        <v>0</v>
      </c>
      <c r="AZ927" s="234">
        <v>0</v>
      </c>
      <c r="BA927" s="234">
        <v>0</v>
      </c>
      <c r="BB927" s="234">
        <v>0</v>
      </c>
      <c r="BC927" s="234">
        <v>0</v>
      </c>
      <c r="BD927" s="234">
        <v>0</v>
      </c>
      <c r="BE927" s="234">
        <v>0</v>
      </c>
      <c r="BF927" s="234">
        <v>0</v>
      </c>
      <c r="BG927" s="234">
        <v>0</v>
      </c>
      <c r="BH927" s="234">
        <v>0</v>
      </c>
      <c r="BI927" s="234">
        <v>0</v>
      </c>
      <c r="BJ927" s="234">
        <v>0</v>
      </c>
      <c r="BK927" s="234">
        <v>0</v>
      </c>
      <c r="BL927" s="234">
        <v>0</v>
      </c>
      <c r="BM927" s="234">
        <v>0</v>
      </c>
      <c r="BN927" s="234">
        <v>0</v>
      </c>
      <c r="BO927" s="234">
        <v>0</v>
      </c>
      <c r="BP927" s="234" t="s">
        <v>144</v>
      </c>
      <c r="BQ927" s="234"/>
      <c r="BR927" s="237" t="s">
        <v>144</v>
      </c>
      <c r="BS927" s="238">
        <v>15</v>
      </c>
      <c r="BU927" s="239">
        <f t="shared" si="110"/>
        <v>0.25</v>
      </c>
      <c r="BV927" s="239">
        <f t="shared" si="111"/>
        <v>0.25</v>
      </c>
      <c r="BW927" s="239">
        <f t="shared" si="112"/>
        <v>0.25</v>
      </c>
      <c r="BX927" s="239">
        <f t="shared" si="113"/>
        <v>0.25</v>
      </c>
      <c r="CN927" s="238">
        <f t="shared" si="108"/>
        <v>1</v>
      </c>
      <c r="CO927" s="238">
        <f t="shared" si="109"/>
        <v>1</v>
      </c>
    </row>
    <row r="928" spans="1:93" ht="13.95" customHeight="1" x14ac:dyDescent="0.2">
      <c r="A928" s="231">
        <v>6779</v>
      </c>
      <c r="B928" s="232" t="s">
        <v>822</v>
      </c>
      <c r="C928" s="232" t="s">
        <v>2622</v>
      </c>
      <c r="D928" s="232" t="s">
        <v>2623</v>
      </c>
      <c r="E928" s="232" t="s">
        <v>2621</v>
      </c>
      <c r="F928" s="231">
        <v>524846</v>
      </c>
      <c r="G928" s="231">
        <v>174902</v>
      </c>
      <c r="H928" s="232" t="s">
        <v>164</v>
      </c>
      <c r="I928" s="233"/>
      <c r="J928" s="231"/>
      <c r="K928" s="231">
        <v>0</v>
      </c>
      <c r="L928" s="231">
        <v>1</v>
      </c>
      <c r="M928" s="231">
        <v>1</v>
      </c>
      <c r="N928" s="231">
        <v>1</v>
      </c>
      <c r="O928" s="231">
        <v>1</v>
      </c>
      <c r="P928" s="234"/>
      <c r="Q928" s="232" t="s">
        <v>2624</v>
      </c>
      <c r="R928" s="234" t="s">
        <v>332</v>
      </c>
      <c r="S928" s="235">
        <v>43116</v>
      </c>
      <c r="T928" s="235">
        <v>43249</v>
      </c>
      <c r="U928" s="234"/>
      <c r="V928" s="232" t="s">
        <v>321</v>
      </c>
      <c r="W928" s="231"/>
      <c r="X928" s="232" t="s">
        <v>322</v>
      </c>
      <c r="Y928" s="232" t="s">
        <v>339</v>
      </c>
      <c r="Z928" s="232" t="s">
        <v>324</v>
      </c>
      <c r="AA928" s="232" t="s">
        <v>354</v>
      </c>
      <c r="AB928" s="236">
        <v>6.0000000000000001E-3</v>
      </c>
      <c r="AC928" s="235"/>
      <c r="AD928" s="234"/>
      <c r="AE928" s="234"/>
      <c r="AF928" s="232" t="s">
        <v>77</v>
      </c>
      <c r="AG928" s="232" t="s">
        <v>350</v>
      </c>
      <c r="AH928" s="234" t="s">
        <v>317</v>
      </c>
      <c r="AJ928" s="234">
        <v>0</v>
      </c>
      <c r="AK928" s="224"/>
      <c r="AL928" s="234">
        <v>0</v>
      </c>
      <c r="AM928" s="224"/>
      <c r="AN928" s="234">
        <v>0</v>
      </c>
      <c r="AO928" s="234">
        <v>0</v>
      </c>
      <c r="AP928" s="234">
        <v>1</v>
      </c>
      <c r="AQ928" s="234">
        <v>0</v>
      </c>
      <c r="AR928" s="234">
        <v>0</v>
      </c>
      <c r="AS928" s="234">
        <v>0</v>
      </c>
      <c r="AT928" s="234">
        <v>0</v>
      </c>
      <c r="AU928" s="234">
        <v>0</v>
      </c>
      <c r="AV928" s="234">
        <v>0</v>
      </c>
      <c r="AW928" s="234">
        <v>1</v>
      </c>
      <c r="AX928" s="234">
        <v>0</v>
      </c>
      <c r="AY928" s="234">
        <v>0</v>
      </c>
      <c r="AZ928" s="234">
        <v>0</v>
      </c>
      <c r="BA928" s="234">
        <v>0</v>
      </c>
      <c r="BB928" s="234">
        <v>0</v>
      </c>
      <c r="BC928" s="234">
        <v>0</v>
      </c>
      <c r="BD928" s="234">
        <v>0</v>
      </c>
      <c r="BE928" s="234">
        <v>0</v>
      </c>
      <c r="BF928" s="234">
        <v>0</v>
      </c>
      <c r="BG928" s="234">
        <v>0</v>
      </c>
      <c r="BH928" s="234">
        <v>0</v>
      </c>
      <c r="BI928" s="234">
        <v>0</v>
      </c>
      <c r="BJ928" s="234">
        <v>0</v>
      </c>
      <c r="BK928" s="234">
        <v>0</v>
      </c>
      <c r="BL928" s="234">
        <v>0</v>
      </c>
      <c r="BM928" s="234">
        <v>0</v>
      </c>
      <c r="BN928" s="234">
        <v>0</v>
      </c>
      <c r="BO928" s="234">
        <v>0</v>
      </c>
      <c r="BP928" s="234"/>
      <c r="BQ928" s="234"/>
      <c r="BR928" s="237" t="s">
        <v>334</v>
      </c>
      <c r="BS928" s="238">
        <v>15</v>
      </c>
      <c r="BU928" s="239">
        <f t="shared" si="110"/>
        <v>0.25</v>
      </c>
      <c r="BV928" s="239">
        <f t="shared" si="111"/>
        <v>0.25</v>
      </c>
      <c r="BW928" s="239">
        <f t="shared" si="112"/>
        <v>0.25</v>
      </c>
      <c r="BX928" s="239">
        <f t="shared" si="113"/>
        <v>0.25</v>
      </c>
      <c r="CN928" s="238">
        <f t="shared" si="108"/>
        <v>1</v>
      </c>
      <c r="CO928" s="238">
        <f t="shared" si="109"/>
        <v>1</v>
      </c>
    </row>
    <row r="929" spans="1:93" ht="13.95" customHeight="1" x14ac:dyDescent="0.2">
      <c r="A929" s="231">
        <v>7076</v>
      </c>
      <c r="B929" s="232" t="s">
        <v>822</v>
      </c>
      <c r="C929" s="232" t="s">
        <v>2555</v>
      </c>
      <c r="D929" s="232" t="s">
        <v>2556</v>
      </c>
      <c r="E929" s="232" t="s">
        <v>791</v>
      </c>
      <c r="F929" s="231">
        <v>527497</v>
      </c>
      <c r="G929" s="231">
        <v>171501</v>
      </c>
      <c r="H929" s="232" t="s">
        <v>177</v>
      </c>
      <c r="I929" s="233"/>
      <c r="J929" s="231"/>
      <c r="K929" s="231">
        <v>0</v>
      </c>
      <c r="L929" s="231">
        <v>4</v>
      </c>
      <c r="M929" s="231">
        <v>4</v>
      </c>
      <c r="N929" s="231">
        <v>11</v>
      </c>
      <c r="O929" s="231">
        <v>4</v>
      </c>
      <c r="P929" s="234" t="s">
        <v>318</v>
      </c>
      <c r="Q929" s="232" t="s">
        <v>2557</v>
      </c>
      <c r="R929" s="234" t="s">
        <v>332</v>
      </c>
      <c r="S929" s="235">
        <v>43570</v>
      </c>
      <c r="T929" s="235">
        <v>43626</v>
      </c>
      <c r="U929" s="234"/>
      <c r="V929" s="232" t="s">
        <v>321</v>
      </c>
      <c r="W929" s="231"/>
      <c r="X929" s="232" t="s">
        <v>322</v>
      </c>
      <c r="Y929" s="232" t="s">
        <v>338</v>
      </c>
      <c r="Z929" s="232" t="s">
        <v>339</v>
      </c>
      <c r="AA929" s="232" t="s">
        <v>324</v>
      </c>
      <c r="AB929" s="236">
        <v>8.9999999999999993E-3</v>
      </c>
      <c r="AC929" s="235"/>
      <c r="AD929" s="234"/>
      <c r="AE929" s="234"/>
      <c r="AF929" s="232" t="s">
        <v>77</v>
      </c>
      <c r="AG929" s="232" t="s">
        <v>350</v>
      </c>
      <c r="AH929" s="234" t="s">
        <v>883</v>
      </c>
      <c r="AJ929" s="234">
        <v>0</v>
      </c>
      <c r="AK929" s="224"/>
      <c r="AL929" s="234">
        <v>0</v>
      </c>
      <c r="AM929" s="224"/>
      <c r="AN929" s="234">
        <v>0</v>
      </c>
      <c r="AO929" s="234">
        <v>0</v>
      </c>
      <c r="AP929" s="234">
        <v>4</v>
      </c>
      <c r="AQ929" s="234">
        <v>0</v>
      </c>
      <c r="AR929" s="234">
        <v>0</v>
      </c>
      <c r="AS929" s="234">
        <v>0</v>
      </c>
      <c r="AT929" s="234">
        <v>0</v>
      </c>
      <c r="AU929" s="234">
        <v>0</v>
      </c>
      <c r="AV929" s="234">
        <v>0</v>
      </c>
      <c r="AW929" s="234">
        <v>4</v>
      </c>
      <c r="AX929" s="234">
        <v>0</v>
      </c>
      <c r="AY929" s="234">
        <v>0</v>
      </c>
      <c r="AZ929" s="234">
        <v>0</v>
      </c>
      <c r="BA929" s="234">
        <v>0</v>
      </c>
      <c r="BB929" s="234">
        <v>0</v>
      </c>
      <c r="BC929" s="234">
        <v>0</v>
      </c>
      <c r="BD929" s="234">
        <v>0</v>
      </c>
      <c r="BE929" s="234">
        <v>0</v>
      </c>
      <c r="BF929" s="234">
        <v>0</v>
      </c>
      <c r="BG929" s="234">
        <v>0</v>
      </c>
      <c r="BH929" s="234">
        <v>0</v>
      </c>
      <c r="BI929" s="234">
        <v>0</v>
      </c>
      <c r="BJ929" s="234">
        <v>0</v>
      </c>
      <c r="BK929" s="234">
        <v>0</v>
      </c>
      <c r="BL929" s="234">
        <v>0</v>
      </c>
      <c r="BM929" s="234">
        <v>0</v>
      </c>
      <c r="BN929" s="234">
        <v>0</v>
      </c>
      <c r="BO929" s="234">
        <v>0</v>
      </c>
      <c r="BP929" s="234" t="s">
        <v>144</v>
      </c>
      <c r="BQ929" s="234"/>
      <c r="BR929" s="237" t="s">
        <v>144</v>
      </c>
      <c r="BS929" s="238">
        <v>15</v>
      </c>
      <c r="BU929" s="239">
        <f t="shared" si="110"/>
        <v>1</v>
      </c>
      <c r="BV929" s="239">
        <f t="shared" si="111"/>
        <v>1</v>
      </c>
      <c r="BW929" s="239">
        <f t="shared" si="112"/>
        <v>1</v>
      </c>
      <c r="BX929" s="239">
        <f t="shared" si="113"/>
        <v>1</v>
      </c>
      <c r="CN929" s="238">
        <f t="shared" si="108"/>
        <v>4</v>
      </c>
      <c r="CO929" s="238">
        <f t="shared" si="109"/>
        <v>4</v>
      </c>
    </row>
    <row r="930" spans="1:93" ht="13.95" customHeight="1" x14ac:dyDescent="0.2">
      <c r="A930" s="231">
        <v>3154</v>
      </c>
      <c r="B930" s="232" t="s">
        <v>822</v>
      </c>
      <c r="C930" s="232" t="s">
        <v>2547</v>
      </c>
      <c r="D930" s="232" t="s">
        <v>2548</v>
      </c>
      <c r="E930" s="232" t="s">
        <v>1377</v>
      </c>
      <c r="F930" s="231">
        <v>527643</v>
      </c>
      <c r="G930" s="231">
        <v>171818</v>
      </c>
      <c r="H930" s="232" t="s">
        <v>176</v>
      </c>
      <c r="I930" s="233"/>
      <c r="J930" s="231"/>
      <c r="K930" s="231">
        <v>0</v>
      </c>
      <c r="L930" s="231">
        <v>3</v>
      </c>
      <c r="M930" s="231">
        <v>3</v>
      </c>
      <c r="N930" s="231">
        <v>7</v>
      </c>
      <c r="O930" s="231">
        <v>5</v>
      </c>
      <c r="P930" s="234"/>
      <c r="Q930" s="232" t="s">
        <v>2549</v>
      </c>
      <c r="R930" s="234" t="s">
        <v>332</v>
      </c>
      <c r="S930" s="235">
        <v>43294</v>
      </c>
      <c r="T930" s="235">
        <v>43553</v>
      </c>
      <c r="U930" s="234"/>
      <c r="V930" s="232" t="s">
        <v>321</v>
      </c>
      <c r="W930" s="231"/>
      <c r="X930" s="232" t="s">
        <v>322</v>
      </c>
      <c r="Y930" s="232" t="s">
        <v>339</v>
      </c>
      <c r="Z930" s="232" t="s">
        <v>324</v>
      </c>
      <c r="AA930" s="232" t="s">
        <v>354</v>
      </c>
      <c r="AB930" s="236">
        <v>4.0000000000000001E-3</v>
      </c>
      <c r="AC930" s="235"/>
      <c r="AD930" s="234"/>
      <c r="AE930" s="234"/>
      <c r="AF930" s="232" t="s">
        <v>77</v>
      </c>
      <c r="AG930" s="232" t="s">
        <v>350</v>
      </c>
      <c r="AH930" s="234" t="s">
        <v>657</v>
      </c>
      <c r="AJ930" s="234">
        <v>0</v>
      </c>
      <c r="AK930" s="224"/>
      <c r="AL930" s="234">
        <v>0</v>
      </c>
      <c r="AM930" s="224"/>
      <c r="AN930" s="234">
        <v>0</v>
      </c>
      <c r="AO930" s="234">
        <v>3</v>
      </c>
      <c r="AP930" s="234">
        <v>0</v>
      </c>
      <c r="AQ930" s="234">
        <v>0</v>
      </c>
      <c r="AR930" s="234">
        <v>0</v>
      </c>
      <c r="AS930" s="234">
        <v>0</v>
      </c>
      <c r="AT930" s="234">
        <v>0</v>
      </c>
      <c r="AU930" s="234">
        <v>0</v>
      </c>
      <c r="AV930" s="234">
        <v>3</v>
      </c>
      <c r="AW930" s="234">
        <v>0</v>
      </c>
      <c r="AX930" s="234">
        <v>0</v>
      </c>
      <c r="AY930" s="234">
        <v>0</v>
      </c>
      <c r="AZ930" s="234">
        <v>0</v>
      </c>
      <c r="BA930" s="234">
        <v>0</v>
      </c>
      <c r="BB930" s="234">
        <v>0</v>
      </c>
      <c r="BC930" s="234">
        <v>0</v>
      </c>
      <c r="BD930" s="234">
        <v>0</v>
      </c>
      <c r="BE930" s="234">
        <v>0</v>
      </c>
      <c r="BF930" s="234">
        <v>0</v>
      </c>
      <c r="BG930" s="234">
        <v>0</v>
      </c>
      <c r="BH930" s="234">
        <v>0</v>
      </c>
      <c r="BI930" s="234">
        <v>0</v>
      </c>
      <c r="BJ930" s="234">
        <v>0</v>
      </c>
      <c r="BK930" s="234">
        <v>0</v>
      </c>
      <c r="BL930" s="234">
        <v>0</v>
      </c>
      <c r="BM930" s="234">
        <v>0</v>
      </c>
      <c r="BN930" s="234">
        <v>0</v>
      </c>
      <c r="BO930" s="234">
        <v>0</v>
      </c>
      <c r="BP930" s="234" t="s">
        <v>144</v>
      </c>
      <c r="BQ930" s="234"/>
      <c r="BR930" s="237" t="s">
        <v>144</v>
      </c>
      <c r="BS930" s="238">
        <v>15</v>
      </c>
      <c r="BU930" s="239">
        <f t="shared" si="110"/>
        <v>0.75</v>
      </c>
      <c r="BV930" s="239">
        <f t="shared" si="111"/>
        <v>0.75</v>
      </c>
      <c r="BW930" s="239">
        <f t="shared" si="112"/>
        <v>0.75</v>
      </c>
      <c r="BX930" s="239">
        <f t="shared" si="113"/>
        <v>0.75</v>
      </c>
      <c r="CN930" s="238">
        <f t="shared" si="108"/>
        <v>3</v>
      </c>
      <c r="CO930" s="238">
        <f t="shared" si="109"/>
        <v>3</v>
      </c>
    </row>
    <row r="931" spans="1:93" ht="13.95" customHeight="1" x14ac:dyDescent="0.2">
      <c r="A931" s="231">
        <v>7867</v>
      </c>
      <c r="B931" s="232" t="s">
        <v>822</v>
      </c>
      <c r="C931" s="232" t="s">
        <v>2625</v>
      </c>
      <c r="D931" s="232" t="s">
        <v>2626</v>
      </c>
      <c r="E931" s="232" t="s">
        <v>2627</v>
      </c>
      <c r="F931" s="231">
        <v>527266</v>
      </c>
      <c r="G931" s="231">
        <v>171375</v>
      </c>
      <c r="H931" s="232" t="s">
        <v>177</v>
      </c>
      <c r="I931" s="233"/>
      <c r="J931" s="231"/>
      <c r="K931" s="231">
        <v>2</v>
      </c>
      <c r="L931" s="231">
        <v>4</v>
      </c>
      <c r="M931" s="231">
        <v>2</v>
      </c>
      <c r="N931" s="231">
        <v>4</v>
      </c>
      <c r="O931" s="231">
        <v>2</v>
      </c>
      <c r="P931" s="234"/>
      <c r="Q931" s="232" t="s">
        <v>2628</v>
      </c>
      <c r="R931" s="234" t="s">
        <v>332</v>
      </c>
      <c r="S931" s="235">
        <v>44736</v>
      </c>
      <c r="T931" s="235">
        <v>44797</v>
      </c>
      <c r="U931" s="234" t="s">
        <v>318</v>
      </c>
      <c r="V931" s="232" t="s">
        <v>321</v>
      </c>
      <c r="W931" s="231"/>
      <c r="X931" s="232" t="s">
        <v>322</v>
      </c>
      <c r="Y931" s="232" t="s">
        <v>338</v>
      </c>
      <c r="Z931" s="232" t="s">
        <v>324</v>
      </c>
      <c r="AA931" s="232" t="s">
        <v>354</v>
      </c>
      <c r="AB931" s="236">
        <v>6.5500000000000003E-3</v>
      </c>
      <c r="AC931" s="235"/>
      <c r="AD931" s="234"/>
      <c r="AE931" s="234"/>
      <c r="AF931" s="232" t="s">
        <v>77</v>
      </c>
      <c r="AG931" s="232" t="s">
        <v>350</v>
      </c>
      <c r="AH931" s="234" t="s">
        <v>317</v>
      </c>
      <c r="AJ931" s="234">
        <v>0</v>
      </c>
      <c r="AK931" s="224"/>
      <c r="AL931" s="234">
        <v>0</v>
      </c>
      <c r="AM931" s="224"/>
      <c r="AN931" s="234">
        <v>1</v>
      </c>
      <c r="AO931" s="234">
        <v>0</v>
      </c>
      <c r="AP931" s="234">
        <v>1</v>
      </c>
      <c r="AQ931" s="234">
        <v>0</v>
      </c>
      <c r="AR931" s="234">
        <v>0</v>
      </c>
      <c r="AS931" s="234">
        <v>0</v>
      </c>
      <c r="AT931" s="234">
        <v>0</v>
      </c>
      <c r="AU931" s="234">
        <v>1</v>
      </c>
      <c r="AV931" s="234">
        <v>0</v>
      </c>
      <c r="AW931" s="234">
        <v>1</v>
      </c>
      <c r="AX931" s="234">
        <v>0</v>
      </c>
      <c r="AY931" s="234">
        <v>0</v>
      </c>
      <c r="AZ931" s="234">
        <v>0</v>
      </c>
      <c r="BA931" s="234">
        <v>0</v>
      </c>
      <c r="BB931" s="234">
        <v>0</v>
      </c>
      <c r="BC931" s="234">
        <v>0</v>
      </c>
      <c r="BD931" s="234">
        <v>0</v>
      </c>
      <c r="BE931" s="234">
        <v>0</v>
      </c>
      <c r="BF931" s="234">
        <v>0</v>
      </c>
      <c r="BG931" s="234">
        <v>0</v>
      </c>
      <c r="BH931" s="234">
        <v>0</v>
      </c>
      <c r="BI931" s="234">
        <v>0</v>
      </c>
      <c r="BJ931" s="234">
        <v>0</v>
      </c>
      <c r="BK931" s="234">
        <v>0</v>
      </c>
      <c r="BL931" s="234">
        <v>0</v>
      </c>
      <c r="BM931" s="234">
        <v>0</v>
      </c>
      <c r="BN931" s="234">
        <v>0</v>
      </c>
      <c r="BO931" s="234">
        <v>0</v>
      </c>
      <c r="BP931" s="234"/>
      <c r="BQ931" s="234"/>
      <c r="BR931" s="237" t="s">
        <v>144</v>
      </c>
      <c r="BS931" s="238">
        <v>15</v>
      </c>
      <c r="BU931" s="239">
        <f t="shared" si="110"/>
        <v>0.5</v>
      </c>
      <c r="BV931" s="239">
        <f t="shared" si="111"/>
        <v>0.5</v>
      </c>
      <c r="BW931" s="239">
        <f t="shared" si="112"/>
        <v>0.5</v>
      </c>
      <c r="BX931" s="239">
        <f t="shared" si="113"/>
        <v>0.5</v>
      </c>
      <c r="CN931" s="238">
        <f t="shared" si="108"/>
        <v>2</v>
      </c>
      <c r="CO931" s="238">
        <f t="shared" si="109"/>
        <v>2</v>
      </c>
    </row>
    <row r="932" spans="1:93" ht="13.95" customHeight="1" x14ac:dyDescent="0.2">
      <c r="A932" s="231">
        <v>4797</v>
      </c>
      <c r="B932" s="232" t="s">
        <v>822</v>
      </c>
      <c r="C932" s="232" t="s">
        <v>2629</v>
      </c>
      <c r="D932" s="232" t="s">
        <v>2630</v>
      </c>
      <c r="E932" s="232" t="s">
        <v>2631</v>
      </c>
      <c r="F932" s="231">
        <v>527293</v>
      </c>
      <c r="G932" s="231">
        <v>177185</v>
      </c>
      <c r="H932" s="232" t="s">
        <v>163</v>
      </c>
      <c r="I932" s="233">
        <v>41870</v>
      </c>
      <c r="J932" s="231"/>
      <c r="K932" s="231">
        <v>0</v>
      </c>
      <c r="L932" s="231">
        <v>1</v>
      </c>
      <c r="M932" s="231">
        <v>1</v>
      </c>
      <c r="N932" s="231">
        <v>2</v>
      </c>
      <c r="O932" s="231">
        <v>2</v>
      </c>
      <c r="P932" s="234"/>
      <c r="Q932" s="232" t="s">
        <v>2632</v>
      </c>
      <c r="R932" s="234" t="s">
        <v>629</v>
      </c>
      <c r="S932" s="235">
        <v>41814</v>
      </c>
      <c r="T932" s="235">
        <v>41870</v>
      </c>
      <c r="U932" s="234"/>
      <c r="V932" s="232" t="s">
        <v>321</v>
      </c>
      <c r="W932" s="231"/>
      <c r="X932" s="232" t="s">
        <v>322</v>
      </c>
      <c r="Y932" s="232" t="s">
        <v>378</v>
      </c>
      <c r="Z932" s="232" t="s">
        <v>324</v>
      </c>
      <c r="AA932" s="232" t="s">
        <v>28</v>
      </c>
      <c r="AB932" s="236">
        <v>7.0000000000000001E-3</v>
      </c>
      <c r="AC932" s="235"/>
      <c r="AD932" s="234"/>
      <c r="AE932" s="234"/>
      <c r="AF932" s="232" t="s">
        <v>77</v>
      </c>
      <c r="AG932" s="232" t="s">
        <v>350</v>
      </c>
      <c r="AH932" s="234" t="s">
        <v>317</v>
      </c>
      <c r="AJ932" s="234">
        <v>0</v>
      </c>
      <c r="AK932" s="224"/>
      <c r="AL932" s="234">
        <v>0</v>
      </c>
      <c r="AM932" s="224"/>
      <c r="AN932" s="234">
        <v>0</v>
      </c>
      <c r="AO932" s="234">
        <v>0</v>
      </c>
      <c r="AP932" s="234">
        <v>0</v>
      </c>
      <c r="AQ932" s="234">
        <v>1</v>
      </c>
      <c r="AR932" s="234">
        <v>0</v>
      </c>
      <c r="AS932" s="234">
        <v>0</v>
      </c>
      <c r="AT932" s="234">
        <v>0</v>
      </c>
      <c r="AU932" s="234">
        <v>0</v>
      </c>
      <c r="AV932" s="234">
        <v>0</v>
      </c>
      <c r="AW932" s="234">
        <v>0</v>
      </c>
      <c r="AX932" s="234">
        <v>1</v>
      </c>
      <c r="AY932" s="234">
        <v>0</v>
      </c>
      <c r="AZ932" s="234">
        <v>0</v>
      </c>
      <c r="BA932" s="234">
        <v>0</v>
      </c>
      <c r="BB932" s="234">
        <v>0</v>
      </c>
      <c r="BC932" s="234">
        <v>0</v>
      </c>
      <c r="BD932" s="234">
        <v>0</v>
      </c>
      <c r="BE932" s="234">
        <v>0</v>
      </c>
      <c r="BF932" s="234">
        <v>0</v>
      </c>
      <c r="BG932" s="234">
        <v>0</v>
      </c>
      <c r="BH932" s="234">
        <v>0</v>
      </c>
      <c r="BI932" s="234">
        <v>0</v>
      </c>
      <c r="BJ932" s="234">
        <v>0</v>
      </c>
      <c r="BK932" s="234">
        <v>0</v>
      </c>
      <c r="BL932" s="234">
        <v>0</v>
      </c>
      <c r="BM932" s="234">
        <v>0</v>
      </c>
      <c r="BN932" s="234">
        <v>0</v>
      </c>
      <c r="BO932" s="234">
        <v>0</v>
      </c>
      <c r="BP932" s="234"/>
      <c r="BQ932" s="234"/>
      <c r="BR932" s="237" t="s">
        <v>481</v>
      </c>
      <c r="BS932" s="238">
        <v>15</v>
      </c>
      <c r="BU932" s="239">
        <f t="shared" si="110"/>
        <v>0.25</v>
      </c>
      <c r="BV932" s="239">
        <f t="shared" si="111"/>
        <v>0.25</v>
      </c>
      <c r="BW932" s="239">
        <f t="shared" si="112"/>
        <v>0.25</v>
      </c>
      <c r="BX932" s="239">
        <f t="shared" si="113"/>
        <v>0.25</v>
      </c>
      <c r="CN932" s="238">
        <f t="shared" si="108"/>
        <v>1</v>
      </c>
      <c r="CO932" s="238">
        <f t="shared" si="109"/>
        <v>1</v>
      </c>
    </row>
    <row r="933" spans="1:93" ht="13.95" customHeight="1" x14ac:dyDescent="0.2">
      <c r="A933" s="231">
        <v>6628</v>
      </c>
      <c r="B933" s="232" t="s">
        <v>822</v>
      </c>
      <c r="C933" s="232" t="s">
        <v>2569</v>
      </c>
      <c r="D933" s="232" t="s">
        <v>2570</v>
      </c>
      <c r="E933" s="232" t="s">
        <v>2633</v>
      </c>
      <c r="F933" s="231">
        <v>522237</v>
      </c>
      <c r="G933" s="231">
        <v>173213</v>
      </c>
      <c r="H933" s="232" t="s">
        <v>170</v>
      </c>
      <c r="I933" s="233"/>
      <c r="J933" s="231"/>
      <c r="K933" s="231">
        <v>3</v>
      </c>
      <c r="L933" s="231">
        <v>6</v>
      </c>
      <c r="M933" s="231">
        <v>3</v>
      </c>
      <c r="N933" s="231">
        <v>8</v>
      </c>
      <c r="O933" s="231">
        <v>5</v>
      </c>
      <c r="P933" s="234"/>
      <c r="Q933" s="232" t="s">
        <v>2572</v>
      </c>
      <c r="R933" s="234" t="s">
        <v>332</v>
      </c>
      <c r="S933" s="235">
        <v>44750</v>
      </c>
      <c r="T933" s="235">
        <v>44888</v>
      </c>
      <c r="U933" s="234" t="s">
        <v>318</v>
      </c>
      <c r="V933" s="232" t="s">
        <v>321</v>
      </c>
      <c r="W933" s="231"/>
      <c r="X933" s="232" t="s">
        <v>322</v>
      </c>
      <c r="Y933" s="232" t="s">
        <v>338</v>
      </c>
      <c r="Z933" s="232" t="s">
        <v>324</v>
      </c>
      <c r="AA933" s="232" t="s">
        <v>354</v>
      </c>
      <c r="AB933" s="236">
        <v>1.4999999999999999E-2</v>
      </c>
      <c r="AC933" s="235"/>
      <c r="AD933" s="234"/>
      <c r="AE933" s="234"/>
      <c r="AF933" s="232" t="s">
        <v>77</v>
      </c>
      <c r="AG933" s="232" t="s">
        <v>350</v>
      </c>
      <c r="AH933" s="234" t="s">
        <v>317</v>
      </c>
      <c r="AJ933" s="234">
        <v>0</v>
      </c>
      <c r="AK933" s="224"/>
      <c r="AL933" s="234">
        <v>0</v>
      </c>
      <c r="AM933" s="224"/>
      <c r="AN933" s="234">
        <v>0</v>
      </c>
      <c r="AO933" s="234">
        <v>2</v>
      </c>
      <c r="AP933" s="234">
        <v>1</v>
      </c>
      <c r="AQ933" s="234">
        <v>0</v>
      </c>
      <c r="AR933" s="234">
        <v>0</v>
      </c>
      <c r="AS933" s="234">
        <v>0</v>
      </c>
      <c r="AT933" s="234">
        <v>0</v>
      </c>
      <c r="AU933" s="234">
        <v>0</v>
      </c>
      <c r="AV933" s="234">
        <v>2</v>
      </c>
      <c r="AW933" s="234">
        <v>1</v>
      </c>
      <c r="AX933" s="234">
        <v>0</v>
      </c>
      <c r="AY933" s="234">
        <v>0</v>
      </c>
      <c r="AZ933" s="234">
        <v>0</v>
      </c>
      <c r="BA933" s="234">
        <v>0</v>
      </c>
      <c r="BB933" s="234">
        <v>0</v>
      </c>
      <c r="BC933" s="234">
        <v>0</v>
      </c>
      <c r="BD933" s="234">
        <v>0</v>
      </c>
      <c r="BE933" s="234">
        <v>0</v>
      </c>
      <c r="BF933" s="234">
        <v>0</v>
      </c>
      <c r="BG933" s="234">
        <v>0</v>
      </c>
      <c r="BH933" s="234">
        <v>0</v>
      </c>
      <c r="BI933" s="234">
        <v>0</v>
      </c>
      <c r="BJ933" s="234">
        <v>0</v>
      </c>
      <c r="BK933" s="234">
        <v>0</v>
      </c>
      <c r="BL933" s="234">
        <v>0</v>
      </c>
      <c r="BM933" s="234">
        <v>0</v>
      </c>
      <c r="BN933" s="234">
        <v>0</v>
      </c>
      <c r="BO933" s="234">
        <v>0</v>
      </c>
      <c r="BP933" s="234"/>
      <c r="BQ933" s="234"/>
      <c r="BR933" s="237" t="s">
        <v>334</v>
      </c>
      <c r="BS933" s="238">
        <v>15</v>
      </c>
      <c r="BW933" s="239">
        <f>M933</f>
        <v>3</v>
      </c>
      <c r="CN933" s="238">
        <f t="shared" si="108"/>
        <v>3</v>
      </c>
      <c r="CO933" s="238">
        <f t="shared" si="109"/>
        <v>3</v>
      </c>
    </row>
    <row r="934" spans="1:93" ht="13.95" customHeight="1" x14ac:dyDescent="0.2">
      <c r="A934" s="231">
        <v>7298</v>
      </c>
      <c r="B934" s="232" t="s">
        <v>822</v>
      </c>
      <c r="C934" s="232" t="s">
        <v>2634</v>
      </c>
      <c r="D934" s="232" t="s">
        <v>2635</v>
      </c>
      <c r="E934" s="232" t="s">
        <v>2636</v>
      </c>
      <c r="F934" s="231">
        <v>527967</v>
      </c>
      <c r="G934" s="231">
        <v>170922</v>
      </c>
      <c r="H934" s="232" t="s">
        <v>177</v>
      </c>
      <c r="I934" s="233"/>
      <c r="J934" s="231"/>
      <c r="K934" s="231">
        <v>4</v>
      </c>
      <c r="L934" s="231">
        <v>8</v>
      </c>
      <c r="M934" s="231">
        <v>4</v>
      </c>
      <c r="N934" s="231">
        <v>9</v>
      </c>
      <c r="O934" s="231">
        <v>5</v>
      </c>
      <c r="P934" s="234"/>
      <c r="Q934" s="232" t="s">
        <v>2637</v>
      </c>
      <c r="R934" s="234" t="s">
        <v>332</v>
      </c>
      <c r="S934" s="235">
        <v>43788</v>
      </c>
      <c r="T934" s="235">
        <v>44187</v>
      </c>
      <c r="U934" s="234"/>
      <c r="V934" s="232" t="s">
        <v>321</v>
      </c>
      <c r="W934" s="231"/>
      <c r="X934" s="232" t="s">
        <v>322</v>
      </c>
      <c r="Y934" s="232" t="s">
        <v>323</v>
      </c>
      <c r="Z934" s="232" t="s">
        <v>324</v>
      </c>
      <c r="AA934" s="232" t="s">
        <v>349</v>
      </c>
      <c r="AB934" s="236">
        <v>4.2999999999999997E-2</v>
      </c>
      <c r="AC934" s="235"/>
      <c r="AD934" s="234"/>
      <c r="AE934" s="234"/>
      <c r="AF934" s="232" t="s">
        <v>77</v>
      </c>
      <c r="AG934" s="232" t="s">
        <v>350</v>
      </c>
      <c r="AH934" s="234" t="s">
        <v>317</v>
      </c>
      <c r="AJ934" s="234">
        <v>0</v>
      </c>
      <c r="AK934" s="224"/>
      <c r="AL934" s="234">
        <v>0</v>
      </c>
      <c r="AM934" s="224"/>
      <c r="AN934" s="234">
        <v>-3</v>
      </c>
      <c r="AO934" s="234">
        <v>3</v>
      </c>
      <c r="AP934" s="234">
        <v>2</v>
      </c>
      <c r="AQ934" s="234">
        <v>2</v>
      </c>
      <c r="AR934" s="234">
        <v>0</v>
      </c>
      <c r="AS934" s="234">
        <v>0</v>
      </c>
      <c r="AT934" s="234">
        <v>0</v>
      </c>
      <c r="AU934" s="234">
        <v>-3</v>
      </c>
      <c r="AV934" s="234">
        <v>3</v>
      </c>
      <c r="AW934" s="234">
        <v>2</v>
      </c>
      <c r="AX934" s="234">
        <v>2</v>
      </c>
      <c r="AY934" s="234">
        <v>0</v>
      </c>
      <c r="AZ934" s="234">
        <v>0</v>
      </c>
      <c r="BA934" s="234">
        <v>0</v>
      </c>
      <c r="BB934" s="234">
        <v>0</v>
      </c>
      <c r="BC934" s="234">
        <v>0</v>
      </c>
      <c r="BD934" s="234">
        <v>0</v>
      </c>
      <c r="BE934" s="234">
        <v>0</v>
      </c>
      <c r="BF934" s="234">
        <v>0</v>
      </c>
      <c r="BG934" s="234">
        <v>0</v>
      </c>
      <c r="BH934" s="234">
        <v>0</v>
      </c>
      <c r="BI934" s="234">
        <v>0</v>
      </c>
      <c r="BJ934" s="234">
        <v>0</v>
      </c>
      <c r="BK934" s="234">
        <v>0</v>
      </c>
      <c r="BL934" s="234">
        <v>0</v>
      </c>
      <c r="BM934" s="234">
        <v>0</v>
      </c>
      <c r="BN934" s="234">
        <v>0</v>
      </c>
      <c r="BO934" s="234">
        <v>0</v>
      </c>
      <c r="BP934" s="234"/>
      <c r="BQ934" s="234"/>
      <c r="BR934" s="237" t="s">
        <v>334</v>
      </c>
      <c r="BS934" s="238">
        <v>7</v>
      </c>
      <c r="BV934" s="239">
        <f>M934/4</f>
        <v>1</v>
      </c>
      <c r="BW934" s="239">
        <f>M934/4</f>
        <v>1</v>
      </c>
      <c r="BX934" s="239">
        <f>M934/4</f>
        <v>1</v>
      </c>
      <c r="BY934" s="239">
        <f>M934/4</f>
        <v>1</v>
      </c>
      <c r="CN934" s="238">
        <f t="shared" si="108"/>
        <v>4</v>
      </c>
      <c r="CO934" s="238">
        <f t="shared" si="109"/>
        <v>4</v>
      </c>
    </row>
    <row r="935" spans="1:93" ht="13.95" customHeight="1" x14ac:dyDescent="0.2">
      <c r="A935" s="231">
        <v>7463</v>
      </c>
      <c r="B935" s="232" t="s">
        <v>822</v>
      </c>
      <c r="C935" s="232" t="s">
        <v>2638</v>
      </c>
      <c r="D935" s="232" t="s">
        <v>2639</v>
      </c>
      <c r="E935" s="232" t="s">
        <v>2640</v>
      </c>
      <c r="F935" s="231">
        <v>525270</v>
      </c>
      <c r="G935" s="231">
        <v>174719</v>
      </c>
      <c r="H935" s="232" t="s">
        <v>164</v>
      </c>
      <c r="I935" s="233">
        <v>44792</v>
      </c>
      <c r="J935" s="231"/>
      <c r="K935" s="231">
        <v>0</v>
      </c>
      <c r="L935" s="231">
        <v>5</v>
      </c>
      <c r="M935" s="231">
        <v>5</v>
      </c>
      <c r="N935" s="231">
        <v>9</v>
      </c>
      <c r="O935" s="231">
        <v>9</v>
      </c>
      <c r="P935" s="234"/>
      <c r="Q935" s="232" t="s">
        <v>2641</v>
      </c>
      <c r="R935" s="234" t="s">
        <v>332</v>
      </c>
      <c r="S935" s="235">
        <v>44187</v>
      </c>
      <c r="T935" s="235">
        <v>44308</v>
      </c>
      <c r="U935" s="234"/>
      <c r="V935" s="232" t="s">
        <v>321</v>
      </c>
      <c r="W935" s="231"/>
      <c r="X935" s="232" t="s">
        <v>322</v>
      </c>
      <c r="Y935" s="232" t="s">
        <v>323</v>
      </c>
      <c r="Z935" s="232" t="s">
        <v>324</v>
      </c>
      <c r="AA935" s="232" t="s">
        <v>349</v>
      </c>
      <c r="AB935" s="236">
        <v>2.5000000000000001E-2</v>
      </c>
      <c r="AC935" s="235"/>
      <c r="AD935" s="234"/>
      <c r="AE935" s="234"/>
      <c r="AF935" s="232" t="s">
        <v>77</v>
      </c>
      <c r="AG935" s="232" t="s">
        <v>350</v>
      </c>
      <c r="AH935" s="234" t="s">
        <v>317</v>
      </c>
      <c r="AJ935" s="234">
        <v>0</v>
      </c>
      <c r="AK935" s="224"/>
      <c r="AL935" s="234">
        <v>0</v>
      </c>
      <c r="AM935" s="224"/>
      <c r="AN935" s="234">
        <v>2</v>
      </c>
      <c r="AO935" s="234">
        <v>2</v>
      </c>
      <c r="AP935" s="234">
        <v>1</v>
      </c>
      <c r="AQ935" s="234">
        <v>0</v>
      </c>
      <c r="AR935" s="234">
        <v>0</v>
      </c>
      <c r="AS935" s="234">
        <v>0</v>
      </c>
      <c r="AT935" s="234">
        <v>0</v>
      </c>
      <c r="AU935" s="234">
        <v>2</v>
      </c>
      <c r="AV935" s="234">
        <v>2</v>
      </c>
      <c r="AW935" s="234">
        <v>1</v>
      </c>
      <c r="AX935" s="234">
        <v>0</v>
      </c>
      <c r="AY935" s="234">
        <v>0</v>
      </c>
      <c r="AZ935" s="234">
        <v>0</v>
      </c>
      <c r="BA935" s="234">
        <v>0</v>
      </c>
      <c r="BB935" s="234">
        <v>0</v>
      </c>
      <c r="BC935" s="234">
        <v>0</v>
      </c>
      <c r="BD935" s="234">
        <v>0</v>
      </c>
      <c r="BE935" s="234">
        <v>0</v>
      </c>
      <c r="BF935" s="234">
        <v>0</v>
      </c>
      <c r="BG935" s="234">
        <v>0</v>
      </c>
      <c r="BH935" s="234">
        <v>0</v>
      </c>
      <c r="BI935" s="234">
        <v>0</v>
      </c>
      <c r="BJ935" s="234">
        <v>0</v>
      </c>
      <c r="BK935" s="234">
        <v>0</v>
      </c>
      <c r="BL935" s="234">
        <v>0</v>
      </c>
      <c r="BM935" s="234">
        <v>0</v>
      </c>
      <c r="BN935" s="234">
        <v>0</v>
      </c>
      <c r="BO935" s="234">
        <v>0</v>
      </c>
      <c r="BP935" s="234"/>
      <c r="BQ935" s="234"/>
      <c r="BR935" s="237" t="s">
        <v>327</v>
      </c>
      <c r="BS935" s="238">
        <v>8</v>
      </c>
      <c r="BV935" s="239">
        <f>M935</f>
        <v>5</v>
      </c>
      <c r="CN935" s="238">
        <f t="shared" si="108"/>
        <v>5</v>
      </c>
      <c r="CO935" s="238">
        <f t="shared" si="109"/>
        <v>5</v>
      </c>
    </row>
    <row r="936" spans="1:93" ht="13.95" customHeight="1" x14ac:dyDescent="0.2">
      <c r="A936" s="231">
        <v>7298</v>
      </c>
      <c r="B936" s="232" t="s">
        <v>822</v>
      </c>
      <c r="C936" s="232" t="s">
        <v>2634</v>
      </c>
      <c r="D936" s="232" t="s">
        <v>2635</v>
      </c>
      <c r="E936" s="232" t="s">
        <v>2642</v>
      </c>
      <c r="F936" s="231">
        <v>527967</v>
      </c>
      <c r="G936" s="231">
        <v>170922</v>
      </c>
      <c r="H936" s="232" t="s">
        <v>177</v>
      </c>
      <c r="I936" s="233"/>
      <c r="J936" s="231"/>
      <c r="K936" s="231">
        <v>0</v>
      </c>
      <c r="L936" s="231">
        <v>1</v>
      </c>
      <c r="M936" s="231">
        <v>1</v>
      </c>
      <c r="N936" s="231">
        <v>9</v>
      </c>
      <c r="O936" s="231">
        <v>5</v>
      </c>
      <c r="P936" s="234"/>
      <c r="Q936" s="232" t="s">
        <v>2637</v>
      </c>
      <c r="R936" s="234" t="s">
        <v>332</v>
      </c>
      <c r="S936" s="235">
        <v>43788</v>
      </c>
      <c r="T936" s="235">
        <v>44187</v>
      </c>
      <c r="U936" s="234"/>
      <c r="V936" s="232" t="s">
        <v>321</v>
      </c>
      <c r="W936" s="231"/>
      <c r="X936" s="232" t="s">
        <v>322</v>
      </c>
      <c r="Y936" s="232" t="s">
        <v>323</v>
      </c>
      <c r="Z936" s="232" t="s">
        <v>324</v>
      </c>
      <c r="AA936" s="232" t="s">
        <v>349</v>
      </c>
      <c r="AB936" s="236">
        <v>1.0999999999999999E-2</v>
      </c>
      <c r="AC936" s="235"/>
      <c r="AD936" s="234"/>
      <c r="AE936" s="234"/>
      <c r="AF936" s="232" t="s">
        <v>77</v>
      </c>
      <c r="AG936" s="232" t="s">
        <v>350</v>
      </c>
      <c r="AH936" s="234" t="s">
        <v>317</v>
      </c>
      <c r="AJ936" s="234">
        <v>0</v>
      </c>
      <c r="AK936" s="224"/>
      <c r="AL936" s="234">
        <v>0</v>
      </c>
      <c r="AM936" s="224"/>
      <c r="AN936" s="234">
        <v>0</v>
      </c>
      <c r="AO936" s="234">
        <v>0</v>
      </c>
      <c r="AP936" s="234">
        <v>0</v>
      </c>
      <c r="AQ936" s="234">
        <v>1</v>
      </c>
      <c r="AR936" s="234">
        <v>0</v>
      </c>
      <c r="AS936" s="234">
        <v>0</v>
      </c>
      <c r="AT936" s="234">
        <v>0</v>
      </c>
      <c r="AU936" s="234">
        <v>0</v>
      </c>
      <c r="AV936" s="234">
        <v>0</v>
      </c>
      <c r="AW936" s="234">
        <v>0</v>
      </c>
      <c r="AX936" s="234">
        <v>0</v>
      </c>
      <c r="AY936" s="234">
        <v>0</v>
      </c>
      <c r="AZ936" s="234">
        <v>0</v>
      </c>
      <c r="BA936" s="234">
        <v>0</v>
      </c>
      <c r="BB936" s="234">
        <v>0</v>
      </c>
      <c r="BC936" s="234">
        <v>0</v>
      </c>
      <c r="BD936" s="234">
        <v>0</v>
      </c>
      <c r="BE936" s="234">
        <v>1</v>
      </c>
      <c r="BF936" s="234">
        <v>0</v>
      </c>
      <c r="BG936" s="234">
        <v>0</v>
      </c>
      <c r="BH936" s="234">
        <v>0</v>
      </c>
      <c r="BI936" s="234">
        <v>0</v>
      </c>
      <c r="BJ936" s="234">
        <v>0</v>
      </c>
      <c r="BK936" s="234">
        <v>0</v>
      </c>
      <c r="BL936" s="234">
        <v>0</v>
      </c>
      <c r="BM936" s="234">
        <v>0</v>
      </c>
      <c r="BN936" s="234">
        <v>0</v>
      </c>
      <c r="BO936" s="234">
        <v>0</v>
      </c>
      <c r="BP936" s="234"/>
      <c r="BQ936" s="234"/>
      <c r="BR936" s="237" t="s">
        <v>334</v>
      </c>
      <c r="BS936" s="238">
        <v>7</v>
      </c>
      <c r="BV936" s="239">
        <f t="shared" ref="BV936:BV942" si="114">M936/4</f>
        <v>0.25</v>
      </c>
      <c r="BW936" s="239">
        <f t="shared" ref="BW936:BW942" si="115">M936/4</f>
        <v>0.25</v>
      </c>
      <c r="BX936" s="239">
        <f t="shared" ref="BX936:BX942" si="116">M936/4</f>
        <v>0.25</v>
      </c>
      <c r="BY936" s="239">
        <f t="shared" ref="BY936:BY942" si="117">M936/4</f>
        <v>0.25</v>
      </c>
      <c r="CN936" s="238">
        <f t="shared" si="108"/>
        <v>1</v>
      </c>
      <c r="CO936" s="238">
        <f t="shared" si="109"/>
        <v>1</v>
      </c>
    </row>
    <row r="937" spans="1:93" ht="13.95" customHeight="1" x14ac:dyDescent="0.2">
      <c r="A937" s="231">
        <v>7350</v>
      </c>
      <c r="B937" s="232" t="s">
        <v>822</v>
      </c>
      <c r="C937" s="232" t="s">
        <v>2643</v>
      </c>
      <c r="D937" s="232" t="s">
        <v>2644</v>
      </c>
      <c r="E937" s="232" t="s">
        <v>2645</v>
      </c>
      <c r="F937" s="231">
        <v>529158</v>
      </c>
      <c r="G937" s="231">
        <v>172857</v>
      </c>
      <c r="H937" s="232" t="s">
        <v>172</v>
      </c>
      <c r="I937" s="233">
        <v>44986</v>
      </c>
      <c r="J937" s="231"/>
      <c r="K937" s="231">
        <v>0</v>
      </c>
      <c r="L937" s="231">
        <v>1</v>
      </c>
      <c r="M937" s="231">
        <v>1</v>
      </c>
      <c r="N937" s="231">
        <v>3</v>
      </c>
      <c r="O937" s="231">
        <v>3</v>
      </c>
      <c r="P937" s="234"/>
      <c r="Q937" s="232" t="s">
        <v>2646</v>
      </c>
      <c r="R937" s="234" t="s">
        <v>332</v>
      </c>
      <c r="S937" s="235">
        <v>44645</v>
      </c>
      <c r="T937" s="235">
        <v>44771</v>
      </c>
      <c r="U937" s="234" t="s">
        <v>318</v>
      </c>
      <c r="V937" s="232" t="s">
        <v>321</v>
      </c>
      <c r="W937" s="231"/>
      <c r="X937" s="232" t="s">
        <v>322</v>
      </c>
      <c r="Y937" s="232" t="s">
        <v>323</v>
      </c>
      <c r="Z937" s="232" t="s">
        <v>324</v>
      </c>
      <c r="AA937" s="232" t="s">
        <v>349</v>
      </c>
      <c r="AB937" s="236">
        <v>5.7499999999999999E-3</v>
      </c>
      <c r="AC937" s="235"/>
      <c r="AD937" s="234"/>
      <c r="AE937" s="234"/>
      <c r="AF937" s="232" t="s">
        <v>77</v>
      </c>
      <c r="AG937" s="232" t="s">
        <v>350</v>
      </c>
      <c r="AH937" s="234" t="s">
        <v>317</v>
      </c>
      <c r="AJ937" s="234">
        <v>0</v>
      </c>
      <c r="AK937" s="224"/>
      <c r="AL937" s="234">
        <v>0</v>
      </c>
      <c r="AM937" s="224"/>
      <c r="AN937" s="234">
        <v>0</v>
      </c>
      <c r="AO937" s="234">
        <v>0</v>
      </c>
      <c r="AP937" s="234">
        <v>0</v>
      </c>
      <c r="AQ937" s="234">
        <v>1</v>
      </c>
      <c r="AR937" s="234">
        <v>0</v>
      </c>
      <c r="AS937" s="234">
        <v>0</v>
      </c>
      <c r="AT937" s="234">
        <v>0</v>
      </c>
      <c r="AU937" s="234">
        <v>0</v>
      </c>
      <c r="AV937" s="234">
        <v>0</v>
      </c>
      <c r="AW937" s="234">
        <v>0</v>
      </c>
      <c r="AX937" s="234">
        <v>0</v>
      </c>
      <c r="AY937" s="234">
        <v>0</v>
      </c>
      <c r="AZ937" s="234">
        <v>0</v>
      </c>
      <c r="BA937" s="234">
        <v>0</v>
      </c>
      <c r="BB937" s="234">
        <v>0</v>
      </c>
      <c r="BC937" s="234">
        <v>0</v>
      </c>
      <c r="BD937" s="234">
        <v>0</v>
      </c>
      <c r="BE937" s="234">
        <v>1</v>
      </c>
      <c r="BF937" s="234">
        <v>0</v>
      </c>
      <c r="BG937" s="234">
        <v>0</v>
      </c>
      <c r="BH937" s="234">
        <v>0</v>
      </c>
      <c r="BI937" s="234">
        <v>0</v>
      </c>
      <c r="BJ937" s="234">
        <v>0</v>
      </c>
      <c r="BK937" s="234">
        <v>0</v>
      </c>
      <c r="BL937" s="234">
        <v>0</v>
      </c>
      <c r="BM937" s="234">
        <v>0</v>
      </c>
      <c r="BN937" s="234">
        <v>0</v>
      </c>
      <c r="BO937" s="234">
        <v>0</v>
      </c>
      <c r="BP937" s="234"/>
      <c r="BQ937" s="234"/>
      <c r="BR937" s="237" t="s">
        <v>334</v>
      </c>
      <c r="BS937" s="238">
        <v>7</v>
      </c>
      <c r="BV937" s="239">
        <f t="shared" si="114"/>
        <v>0.25</v>
      </c>
      <c r="BW937" s="239">
        <f t="shared" si="115"/>
        <v>0.25</v>
      </c>
      <c r="BX937" s="239">
        <f t="shared" si="116"/>
        <v>0.25</v>
      </c>
      <c r="BY937" s="239">
        <f t="shared" si="117"/>
        <v>0.25</v>
      </c>
      <c r="CN937" s="238">
        <f t="shared" si="108"/>
        <v>1</v>
      </c>
      <c r="CO937" s="238">
        <f t="shared" si="109"/>
        <v>1</v>
      </c>
    </row>
    <row r="938" spans="1:93" ht="13.95" customHeight="1" x14ac:dyDescent="0.2">
      <c r="A938" s="231">
        <v>7838</v>
      </c>
      <c r="B938" s="232" t="s">
        <v>822</v>
      </c>
      <c r="C938" s="232" t="s">
        <v>2647</v>
      </c>
      <c r="D938" s="232" t="s">
        <v>2648</v>
      </c>
      <c r="E938" s="232" t="s">
        <v>2649</v>
      </c>
      <c r="F938" s="231">
        <v>522109</v>
      </c>
      <c r="G938" s="231">
        <v>173890</v>
      </c>
      <c r="H938" s="232" t="s">
        <v>170</v>
      </c>
      <c r="I938" s="233"/>
      <c r="J938" s="231"/>
      <c r="K938" s="231">
        <v>0</v>
      </c>
      <c r="L938" s="231">
        <v>1</v>
      </c>
      <c r="M938" s="231">
        <v>1</v>
      </c>
      <c r="N938" s="231">
        <v>3</v>
      </c>
      <c r="O938" s="231">
        <v>3</v>
      </c>
      <c r="P938" s="234"/>
      <c r="Q938" s="232" t="s">
        <v>2650</v>
      </c>
      <c r="R938" s="234" t="s">
        <v>2651</v>
      </c>
      <c r="S938" s="235">
        <v>44686</v>
      </c>
      <c r="T938" s="235">
        <v>44812</v>
      </c>
      <c r="U938" s="234" t="s">
        <v>318</v>
      </c>
      <c r="V938" s="232" t="s">
        <v>321</v>
      </c>
      <c r="W938" s="231"/>
      <c r="X938" s="232" t="s">
        <v>322</v>
      </c>
      <c r="Y938" s="232" t="s">
        <v>323</v>
      </c>
      <c r="Z938" s="232" t="s">
        <v>324</v>
      </c>
      <c r="AA938" s="232" t="s">
        <v>349</v>
      </c>
      <c r="AB938" s="236">
        <v>4.0000000000000001E-3</v>
      </c>
      <c r="AC938" s="235"/>
      <c r="AD938" s="234"/>
      <c r="AE938" s="234"/>
      <c r="AF938" s="232" t="s">
        <v>77</v>
      </c>
      <c r="AG938" s="232" t="s">
        <v>350</v>
      </c>
      <c r="AH938" s="234" t="s">
        <v>317</v>
      </c>
      <c r="AJ938" s="234">
        <v>0</v>
      </c>
      <c r="AK938" s="224"/>
      <c r="AL938" s="234">
        <v>0</v>
      </c>
      <c r="AM938" s="224"/>
      <c r="AN938" s="234">
        <v>0</v>
      </c>
      <c r="AO938" s="234">
        <v>0</v>
      </c>
      <c r="AP938" s="234">
        <v>0</v>
      </c>
      <c r="AQ938" s="234">
        <v>0</v>
      </c>
      <c r="AR938" s="234">
        <v>0</v>
      </c>
      <c r="AS938" s="234">
        <v>0</v>
      </c>
      <c r="AT938" s="234">
        <v>1</v>
      </c>
      <c r="AU938" s="234">
        <v>0</v>
      </c>
      <c r="AV938" s="234">
        <v>0</v>
      </c>
      <c r="AW938" s="234">
        <v>0</v>
      </c>
      <c r="AX938" s="234">
        <v>0</v>
      </c>
      <c r="AY938" s="234">
        <v>0</v>
      </c>
      <c r="AZ938" s="234">
        <v>0</v>
      </c>
      <c r="BA938" s="234">
        <v>0</v>
      </c>
      <c r="BB938" s="234">
        <v>0</v>
      </c>
      <c r="BC938" s="234">
        <v>0</v>
      </c>
      <c r="BD938" s="234">
        <v>0</v>
      </c>
      <c r="BE938" s="234">
        <v>0</v>
      </c>
      <c r="BF938" s="234">
        <v>0</v>
      </c>
      <c r="BG938" s="234">
        <v>0</v>
      </c>
      <c r="BH938" s="234">
        <v>1</v>
      </c>
      <c r="BI938" s="234">
        <v>0</v>
      </c>
      <c r="BJ938" s="234">
        <v>0</v>
      </c>
      <c r="BK938" s="234">
        <v>0</v>
      </c>
      <c r="BL938" s="234">
        <v>0</v>
      </c>
      <c r="BM938" s="234">
        <v>0</v>
      </c>
      <c r="BN938" s="234">
        <v>0</v>
      </c>
      <c r="BO938" s="234">
        <v>0</v>
      </c>
      <c r="BP938" s="234"/>
      <c r="BQ938" s="234"/>
      <c r="BR938" s="237" t="s">
        <v>153</v>
      </c>
      <c r="BS938" s="238">
        <v>7</v>
      </c>
      <c r="BV938" s="239">
        <f t="shared" si="114"/>
        <v>0.25</v>
      </c>
      <c r="BW938" s="239">
        <f t="shared" si="115"/>
        <v>0.25</v>
      </c>
      <c r="BX938" s="239">
        <f t="shared" si="116"/>
        <v>0.25</v>
      </c>
      <c r="BY938" s="239">
        <f t="shared" si="117"/>
        <v>0.25</v>
      </c>
      <c r="CN938" s="238">
        <f t="shared" si="108"/>
        <v>1</v>
      </c>
      <c r="CO938" s="238">
        <f t="shared" si="109"/>
        <v>1</v>
      </c>
    </row>
    <row r="939" spans="1:93" ht="13.95" customHeight="1" x14ac:dyDescent="0.2">
      <c r="A939" s="231">
        <v>7350</v>
      </c>
      <c r="B939" s="232" t="s">
        <v>822</v>
      </c>
      <c r="C939" s="232" t="s">
        <v>2643</v>
      </c>
      <c r="D939" s="232" t="s">
        <v>2644</v>
      </c>
      <c r="E939" s="232" t="s">
        <v>2652</v>
      </c>
      <c r="F939" s="231">
        <v>529158</v>
      </c>
      <c r="G939" s="231">
        <v>172857</v>
      </c>
      <c r="H939" s="232" t="s">
        <v>172</v>
      </c>
      <c r="I939" s="233">
        <v>44986</v>
      </c>
      <c r="J939" s="231"/>
      <c r="K939" s="231">
        <v>0</v>
      </c>
      <c r="L939" s="231">
        <v>1</v>
      </c>
      <c r="M939" s="231">
        <v>1</v>
      </c>
      <c r="N939" s="231">
        <v>3</v>
      </c>
      <c r="O939" s="231">
        <v>3</v>
      </c>
      <c r="P939" s="234"/>
      <c r="Q939" s="232" t="s">
        <v>2646</v>
      </c>
      <c r="R939" s="234" t="s">
        <v>332</v>
      </c>
      <c r="S939" s="235">
        <v>44645</v>
      </c>
      <c r="T939" s="235">
        <v>44771</v>
      </c>
      <c r="U939" s="234" t="s">
        <v>318</v>
      </c>
      <c r="V939" s="232" t="s">
        <v>321</v>
      </c>
      <c r="W939" s="231"/>
      <c r="X939" s="232" t="s">
        <v>322</v>
      </c>
      <c r="Y939" s="232" t="s">
        <v>323</v>
      </c>
      <c r="Z939" s="232" t="s">
        <v>324</v>
      </c>
      <c r="AA939" s="232" t="s">
        <v>349</v>
      </c>
      <c r="AB939" s="236">
        <v>8.0000000000000002E-3</v>
      </c>
      <c r="AC939" s="235"/>
      <c r="AD939" s="234"/>
      <c r="AE939" s="234"/>
      <c r="AF939" s="232" t="s">
        <v>77</v>
      </c>
      <c r="AG939" s="232" t="s">
        <v>350</v>
      </c>
      <c r="AH939" s="234" t="s">
        <v>317</v>
      </c>
      <c r="AJ939" s="234">
        <v>0</v>
      </c>
      <c r="AK939" s="224"/>
      <c r="AL939" s="234">
        <v>0</v>
      </c>
      <c r="AM939" s="224"/>
      <c r="AN939" s="234">
        <v>0</v>
      </c>
      <c r="AO939" s="234">
        <v>0</v>
      </c>
      <c r="AP939" s="234">
        <v>1</v>
      </c>
      <c r="AQ939" s="234">
        <v>0</v>
      </c>
      <c r="AR939" s="234">
        <v>0</v>
      </c>
      <c r="AS939" s="234">
        <v>0</v>
      </c>
      <c r="AT939" s="234">
        <v>0</v>
      </c>
      <c r="AU939" s="234">
        <v>0</v>
      </c>
      <c r="AV939" s="234">
        <v>0</v>
      </c>
      <c r="AW939" s="234">
        <v>0</v>
      </c>
      <c r="AX939" s="234">
        <v>0</v>
      </c>
      <c r="AY939" s="234">
        <v>0</v>
      </c>
      <c r="AZ939" s="234">
        <v>0</v>
      </c>
      <c r="BA939" s="234">
        <v>0</v>
      </c>
      <c r="BB939" s="234">
        <v>0</v>
      </c>
      <c r="BC939" s="234">
        <v>0</v>
      </c>
      <c r="BD939" s="234">
        <v>1</v>
      </c>
      <c r="BE939" s="234">
        <v>0</v>
      </c>
      <c r="BF939" s="234">
        <v>0</v>
      </c>
      <c r="BG939" s="234">
        <v>0</v>
      </c>
      <c r="BH939" s="234">
        <v>0</v>
      </c>
      <c r="BI939" s="234">
        <v>0</v>
      </c>
      <c r="BJ939" s="234">
        <v>0</v>
      </c>
      <c r="BK939" s="234">
        <v>0</v>
      </c>
      <c r="BL939" s="234">
        <v>0</v>
      </c>
      <c r="BM939" s="234">
        <v>0</v>
      </c>
      <c r="BN939" s="234">
        <v>0</v>
      </c>
      <c r="BO939" s="234">
        <v>0</v>
      </c>
      <c r="BP939" s="234"/>
      <c r="BQ939" s="234"/>
      <c r="BR939" s="237" t="s">
        <v>334</v>
      </c>
      <c r="BS939" s="238">
        <v>7</v>
      </c>
      <c r="BV939" s="239">
        <f t="shared" si="114"/>
        <v>0.25</v>
      </c>
      <c r="BW939" s="239">
        <f t="shared" si="115"/>
        <v>0.25</v>
      </c>
      <c r="BX939" s="239">
        <f t="shared" si="116"/>
        <v>0.25</v>
      </c>
      <c r="BY939" s="239">
        <f t="shared" si="117"/>
        <v>0.25</v>
      </c>
      <c r="CN939" s="238">
        <f t="shared" si="108"/>
        <v>1</v>
      </c>
      <c r="CO939" s="238">
        <f t="shared" si="109"/>
        <v>1</v>
      </c>
    </row>
    <row r="940" spans="1:93" ht="13.95" customHeight="1" x14ac:dyDescent="0.2">
      <c r="A940" s="231">
        <v>7838</v>
      </c>
      <c r="B940" s="232" t="s">
        <v>822</v>
      </c>
      <c r="C940" s="232" t="s">
        <v>2647</v>
      </c>
      <c r="D940" s="232" t="s">
        <v>2648</v>
      </c>
      <c r="E940" s="232" t="s">
        <v>2653</v>
      </c>
      <c r="F940" s="231">
        <v>522109</v>
      </c>
      <c r="G940" s="231">
        <v>173890</v>
      </c>
      <c r="H940" s="232" t="s">
        <v>170</v>
      </c>
      <c r="I940" s="233"/>
      <c r="J940" s="231"/>
      <c r="K940" s="231">
        <v>0</v>
      </c>
      <c r="L940" s="231">
        <v>1</v>
      </c>
      <c r="M940" s="231">
        <v>1</v>
      </c>
      <c r="N940" s="231">
        <v>3</v>
      </c>
      <c r="O940" s="231">
        <v>3</v>
      </c>
      <c r="P940" s="234"/>
      <c r="Q940" s="232" t="s">
        <v>2650</v>
      </c>
      <c r="R940" s="234" t="s">
        <v>2651</v>
      </c>
      <c r="S940" s="235">
        <v>44686</v>
      </c>
      <c r="T940" s="235">
        <v>44812</v>
      </c>
      <c r="U940" s="234" t="s">
        <v>318</v>
      </c>
      <c r="V940" s="232" t="s">
        <v>321</v>
      </c>
      <c r="W940" s="231"/>
      <c r="X940" s="232" t="s">
        <v>322</v>
      </c>
      <c r="Y940" s="232" t="s">
        <v>323</v>
      </c>
      <c r="Z940" s="232" t="s">
        <v>324</v>
      </c>
      <c r="AA940" s="232" t="s">
        <v>349</v>
      </c>
      <c r="AB940" s="236">
        <v>4.0000000000000001E-3</v>
      </c>
      <c r="AC940" s="235"/>
      <c r="AD940" s="234"/>
      <c r="AE940" s="234"/>
      <c r="AF940" s="232" t="s">
        <v>77</v>
      </c>
      <c r="AG940" s="232" t="s">
        <v>350</v>
      </c>
      <c r="AH940" s="234" t="s">
        <v>317</v>
      </c>
      <c r="AJ940" s="234">
        <v>0</v>
      </c>
      <c r="AK940" s="224"/>
      <c r="AL940" s="234">
        <v>0</v>
      </c>
      <c r="AM940" s="224"/>
      <c r="AN940" s="234">
        <v>0</v>
      </c>
      <c r="AO940" s="234">
        <v>0</v>
      </c>
      <c r="AP940" s="234">
        <v>0</v>
      </c>
      <c r="AQ940" s="234">
        <v>0</v>
      </c>
      <c r="AR940" s="234">
        <v>0</v>
      </c>
      <c r="AS940" s="234">
        <v>0</v>
      </c>
      <c r="AT940" s="234">
        <v>1</v>
      </c>
      <c r="AU940" s="234">
        <v>0</v>
      </c>
      <c r="AV940" s="234">
        <v>0</v>
      </c>
      <c r="AW940" s="234">
        <v>0</v>
      </c>
      <c r="AX940" s="234">
        <v>0</v>
      </c>
      <c r="AY940" s="234">
        <v>0</v>
      </c>
      <c r="AZ940" s="234">
        <v>0</v>
      </c>
      <c r="BA940" s="234">
        <v>0</v>
      </c>
      <c r="BB940" s="234">
        <v>0</v>
      </c>
      <c r="BC940" s="234">
        <v>0</v>
      </c>
      <c r="BD940" s="234">
        <v>0</v>
      </c>
      <c r="BE940" s="234">
        <v>0</v>
      </c>
      <c r="BF940" s="234">
        <v>0</v>
      </c>
      <c r="BG940" s="234">
        <v>0</v>
      </c>
      <c r="BH940" s="234">
        <v>1</v>
      </c>
      <c r="BI940" s="234">
        <v>0</v>
      </c>
      <c r="BJ940" s="234">
        <v>0</v>
      </c>
      <c r="BK940" s="234">
        <v>0</v>
      </c>
      <c r="BL940" s="234">
        <v>0</v>
      </c>
      <c r="BM940" s="234">
        <v>0</v>
      </c>
      <c r="BN940" s="234">
        <v>0</v>
      </c>
      <c r="BO940" s="234">
        <v>0</v>
      </c>
      <c r="BP940" s="234"/>
      <c r="BQ940" s="234"/>
      <c r="BR940" s="237" t="s">
        <v>153</v>
      </c>
      <c r="BS940" s="238">
        <v>7</v>
      </c>
      <c r="BV940" s="239">
        <f t="shared" si="114"/>
        <v>0.25</v>
      </c>
      <c r="BW940" s="239">
        <f t="shared" si="115"/>
        <v>0.25</v>
      </c>
      <c r="BX940" s="239">
        <f t="shared" si="116"/>
        <v>0.25</v>
      </c>
      <c r="BY940" s="239">
        <f t="shared" si="117"/>
        <v>0.25</v>
      </c>
      <c r="CN940" s="238">
        <f t="shared" si="108"/>
        <v>1</v>
      </c>
      <c r="CO940" s="238">
        <f t="shared" si="109"/>
        <v>1</v>
      </c>
    </row>
    <row r="941" spans="1:93" ht="13.95" customHeight="1" x14ac:dyDescent="0.2">
      <c r="A941" s="231">
        <v>7350</v>
      </c>
      <c r="B941" s="232" t="s">
        <v>822</v>
      </c>
      <c r="C941" s="232" t="s">
        <v>2643</v>
      </c>
      <c r="D941" s="232" t="s">
        <v>2644</v>
      </c>
      <c r="E941" s="232" t="s">
        <v>2654</v>
      </c>
      <c r="F941" s="231">
        <v>529158</v>
      </c>
      <c r="G941" s="231">
        <v>172857</v>
      </c>
      <c r="H941" s="232" t="s">
        <v>172</v>
      </c>
      <c r="I941" s="233">
        <v>44986</v>
      </c>
      <c r="J941" s="231"/>
      <c r="K941" s="231">
        <v>0</v>
      </c>
      <c r="L941" s="231">
        <v>1</v>
      </c>
      <c r="M941" s="231">
        <v>1</v>
      </c>
      <c r="N941" s="231">
        <v>3</v>
      </c>
      <c r="O941" s="231">
        <v>3</v>
      </c>
      <c r="P941" s="234"/>
      <c r="Q941" s="232" t="s">
        <v>2646</v>
      </c>
      <c r="R941" s="234" t="s">
        <v>332</v>
      </c>
      <c r="S941" s="235">
        <v>44645</v>
      </c>
      <c r="T941" s="235">
        <v>44771</v>
      </c>
      <c r="U941" s="234" t="s">
        <v>318</v>
      </c>
      <c r="V941" s="232" t="s">
        <v>321</v>
      </c>
      <c r="W941" s="231"/>
      <c r="X941" s="232" t="s">
        <v>322</v>
      </c>
      <c r="Y941" s="232" t="s">
        <v>323</v>
      </c>
      <c r="Z941" s="232" t="s">
        <v>324</v>
      </c>
      <c r="AA941" s="232" t="s">
        <v>349</v>
      </c>
      <c r="AB941" s="236">
        <v>6.1999999999999998E-3</v>
      </c>
      <c r="AC941" s="235"/>
      <c r="AD941" s="234"/>
      <c r="AE941" s="234"/>
      <c r="AF941" s="232" t="s">
        <v>77</v>
      </c>
      <c r="AG941" s="232" t="s">
        <v>350</v>
      </c>
      <c r="AH941" s="234" t="s">
        <v>317</v>
      </c>
      <c r="AJ941" s="234">
        <v>0</v>
      </c>
      <c r="AK941" s="224"/>
      <c r="AL941" s="234">
        <v>0</v>
      </c>
      <c r="AM941" s="224"/>
      <c r="AN941" s="234">
        <v>0</v>
      </c>
      <c r="AO941" s="234">
        <v>0</v>
      </c>
      <c r="AP941" s="234">
        <v>1</v>
      </c>
      <c r="AQ941" s="234">
        <v>0</v>
      </c>
      <c r="AR941" s="234">
        <v>0</v>
      </c>
      <c r="AS941" s="234">
        <v>0</v>
      </c>
      <c r="AT941" s="234">
        <v>0</v>
      </c>
      <c r="AU941" s="234">
        <v>0</v>
      </c>
      <c r="AV941" s="234">
        <v>0</v>
      </c>
      <c r="AW941" s="234">
        <v>0</v>
      </c>
      <c r="AX941" s="234">
        <v>0</v>
      </c>
      <c r="AY941" s="234">
        <v>0</v>
      </c>
      <c r="AZ941" s="234">
        <v>0</v>
      </c>
      <c r="BA941" s="234">
        <v>0</v>
      </c>
      <c r="BB941" s="234">
        <v>0</v>
      </c>
      <c r="BC941" s="234">
        <v>0</v>
      </c>
      <c r="BD941" s="234">
        <v>1</v>
      </c>
      <c r="BE941" s="234">
        <v>0</v>
      </c>
      <c r="BF941" s="234">
        <v>0</v>
      </c>
      <c r="BG941" s="234">
        <v>0</v>
      </c>
      <c r="BH941" s="234">
        <v>0</v>
      </c>
      <c r="BI941" s="234">
        <v>0</v>
      </c>
      <c r="BJ941" s="234">
        <v>0</v>
      </c>
      <c r="BK941" s="234">
        <v>0</v>
      </c>
      <c r="BL941" s="234">
        <v>0</v>
      </c>
      <c r="BM941" s="234">
        <v>0</v>
      </c>
      <c r="BN941" s="234">
        <v>0</v>
      </c>
      <c r="BO941" s="234">
        <v>0</v>
      </c>
      <c r="BP941" s="234"/>
      <c r="BQ941" s="234"/>
      <c r="BR941" s="237" t="s">
        <v>334</v>
      </c>
      <c r="BS941" s="238">
        <v>7</v>
      </c>
      <c r="BV941" s="239">
        <f t="shared" si="114"/>
        <v>0.25</v>
      </c>
      <c r="BW941" s="239">
        <f t="shared" si="115"/>
        <v>0.25</v>
      </c>
      <c r="BX941" s="239">
        <f t="shared" si="116"/>
        <v>0.25</v>
      </c>
      <c r="BY941" s="239">
        <f t="shared" si="117"/>
        <v>0.25</v>
      </c>
      <c r="CN941" s="238">
        <f t="shared" si="108"/>
        <v>1</v>
      </c>
      <c r="CO941" s="238">
        <f t="shared" si="109"/>
        <v>1</v>
      </c>
    </row>
    <row r="942" spans="1:93" ht="13.95" customHeight="1" x14ac:dyDescent="0.2">
      <c r="A942" s="231">
        <v>7838</v>
      </c>
      <c r="B942" s="232" t="s">
        <v>822</v>
      </c>
      <c r="C942" s="232" t="s">
        <v>2647</v>
      </c>
      <c r="D942" s="232" t="s">
        <v>2648</v>
      </c>
      <c r="E942" s="232" t="s">
        <v>2655</v>
      </c>
      <c r="F942" s="231">
        <v>522109</v>
      </c>
      <c r="G942" s="231">
        <v>173890</v>
      </c>
      <c r="H942" s="232" t="s">
        <v>170</v>
      </c>
      <c r="I942" s="233"/>
      <c r="J942" s="231"/>
      <c r="K942" s="231">
        <v>0</v>
      </c>
      <c r="L942" s="231">
        <v>1</v>
      </c>
      <c r="M942" s="231">
        <v>1</v>
      </c>
      <c r="N942" s="231">
        <v>3</v>
      </c>
      <c r="O942" s="231">
        <v>3</v>
      </c>
      <c r="P942" s="234"/>
      <c r="Q942" s="232" t="s">
        <v>2650</v>
      </c>
      <c r="R942" s="234" t="s">
        <v>2651</v>
      </c>
      <c r="S942" s="235">
        <v>44686</v>
      </c>
      <c r="T942" s="235">
        <v>44812</v>
      </c>
      <c r="U942" s="234" t="s">
        <v>318</v>
      </c>
      <c r="V942" s="232" t="s">
        <v>321</v>
      </c>
      <c r="W942" s="231"/>
      <c r="X942" s="232" t="s">
        <v>322</v>
      </c>
      <c r="Y942" s="232" t="s">
        <v>323</v>
      </c>
      <c r="Z942" s="232" t="s">
        <v>324</v>
      </c>
      <c r="AA942" s="232" t="s">
        <v>349</v>
      </c>
      <c r="AB942" s="236">
        <v>4.0000000000000001E-3</v>
      </c>
      <c r="AC942" s="235"/>
      <c r="AD942" s="234"/>
      <c r="AE942" s="234"/>
      <c r="AF942" s="232" t="s">
        <v>77</v>
      </c>
      <c r="AG942" s="232" t="s">
        <v>350</v>
      </c>
      <c r="AH942" s="234" t="s">
        <v>317</v>
      </c>
      <c r="AJ942" s="234">
        <v>0</v>
      </c>
      <c r="AK942" s="224"/>
      <c r="AL942" s="234">
        <v>0</v>
      </c>
      <c r="AM942" s="224"/>
      <c r="AN942" s="234">
        <v>0</v>
      </c>
      <c r="AO942" s="234">
        <v>0</v>
      </c>
      <c r="AP942" s="234">
        <v>0</v>
      </c>
      <c r="AQ942" s="234">
        <v>0</v>
      </c>
      <c r="AR942" s="234">
        <v>0</v>
      </c>
      <c r="AS942" s="234">
        <v>0</v>
      </c>
      <c r="AT942" s="234">
        <v>1</v>
      </c>
      <c r="AU942" s="234">
        <v>0</v>
      </c>
      <c r="AV942" s="234">
        <v>0</v>
      </c>
      <c r="AW942" s="234">
        <v>0</v>
      </c>
      <c r="AX942" s="234">
        <v>0</v>
      </c>
      <c r="AY942" s="234">
        <v>0</v>
      </c>
      <c r="AZ942" s="234">
        <v>0</v>
      </c>
      <c r="BA942" s="234">
        <v>0</v>
      </c>
      <c r="BB942" s="234">
        <v>0</v>
      </c>
      <c r="BC942" s="234">
        <v>0</v>
      </c>
      <c r="BD942" s="234">
        <v>0</v>
      </c>
      <c r="BE942" s="234">
        <v>0</v>
      </c>
      <c r="BF942" s="234">
        <v>0</v>
      </c>
      <c r="BG942" s="234">
        <v>0</v>
      </c>
      <c r="BH942" s="234">
        <v>1</v>
      </c>
      <c r="BI942" s="234">
        <v>0</v>
      </c>
      <c r="BJ942" s="234">
        <v>0</v>
      </c>
      <c r="BK942" s="234">
        <v>0</v>
      </c>
      <c r="BL942" s="234">
        <v>0</v>
      </c>
      <c r="BM942" s="234">
        <v>0</v>
      </c>
      <c r="BN942" s="234">
        <v>0</v>
      </c>
      <c r="BO942" s="234">
        <v>0</v>
      </c>
      <c r="BP942" s="234"/>
      <c r="BQ942" s="234"/>
      <c r="BR942" s="237" t="s">
        <v>153</v>
      </c>
      <c r="BS942" s="238">
        <v>7</v>
      </c>
      <c r="BV942" s="239">
        <f t="shared" si="114"/>
        <v>0.25</v>
      </c>
      <c r="BW942" s="239">
        <f t="shared" si="115"/>
        <v>0.25</v>
      </c>
      <c r="BX942" s="239">
        <f t="shared" si="116"/>
        <v>0.25</v>
      </c>
      <c r="BY942" s="239">
        <f t="shared" si="117"/>
        <v>0.25</v>
      </c>
      <c r="CN942" s="238">
        <f t="shared" si="108"/>
        <v>1</v>
      </c>
      <c r="CO942" s="238">
        <f t="shared" si="109"/>
        <v>1</v>
      </c>
    </row>
    <row r="943" spans="1:93" ht="13.95" customHeight="1" x14ac:dyDescent="0.2">
      <c r="A943" s="231">
        <v>6526</v>
      </c>
      <c r="B943" s="232" t="s">
        <v>822</v>
      </c>
      <c r="C943" s="232" t="s">
        <v>2656</v>
      </c>
      <c r="D943" s="232" t="s">
        <v>2657</v>
      </c>
      <c r="E943" s="232" t="s">
        <v>56</v>
      </c>
      <c r="F943" s="231">
        <v>525688</v>
      </c>
      <c r="G943" s="231">
        <v>174300</v>
      </c>
      <c r="H943" s="232" t="s">
        <v>181</v>
      </c>
      <c r="I943" s="233"/>
      <c r="J943" s="231"/>
      <c r="K943" s="231">
        <v>0</v>
      </c>
      <c r="L943" s="231">
        <v>10</v>
      </c>
      <c r="M943" s="231">
        <v>10</v>
      </c>
      <c r="N943" s="231">
        <v>27</v>
      </c>
      <c r="O943" s="231">
        <v>27</v>
      </c>
      <c r="P943" s="234" t="s">
        <v>318</v>
      </c>
      <c r="Q943" s="232" t="s">
        <v>2658</v>
      </c>
      <c r="R943" s="234" t="s">
        <v>320</v>
      </c>
      <c r="S943" s="235">
        <v>42809</v>
      </c>
      <c r="T943" s="235">
        <v>44363</v>
      </c>
      <c r="U943" s="234"/>
      <c r="V943" s="232" t="s">
        <v>321</v>
      </c>
      <c r="W943" s="231"/>
      <c r="X943" s="232" t="s">
        <v>322</v>
      </c>
      <c r="Y943" s="232" t="s">
        <v>323</v>
      </c>
      <c r="Z943" s="232" t="s">
        <v>323</v>
      </c>
      <c r="AA943" s="232" t="s">
        <v>324</v>
      </c>
      <c r="AB943" s="236">
        <v>6.7000000000000004E-2</v>
      </c>
      <c r="AC943" s="235"/>
      <c r="AD943" s="234"/>
      <c r="AE943" s="234"/>
      <c r="AF943" s="232" t="s">
        <v>56</v>
      </c>
      <c r="AG943" s="232" t="s">
        <v>2659</v>
      </c>
      <c r="AH943" s="234" t="s">
        <v>317</v>
      </c>
      <c r="AJ943" s="234">
        <v>10</v>
      </c>
      <c r="AK943" s="224"/>
      <c r="AL943" s="234">
        <v>1</v>
      </c>
      <c r="AM943" s="224"/>
      <c r="AN943" s="234">
        <v>3</v>
      </c>
      <c r="AO943" s="234">
        <v>7</v>
      </c>
      <c r="AP943" s="234">
        <v>0</v>
      </c>
      <c r="AQ943" s="234">
        <v>0</v>
      </c>
      <c r="AR943" s="234">
        <v>0</v>
      </c>
      <c r="AS943" s="234">
        <v>0</v>
      </c>
      <c r="AT943" s="234">
        <v>0</v>
      </c>
      <c r="AU943" s="234">
        <v>3</v>
      </c>
      <c r="AV943" s="234">
        <v>7</v>
      </c>
      <c r="AW943" s="234">
        <v>0</v>
      </c>
      <c r="AX943" s="234">
        <v>0</v>
      </c>
      <c r="AY943" s="234">
        <v>0</v>
      </c>
      <c r="AZ943" s="234">
        <v>0</v>
      </c>
      <c r="BA943" s="234">
        <v>0</v>
      </c>
      <c r="BB943" s="234">
        <v>0</v>
      </c>
      <c r="BC943" s="234">
        <v>0</v>
      </c>
      <c r="BD943" s="234">
        <v>0</v>
      </c>
      <c r="BE943" s="234">
        <v>0</v>
      </c>
      <c r="BF943" s="234">
        <v>0</v>
      </c>
      <c r="BG943" s="234">
        <v>0</v>
      </c>
      <c r="BH943" s="234">
        <v>0</v>
      </c>
      <c r="BI943" s="234">
        <v>0</v>
      </c>
      <c r="BJ943" s="234">
        <v>0</v>
      </c>
      <c r="BK943" s="234">
        <v>0</v>
      </c>
      <c r="BL943" s="234">
        <v>0</v>
      </c>
      <c r="BM943" s="234">
        <v>0</v>
      </c>
      <c r="BN943" s="234">
        <v>0</v>
      </c>
      <c r="BO943" s="234">
        <v>0</v>
      </c>
      <c r="BP943" s="234" t="s">
        <v>145</v>
      </c>
      <c r="BQ943" s="234"/>
      <c r="BR943" s="237" t="s">
        <v>327</v>
      </c>
      <c r="BS943" s="238">
        <v>10</v>
      </c>
      <c r="BX943" s="239">
        <f>M943/3</f>
        <v>3.3333333333333335</v>
      </c>
      <c r="BY943" s="239">
        <f>M943/3</f>
        <v>3.3333333333333335</v>
      </c>
      <c r="BZ943" s="239">
        <f>M943/3</f>
        <v>3.3333333333333335</v>
      </c>
      <c r="CN943" s="238">
        <f t="shared" si="108"/>
        <v>6.666666666666667</v>
      </c>
      <c r="CO943" s="238">
        <f t="shared" si="109"/>
        <v>10</v>
      </c>
    </row>
    <row r="944" spans="1:93" ht="13.95" customHeight="1" x14ac:dyDescent="0.2">
      <c r="A944" s="231">
        <v>7835</v>
      </c>
      <c r="B944" s="232" t="s">
        <v>822</v>
      </c>
      <c r="C944" s="232" t="s">
        <v>2660</v>
      </c>
      <c r="D944" s="232" t="s">
        <v>2661</v>
      </c>
      <c r="E944" s="232" t="s">
        <v>2662</v>
      </c>
      <c r="F944" s="231">
        <v>528255</v>
      </c>
      <c r="G944" s="231">
        <v>172659</v>
      </c>
      <c r="H944" s="232" t="s">
        <v>172</v>
      </c>
      <c r="I944" s="233"/>
      <c r="J944" s="231"/>
      <c r="K944" s="231">
        <v>0</v>
      </c>
      <c r="L944" s="231">
        <v>5</v>
      </c>
      <c r="M944" s="231">
        <v>5</v>
      </c>
      <c r="N944" s="231">
        <v>42</v>
      </c>
      <c r="O944" s="231">
        <v>42</v>
      </c>
      <c r="P944" s="234" t="s">
        <v>318</v>
      </c>
      <c r="Q944" s="232" t="s">
        <v>2663</v>
      </c>
      <c r="R944" s="234" t="s">
        <v>320</v>
      </c>
      <c r="S944" s="235">
        <v>44676</v>
      </c>
      <c r="T944" s="235">
        <v>44993</v>
      </c>
      <c r="U944" s="234" t="s">
        <v>318</v>
      </c>
      <c r="V944" s="232" t="s">
        <v>321</v>
      </c>
      <c r="W944" s="231"/>
      <c r="X944" s="232" t="s">
        <v>322</v>
      </c>
      <c r="Y944" s="232" t="s">
        <v>323</v>
      </c>
      <c r="Z944" s="232" t="s">
        <v>323</v>
      </c>
      <c r="AA944" s="232" t="s">
        <v>324</v>
      </c>
      <c r="AB944" s="236">
        <v>4.6600000000000003E-2</v>
      </c>
      <c r="AC944" s="235"/>
      <c r="AD944" s="234"/>
      <c r="AE944" s="234"/>
      <c r="AF944" s="232" t="s">
        <v>57</v>
      </c>
      <c r="AG944" s="232" t="s">
        <v>328</v>
      </c>
      <c r="AH944" s="234" t="s">
        <v>317</v>
      </c>
      <c r="AJ944" s="234">
        <v>0</v>
      </c>
      <c r="AK944" s="224"/>
      <c r="AL944" s="234">
        <v>0</v>
      </c>
      <c r="AM944" s="224"/>
      <c r="AN944" s="234">
        <v>0</v>
      </c>
      <c r="AO944" s="234">
        <v>0</v>
      </c>
      <c r="AP944" s="234">
        <v>0</v>
      </c>
      <c r="AQ944" s="234">
        <v>5</v>
      </c>
      <c r="AR944" s="234">
        <v>0</v>
      </c>
      <c r="AS944" s="234">
        <v>0</v>
      </c>
      <c r="AT944" s="234">
        <v>0</v>
      </c>
      <c r="AU944" s="234">
        <v>0</v>
      </c>
      <c r="AV944" s="234">
        <v>0</v>
      </c>
      <c r="AW944" s="234">
        <v>0</v>
      </c>
      <c r="AX944" s="234">
        <v>5</v>
      </c>
      <c r="AY944" s="234">
        <v>0</v>
      </c>
      <c r="AZ944" s="234">
        <v>0</v>
      </c>
      <c r="BA944" s="234">
        <v>0</v>
      </c>
      <c r="BB944" s="234">
        <v>0</v>
      </c>
      <c r="BC944" s="234">
        <v>0</v>
      </c>
      <c r="BD944" s="234">
        <v>0</v>
      </c>
      <c r="BE944" s="234">
        <v>0</v>
      </c>
      <c r="BF944" s="234">
        <v>0</v>
      </c>
      <c r="BG944" s="234">
        <v>0</v>
      </c>
      <c r="BH944" s="234">
        <v>0</v>
      </c>
      <c r="BI944" s="234">
        <v>0</v>
      </c>
      <c r="BJ944" s="234">
        <v>0</v>
      </c>
      <c r="BK944" s="234">
        <v>0</v>
      </c>
      <c r="BL944" s="234">
        <v>0</v>
      </c>
      <c r="BM944" s="234">
        <v>0</v>
      </c>
      <c r="BN944" s="234">
        <v>0</v>
      </c>
      <c r="BO944" s="234">
        <v>0</v>
      </c>
      <c r="BP944" s="234"/>
      <c r="BQ944" s="234"/>
      <c r="BR944" s="237" t="s">
        <v>334</v>
      </c>
      <c r="BS944" s="238">
        <v>8</v>
      </c>
      <c r="BW944" s="239">
        <f>M944</f>
        <v>5</v>
      </c>
      <c r="CN944" s="238">
        <f t="shared" si="108"/>
        <v>5</v>
      </c>
      <c r="CO944" s="238">
        <f t="shared" si="109"/>
        <v>5</v>
      </c>
    </row>
    <row r="945" spans="1:93" ht="13.95" customHeight="1" x14ac:dyDescent="0.2">
      <c r="A945" s="231">
        <v>5044</v>
      </c>
      <c r="B945" s="232" t="s">
        <v>822</v>
      </c>
      <c r="C945" s="232" t="s">
        <v>2664</v>
      </c>
      <c r="D945" s="232" t="s">
        <v>2665</v>
      </c>
      <c r="E945" s="232" t="s">
        <v>2666</v>
      </c>
      <c r="F945" s="231">
        <v>524136</v>
      </c>
      <c r="G945" s="231">
        <v>175435</v>
      </c>
      <c r="H945" s="232" t="s">
        <v>175</v>
      </c>
      <c r="I945" s="233">
        <v>44748</v>
      </c>
      <c r="J945" s="231"/>
      <c r="K945" s="231">
        <v>0</v>
      </c>
      <c r="L945" s="231">
        <v>33</v>
      </c>
      <c r="M945" s="231">
        <v>33</v>
      </c>
      <c r="N945" s="231">
        <v>123</v>
      </c>
      <c r="O945" s="231">
        <v>121</v>
      </c>
      <c r="P945" s="234" t="s">
        <v>318</v>
      </c>
      <c r="Q945" s="232" t="s">
        <v>2667</v>
      </c>
      <c r="R945" s="234" t="s">
        <v>344</v>
      </c>
      <c r="S945" s="235">
        <v>43962</v>
      </c>
      <c r="T945" s="235">
        <v>44131</v>
      </c>
      <c r="U945" s="234"/>
      <c r="V945" s="232" t="s">
        <v>321</v>
      </c>
      <c r="W945" s="231"/>
      <c r="X945" s="232" t="s">
        <v>322</v>
      </c>
      <c r="Y945" s="232" t="s">
        <v>323</v>
      </c>
      <c r="Z945" s="232" t="s">
        <v>323</v>
      </c>
      <c r="AA945" s="232" t="s">
        <v>324</v>
      </c>
      <c r="AB945" s="236">
        <v>8.1000000000000003E-2</v>
      </c>
      <c r="AC945" s="235"/>
      <c r="AD945" s="234"/>
      <c r="AE945" s="234"/>
      <c r="AF945" s="232" t="s">
        <v>56</v>
      </c>
      <c r="AG945" s="232" t="s">
        <v>345</v>
      </c>
      <c r="AH945" s="234" t="s">
        <v>2668</v>
      </c>
      <c r="AJ945" s="234">
        <v>0</v>
      </c>
      <c r="AK945" s="224"/>
      <c r="AL945" s="234">
        <v>0</v>
      </c>
      <c r="AM945" s="234">
        <v>4</v>
      </c>
      <c r="AN945" s="234">
        <v>0</v>
      </c>
      <c r="AO945" s="234">
        <v>13</v>
      </c>
      <c r="AP945" s="234">
        <v>20</v>
      </c>
      <c r="AQ945" s="234">
        <v>0</v>
      </c>
      <c r="AR945" s="234">
        <v>0</v>
      </c>
      <c r="AS945" s="234">
        <v>0</v>
      </c>
      <c r="AT945" s="234">
        <v>0</v>
      </c>
      <c r="AU945" s="234">
        <v>0</v>
      </c>
      <c r="AV945" s="234">
        <v>13</v>
      </c>
      <c r="AW945" s="234">
        <v>20</v>
      </c>
      <c r="AX945" s="234">
        <v>0</v>
      </c>
      <c r="AY945" s="234">
        <v>0</v>
      </c>
      <c r="AZ945" s="234">
        <v>0</v>
      </c>
      <c r="BA945" s="234">
        <v>0</v>
      </c>
      <c r="BB945" s="234">
        <v>0</v>
      </c>
      <c r="BC945" s="234">
        <v>0</v>
      </c>
      <c r="BD945" s="234">
        <v>0</v>
      </c>
      <c r="BE945" s="234">
        <v>0</v>
      </c>
      <c r="BF945" s="234">
        <v>0</v>
      </c>
      <c r="BG945" s="234">
        <v>0</v>
      </c>
      <c r="BH945" s="234">
        <v>0</v>
      </c>
      <c r="BI945" s="234">
        <v>0</v>
      </c>
      <c r="BJ945" s="234">
        <v>0</v>
      </c>
      <c r="BK945" s="234">
        <v>0</v>
      </c>
      <c r="BL945" s="234">
        <v>0</v>
      </c>
      <c r="BM945" s="234">
        <v>0</v>
      </c>
      <c r="BN945" s="234">
        <v>0</v>
      </c>
      <c r="BO945" s="234">
        <v>0</v>
      </c>
      <c r="BP945" s="234" t="s">
        <v>143</v>
      </c>
      <c r="BQ945" s="234"/>
      <c r="BR945" s="237" t="s">
        <v>152</v>
      </c>
      <c r="BS945" s="238">
        <v>10</v>
      </c>
      <c r="BX945" s="239">
        <f>M945/3</f>
        <v>11</v>
      </c>
      <c r="BY945" s="239">
        <f>M945/3</f>
        <v>11</v>
      </c>
      <c r="BZ945" s="239">
        <f>M945/3</f>
        <v>11</v>
      </c>
      <c r="CN945" s="238">
        <f t="shared" si="108"/>
        <v>22</v>
      </c>
      <c r="CO945" s="238">
        <f t="shared" si="109"/>
        <v>33</v>
      </c>
    </row>
    <row r="946" spans="1:93" ht="13.95" customHeight="1" x14ac:dyDescent="0.2">
      <c r="A946" s="231">
        <v>5044</v>
      </c>
      <c r="B946" s="232" t="s">
        <v>822</v>
      </c>
      <c r="C946" s="232" t="s">
        <v>2664</v>
      </c>
      <c r="D946" s="232" t="s">
        <v>2665</v>
      </c>
      <c r="E946" s="232" t="s">
        <v>2669</v>
      </c>
      <c r="F946" s="231">
        <v>524136</v>
      </c>
      <c r="G946" s="231">
        <v>175435</v>
      </c>
      <c r="H946" s="232" t="s">
        <v>175</v>
      </c>
      <c r="I946" s="233">
        <v>44748</v>
      </c>
      <c r="J946" s="231"/>
      <c r="K946" s="231">
        <v>2</v>
      </c>
      <c r="L946" s="231">
        <v>82</v>
      </c>
      <c r="M946" s="231">
        <v>80</v>
      </c>
      <c r="N946" s="231">
        <v>123</v>
      </c>
      <c r="O946" s="231">
        <v>121</v>
      </c>
      <c r="P946" s="234" t="s">
        <v>318</v>
      </c>
      <c r="Q946" s="232" t="s">
        <v>2667</v>
      </c>
      <c r="R946" s="234" t="s">
        <v>344</v>
      </c>
      <c r="S946" s="235">
        <v>43962</v>
      </c>
      <c r="T946" s="235">
        <v>44131</v>
      </c>
      <c r="U946" s="234"/>
      <c r="V946" s="232" t="s">
        <v>321</v>
      </c>
      <c r="W946" s="231"/>
      <c r="X946" s="232" t="s">
        <v>322</v>
      </c>
      <c r="Y946" s="232" t="s">
        <v>323</v>
      </c>
      <c r="Z946" s="232" t="s">
        <v>323</v>
      </c>
      <c r="AA946" s="232" t="s">
        <v>324</v>
      </c>
      <c r="AB946" s="236">
        <v>0.19600000000000001</v>
      </c>
      <c r="AC946" s="235"/>
      <c r="AD946" s="234"/>
      <c r="AE946" s="234"/>
      <c r="AF946" s="232" t="s">
        <v>77</v>
      </c>
      <c r="AG946" s="232" t="s">
        <v>350</v>
      </c>
      <c r="AH946" s="234" t="s">
        <v>2668</v>
      </c>
      <c r="AJ946" s="234">
        <v>0</v>
      </c>
      <c r="AK946" s="224"/>
      <c r="AL946" s="234">
        <v>0</v>
      </c>
      <c r="AM946" s="234">
        <v>8</v>
      </c>
      <c r="AN946" s="234">
        <v>0</v>
      </c>
      <c r="AO946" s="234">
        <v>23</v>
      </c>
      <c r="AP946" s="234">
        <v>29</v>
      </c>
      <c r="AQ946" s="234">
        <v>28</v>
      </c>
      <c r="AR946" s="234">
        <v>0</v>
      </c>
      <c r="AS946" s="234">
        <v>0</v>
      </c>
      <c r="AT946" s="234">
        <v>0</v>
      </c>
      <c r="AU946" s="234">
        <v>0</v>
      </c>
      <c r="AV946" s="234">
        <v>23</v>
      </c>
      <c r="AW946" s="234">
        <v>29</v>
      </c>
      <c r="AX946" s="234">
        <v>28</v>
      </c>
      <c r="AY946" s="234">
        <v>0</v>
      </c>
      <c r="AZ946" s="234">
        <v>0</v>
      </c>
      <c r="BA946" s="234">
        <v>0</v>
      </c>
      <c r="BB946" s="234">
        <v>0</v>
      </c>
      <c r="BC946" s="234">
        <v>0</v>
      </c>
      <c r="BD946" s="234">
        <v>0</v>
      </c>
      <c r="BE946" s="234">
        <v>0</v>
      </c>
      <c r="BF946" s="234">
        <v>0</v>
      </c>
      <c r="BG946" s="234">
        <v>0</v>
      </c>
      <c r="BH946" s="234">
        <v>0</v>
      </c>
      <c r="BI946" s="234">
        <v>0</v>
      </c>
      <c r="BJ946" s="234">
        <v>0</v>
      </c>
      <c r="BK946" s="234">
        <v>0</v>
      </c>
      <c r="BL946" s="234">
        <v>0</v>
      </c>
      <c r="BM946" s="234">
        <v>0</v>
      </c>
      <c r="BN946" s="234">
        <v>0</v>
      </c>
      <c r="BO946" s="234">
        <v>0</v>
      </c>
      <c r="BP946" s="234" t="s">
        <v>143</v>
      </c>
      <c r="BQ946" s="234"/>
      <c r="BR946" s="237" t="s">
        <v>152</v>
      </c>
      <c r="BS946" s="238">
        <v>10</v>
      </c>
      <c r="BX946" s="239">
        <f>M946/3</f>
        <v>26.666666666666668</v>
      </c>
      <c r="BY946" s="239">
        <f>M946/3</f>
        <v>26.666666666666668</v>
      </c>
      <c r="BZ946" s="239">
        <f>M946/3</f>
        <v>26.666666666666668</v>
      </c>
      <c r="CN946" s="238">
        <f t="shared" si="108"/>
        <v>53.333333333333336</v>
      </c>
      <c r="CO946" s="238">
        <f t="shared" si="109"/>
        <v>80</v>
      </c>
    </row>
    <row r="947" spans="1:93" ht="13.95" customHeight="1" x14ac:dyDescent="0.2">
      <c r="A947" s="231">
        <v>5044</v>
      </c>
      <c r="B947" s="232" t="s">
        <v>822</v>
      </c>
      <c r="C947" s="232" t="s">
        <v>2664</v>
      </c>
      <c r="D947" s="232" t="s">
        <v>2665</v>
      </c>
      <c r="E947" s="232" t="s">
        <v>2670</v>
      </c>
      <c r="F947" s="231">
        <v>524136</v>
      </c>
      <c r="G947" s="231">
        <v>175435</v>
      </c>
      <c r="H947" s="232" t="s">
        <v>175</v>
      </c>
      <c r="I947" s="233">
        <v>44748</v>
      </c>
      <c r="J947" s="231"/>
      <c r="K947" s="231">
        <v>0</v>
      </c>
      <c r="L947" s="231">
        <v>8</v>
      </c>
      <c r="M947" s="231">
        <v>8</v>
      </c>
      <c r="N947" s="231">
        <v>123</v>
      </c>
      <c r="O947" s="231">
        <v>121</v>
      </c>
      <c r="P947" s="234" t="s">
        <v>318</v>
      </c>
      <c r="Q947" s="232" t="s">
        <v>2667</v>
      </c>
      <c r="R947" s="234" t="s">
        <v>344</v>
      </c>
      <c r="S947" s="235">
        <v>43962</v>
      </c>
      <c r="T947" s="235">
        <v>44131</v>
      </c>
      <c r="U947" s="234"/>
      <c r="V947" s="232" t="s">
        <v>321</v>
      </c>
      <c r="W947" s="231"/>
      <c r="X947" s="232" t="s">
        <v>322</v>
      </c>
      <c r="Y947" s="232" t="s">
        <v>323</v>
      </c>
      <c r="Z947" s="232" t="s">
        <v>323</v>
      </c>
      <c r="AA947" s="232" t="s">
        <v>324</v>
      </c>
      <c r="AB947" s="236">
        <v>6.6000000000000003E-2</v>
      </c>
      <c r="AC947" s="235"/>
      <c r="AD947" s="234"/>
      <c r="AE947" s="234"/>
      <c r="AF947" s="232" t="s">
        <v>77</v>
      </c>
      <c r="AG947" s="232" t="s">
        <v>350</v>
      </c>
      <c r="AH947" s="234" t="s">
        <v>2668</v>
      </c>
      <c r="AJ947" s="234">
        <v>0</v>
      </c>
      <c r="AK947" s="224"/>
      <c r="AL947" s="234">
        <v>0</v>
      </c>
      <c r="AM947" s="224"/>
      <c r="AN947" s="234">
        <v>0</v>
      </c>
      <c r="AO947" s="234">
        <v>0</v>
      </c>
      <c r="AP947" s="234">
        <v>8</v>
      </c>
      <c r="AQ947" s="234">
        <v>0</v>
      </c>
      <c r="AR947" s="234">
        <v>0</v>
      </c>
      <c r="AS947" s="234">
        <v>0</v>
      </c>
      <c r="AT947" s="234">
        <v>0</v>
      </c>
      <c r="AU947" s="234">
        <v>0</v>
      </c>
      <c r="AV947" s="234">
        <v>0</v>
      </c>
      <c r="AW947" s="234">
        <v>0</v>
      </c>
      <c r="AX947" s="234">
        <v>0</v>
      </c>
      <c r="AY947" s="234">
        <v>0</v>
      </c>
      <c r="AZ947" s="234">
        <v>0</v>
      </c>
      <c r="BA947" s="234">
        <v>0</v>
      </c>
      <c r="BB947" s="234">
        <v>0</v>
      </c>
      <c r="BC947" s="234">
        <v>0</v>
      </c>
      <c r="BD947" s="234">
        <v>8</v>
      </c>
      <c r="BE947" s="234">
        <v>0</v>
      </c>
      <c r="BF947" s="234">
        <v>0</v>
      </c>
      <c r="BG947" s="234">
        <v>0</v>
      </c>
      <c r="BH947" s="234">
        <v>0</v>
      </c>
      <c r="BI947" s="234">
        <v>0</v>
      </c>
      <c r="BJ947" s="234">
        <v>0</v>
      </c>
      <c r="BK947" s="234">
        <v>0</v>
      </c>
      <c r="BL947" s="234">
        <v>0</v>
      </c>
      <c r="BM947" s="234">
        <v>0</v>
      </c>
      <c r="BN947" s="234">
        <v>0</v>
      </c>
      <c r="BO947" s="234">
        <v>0</v>
      </c>
      <c r="BP947" s="234" t="s">
        <v>143</v>
      </c>
      <c r="BQ947" s="234"/>
      <c r="BR947" s="237" t="s">
        <v>152</v>
      </c>
      <c r="BS947" s="238">
        <v>10</v>
      </c>
      <c r="BX947" s="239">
        <f>M947/3</f>
        <v>2.6666666666666665</v>
      </c>
      <c r="BY947" s="239">
        <f>M947/3</f>
        <v>2.6666666666666665</v>
      </c>
      <c r="BZ947" s="239">
        <f>M947/3</f>
        <v>2.6666666666666665</v>
      </c>
      <c r="CN947" s="238">
        <f t="shared" si="108"/>
        <v>5.333333333333333</v>
      </c>
      <c r="CO947" s="238">
        <f t="shared" si="109"/>
        <v>8</v>
      </c>
    </row>
    <row r="948" spans="1:93" ht="13.95" customHeight="1" x14ac:dyDescent="0.2">
      <c r="A948" s="231">
        <v>7835</v>
      </c>
      <c r="B948" s="232" t="s">
        <v>822</v>
      </c>
      <c r="C948" s="232" t="s">
        <v>2660</v>
      </c>
      <c r="D948" s="232" t="s">
        <v>2661</v>
      </c>
      <c r="E948" s="232" t="s">
        <v>187</v>
      </c>
      <c r="F948" s="231">
        <v>528255</v>
      </c>
      <c r="G948" s="231">
        <v>172659</v>
      </c>
      <c r="H948" s="232" t="s">
        <v>172</v>
      </c>
      <c r="I948" s="233"/>
      <c r="J948" s="231"/>
      <c r="K948" s="231">
        <v>0</v>
      </c>
      <c r="L948" s="231">
        <v>37</v>
      </c>
      <c r="M948" s="231">
        <v>37</v>
      </c>
      <c r="N948" s="231">
        <v>42</v>
      </c>
      <c r="O948" s="231">
        <v>42</v>
      </c>
      <c r="P948" s="234" t="s">
        <v>318</v>
      </c>
      <c r="Q948" s="232" t="s">
        <v>2663</v>
      </c>
      <c r="R948" s="234" t="s">
        <v>320</v>
      </c>
      <c r="S948" s="235">
        <v>44676</v>
      </c>
      <c r="T948" s="235">
        <v>44993</v>
      </c>
      <c r="U948" s="234" t="s">
        <v>318</v>
      </c>
      <c r="V948" s="232" t="s">
        <v>321</v>
      </c>
      <c r="W948" s="231"/>
      <c r="X948" s="232" t="s">
        <v>322</v>
      </c>
      <c r="Y948" s="232" t="s">
        <v>323</v>
      </c>
      <c r="Z948" s="232" t="s">
        <v>323</v>
      </c>
      <c r="AA948" s="232" t="s">
        <v>324</v>
      </c>
      <c r="AB948" s="236">
        <v>0.34520000000000001</v>
      </c>
      <c r="AC948" s="235"/>
      <c r="AD948" s="234"/>
      <c r="AE948" s="234"/>
      <c r="AF948" s="232" t="s">
        <v>77</v>
      </c>
      <c r="AG948" s="232" t="s">
        <v>350</v>
      </c>
      <c r="AH948" s="234" t="s">
        <v>317</v>
      </c>
      <c r="AJ948" s="234">
        <v>0</v>
      </c>
      <c r="AK948" s="224"/>
      <c r="AL948" s="234">
        <v>0</v>
      </c>
      <c r="AM948" s="224"/>
      <c r="AN948" s="234">
        <v>1</v>
      </c>
      <c r="AO948" s="234">
        <v>18</v>
      </c>
      <c r="AP948" s="234">
        <v>14</v>
      </c>
      <c r="AQ948" s="234">
        <v>4</v>
      </c>
      <c r="AR948" s="234">
        <v>0</v>
      </c>
      <c r="AS948" s="234">
        <v>0</v>
      </c>
      <c r="AT948" s="234">
        <v>0</v>
      </c>
      <c r="AU948" s="234">
        <v>1</v>
      </c>
      <c r="AV948" s="234">
        <v>18</v>
      </c>
      <c r="AW948" s="234">
        <v>14</v>
      </c>
      <c r="AX948" s="234">
        <v>4</v>
      </c>
      <c r="AY948" s="234">
        <v>0</v>
      </c>
      <c r="AZ948" s="234">
        <v>0</v>
      </c>
      <c r="BA948" s="234">
        <v>0</v>
      </c>
      <c r="BB948" s="234">
        <v>0</v>
      </c>
      <c r="BC948" s="234">
        <v>0</v>
      </c>
      <c r="BD948" s="234">
        <v>0</v>
      </c>
      <c r="BE948" s="234">
        <v>0</v>
      </c>
      <c r="BF948" s="234">
        <v>0</v>
      </c>
      <c r="BG948" s="234">
        <v>0</v>
      </c>
      <c r="BH948" s="234">
        <v>0</v>
      </c>
      <c r="BI948" s="234">
        <v>0</v>
      </c>
      <c r="BJ948" s="234">
        <v>0</v>
      </c>
      <c r="BK948" s="234">
        <v>0</v>
      </c>
      <c r="BL948" s="234">
        <v>0</v>
      </c>
      <c r="BM948" s="234">
        <v>0</v>
      </c>
      <c r="BN948" s="234">
        <v>0</v>
      </c>
      <c r="BO948" s="234">
        <v>0</v>
      </c>
      <c r="BP948" s="234"/>
      <c r="BQ948" s="234"/>
      <c r="BR948" s="237" t="s">
        <v>334</v>
      </c>
      <c r="BS948" s="238">
        <v>8</v>
      </c>
      <c r="BW948" s="239">
        <f>M948</f>
        <v>37</v>
      </c>
      <c r="CN948" s="238">
        <f t="shared" si="108"/>
        <v>37</v>
      </c>
      <c r="CO948" s="238">
        <f t="shared" si="109"/>
        <v>37</v>
      </c>
    </row>
    <row r="949" spans="1:93" ht="13.95" customHeight="1" x14ac:dyDescent="0.2">
      <c r="A949" s="231">
        <v>6526</v>
      </c>
      <c r="B949" s="232" t="s">
        <v>822</v>
      </c>
      <c r="C949" s="232" t="s">
        <v>2656</v>
      </c>
      <c r="D949" s="232" t="s">
        <v>2657</v>
      </c>
      <c r="E949" s="232" t="s">
        <v>187</v>
      </c>
      <c r="F949" s="231">
        <v>525688</v>
      </c>
      <c r="G949" s="231">
        <v>174300</v>
      </c>
      <c r="H949" s="232" t="s">
        <v>181</v>
      </c>
      <c r="I949" s="233"/>
      <c r="J949" s="231"/>
      <c r="K949" s="231">
        <v>0</v>
      </c>
      <c r="L949" s="231">
        <v>17</v>
      </c>
      <c r="M949" s="231">
        <v>17</v>
      </c>
      <c r="N949" s="231">
        <v>27</v>
      </c>
      <c r="O949" s="231">
        <v>27</v>
      </c>
      <c r="P949" s="234" t="s">
        <v>318</v>
      </c>
      <c r="Q949" s="232" t="s">
        <v>2658</v>
      </c>
      <c r="R949" s="234" t="s">
        <v>320</v>
      </c>
      <c r="S949" s="235">
        <v>42809</v>
      </c>
      <c r="T949" s="235">
        <v>44363</v>
      </c>
      <c r="U949" s="234"/>
      <c r="V949" s="232" t="s">
        <v>321</v>
      </c>
      <c r="W949" s="231"/>
      <c r="X949" s="232" t="s">
        <v>322</v>
      </c>
      <c r="Y949" s="232" t="s">
        <v>323</v>
      </c>
      <c r="Z949" s="232" t="s">
        <v>323</v>
      </c>
      <c r="AA949" s="232" t="s">
        <v>324</v>
      </c>
      <c r="AB949" s="236">
        <v>0.1139</v>
      </c>
      <c r="AC949" s="235"/>
      <c r="AD949" s="234"/>
      <c r="AE949" s="234"/>
      <c r="AF949" s="232" t="s">
        <v>77</v>
      </c>
      <c r="AG949" s="232" t="s">
        <v>350</v>
      </c>
      <c r="AH949" s="234" t="s">
        <v>317</v>
      </c>
      <c r="AJ949" s="234">
        <v>15</v>
      </c>
      <c r="AK949" s="224"/>
      <c r="AL949" s="234">
        <v>2</v>
      </c>
      <c r="AM949" s="224"/>
      <c r="AN949" s="234">
        <v>0</v>
      </c>
      <c r="AO949" s="234">
        <v>7</v>
      </c>
      <c r="AP949" s="234">
        <v>6</v>
      </c>
      <c r="AQ949" s="234">
        <v>4</v>
      </c>
      <c r="AR949" s="234">
        <v>0</v>
      </c>
      <c r="AS949" s="234">
        <v>0</v>
      </c>
      <c r="AT949" s="234">
        <v>0</v>
      </c>
      <c r="AU949" s="234">
        <v>0</v>
      </c>
      <c r="AV949" s="234">
        <v>7</v>
      </c>
      <c r="AW949" s="234">
        <v>6</v>
      </c>
      <c r="AX949" s="234">
        <v>4</v>
      </c>
      <c r="AY949" s="234">
        <v>0</v>
      </c>
      <c r="AZ949" s="234">
        <v>0</v>
      </c>
      <c r="BA949" s="234">
        <v>0</v>
      </c>
      <c r="BB949" s="234">
        <v>0</v>
      </c>
      <c r="BC949" s="234">
        <v>0</v>
      </c>
      <c r="BD949" s="234">
        <v>0</v>
      </c>
      <c r="BE949" s="234">
        <v>0</v>
      </c>
      <c r="BF949" s="234">
        <v>0</v>
      </c>
      <c r="BG949" s="234">
        <v>0</v>
      </c>
      <c r="BH949" s="234">
        <v>0</v>
      </c>
      <c r="BI949" s="234">
        <v>0</v>
      </c>
      <c r="BJ949" s="234">
        <v>0</v>
      </c>
      <c r="BK949" s="234">
        <v>0</v>
      </c>
      <c r="BL949" s="234">
        <v>0</v>
      </c>
      <c r="BM949" s="234">
        <v>0</v>
      </c>
      <c r="BN949" s="234">
        <v>0</v>
      </c>
      <c r="BO949" s="234">
        <v>0</v>
      </c>
      <c r="BP949" s="234" t="s">
        <v>145</v>
      </c>
      <c r="BQ949" s="234"/>
      <c r="BR949" s="237" t="s">
        <v>327</v>
      </c>
      <c r="BS949" s="238">
        <v>10</v>
      </c>
      <c r="BX949" s="239">
        <f>M949/3</f>
        <v>5.666666666666667</v>
      </c>
      <c r="BY949" s="239">
        <f>M949/3</f>
        <v>5.666666666666667</v>
      </c>
      <c r="BZ949" s="239">
        <f>M949/3</f>
        <v>5.666666666666667</v>
      </c>
      <c r="CN949" s="238">
        <f t="shared" ref="CN949:CN1012" si="118">SUM(BU949:BY949)</f>
        <v>11.333333333333334</v>
      </c>
      <c r="CO949" s="238">
        <f t="shared" ref="CO949:CO1012" si="119">SUM(BU949:CD949)</f>
        <v>17</v>
      </c>
    </row>
    <row r="950" spans="1:93" ht="13.95" customHeight="1" x14ac:dyDescent="0.2">
      <c r="A950" s="231">
        <v>7463</v>
      </c>
      <c r="B950" s="232" t="s">
        <v>822</v>
      </c>
      <c r="C950" s="232" t="s">
        <v>2638</v>
      </c>
      <c r="D950" s="232" t="s">
        <v>2639</v>
      </c>
      <c r="E950" s="232" t="s">
        <v>2671</v>
      </c>
      <c r="F950" s="231">
        <v>525270</v>
      </c>
      <c r="G950" s="231">
        <v>174719</v>
      </c>
      <c r="H950" s="232" t="s">
        <v>164</v>
      </c>
      <c r="I950" s="233">
        <v>44792</v>
      </c>
      <c r="J950" s="231"/>
      <c r="K950" s="231">
        <v>0</v>
      </c>
      <c r="L950" s="231">
        <v>1</v>
      </c>
      <c r="M950" s="231">
        <v>1</v>
      </c>
      <c r="N950" s="231">
        <v>9</v>
      </c>
      <c r="O950" s="231">
        <v>9</v>
      </c>
      <c r="P950" s="234"/>
      <c r="Q950" s="232" t="s">
        <v>2641</v>
      </c>
      <c r="R950" s="234" t="s">
        <v>332</v>
      </c>
      <c r="S950" s="235">
        <v>44187</v>
      </c>
      <c r="T950" s="235">
        <v>44308</v>
      </c>
      <c r="U950" s="234"/>
      <c r="V950" s="232" t="s">
        <v>321</v>
      </c>
      <c r="W950" s="231"/>
      <c r="X950" s="232" t="s">
        <v>322</v>
      </c>
      <c r="Y950" s="232" t="s">
        <v>323</v>
      </c>
      <c r="Z950" s="232" t="s">
        <v>324</v>
      </c>
      <c r="AA950" s="232" t="s">
        <v>349</v>
      </c>
      <c r="AB950" s="236">
        <v>8.9999999999999993E-3</v>
      </c>
      <c r="AC950" s="235"/>
      <c r="AD950" s="234"/>
      <c r="AE950" s="234"/>
      <c r="AF950" s="232" t="s">
        <v>77</v>
      </c>
      <c r="AG950" s="232" t="s">
        <v>350</v>
      </c>
      <c r="AH950" s="234" t="s">
        <v>317</v>
      </c>
      <c r="AJ950" s="234">
        <v>0</v>
      </c>
      <c r="AK950" s="224"/>
      <c r="AL950" s="234">
        <v>0</v>
      </c>
      <c r="AM950" s="224"/>
      <c r="AN950" s="234">
        <v>0</v>
      </c>
      <c r="AO950" s="234">
        <v>0</v>
      </c>
      <c r="AP950" s="234">
        <v>0</v>
      </c>
      <c r="AQ950" s="234">
        <v>1</v>
      </c>
      <c r="AR950" s="234">
        <v>0</v>
      </c>
      <c r="AS950" s="234">
        <v>0</v>
      </c>
      <c r="AT950" s="234">
        <v>0</v>
      </c>
      <c r="AU950" s="234">
        <v>0</v>
      </c>
      <c r="AV950" s="234">
        <v>0</v>
      </c>
      <c r="AW950" s="234">
        <v>0</v>
      </c>
      <c r="AX950" s="234">
        <v>0</v>
      </c>
      <c r="AY950" s="234">
        <v>0</v>
      </c>
      <c r="AZ950" s="234">
        <v>0</v>
      </c>
      <c r="BA950" s="234">
        <v>0</v>
      </c>
      <c r="BB950" s="234">
        <v>0</v>
      </c>
      <c r="BC950" s="234">
        <v>0</v>
      </c>
      <c r="BD950" s="234">
        <v>0</v>
      </c>
      <c r="BE950" s="234">
        <v>1</v>
      </c>
      <c r="BF950" s="234">
        <v>0</v>
      </c>
      <c r="BG950" s="234">
        <v>0</v>
      </c>
      <c r="BH950" s="234">
        <v>0</v>
      </c>
      <c r="BI950" s="234">
        <v>0</v>
      </c>
      <c r="BJ950" s="234">
        <v>0</v>
      </c>
      <c r="BK950" s="234">
        <v>0</v>
      </c>
      <c r="BL950" s="234">
        <v>0</v>
      </c>
      <c r="BM950" s="234">
        <v>0</v>
      </c>
      <c r="BN950" s="234">
        <v>0</v>
      </c>
      <c r="BO950" s="234">
        <v>0</v>
      </c>
      <c r="BP950" s="234"/>
      <c r="BQ950" s="234"/>
      <c r="BR950" s="237" t="s">
        <v>327</v>
      </c>
      <c r="BS950" s="238">
        <v>8</v>
      </c>
      <c r="BV950" s="239">
        <f>M950</f>
        <v>1</v>
      </c>
      <c r="CN950" s="238">
        <f t="shared" si="118"/>
        <v>1</v>
      </c>
      <c r="CO950" s="238">
        <f t="shared" si="119"/>
        <v>1</v>
      </c>
    </row>
    <row r="951" spans="1:93" ht="13.95" customHeight="1" x14ac:dyDescent="0.2">
      <c r="A951" s="231">
        <v>3511</v>
      </c>
      <c r="B951" s="232" t="s">
        <v>314</v>
      </c>
      <c r="C951" s="232" t="s">
        <v>2672</v>
      </c>
      <c r="D951" s="232" t="s">
        <v>824</v>
      </c>
      <c r="E951" s="232" t="s">
        <v>2673</v>
      </c>
      <c r="F951" s="231">
        <v>529369</v>
      </c>
      <c r="G951" s="231">
        <v>177317</v>
      </c>
      <c r="H951" s="232" t="s">
        <v>168</v>
      </c>
      <c r="I951" s="233">
        <v>43672</v>
      </c>
      <c r="J951" s="233">
        <v>45016</v>
      </c>
      <c r="K951" s="231">
        <v>0</v>
      </c>
      <c r="L951" s="231">
        <v>227</v>
      </c>
      <c r="M951" s="231">
        <v>227</v>
      </c>
      <c r="N951" s="231">
        <v>227</v>
      </c>
      <c r="O951" s="231">
        <v>227</v>
      </c>
      <c r="P951" s="234" t="s">
        <v>318</v>
      </c>
      <c r="Q951" s="232" t="s">
        <v>2674</v>
      </c>
      <c r="R951" s="234" t="s">
        <v>469</v>
      </c>
      <c r="S951" s="235">
        <v>44435</v>
      </c>
      <c r="T951" s="235">
        <v>44733</v>
      </c>
      <c r="U951" s="234" t="s">
        <v>318</v>
      </c>
      <c r="V951" s="232" t="s">
        <v>321</v>
      </c>
      <c r="W951" s="231"/>
      <c r="X951" s="232" t="s">
        <v>322</v>
      </c>
      <c r="Y951" s="232" t="s">
        <v>323</v>
      </c>
      <c r="Z951" s="232" t="s">
        <v>323</v>
      </c>
      <c r="AA951" s="232" t="s">
        <v>324</v>
      </c>
      <c r="AB951" s="236">
        <v>1.264</v>
      </c>
      <c r="AC951" s="235">
        <v>43672</v>
      </c>
      <c r="AD951" s="234"/>
      <c r="AE951" s="235">
        <v>45016</v>
      </c>
      <c r="AF951" s="232" t="s">
        <v>77</v>
      </c>
      <c r="AG951" s="232" t="s">
        <v>350</v>
      </c>
      <c r="AH951" s="234" t="s">
        <v>827</v>
      </c>
      <c r="AI951" s="250"/>
      <c r="AJ951" s="234">
        <v>227</v>
      </c>
      <c r="AK951" s="224"/>
      <c r="AL951" s="234">
        <v>23</v>
      </c>
      <c r="AM951" s="224"/>
      <c r="AN951" s="234">
        <v>0</v>
      </c>
      <c r="AO951" s="234">
        <v>68</v>
      </c>
      <c r="AP951" s="234">
        <v>94</v>
      </c>
      <c r="AQ951" s="234">
        <v>54</v>
      </c>
      <c r="AR951" s="234">
        <v>11</v>
      </c>
      <c r="AS951" s="234">
        <v>0</v>
      </c>
      <c r="AT951" s="234">
        <v>0</v>
      </c>
      <c r="AU951" s="234">
        <v>0</v>
      </c>
      <c r="AV951" s="234">
        <v>68</v>
      </c>
      <c r="AW951" s="234">
        <v>94</v>
      </c>
      <c r="AX951" s="234">
        <v>54</v>
      </c>
      <c r="AY951" s="234">
        <v>11</v>
      </c>
      <c r="AZ951" s="234">
        <v>0</v>
      </c>
      <c r="BA951" s="234">
        <v>0</v>
      </c>
      <c r="BB951" s="234">
        <v>0</v>
      </c>
      <c r="BC951" s="234">
        <v>0</v>
      </c>
      <c r="BD951" s="234">
        <v>0</v>
      </c>
      <c r="BE951" s="234">
        <v>0</v>
      </c>
      <c r="BF951" s="234">
        <v>0</v>
      </c>
      <c r="BG951" s="234">
        <v>0</v>
      </c>
      <c r="BH951" s="234">
        <v>0</v>
      </c>
      <c r="BI951" s="234">
        <v>0</v>
      </c>
      <c r="BJ951" s="234">
        <v>0</v>
      </c>
      <c r="BK951" s="234">
        <v>0</v>
      </c>
      <c r="BL951" s="234">
        <v>0</v>
      </c>
      <c r="BM951" s="234">
        <v>0</v>
      </c>
      <c r="BN951" s="234">
        <v>0</v>
      </c>
      <c r="BO951" s="234">
        <v>0</v>
      </c>
      <c r="BP951" s="234"/>
      <c r="BQ951" s="234" t="s">
        <v>318</v>
      </c>
      <c r="BR951" s="237" t="s">
        <v>151</v>
      </c>
      <c r="BS951" s="238">
        <v>1</v>
      </c>
      <c r="BT951" s="239">
        <f>M951</f>
        <v>227</v>
      </c>
      <c r="CN951" s="238">
        <f t="shared" si="118"/>
        <v>0</v>
      </c>
      <c r="CO951" s="238">
        <f t="shared" si="119"/>
        <v>0</v>
      </c>
    </row>
    <row r="952" spans="1:93" ht="13.95" customHeight="1" x14ac:dyDescent="0.2">
      <c r="A952" s="231">
        <v>179</v>
      </c>
      <c r="B952" s="232" t="s">
        <v>822</v>
      </c>
      <c r="C952" s="232" t="s">
        <v>2580</v>
      </c>
      <c r="D952" s="232" t="s">
        <v>2581</v>
      </c>
      <c r="E952" s="232" t="s">
        <v>2675</v>
      </c>
      <c r="F952" s="231">
        <v>524331</v>
      </c>
      <c r="G952" s="231">
        <v>175422</v>
      </c>
      <c r="H952" s="232" t="s">
        <v>175</v>
      </c>
      <c r="I952" s="233"/>
      <c r="J952" s="231"/>
      <c r="K952" s="231">
        <v>0</v>
      </c>
      <c r="L952" s="231">
        <v>3</v>
      </c>
      <c r="M952" s="231">
        <v>3</v>
      </c>
      <c r="N952" s="231">
        <v>7</v>
      </c>
      <c r="O952" s="231">
        <v>7</v>
      </c>
      <c r="P952" s="234"/>
      <c r="Q952" s="232" t="s">
        <v>2583</v>
      </c>
      <c r="R952" s="234" t="s">
        <v>320</v>
      </c>
      <c r="S952" s="235">
        <v>43243</v>
      </c>
      <c r="T952" s="235">
        <v>43756</v>
      </c>
      <c r="U952" s="234"/>
      <c r="V952" s="232" t="s">
        <v>321</v>
      </c>
      <c r="W952" s="231"/>
      <c r="X952" s="232" t="s">
        <v>322</v>
      </c>
      <c r="Y952" s="232" t="s">
        <v>338</v>
      </c>
      <c r="Z952" s="232" t="s">
        <v>324</v>
      </c>
      <c r="AA952" s="232" t="s">
        <v>349</v>
      </c>
      <c r="AB952" s="236">
        <v>0.04</v>
      </c>
      <c r="AC952" s="235"/>
      <c r="AD952" s="234"/>
      <c r="AE952" s="234"/>
      <c r="AF952" s="232" t="s">
        <v>77</v>
      </c>
      <c r="AG952" s="232" t="s">
        <v>350</v>
      </c>
      <c r="AH952" s="234" t="s">
        <v>317</v>
      </c>
      <c r="AJ952" s="234">
        <v>0</v>
      </c>
      <c r="AK952" s="224"/>
      <c r="AL952" s="234">
        <v>0</v>
      </c>
      <c r="AM952" s="224"/>
      <c r="AN952" s="234">
        <v>0</v>
      </c>
      <c r="AO952" s="234">
        <v>0</v>
      </c>
      <c r="AP952" s="234">
        <v>2</v>
      </c>
      <c r="AQ952" s="234">
        <v>1</v>
      </c>
      <c r="AR952" s="234">
        <v>0</v>
      </c>
      <c r="AS952" s="234">
        <v>0</v>
      </c>
      <c r="AT952" s="234">
        <v>0</v>
      </c>
      <c r="AU952" s="234">
        <v>0</v>
      </c>
      <c r="AV952" s="234">
        <v>0</v>
      </c>
      <c r="AW952" s="234">
        <v>0</v>
      </c>
      <c r="AX952" s="234">
        <v>0</v>
      </c>
      <c r="AY952" s="234">
        <v>0</v>
      </c>
      <c r="AZ952" s="234">
        <v>0</v>
      </c>
      <c r="BA952" s="234">
        <v>0</v>
      </c>
      <c r="BB952" s="234">
        <v>0</v>
      </c>
      <c r="BC952" s="234">
        <v>0</v>
      </c>
      <c r="BD952" s="234">
        <v>2</v>
      </c>
      <c r="BE952" s="234">
        <v>1</v>
      </c>
      <c r="BF952" s="234">
        <v>0</v>
      </c>
      <c r="BG952" s="234">
        <v>0</v>
      </c>
      <c r="BH952" s="234">
        <v>0</v>
      </c>
      <c r="BI952" s="234">
        <v>0</v>
      </c>
      <c r="BJ952" s="234">
        <v>0</v>
      </c>
      <c r="BK952" s="234">
        <v>0</v>
      </c>
      <c r="BL952" s="234">
        <v>0</v>
      </c>
      <c r="BM952" s="234">
        <v>0</v>
      </c>
      <c r="BN952" s="234">
        <v>0</v>
      </c>
      <c r="BO952" s="234">
        <v>0</v>
      </c>
      <c r="BP952" s="234"/>
      <c r="BQ952" s="234"/>
      <c r="BR952" s="237" t="s">
        <v>334</v>
      </c>
      <c r="BS952" s="238">
        <v>18</v>
      </c>
      <c r="BU952" s="239">
        <f>M952/4</f>
        <v>0.75</v>
      </c>
      <c r="BV952" s="239">
        <f>M952/4</f>
        <v>0.75</v>
      </c>
      <c r="BW952" s="239">
        <f>M952/4</f>
        <v>0.75</v>
      </c>
      <c r="BX952" s="239">
        <f>M952/4</f>
        <v>0.75</v>
      </c>
      <c r="CN952" s="238">
        <f t="shared" si="118"/>
        <v>3</v>
      </c>
      <c r="CO952" s="238">
        <f t="shared" si="119"/>
        <v>3</v>
      </c>
    </row>
    <row r="953" spans="1:93" ht="13.95" customHeight="1" x14ac:dyDescent="0.2">
      <c r="A953" s="231">
        <v>7367</v>
      </c>
      <c r="B953" s="232" t="s">
        <v>822</v>
      </c>
      <c r="C953" s="232" t="s">
        <v>2612</v>
      </c>
      <c r="D953" s="232" t="s">
        <v>2613</v>
      </c>
      <c r="E953" s="232" t="s">
        <v>2675</v>
      </c>
      <c r="F953" s="231">
        <v>525438</v>
      </c>
      <c r="G953" s="231">
        <v>173644</v>
      </c>
      <c r="H953" s="232" t="s">
        <v>173</v>
      </c>
      <c r="I953" s="233"/>
      <c r="J953" s="231"/>
      <c r="K953" s="231">
        <v>1</v>
      </c>
      <c r="L953" s="231">
        <v>3</v>
      </c>
      <c r="M953" s="231">
        <v>2</v>
      </c>
      <c r="N953" s="231">
        <v>23</v>
      </c>
      <c r="O953" s="231">
        <v>22</v>
      </c>
      <c r="P953" s="234" t="s">
        <v>318</v>
      </c>
      <c r="Q953" s="232" t="s">
        <v>2615</v>
      </c>
      <c r="R953" s="234" t="s">
        <v>320</v>
      </c>
      <c r="S953" s="235">
        <v>43915</v>
      </c>
      <c r="T953" s="235">
        <v>44603</v>
      </c>
      <c r="U953" s="234"/>
      <c r="V953" s="232" t="s">
        <v>321</v>
      </c>
      <c r="W953" s="231"/>
      <c r="X953" s="232" t="s">
        <v>322</v>
      </c>
      <c r="Y953" s="232" t="s">
        <v>338</v>
      </c>
      <c r="Z953" s="232" t="s">
        <v>323</v>
      </c>
      <c r="AA953" s="232" t="s">
        <v>324</v>
      </c>
      <c r="AB953" s="236">
        <v>2.1999999999999999E-2</v>
      </c>
      <c r="AC953" s="235"/>
      <c r="AD953" s="234"/>
      <c r="AE953" s="234"/>
      <c r="AF953" s="232" t="s">
        <v>77</v>
      </c>
      <c r="AG953" s="232" t="s">
        <v>350</v>
      </c>
      <c r="AH953" s="234" t="s">
        <v>317</v>
      </c>
      <c r="AJ953" s="234">
        <v>0</v>
      </c>
      <c r="AK953" s="224"/>
      <c r="AL953" s="234">
        <v>0</v>
      </c>
      <c r="AM953" s="224"/>
      <c r="AN953" s="234">
        <v>0</v>
      </c>
      <c r="AO953" s="234">
        <v>0</v>
      </c>
      <c r="AP953" s="234">
        <v>2</v>
      </c>
      <c r="AQ953" s="234">
        <v>0</v>
      </c>
      <c r="AR953" s="234">
        <v>0</v>
      </c>
      <c r="AS953" s="234">
        <v>0</v>
      </c>
      <c r="AT953" s="234">
        <v>0</v>
      </c>
      <c r="AU953" s="234">
        <v>0</v>
      </c>
      <c r="AV953" s="234">
        <v>0</v>
      </c>
      <c r="AW953" s="234">
        <v>3</v>
      </c>
      <c r="AX953" s="234">
        <v>0</v>
      </c>
      <c r="AY953" s="234">
        <v>0</v>
      </c>
      <c r="AZ953" s="234">
        <v>0</v>
      </c>
      <c r="BA953" s="234">
        <v>0</v>
      </c>
      <c r="BB953" s="234">
        <v>0</v>
      </c>
      <c r="BC953" s="234">
        <v>0</v>
      </c>
      <c r="BD953" s="234">
        <v>-1</v>
      </c>
      <c r="BE953" s="234">
        <v>0</v>
      </c>
      <c r="BF953" s="234">
        <v>0</v>
      </c>
      <c r="BG953" s="234">
        <v>0</v>
      </c>
      <c r="BH953" s="234">
        <v>0</v>
      </c>
      <c r="BI953" s="234">
        <v>0</v>
      </c>
      <c r="BJ953" s="234">
        <v>0</v>
      </c>
      <c r="BK953" s="234">
        <v>0</v>
      </c>
      <c r="BL953" s="234">
        <v>0</v>
      </c>
      <c r="BM953" s="234">
        <v>0</v>
      </c>
      <c r="BN953" s="234">
        <v>0</v>
      </c>
      <c r="BO953" s="234">
        <v>0</v>
      </c>
      <c r="BP953" s="234"/>
      <c r="BQ953" s="234"/>
      <c r="BR953" s="237" t="s">
        <v>154</v>
      </c>
      <c r="BS953" s="238">
        <v>17</v>
      </c>
      <c r="BZ953" s="239">
        <f>M953/4</f>
        <v>0.5</v>
      </c>
      <c r="CA953" s="239">
        <f>M953/4</f>
        <v>0.5</v>
      </c>
      <c r="CB953" s="239">
        <f>M953/4</f>
        <v>0.5</v>
      </c>
      <c r="CC953" s="239">
        <f>M953/4</f>
        <v>0.5</v>
      </c>
      <c r="CN953" s="238">
        <f t="shared" si="118"/>
        <v>0</v>
      </c>
      <c r="CO953" s="238">
        <f t="shared" si="119"/>
        <v>2</v>
      </c>
    </row>
    <row r="954" spans="1:93" ht="13.95" customHeight="1" x14ac:dyDescent="0.2">
      <c r="A954" s="231">
        <v>2492</v>
      </c>
      <c r="B954" s="232" t="s">
        <v>822</v>
      </c>
      <c r="C954" s="232" t="s">
        <v>2617</v>
      </c>
      <c r="D954" s="232" t="s">
        <v>2618</v>
      </c>
      <c r="E954" s="232" t="s">
        <v>61</v>
      </c>
      <c r="F954" s="231">
        <v>528761</v>
      </c>
      <c r="G954" s="231">
        <v>172884</v>
      </c>
      <c r="H954" s="232" t="s">
        <v>172</v>
      </c>
      <c r="I954" s="233"/>
      <c r="J954" s="231"/>
      <c r="K954" s="231">
        <v>0</v>
      </c>
      <c r="L954" s="231">
        <v>1</v>
      </c>
      <c r="M954" s="231">
        <v>1</v>
      </c>
      <c r="N954" s="231">
        <v>3</v>
      </c>
      <c r="O954" s="231">
        <v>3</v>
      </c>
      <c r="P954" s="234"/>
      <c r="Q954" s="232" t="s">
        <v>2620</v>
      </c>
      <c r="R954" s="234" t="s">
        <v>332</v>
      </c>
      <c r="S954" s="235">
        <v>43410</v>
      </c>
      <c r="T954" s="235">
        <v>43493</v>
      </c>
      <c r="U954" s="234"/>
      <c r="V954" s="232" t="s">
        <v>321</v>
      </c>
      <c r="W954" s="231"/>
      <c r="X954" s="232" t="s">
        <v>322</v>
      </c>
      <c r="Y954" s="232" t="s">
        <v>338</v>
      </c>
      <c r="Z954" s="232" t="s">
        <v>324</v>
      </c>
      <c r="AA954" s="232" t="s">
        <v>349</v>
      </c>
      <c r="AB954" s="236">
        <v>1.4999999999999999E-2</v>
      </c>
      <c r="AC954" s="235"/>
      <c r="AD954" s="234"/>
      <c r="AE954" s="234"/>
      <c r="AF954" s="232" t="s">
        <v>77</v>
      </c>
      <c r="AG954" s="232" t="s">
        <v>350</v>
      </c>
      <c r="AH954" s="234" t="s">
        <v>317</v>
      </c>
      <c r="AJ954" s="234">
        <v>0</v>
      </c>
      <c r="AK954" s="224"/>
      <c r="AL954" s="234">
        <v>0</v>
      </c>
      <c r="AM954" s="234">
        <v>1</v>
      </c>
      <c r="AN954" s="234">
        <v>0</v>
      </c>
      <c r="AO954" s="234">
        <v>0</v>
      </c>
      <c r="AP954" s="234">
        <v>0</v>
      </c>
      <c r="AQ954" s="234">
        <v>0</v>
      </c>
      <c r="AR954" s="234">
        <v>1</v>
      </c>
      <c r="AS954" s="234">
        <v>0</v>
      </c>
      <c r="AT954" s="234">
        <v>0</v>
      </c>
      <c r="AU954" s="234">
        <v>0</v>
      </c>
      <c r="AV954" s="234">
        <v>0</v>
      </c>
      <c r="AW954" s="234">
        <v>0</v>
      </c>
      <c r="AX954" s="234">
        <v>0</v>
      </c>
      <c r="AY954" s="234">
        <v>1</v>
      </c>
      <c r="AZ954" s="234">
        <v>0</v>
      </c>
      <c r="BA954" s="234">
        <v>0</v>
      </c>
      <c r="BB954" s="234">
        <v>0</v>
      </c>
      <c r="BC954" s="234">
        <v>0</v>
      </c>
      <c r="BD954" s="234">
        <v>0</v>
      </c>
      <c r="BE954" s="234">
        <v>0</v>
      </c>
      <c r="BF954" s="234">
        <v>0</v>
      </c>
      <c r="BG954" s="234">
        <v>0</v>
      </c>
      <c r="BH954" s="234">
        <v>0</v>
      </c>
      <c r="BI954" s="234">
        <v>0</v>
      </c>
      <c r="BJ954" s="234">
        <v>0</v>
      </c>
      <c r="BK954" s="234">
        <v>0</v>
      </c>
      <c r="BL954" s="234">
        <v>0</v>
      </c>
      <c r="BM954" s="234">
        <v>0</v>
      </c>
      <c r="BN954" s="234">
        <v>0</v>
      </c>
      <c r="BO954" s="234">
        <v>0</v>
      </c>
      <c r="BP954" s="234"/>
      <c r="BQ954" s="234"/>
      <c r="BR954" s="237" t="s">
        <v>334</v>
      </c>
      <c r="BS954" s="238">
        <v>15</v>
      </c>
      <c r="BU954" s="239">
        <f>M954/4</f>
        <v>0.25</v>
      </c>
      <c r="BV954" s="239">
        <f>M954/4</f>
        <v>0.25</v>
      </c>
      <c r="BW954" s="239">
        <f>M954/4</f>
        <v>0.25</v>
      </c>
      <c r="BX954" s="239">
        <f>M954/4</f>
        <v>0.25</v>
      </c>
      <c r="CN954" s="238">
        <f t="shared" si="118"/>
        <v>1</v>
      </c>
      <c r="CO954" s="238">
        <f t="shared" si="119"/>
        <v>1</v>
      </c>
    </row>
    <row r="955" spans="1:93" ht="13.95" customHeight="1" x14ac:dyDescent="0.2">
      <c r="A955" s="231">
        <v>7090</v>
      </c>
      <c r="B955" s="232" t="s">
        <v>822</v>
      </c>
      <c r="C955" s="232" t="s">
        <v>1357</v>
      </c>
      <c r="D955" s="232" t="s">
        <v>1358</v>
      </c>
      <c r="E955" s="232" t="s">
        <v>2676</v>
      </c>
      <c r="F955" s="231">
        <v>527587</v>
      </c>
      <c r="G955" s="231">
        <v>174507</v>
      </c>
      <c r="H955" s="232" t="s">
        <v>169</v>
      </c>
      <c r="I955" s="233">
        <v>44287</v>
      </c>
      <c r="J955" s="231"/>
      <c r="K955" s="231">
        <v>0</v>
      </c>
      <c r="L955" s="231">
        <v>9</v>
      </c>
      <c r="M955" s="231">
        <v>9</v>
      </c>
      <c r="N955" s="231">
        <v>16</v>
      </c>
      <c r="O955" s="231">
        <v>16</v>
      </c>
      <c r="P955" s="234" t="s">
        <v>318</v>
      </c>
      <c r="Q955" s="232" t="s">
        <v>1360</v>
      </c>
      <c r="R955" s="234" t="s">
        <v>320</v>
      </c>
      <c r="S955" s="235">
        <v>43480</v>
      </c>
      <c r="T955" s="235">
        <v>43915</v>
      </c>
      <c r="U955" s="234"/>
      <c r="V955" s="232" t="s">
        <v>321</v>
      </c>
      <c r="W955" s="231"/>
      <c r="X955" s="232" t="s">
        <v>322</v>
      </c>
      <c r="Y955" s="232" t="s">
        <v>323</v>
      </c>
      <c r="Z955" s="232" t="s">
        <v>323</v>
      </c>
      <c r="AA955" s="232" t="s">
        <v>324</v>
      </c>
      <c r="AB955" s="236">
        <v>6.6000000000000003E-2</v>
      </c>
      <c r="AC955" s="235"/>
      <c r="AD955" s="234"/>
      <c r="AE955" s="234"/>
      <c r="AF955" s="232" t="s">
        <v>77</v>
      </c>
      <c r="AG955" s="232" t="s">
        <v>350</v>
      </c>
      <c r="AH955" s="234" t="s">
        <v>317</v>
      </c>
      <c r="AJ955" s="234">
        <v>0</v>
      </c>
      <c r="AK955" s="224"/>
      <c r="AL955" s="234">
        <v>0</v>
      </c>
      <c r="AM955" s="224"/>
      <c r="AN955" s="234">
        <v>0</v>
      </c>
      <c r="AO955" s="234">
        <v>1</v>
      </c>
      <c r="AP955" s="234">
        <v>8</v>
      </c>
      <c r="AQ955" s="234">
        <v>0</v>
      </c>
      <c r="AR955" s="234">
        <v>0</v>
      </c>
      <c r="AS955" s="234">
        <v>0</v>
      </c>
      <c r="AT955" s="234">
        <v>0</v>
      </c>
      <c r="AU955" s="234">
        <v>0</v>
      </c>
      <c r="AV955" s="234">
        <v>1</v>
      </c>
      <c r="AW955" s="234">
        <v>8</v>
      </c>
      <c r="AX955" s="234">
        <v>0</v>
      </c>
      <c r="AY955" s="234">
        <v>0</v>
      </c>
      <c r="AZ955" s="234">
        <v>0</v>
      </c>
      <c r="BA955" s="234">
        <v>0</v>
      </c>
      <c r="BB955" s="234">
        <v>0</v>
      </c>
      <c r="BC955" s="234">
        <v>0</v>
      </c>
      <c r="BD955" s="234">
        <v>0</v>
      </c>
      <c r="BE955" s="234">
        <v>0</v>
      </c>
      <c r="BF955" s="234">
        <v>0</v>
      </c>
      <c r="BG955" s="234">
        <v>0</v>
      </c>
      <c r="BH955" s="234">
        <v>0</v>
      </c>
      <c r="BI955" s="234">
        <v>0</v>
      </c>
      <c r="BJ955" s="234">
        <v>0</v>
      </c>
      <c r="BK955" s="234">
        <v>0</v>
      </c>
      <c r="BL955" s="234">
        <v>0</v>
      </c>
      <c r="BM955" s="234">
        <v>0</v>
      </c>
      <c r="BN955" s="234">
        <v>0</v>
      </c>
      <c r="BO955" s="234">
        <v>0</v>
      </c>
      <c r="BP955" s="234"/>
      <c r="BQ955" s="234"/>
      <c r="BR955" s="237" t="s">
        <v>334</v>
      </c>
      <c r="BS955" s="238">
        <v>10</v>
      </c>
      <c r="BX955" s="239">
        <f>M955/3</f>
        <v>3</v>
      </c>
      <c r="BY955" s="239">
        <f>M955/3</f>
        <v>3</v>
      </c>
      <c r="BZ955" s="239">
        <f>M955/3</f>
        <v>3</v>
      </c>
      <c r="CN955" s="238">
        <f t="shared" si="118"/>
        <v>6</v>
      </c>
      <c r="CO955" s="238">
        <f t="shared" si="119"/>
        <v>9</v>
      </c>
    </row>
    <row r="956" spans="1:93" ht="13.95" customHeight="1" x14ac:dyDescent="0.2">
      <c r="A956" s="231">
        <v>3511</v>
      </c>
      <c r="B956" s="232" t="s">
        <v>822</v>
      </c>
      <c r="C956" s="232" t="s">
        <v>844</v>
      </c>
      <c r="D956" s="232" t="s">
        <v>824</v>
      </c>
      <c r="E956" s="232" t="s">
        <v>2677</v>
      </c>
      <c r="F956" s="231">
        <v>529369</v>
      </c>
      <c r="G956" s="231">
        <v>177317</v>
      </c>
      <c r="H956" s="232" t="s">
        <v>168</v>
      </c>
      <c r="I956" s="233">
        <v>42825</v>
      </c>
      <c r="J956" s="231"/>
      <c r="K956" s="231">
        <v>0</v>
      </c>
      <c r="L956" s="231">
        <v>166</v>
      </c>
      <c r="M956" s="231">
        <v>166</v>
      </c>
      <c r="N956" s="231">
        <v>2971</v>
      </c>
      <c r="O956" s="231">
        <v>2966</v>
      </c>
      <c r="P956" s="234" t="s">
        <v>318</v>
      </c>
      <c r="Q956" s="232" t="s">
        <v>846</v>
      </c>
      <c r="R956" s="234" t="s">
        <v>847</v>
      </c>
      <c r="S956" s="235">
        <v>41774</v>
      </c>
      <c r="T956" s="235">
        <v>42046</v>
      </c>
      <c r="U956" s="234"/>
      <c r="V956" s="232" t="s">
        <v>321</v>
      </c>
      <c r="W956" s="231"/>
      <c r="X956" s="232" t="s">
        <v>322</v>
      </c>
      <c r="Y956" s="232" t="s">
        <v>323</v>
      </c>
      <c r="Z956" s="232" t="s">
        <v>323</v>
      </c>
      <c r="AA956" s="232" t="s">
        <v>324</v>
      </c>
      <c r="AB956" s="236">
        <v>1.0009999999999999</v>
      </c>
      <c r="AC956" s="235"/>
      <c r="AD956" s="234"/>
      <c r="AE956" s="234"/>
      <c r="AF956" s="232" t="s">
        <v>77</v>
      </c>
      <c r="AG956" s="232" t="s">
        <v>350</v>
      </c>
      <c r="AH956" s="234" t="s">
        <v>827</v>
      </c>
      <c r="AJ956" s="234">
        <v>0</v>
      </c>
      <c r="AK956" s="234">
        <v>149</v>
      </c>
      <c r="AL956" s="234">
        <v>0</v>
      </c>
      <c r="AM956" s="234">
        <v>17</v>
      </c>
      <c r="AN956" s="234">
        <v>0</v>
      </c>
      <c r="AO956" s="234">
        <v>33</v>
      </c>
      <c r="AP956" s="234">
        <v>58</v>
      </c>
      <c r="AQ956" s="234">
        <v>75</v>
      </c>
      <c r="AR956" s="234">
        <v>0</v>
      </c>
      <c r="AS956" s="234">
        <v>0</v>
      </c>
      <c r="AT956" s="234">
        <v>0</v>
      </c>
      <c r="AU956" s="234">
        <v>0</v>
      </c>
      <c r="AV956" s="234">
        <v>33</v>
      </c>
      <c r="AW956" s="234">
        <v>58</v>
      </c>
      <c r="AX956" s="234">
        <v>75</v>
      </c>
      <c r="AY956" s="234">
        <v>0</v>
      </c>
      <c r="AZ956" s="234">
        <v>0</v>
      </c>
      <c r="BA956" s="234">
        <v>0</v>
      </c>
      <c r="BB956" s="234">
        <v>0</v>
      </c>
      <c r="BC956" s="234">
        <v>0</v>
      </c>
      <c r="BD956" s="234">
        <v>0</v>
      </c>
      <c r="BE956" s="234">
        <v>0</v>
      </c>
      <c r="BF956" s="234">
        <v>0</v>
      </c>
      <c r="BG956" s="234">
        <v>0</v>
      </c>
      <c r="BH956" s="234">
        <v>0</v>
      </c>
      <c r="BI956" s="234">
        <v>0</v>
      </c>
      <c r="BJ956" s="234">
        <v>0</v>
      </c>
      <c r="BK956" s="234">
        <v>0</v>
      </c>
      <c r="BL956" s="234">
        <v>0</v>
      </c>
      <c r="BM956" s="234">
        <v>0</v>
      </c>
      <c r="BN956" s="234">
        <v>0</v>
      </c>
      <c r="BO956" s="234">
        <v>0</v>
      </c>
      <c r="BP956" s="234"/>
      <c r="BQ956" s="234" t="s">
        <v>318</v>
      </c>
      <c r="BR956" s="237" t="s">
        <v>151</v>
      </c>
      <c r="BS956" s="238">
        <v>9</v>
      </c>
      <c r="BZ956" s="239">
        <f>M956/3</f>
        <v>55.333333333333336</v>
      </c>
      <c r="CA956" s="239">
        <f>M956/3</f>
        <v>55.333333333333336</v>
      </c>
      <c r="CB956" s="239">
        <f>M956/3</f>
        <v>55.333333333333336</v>
      </c>
      <c r="CN956" s="238">
        <f t="shared" si="118"/>
        <v>0</v>
      </c>
      <c r="CO956" s="238">
        <f t="shared" si="119"/>
        <v>166</v>
      </c>
    </row>
    <row r="957" spans="1:93" ht="13.95" customHeight="1" x14ac:dyDescent="0.2">
      <c r="A957" s="231">
        <v>7304</v>
      </c>
      <c r="B957" s="232" t="s">
        <v>822</v>
      </c>
      <c r="C957" s="232" t="s">
        <v>2513</v>
      </c>
      <c r="D957" s="232" t="s">
        <v>2514</v>
      </c>
      <c r="E957" s="232" t="s">
        <v>2678</v>
      </c>
      <c r="F957" s="231">
        <v>522152</v>
      </c>
      <c r="G957" s="231">
        <v>173834</v>
      </c>
      <c r="H957" s="232" t="s">
        <v>170</v>
      </c>
      <c r="I957" s="233"/>
      <c r="J957" s="231"/>
      <c r="K957" s="231">
        <v>0</v>
      </c>
      <c r="L957" s="231">
        <v>65</v>
      </c>
      <c r="M957" s="231">
        <v>65</v>
      </c>
      <c r="N957" s="231">
        <v>1068</v>
      </c>
      <c r="O957" s="231">
        <v>780</v>
      </c>
      <c r="P957" s="234" t="s">
        <v>318</v>
      </c>
      <c r="Q957" s="232" t="s">
        <v>2516</v>
      </c>
      <c r="R957" s="234" t="s">
        <v>320</v>
      </c>
      <c r="S957" s="235">
        <v>43623</v>
      </c>
      <c r="T957" s="235">
        <v>44643</v>
      </c>
      <c r="U957" s="234"/>
      <c r="V957" s="232" t="s">
        <v>321</v>
      </c>
      <c r="W957" s="231"/>
      <c r="X957" s="232" t="s">
        <v>322</v>
      </c>
      <c r="Y957" s="232" t="s">
        <v>323</v>
      </c>
      <c r="Z957" s="232" t="s">
        <v>323</v>
      </c>
      <c r="AA957" s="232" t="s">
        <v>324</v>
      </c>
      <c r="AB957" s="236">
        <v>0.23594999999999999</v>
      </c>
      <c r="AC957" s="235"/>
      <c r="AD957" s="234"/>
      <c r="AE957" s="234"/>
      <c r="AF957" s="232" t="s">
        <v>57</v>
      </c>
      <c r="AG957" s="232" t="s">
        <v>470</v>
      </c>
      <c r="AH957" s="234" t="s">
        <v>2517</v>
      </c>
      <c r="AJ957" s="234">
        <v>0</v>
      </c>
      <c r="AK957" s="224"/>
      <c r="AL957" s="234">
        <v>0</v>
      </c>
      <c r="AM957" s="224"/>
      <c r="AN957" s="234">
        <v>0</v>
      </c>
      <c r="AO957" s="234">
        <v>0</v>
      </c>
      <c r="AP957" s="234">
        <v>0</v>
      </c>
      <c r="AQ957" s="234">
        <v>0</v>
      </c>
      <c r="AR957" s="234">
        <v>0</v>
      </c>
      <c r="AS957" s="234">
        <v>0</v>
      </c>
      <c r="AT957" s="234">
        <v>65</v>
      </c>
      <c r="AU957" s="234">
        <v>0</v>
      </c>
      <c r="AV957" s="234">
        <v>0</v>
      </c>
      <c r="AW957" s="234">
        <v>0</v>
      </c>
      <c r="AX957" s="234">
        <v>0</v>
      </c>
      <c r="AY957" s="234">
        <v>0</v>
      </c>
      <c r="AZ957" s="234">
        <v>0</v>
      </c>
      <c r="BA957" s="234">
        <v>65</v>
      </c>
      <c r="BB957" s="234">
        <v>0</v>
      </c>
      <c r="BC957" s="234">
        <v>0</v>
      </c>
      <c r="BD957" s="234">
        <v>0</v>
      </c>
      <c r="BE957" s="234">
        <v>0</v>
      </c>
      <c r="BF957" s="234">
        <v>0</v>
      </c>
      <c r="BG957" s="234">
        <v>0</v>
      </c>
      <c r="BH957" s="234">
        <v>0</v>
      </c>
      <c r="BI957" s="234">
        <v>0</v>
      </c>
      <c r="BJ957" s="234">
        <v>0</v>
      </c>
      <c r="BK957" s="234">
        <v>0</v>
      </c>
      <c r="BL957" s="234">
        <v>0</v>
      </c>
      <c r="BM957" s="234">
        <v>0</v>
      </c>
      <c r="BN957" s="234">
        <v>0</v>
      </c>
      <c r="BO957" s="234">
        <v>0</v>
      </c>
      <c r="BP957" s="234"/>
      <c r="BQ957" s="234"/>
      <c r="BR957" s="237" t="s">
        <v>153</v>
      </c>
      <c r="BS957" s="238">
        <v>10</v>
      </c>
      <c r="BX957" s="239">
        <f>M957/3</f>
        <v>21.666666666666668</v>
      </c>
      <c r="BY957" s="239">
        <f>M957/3</f>
        <v>21.666666666666668</v>
      </c>
      <c r="BZ957" s="239">
        <f>M957/3</f>
        <v>21.666666666666668</v>
      </c>
      <c r="CN957" s="238">
        <f t="shared" si="118"/>
        <v>43.333333333333336</v>
      </c>
      <c r="CO957" s="238">
        <f t="shared" si="119"/>
        <v>65</v>
      </c>
    </row>
    <row r="958" spans="1:93" ht="13.95" customHeight="1" x14ac:dyDescent="0.2">
      <c r="A958" s="231">
        <v>6657</v>
      </c>
      <c r="B958" s="232" t="s">
        <v>822</v>
      </c>
      <c r="C958" s="232" t="s">
        <v>804</v>
      </c>
      <c r="D958" s="232" t="s">
        <v>805</v>
      </c>
      <c r="E958" s="232" t="s">
        <v>2679</v>
      </c>
      <c r="F958" s="231">
        <v>525999</v>
      </c>
      <c r="G958" s="231">
        <v>173647</v>
      </c>
      <c r="H958" s="232" t="s">
        <v>179</v>
      </c>
      <c r="I958" s="233">
        <v>44581</v>
      </c>
      <c r="J958" s="231"/>
      <c r="K958" s="231">
        <v>0</v>
      </c>
      <c r="L958" s="231">
        <v>6</v>
      </c>
      <c r="M958" s="231">
        <v>6</v>
      </c>
      <c r="N958" s="231">
        <v>193</v>
      </c>
      <c r="O958" s="231">
        <v>182</v>
      </c>
      <c r="P958" s="234" t="s">
        <v>318</v>
      </c>
      <c r="Q958" s="232" t="s">
        <v>807</v>
      </c>
      <c r="R958" s="234" t="s">
        <v>655</v>
      </c>
      <c r="S958" s="235">
        <v>44260</v>
      </c>
      <c r="T958" s="235">
        <v>44396</v>
      </c>
      <c r="U958" s="234"/>
      <c r="V958" s="232" t="s">
        <v>321</v>
      </c>
      <c r="W958" s="231"/>
      <c r="X958" s="232" t="s">
        <v>322</v>
      </c>
      <c r="Y958" s="232" t="s">
        <v>323</v>
      </c>
      <c r="Z958" s="232" t="s">
        <v>323</v>
      </c>
      <c r="AA958" s="232" t="s">
        <v>324</v>
      </c>
      <c r="AB958" s="236">
        <v>5.0000000000000001E-3</v>
      </c>
      <c r="AC958" s="235"/>
      <c r="AD958" s="234"/>
      <c r="AE958" s="234"/>
      <c r="AF958" s="232" t="s">
        <v>56</v>
      </c>
      <c r="AG958" s="232" t="s">
        <v>325</v>
      </c>
      <c r="AH958" s="234" t="s">
        <v>317</v>
      </c>
      <c r="AJ958" s="234">
        <v>0</v>
      </c>
      <c r="AK958" s="224"/>
      <c r="AL958" s="234">
        <v>0</v>
      </c>
      <c r="AM958" s="234">
        <v>2</v>
      </c>
      <c r="AN958" s="234">
        <v>0</v>
      </c>
      <c r="AO958" s="234">
        <v>0</v>
      </c>
      <c r="AP958" s="234">
        <v>6</v>
      </c>
      <c r="AQ958" s="234">
        <v>0</v>
      </c>
      <c r="AR958" s="234">
        <v>0</v>
      </c>
      <c r="AS958" s="234">
        <v>0</v>
      </c>
      <c r="AT958" s="234">
        <v>0</v>
      </c>
      <c r="AU958" s="234">
        <v>0</v>
      </c>
      <c r="AV958" s="234">
        <v>0</v>
      </c>
      <c r="AW958" s="234">
        <v>6</v>
      </c>
      <c r="AX958" s="234">
        <v>0</v>
      </c>
      <c r="AY958" s="234">
        <v>0</v>
      </c>
      <c r="AZ958" s="234">
        <v>0</v>
      </c>
      <c r="BA958" s="234">
        <v>0</v>
      </c>
      <c r="BB958" s="234">
        <v>0</v>
      </c>
      <c r="BC958" s="234">
        <v>0</v>
      </c>
      <c r="BD958" s="234">
        <v>0</v>
      </c>
      <c r="BE958" s="234">
        <v>0</v>
      </c>
      <c r="BF958" s="234">
        <v>0</v>
      </c>
      <c r="BG958" s="234">
        <v>0</v>
      </c>
      <c r="BH958" s="234">
        <v>0</v>
      </c>
      <c r="BI958" s="234">
        <v>0</v>
      </c>
      <c r="BJ958" s="234">
        <v>0</v>
      </c>
      <c r="BK958" s="234">
        <v>0</v>
      </c>
      <c r="BL958" s="234">
        <v>0</v>
      </c>
      <c r="BM958" s="234">
        <v>0</v>
      </c>
      <c r="BN958" s="234">
        <v>0</v>
      </c>
      <c r="BO958" s="234">
        <v>0</v>
      </c>
      <c r="BP958" s="234"/>
      <c r="BQ958" s="234"/>
      <c r="BR958" s="237" t="s">
        <v>334</v>
      </c>
      <c r="BS958" s="238">
        <v>8</v>
      </c>
      <c r="BU958" s="239">
        <f>M958</f>
        <v>6</v>
      </c>
      <c r="CN958" s="238">
        <f t="shared" si="118"/>
        <v>6</v>
      </c>
      <c r="CO958" s="238">
        <f t="shared" si="119"/>
        <v>6</v>
      </c>
    </row>
    <row r="959" spans="1:93" ht="13.95" customHeight="1" x14ac:dyDescent="0.2">
      <c r="A959" s="231">
        <v>6657</v>
      </c>
      <c r="B959" s="232" t="s">
        <v>822</v>
      </c>
      <c r="C959" s="232" t="s">
        <v>804</v>
      </c>
      <c r="D959" s="232" t="s">
        <v>805</v>
      </c>
      <c r="E959" s="232" t="s">
        <v>2679</v>
      </c>
      <c r="F959" s="231">
        <v>525999</v>
      </c>
      <c r="G959" s="231">
        <v>173647</v>
      </c>
      <c r="H959" s="232" t="s">
        <v>179</v>
      </c>
      <c r="I959" s="233">
        <v>44581</v>
      </c>
      <c r="J959" s="231"/>
      <c r="K959" s="231">
        <v>0</v>
      </c>
      <c r="L959" s="231">
        <v>2</v>
      </c>
      <c r="M959" s="231">
        <v>2</v>
      </c>
      <c r="N959" s="231">
        <v>193</v>
      </c>
      <c r="O959" s="231">
        <v>182</v>
      </c>
      <c r="P959" s="234" t="s">
        <v>318</v>
      </c>
      <c r="Q959" s="232" t="s">
        <v>807</v>
      </c>
      <c r="R959" s="234" t="s">
        <v>655</v>
      </c>
      <c r="S959" s="235">
        <v>44260</v>
      </c>
      <c r="T959" s="235">
        <v>44396</v>
      </c>
      <c r="U959" s="234"/>
      <c r="V959" s="232" t="s">
        <v>321</v>
      </c>
      <c r="W959" s="231"/>
      <c r="X959" s="232" t="s">
        <v>322</v>
      </c>
      <c r="Y959" s="232" t="s">
        <v>323</v>
      </c>
      <c r="Z959" s="232" t="s">
        <v>323</v>
      </c>
      <c r="AA959" s="232" t="s">
        <v>324</v>
      </c>
      <c r="AB959" s="236">
        <v>2E-3</v>
      </c>
      <c r="AC959" s="235"/>
      <c r="AD959" s="234"/>
      <c r="AE959" s="234"/>
      <c r="AF959" s="232" t="s">
        <v>57</v>
      </c>
      <c r="AG959" s="232" t="s">
        <v>328</v>
      </c>
      <c r="AH959" s="234" t="s">
        <v>317</v>
      </c>
      <c r="AJ959" s="234">
        <v>0</v>
      </c>
      <c r="AK959" s="224"/>
      <c r="AL959" s="234">
        <v>0</v>
      </c>
      <c r="AM959" s="234">
        <v>2</v>
      </c>
      <c r="AN959" s="234">
        <v>0</v>
      </c>
      <c r="AO959" s="234">
        <v>0</v>
      </c>
      <c r="AP959" s="234">
        <v>2</v>
      </c>
      <c r="AQ959" s="234">
        <v>0</v>
      </c>
      <c r="AR959" s="234">
        <v>0</v>
      </c>
      <c r="AS959" s="234">
        <v>0</v>
      </c>
      <c r="AT959" s="234">
        <v>0</v>
      </c>
      <c r="AU959" s="234">
        <v>0</v>
      </c>
      <c r="AV959" s="234">
        <v>0</v>
      </c>
      <c r="AW959" s="234">
        <v>2</v>
      </c>
      <c r="AX959" s="234">
        <v>0</v>
      </c>
      <c r="AY959" s="234">
        <v>0</v>
      </c>
      <c r="AZ959" s="234">
        <v>0</v>
      </c>
      <c r="BA959" s="234">
        <v>0</v>
      </c>
      <c r="BB959" s="234">
        <v>0</v>
      </c>
      <c r="BC959" s="234">
        <v>0</v>
      </c>
      <c r="BD959" s="234">
        <v>0</v>
      </c>
      <c r="BE959" s="234">
        <v>0</v>
      </c>
      <c r="BF959" s="234">
        <v>0</v>
      </c>
      <c r="BG959" s="234">
        <v>0</v>
      </c>
      <c r="BH959" s="234">
        <v>0</v>
      </c>
      <c r="BI959" s="234">
        <v>0</v>
      </c>
      <c r="BJ959" s="234">
        <v>0</v>
      </c>
      <c r="BK959" s="234">
        <v>0</v>
      </c>
      <c r="BL959" s="234">
        <v>0</v>
      </c>
      <c r="BM959" s="234">
        <v>0</v>
      </c>
      <c r="BN959" s="234">
        <v>0</v>
      </c>
      <c r="BO959" s="234">
        <v>0</v>
      </c>
      <c r="BP959" s="234"/>
      <c r="BQ959" s="234"/>
      <c r="BR959" s="237" t="s">
        <v>334</v>
      </c>
      <c r="BS959" s="238">
        <v>8</v>
      </c>
      <c r="BU959" s="239">
        <f>M959</f>
        <v>2</v>
      </c>
      <c r="CN959" s="238">
        <f t="shared" si="118"/>
        <v>2</v>
      </c>
      <c r="CO959" s="238">
        <f t="shared" si="119"/>
        <v>2</v>
      </c>
    </row>
    <row r="960" spans="1:93" ht="13.95" customHeight="1" x14ac:dyDescent="0.2">
      <c r="A960" s="231">
        <v>6657</v>
      </c>
      <c r="B960" s="232" t="s">
        <v>822</v>
      </c>
      <c r="C960" s="232" t="s">
        <v>804</v>
      </c>
      <c r="D960" s="232" t="s">
        <v>805</v>
      </c>
      <c r="E960" s="232" t="s">
        <v>2680</v>
      </c>
      <c r="F960" s="231">
        <v>525999</v>
      </c>
      <c r="G960" s="231">
        <v>173647</v>
      </c>
      <c r="H960" s="232" t="s">
        <v>179</v>
      </c>
      <c r="I960" s="233">
        <v>44581</v>
      </c>
      <c r="J960" s="231"/>
      <c r="K960" s="231">
        <v>0</v>
      </c>
      <c r="L960" s="231">
        <v>8</v>
      </c>
      <c r="M960" s="231">
        <v>8</v>
      </c>
      <c r="N960" s="231">
        <v>193</v>
      </c>
      <c r="O960" s="231">
        <v>182</v>
      </c>
      <c r="P960" s="234" t="s">
        <v>318</v>
      </c>
      <c r="Q960" s="232" t="s">
        <v>807</v>
      </c>
      <c r="R960" s="234" t="s">
        <v>655</v>
      </c>
      <c r="S960" s="235">
        <v>44260</v>
      </c>
      <c r="T960" s="235">
        <v>44396</v>
      </c>
      <c r="U960" s="234"/>
      <c r="V960" s="232" t="s">
        <v>321</v>
      </c>
      <c r="W960" s="231"/>
      <c r="X960" s="232" t="s">
        <v>322</v>
      </c>
      <c r="Y960" s="232" t="s">
        <v>323</v>
      </c>
      <c r="Z960" s="232" t="s">
        <v>323</v>
      </c>
      <c r="AA960" s="232" t="s">
        <v>324</v>
      </c>
      <c r="AB960" s="236">
        <v>7.0000000000000001E-3</v>
      </c>
      <c r="AC960" s="235"/>
      <c r="AD960" s="234"/>
      <c r="AE960" s="234"/>
      <c r="AF960" s="232" t="s">
        <v>57</v>
      </c>
      <c r="AG960" s="232" t="s">
        <v>328</v>
      </c>
      <c r="AH960" s="234" t="s">
        <v>317</v>
      </c>
      <c r="AJ960" s="234">
        <v>0</v>
      </c>
      <c r="AK960" s="234">
        <v>6</v>
      </c>
      <c r="AL960" s="234">
        <v>0</v>
      </c>
      <c r="AM960" s="234">
        <v>2</v>
      </c>
      <c r="AN960" s="234">
        <v>0</v>
      </c>
      <c r="AO960" s="234">
        <v>0</v>
      </c>
      <c r="AP960" s="234">
        <v>4</v>
      </c>
      <c r="AQ960" s="234">
        <v>4</v>
      </c>
      <c r="AR960" s="234">
        <v>0</v>
      </c>
      <c r="AS960" s="234">
        <v>0</v>
      </c>
      <c r="AT960" s="234">
        <v>0</v>
      </c>
      <c r="AU960" s="234">
        <v>0</v>
      </c>
      <c r="AV960" s="234">
        <v>0</v>
      </c>
      <c r="AW960" s="234">
        <v>4</v>
      </c>
      <c r="AX960" s="234">
        <v>4</v>
      </c>
      <c r="AY960" s="234">
        <v>0</v>
      </c>
      <c r="AZ960" s="234">
        <v>0</v>
      </c>
      <c r="BA960" s="234">
        <v>0</v>
      </c>
      <c r="BB960" s="234">
        <v>0</v>
      </c>
      <c r="BC960" s="234">
        <v>0</v>
      </c>
      <c r="BD960" s="234">
        <v>0</v>
      </c>
      <c r="BE960" s="234">
        <v>0</v>
      </c>
      <c r="BF960" s="234">
        <v>0</v>
      </c>
      <c r="BG960" s="234">
        <v>0</v>
      </c>
      <c r="BH960" s="234">
        <v>0</v>
      </c>
      <c r="BI960" s="234">
        <v>0</v>
      </c>
      <c r="BJ960" s="234">
        <v>0</v>
      </c>
      <c r="BK960" s="234">
        <v>0</v>
      </c>
      <c r="BL960" s="234">
        <v>0</v>
      </c>
      <c r="BM960" s="234">
        <v>0</v>
      </c>
      <c r="BN960" s="234">
        <v>0</v>
      </c>
      <c r="BO960" s="234">
        <v>0</v>
      </c>
      <c r="BP960" s="234"/>
      <c r="BQ960" s="234"/>
      <c r="BR960" s="237" t="s">
        <v>334</v>
      </c>
      <c r="BS960" s="238">
        <v>8</v>
      </c>
      <c r="BY960" s="239">
        <f t="shared" ref="BY960:BY965" si="120">M960</f>
        <v>8</v>
      </c>
      <c r="CN960" s="238">
        <f t="shared" si="118"/>
        <v>8</v>
      </c>
      <c r="CO960" s="238">
        <f t="shared" si="119"/>
        <v>8</v>
      </c>
    </row>
    <row r="961" spans="1:93" ht="13.95" customHeight="1" x14ac:dyDescent="0.2">
      <c r="A961" s="231">
        <v>6657</v>
      </c>
      <c r="B961" s="232" t="s">
        <v>822</v>
      </c>
      <c r="C961" s="232" t="s">
        <v>804</v>
      </c>
      <c r="D961" s="232" t="s">
        <v>805</v>
      </c>
      <c r="E961" s="232" t="s">
        <v>2681</v>
      </c>
      <c r="F961" s="231">
        <v>525999</v>
      </c>
      <c r="G961" s="231">
        <v>173647</v>
      </c>
      <c r="H961" s="232" t="s">
        <v>179</v>
      </c>
      <c r="I961" s="233">
        <v>44581</v>
      </c>
      <c r="J961" s="231"/>
      <c r="K961" s="231">
        <v>0</v>
      </c>
      <c r="L961" s="231">
        <v>13</v>
      </c>
      <c r="M961" s="231">
        <v>13</v>
      </c>
      <c r="N961" s="231">
        <v>193</v>
      </c>
      <c r="O961" s="231">
        <v>182</v>
      </c>
      <c r="P961" s="234" t="s">
        <v>318</v>
      </c>
      <c r="Q961" s="232" t="s">
        <v>807</v>
      </c>
      <c r="R961" s="234" t="s">
        <v>655</v>
      </c>
      <c r="S961" s="235">
        <v>44260</v>
      </c>
      <c r="T961" s="235">
        <v>44396</v>
      </c>
      <c r="U961" s="234"/>
      <c r="V961" s="232" t="s">
        <v>321</v>
      </c>
      <c r="W961" s="231"/>
      <c r="X961" s="232" t="s">
        <v>322</v>
      </c>
      <c r="Y961" s="232" t="s">
        <v>323</v>
      </c>
      <c r="Z961" s="232" t="s">
        <v>323</v>
      </c>
      <c r="AA961" s="232" t="s">
        <v>324</v>
      </c>
      <c r="AB961" s="236">
        <v>1.2E-2</v>
      </c>
      <c r="AC961" s="235"/>
      <c r="AD961" s="234"/>
      <c r="AE961" s="234"/>
      <c r="AF961" s="232" t="s">
        <v>77</v>
      </c>
      <c r="AG961" s="232" t="s">
        <v>350</v>
      </c>
      <c r="AH961" s="234" t="s">
        <v>317</v>
      </c>
      <c r="AJ961" s="234">
        <v>0</v>
      </c>
      <c r="AK961" s="234">
        <v>13</v>
      </c>
      <c r="AL961" s="234">
        <v>0</v>
      </c>
      <c r="AM961" s="224"/>
      <c r="AN961" s="234">
        <v>0</v>
      </c>
      <c r="AO961" s="234">
        <v>1</v>
      </c>
      <c r="AP961" s="234">
        <v>10</v>
      </c>
      <c r="AQ961" s="234">
        <v>2</v>
      </c>
      <c r="AR961" s="234">
        <v>0</v>
      </c>
      <c r="AS961" s="234">
        <v>0</v>
      </c>
      <c r="AT961" s="234">
        <v>0</v>
      </c>
      <c r="AU961" s="234">
        <v>0</v>
      </c>
      <c r="AV961" s="234">
        <v>1</v>
      </c>
      <c r="AW961" s="234">
        <v>10</v>
      </c>
      <c r="AX961" s="234">
        <v>2</v>
      </c>
      <c r="AY961" s="234">
        <v>0</v>
      </c>
      <c r="AZ961" s="234">
        <v>0</v>
      </c>
      <c r="BA961" s="234">
        <v>0</v>
      </c>
      <c r="BB961" s="234">
        <v>0</v>
      </c>
      <c r="BC961" s="234">
        <v>0</v>
      </c>
      <c r="BD961" s="234">
        <v>0</v>
      </c>
      <c r="BE961" s="234">
        <v>0</v>
      </c>
      <c r="BF961" s="234">
        <v>0</v>
      </c>
      <c r="BG961" s="234">
        <v>0</v>
      </c>
      <c r="BH961" s="234">
        <v>0</v>
      </c>
      <c r="BI961" s="234">
        <v>0</v>
      </c>
      <c r="BJ961" s="234">
        <v>0</v>
      </c>
      <c r="BK961" s="234">
        <v>0</v>
      </c>
      <c r="BL961" s="234">
        <v>0</v>
      </c>
      <c r="BM961" s="234">
        <v>0</v>
      </c>
      <c r="BN961" s="234">
        <v>0</v>
      </c>
      <c r="BO961" s="234">
        <v>0</v>
      </c>
      <c r="BP961" s="234"/>
      <c r="BQ961" s="234"/>
      <c r="BR961" s="237" t="s">
        <v>334</v>
      </c>
      <c r="BS961" s="238">
        <v>8</v>
      </c>
      <c r="BY961" s="239">
        <f t="shared" si="120"/>
        <v>13</v>
      </c>
      <c r="CN961" s="238">
        <f t="shared" si="118"/>
        <v>13</v>
      </c>
      <c r="CO961" s="238">
        <f t="shared" si="119"/>
        <v>13</v>
      </c>
    </row>
    <row r="962" spans="1:93" ht="13.95" customHeight="1" x14ac:dyDescent="0.2">
      <c r="A962" s="231">
        <v>6657</v>
      </c>
      <c r="B962" s="232" t="s">
        <v>822</v>
      </c>
      <c r="C962" s="232" t="s">
        <v>804</v>
      </c>
      <c r="D962" s="232" t="s">
        <v>805</v>
      </c>
      <c r="E962" s="232" t="s">
        <v>2681</v>
      </c>
      <c r="F962" s="231">
        <v>525999</v>
      </c>
      <c r="G962" s="231">
        <v>173647</v>
      </c>
      <c r="H962" s="232" t="s">
        <v>179</v>
      </c>
      <c r="I962" s="233">
        <v>44581</v>
      </c>
      <c r="J962" s="231"/>
      <c r="K962" s="231">
        <v>0</v>
      </c>
      <c r="L962" s="231">
        <v>6</v>
      </c>
      <c r="M962" s="231">
        <v>6</v>
      </c>
      <c r="N962" s="231">
        <v>193</v>
      </c>
      <c r="O962" s="231">
        <v>182</v>
      </c>
      <c r="P962" s="234" t="s">
        <v>318</v>
      </c>
      <c r="Q962" s="232" t="s">
        <v>807</v>
      </c>
      <c r="R962" s="234" t="s">
        <v>655</v>
      </c>
      <c r="S962" s="235">
        <v>44260</v>
      </c>
      <c r="T962" s="235">
        <v>44396</v>
      </c>
      <c r="U962" s="234"/>
      <c r="V962" s="232" t="s">
        <v>321</v>
      </c>
      <c r="W962" s="231"/>
      <c r="X962" s="232" t="s">
        <v>322</v>
      </c>
      <c r="Y962" s="232" t="s">
        <v>323</v>
      </c>
      <c r="Z962" s="232" t="s">
        <v>323</v>
      </c>
      <c r="AA962" s="232" t="s">
        <v>324</v>
      </c>
      <c r="AB962" s="236">
        <v>3.0000000000000001E-3</v>
      </c>
      <c r="AC962" s="235"/>
      <c r="AD962" s="234"/>
      <c r="AE962" s="234"/>
      <c r="AF962" s="232" t="s">
        <v>56</v>
      </c>
      <c r="AG962" s="232" t="s">
        <v>325</v>
      </c>
      <c r="AH962" s="234" t="s">
        <v>317</v>
      </c>
      <c r="AJ962" s="234">
        <v>0</v>
      </c>
      <c r="AK962" s="234">
        <v>2</v>
      </c>
      <c r="AL962" s="234">
        <v>0</v>
      </c>
      <c r="AM962" s="234">
        <v>1</v>
      </c>
      <c r="AN962" s="234">
        <v>0</v>
      </c>
      <c r="AO962" s="234">
        <v>1</v>
      </c>
      <c r="AP962" s="234">
        <v>3</v>
      </c>
      <c r="AQ962" s="234">
        <v>2</v>
      </c>
      <c r="AR962" s="234">
        <v>0</v>
      </c>
      <c r="AS962" s="234">
        <v>0</v>
      </c>
      <c r="AT962" s="234">
        <v>0</v>
      </c>
      <c r="AU962" s="234">
        <v>0</v>
      </c>
      <c r="AV962" s="234">
        <v>1</v>
      </c>
      <c r="AW962" s="234">
        <v>3</v>
      </c>
      <c r="AX962" s="234">
        <v>2</v>
      </c>
      <c r="AY962" s="234">
        <v>0</v>
      </c>
      <c r="AZ962" s="234">
        <v>0</v>
      </c>
      <c r="BA962" s="234">
        <v>0</v>
      </c>
      <c r="BB962" s="234">
        <v>0</v>
      </c>
      <c r="BC962" s="234">
        <v>0</v>
      </c>
      <c r="BD962" s="234">
        <v>0</v>
      </c>
      <c r="BE962" s="234">
        <v>0</v>
      </c>
      <c r="BF962" s="234">
        <v>0</v>
      </c>
      <c r="BG962" s="234">
        <v>0</v>
      </c>
      <c r="BH962" s="234">
        <v>0</v>
      </c>
      <c r="BI962" s="234">
        <v>0</v>
      </c>
      <c r="BJ962" s="234">
        <v>0</v>
      </c>
      <c r="BK962" s="234">
        <v>0</v>
      </c>
      <c r="BL962" s="234">
        <v>0</v>
      </c>
      <c r="BM962" s="234">
        <v>0</v>
      </c>
      <c r="BN962" s="234">
        <v>0</v>
      </c>
      <c r="BO962" s="234">
        <v>0</v>
      </c>
      <c r="BP962" s="234"/>
      <c r="BQ962" s="234"/>
      <c r="BR962" s="237" t="s">
        <v>334</v>
      </c>
      <c r="BS962" s="238">
        <v>8</v>
      </c>
      <c r="BY962" s="239">
        <f t="shared" si="120"/>
        <v>6</v>
      </c>
      <c r="CN962" s="238">
        <f t="shared" si="118"/>
        <v>6</v>
      </c>
      <c r="CO962" s="238">
        <f t="shared" si="119"/>
        <v>6</v>
      </c>
    </row>
    <row r="963" spans="1:93" ht="13.95" customHeight="1" x14ac:dyDescent="0.2">
      <c r="A963" s="231">
        <v>6657</v>
      </c>
      <c r="B963" s="232" t="s">
        <v>822</v>
      </c>
      <c r="C963" s="232" t="s">
        <v>804</v>
      </c>
      <c r="D963" s="232" t="s">
        <v>805</v>
      </c>
      <c r="E963" s="232" t="s">
        <v>2682</v>
      </c>
      <c r="F963" s="231">
        <v>525999</v>
      </c>
      <c r="G963" s="231">
        <v>173647</v>
      </c>
      <c r="H963" s="232" t="s">
        <v>179</v>
      </c>
      <c r="I963" s="233">
        <v>44581</v>
      </c>
      <c r="J963" s="231"/>
      <c r="K963" s="231">
        <v>0</v>
      </c>
      <c r="L963" s="231">
        <v>17</v>
      </c>
      <c r="M963" s="231">
        <v>17</v>
      </c>
      <c r="N963" s="231">
        <v>193</v>
      </c>
      <c r="O963" s="231">
        <v>182</v>
      </c>
      <c r="P963" s="234" t="s">
        <v>318</v>
      </c>
      <c r="Q963" s="232" t="s">
        <v>807</v>
      </c>
      <c r="R963" s="234" t="s">
        <v>655</v>
      </c>
      <c r="S963" s="235">
        <v>44260</v>
      </c>
      <c r="T963" s="235">
        <v>44396</v>
      </c>
      <c r="U963" s="234"/>
      <c r="V963" s="232" t="s">
        <v>321</v>
      </c>
      <c r="W963" s="231"/>
      <c r="X963" s="232" t="s">
        <v>322</v>
      </c>
      <c r="Y963" s="232" t="s">
        <v>323</v>
      </c>
      <c r="Z963" s="232" t="s">
        <v>323</v>
      </c>
      <c r="AA963" s="232" t="s">
        <v>324</v>
      </c>
      <c r="AB963" s="236">
        <v>1.7000000000000001E-2</v>
      </c>
      <c r="AC963" s="235"/>
      <c r="AD963" s="234"/>
      <c r="AE963" s="234"/>
      <c r="AF963" s="232" t="s">
        <v>77</v>
      </c>
      <c r="AG963" s="232" t="s">
        <v>350</v>
      </c>
      <c r="AH963" s="234" t="s">
        <v>317</v>
      </c>
      <c r="AJ963" s="234">
        <v>0</v>
      </c>
      <c r="AK963" s="234">
        <v>16</v>
      </c>
      <c r="AL963" s="234">
        <v>0</v>
      </c>
      <c r="AM963" s="234">
        <v>1</v>
      </c>
      <c r="AN963" s="234">
        <v>0</v>
      </c>
      <c r="AO963" s="234">
        <v>1</v>
      </c>
      <c r="AP963" s="234">
        <v>12</v>
      </c>
      <c r="AQ963" s="234">
        <v>4</v>
      </c>
      <c r="AR963" s="234">
        <v>0</v>
      </c>
      <c r="AS963" s="234">
        <v>0</v>
      </c>
      <c r="AT963" s="234">
        <v>0</v>
      </c>
      <c r="AU963" s="234">
        <v>0</v>
      </c>
      <c r="AV963" s="234">
        <v>1</v>
      </c>
      <c r="AW963" s="234">
        <v>12</v>
      </c>
      <c r="AX963" s="234">
        <v>4</v>
      </c>
      <c r="AY963" s="234">
        <v>0</v>
      </c>
      <c r="AZ963" s="234">
        <v>0</v>
      </c>
      <c r="BA963" s="234">
        <v>0</v>
      </c>
      <c r="BB963" s="234">
        <v>0</v>
      </c>
      <c r="BC963" s="234">
        <v>0</v>
      </c>
      <c r="BD963" s="234">
        <v>0</v>
      </c>
      <c r="BE963" s="234">
        <v>0</v>
      </c>
      <c r="BF963" s="234">
        <v>0</v>
      </c>
      <c r="BG963" s="234">
        <v>0</v>
      </c>
      <c r="BH963" s="234">
        <v>0</v>
      </c>
      <c r="BI963" s="234">
        <v>0</v>
      </c>
      <c r="BJ963" s="234">
        <v>0</v>
      </c>
      <c r="BK963" s="234">
        <v>0</v>
      </c>
      <c r="BL963" s="234">
        <v>0</v>
      </c>
      <c r="BM963" s="234">
        <v>0</v>
      </c>
      <c r="BN963" s="234">
        <v>0</v>
      </c>
      <c r="BO963" s="234">
        <v>0</v>
      </c>
      <c r="BP963" s="234"/>
      <c r="BQ963" s="234"/>
      <c r="BR963" s="237" t="s">
        <v>334</v>
      </c>
      <c r="BS963" s="238">
        <v>8</v>
      </c>
      <c r="BY963" s="239">
        <f t="shared" si="120"/>
        <v>17</v>
      </c>
      <c r="CN963" s="238">
        <f t="shared" si="118"/>
        <v>17</v>
      </c>
      <c r="CO963" s="238">
        <f t="shared" si="119"/>
        <v>17</v>
      </c>
    </row>
    <row r="964" spans="1:93" ht="13.95" customHeight="1" x14ac:dyDescent="0.2">
      <c r="A964" s="231">
        <v>6657</v>
      </c>
      <c r="B964" s="232" t="s">
        <v>822</v>
      </c>
      <c r="C964" s="232" t="s">
        <v>804</v>
      </c>
      <c r="D964" s="232" t="s">
        <v>805</v>
      </c>
      <c r="E964" s="232" t="s">
        <v>2683</v>
      </c>
      <c r="F964" s="231">
        <v>525999</v>
      </c>
      <c r="G964" s="231">
        <v>173647</v>
      </c>
      <c r="H964" s="232" t="s">
        <v>179</v>
      </c>
      <c r="I964" s="233">
        <v>44581</v>
      </c>
      <c r="J964" s="231"/>
      <c r="K964" s="231">
        <v>0</v>
      </c>
      <c r="L964" s="231">
        <v>20</v>
      </c>
      <c r="M964" s="231">
        <v>20</v>
      </c>
      <c r="N964" s="231">
        <v>193</v>
      </c>
      <c r="O964" s="231">
        <v>182</v>
      </c>
      <c r="P964" s="234" t="s">
        <v>318</v>
      </c>
      <c r="Q964" s="232" t="s">
        <v>807</v>
      </c>
      <c r="R964" s="234" t="s">
        <v>655</v>
      </c>
      <c r="S964" s="235">
        <v>44260</v>
      </c>
      <c r="T964" s="235">
        <v>44396</v>
      </c>
      <c r="U964" s="234"/>
      <c r="V964" s="232" t="s">
        <v>321</v>
      </c>
      <c r="W964" s="231"/>
      <c r="X964" s="232" t="s">
        <v>322</v>
      </c>
      <c r="Y964" s="232" t="s">
        <v>323</v>
      </c>
      <c r="Z964" s="232" t="s">
        <v>323</v>
      </c>
      <c r="AA964" s="232" t="s">
        <v>324</v>
      </c>
      <c r="AB964" s="236">
        <v>1.7999999999999999E-2</v>
      </c>
      <c r="AC964" s="235"/>
      <c r="AD964" s="234"/>
      <c r="AE964" s="234"/>
      <c r="AF964" s="232" t="s">
        <v>77</v>
      </c>
      <c r="AG964" s="232" t="s">
        <v>350</v>
      </c>
      <c r="AH964" s="234" t="s">
        <v>317</v>
      </c>
      <c r="AJ964" s="234">
        <v>0</v>
      </c>
      <c r="AK964" s="234">
        <v>18</v>
      </c>
      <c r="AL964" s="234">
        <v>0</v>
      </c>
      <c r="AM964" s="234">
        <v>2</v>
      </c>
      <c r="AN964" s="234">
        <v>0</v>
      </c>
      <c r="AO964" s="234">
        <v>6</v>
      </c>
      <c r="AP964" s="234">
        <v>14</v>
      </c>
      <c r="AQ964" s="234">
        <v>0</v>
      </c>
      <c r="AR964" s="234">
        <v>0</v>
      </c>
      <c r="AS964" s="234">
        <v>0</v>
      </c>
      <c r="AT964" s="234">
        <v>0</v>
      </c>
      <c r="AU964" s="234">
        <v>0</v>
      </c>
      <c r="AV964" s="234">
        <v>6</v>
      </c>
      <c r="AW964" s="234">
        <v>14</v>
      </c>
      <c r="AX964" s="234">
        <v>0</v>
      </c>
      <c r="AY964" s="234">
        <v>0</v>
      </c>
      <c r="AZ964" s="234">
        <v>0</v>
      </c>
      <c r="BA964" s="234">
        <v>0</v>
      </c>
      <c r="BB964" s="234">
        <v>0</v>
      </c>
      <c r="BC964" s="234">
        <v>0</v>
      </c>
      <c r="BD964" s="234">
        <v>0</v>
      </c>
      <c r="BE964" s="234">
        <v>0</v>
      </c>
      <c r="BF964" s="234">
        <v>0</v>
      </c>
      <c r="BG964" s="234">
        <v>0</v>
      </c>
      <c r="BH964" s="234">
        <v>0</v>
      </c>
      <c r="BI964" s="234">
        <v>0</v>
      </c>
      <c r="BJ964" s="234">
        <v>0</v>
      </c>
      <c r="BK964" s="234">
        <v>0</v>
      </c>
      <c r="BL964" s="234">
        <v>0</v>
      </c>
      <c r="BM964" s="234">
        <v>0</v>
      </c>
      <c r="BN964" s="234">
        <v>0</v>
      </c>
      <c r="BO964" s="234">
        <v>0</v>
      </c>
      <c r="BP964" s="234"/>
      <c r="BQ964" s="234"/>
      <c r="BR964" s="237" t="s">
        <v>334</v>
      </c>
      <c r="BS964" s="238">
        <v>8</v>
      </c>
      <c r="BY964" s="239">
        <f t="shared" si="120"/>
        <v>20</v>
      </c>
      <c r="CN964" s="238">
        <f t="shared" si="118"/>
        <v>20</v>
      </c>
      <c r="CO964" s="238">
        <f t="shared" si="119"/>
        <v>20</v>
      </c>
    </row>
    <row r="965" spans="1:93" ht="13.95" customHeight="1" x14ac:dyDescent="0.2">
      <c r="A965" s="231">
        <v>6657</v>
      </c>
      <c r="B965" s="232" t="s">
        <v>822</v>
      </c>
      <c r="C965" s="232" t="s">
        <v>804</v>
      </c>
      <c r="D965" s="232" t="s">
        <v>805</v>
      </c>
      <c r="E965" s="232" t="s">
        <v>2684</v>
      </c>
      <c r="F965" s="231">
        <v>525999</v>
      </c>
      <c r="G965" s="231">
        <v>173647</v>
      </c>
      <c r="H965" s="232" t="s">
        <v>179</v>
      </c>
      <c r="I965" s="233">
        <v>44581</v>
      </c>
      <c r="J965" s="231"/>
      <c r="K965" s="231">
        <v>0</v>
      </c>
      <c r="L965" s="231">
        <v>19</v>
      </c>
      <c r="M965" s="231">
        <v>19</v>
      </c>
      <c r="N965" s="231">
        <v>193</v>
      </c>
      <c r="O965" s="231">
        <v>182</v>
      </c>
      <c r="P965" s="234" t="s">
        <v>318</v>
      </c>
      <c r="Q965" s="232" t="s">
        <v>807</v>
      </c>
      <c r="R965" s="234" t="s">
        <v>655</v>
      </c>
      <c r="S965" s="235">
        <v>44260</v>
      </c>
      <c r="T965" s="235">
        <v>44396</v>
      </c>
      <c r="U965" s="234"/>
      <c r="V965" s="232" t="s">
        <v>321</v>
      </c>
      <c r="W965" s="231"/>
      <c r="X965" s="232" t="s">
        <v>322</v>
      </c>
      <c r="Y965" s="232" t="s">
        <v>323</v>
      </c>
      <c r="Z965" s="232" t="s">
        <v>323</v>
      </c>
      <c r="AA965" s="232" t="s">
        <v>324</v>
      </c>
      <c r="AB965" s="236">
        <v>1.7000000000000001E-2</v>
      </c>
      <c r="AC965" s="235"/>
      <c r="AD965" s="234"/>
      <c r="AE965" s="234"/>
      <c r="AF965" s="232" t="s">
        <v>77</v>
      </c>
      <c r="AG965" s="232" t="s">
        <v>350</v>
      </c>
      <c r="AH965" s="234" t="s">
        <v>317</v>
      </c>
      <c r="AJ965" s="234">
        <v>0</v>
      </c>
      <c r="AK965" s="234">
        <v>18</v>
      </c>
      <c r="AL965" s="234">
        <v>0</v>
      </c>
      <c r="AM965" s="234">
        <v>1</v>
      </c>
      <c r="AN965" s="234">
        <v>0</v>
      </c>
      <c r="AO965" s="234">
        <v>7</v>
      </c>
      <c r="AP965" s="234">
        <v>12</v>
      </c>
      <c r="AQ965" s="234">
        <v>0</v>
      </c>
      <c r="AR965" s="234">
        <v>0</v>
      </c>
      <c r="AS965" s="234">
        <v>0</v>
      </c>
      <c r="AT965" s="234">
        <v>0</v>
      </c>
      <c r="AU965" s="234">
        <v>0</v>
      </c>
      <c r="AV965" s="234">
        <v>7</v>
      </c>
      <c r="AW965" s="234">
        <v>12</v>
      </c>
      <c r="AX965" s="234">
        <v>0</v>
      </c>
      <c r="AY965" s="234">
        <v>0</v>
      </c>
      <c r="AZ965" s="234">
        <v>0</v>
      </c>
      <c r="BA965" s="234">
        <v>0</v>
      </c>
      <c r="BB965" s="234">
        <v>0</v>
      </c>
      <c r="BC965" s="234">
        <v>0</v>
      </c>
      <c r="BD965" s="234">
        <v>0</v>
      </c>
      <c r="BE965" s="234">
        <v>0</v>
      </c>
      <c r="BF965" s="234">
        <v>0</v>
      </c>
      <c r="BG965" s="234">
        <v>0</v>
      </c>
      <c r="BH965" s="234">
        <v>0</v>
      </c>
      <c r="BI965" s="234">
        <v>0</v>
      </c>
      <c r="BJ965" s="234">
        <v>0</v>
      </c>
      <c r="BK965" s="234">
        <v>0</v>
      </c>
      <c r="BL965" s="234">
        <v>0</v>
      </c>
      <c r="BM965" s="234">
        <v>0</v>
      </c>
      <c r="BN965" s="234">
        <v>0</v>
      </c>
      <c r="BO965" s="234">
        <v>0</v>
      </c>
      <c r="BP965" s="234"/>
      <c r="BQ965" s="234"/>
      <c r="BR965" s="237" t="s">
        <v>334</v>
      </c>
      <c r="BS965" s="238">
        <v>8</v>
      </c>
      <c r="BY965" s="239">
        <f t="shared" si="120"/>
        <v>19</v>
      </c>
      <c r="CN965" s="238">
        <f t="shared" si="118"/>
        <v>19</v>
      </c>
      <c r="CO965" s="238">
        <f t="shared" si="119"/>
        <v>19</v>
      </c>
    </row>
    <row r="966" spans="1:93" ht="13.95" customHeight="1" x14ac:dyDescent="0.2">
      <c r="A966" s="231">
        <v>3521</v>
      </c>
      <c r="B966" s="232" t="s">
        <v>822</v>
      </c>
      <c r="C966" s="232" t="s">
        <v>814</v>
      </c>
      <c r="D966" s="232" t="s">
        <v>809</v>
      </c>
      <c r="E966" s="232" t="s">
        <v>2685</v>
      </c>
      <c r="F966" s="231">
        <v>527156</v>
      </c>
      <c r="G966" s="231">
        <v>175243</v>
      </c>
      <c r="H966" s="232" t="s">
        <v>167</v>
      </c>
      <c r="I966" s="233">
        <v>43862</v>
      </c>
      <c r="J966" s="231"/>
      <c r="K966" s="231">
        <v>56</v>
      </c>
      <c r="L966" s="231">
        <v>0</v>
      </c>
      <c r="M966" s="231">
        <v>-56</v>
      </c>
      <c r="N966" s="231">
        <v>446</v>
      </c>
      <c r="O966" s="231">
        <v>204</v>
      </c>
      <c r="P966" s="234" t="s">
        <v>318</v>
      </c>
      <c r="Q966" s="232" t="s">
        <v>816</v>
      </c>
      <c r="R966" s="234" t="s">
        <v>344</v>
      </c>
      <c r="S966" s="235">
        <v>43028</v>
      </c>
      <c r="T966" s="235">
        <v>43480</v>
      </c>
      <c r="U966" s="234"/>
      <c r="V966" s="232" t="s">
        <v>321</v>
      </c>
      <c r="W966" s="231"/>
      <c r="X966" s="232" t="s">
        <v>322</v>
      </c>
      <c r="Y966" s="232" t="s">
        <v>323</v>
      </c>
      <c r="Z966" s="232" t="s">
        <v>323</v>
      </c>
      <c r="AA966" s="232" t="s">
        <v>324</v>
      </c>
      <c r="AB966" s="236">
        <v>0</v>
      </c>
      <c r="AC966" s="235"/>
      <c r="AD966" s="234"/>
      <c r="AE966" s="234"/>
      <c r="AF966" s="232" t="s">
        <v>57</v>
      </c>
      <c r="AG966" s="232" t="s">
        <v>333</v>
      </c>
      <c r="AH966" s="234" t="s">
        <v>813</v>
      </c>
      <c r="AJ966" s="234">
        <v>0</v>
      </c>
      <c r="AK966" s="224"/>
      <c r="AL966" s="234">
        <v>0</v>
      </c>
      <c r="AM966" s="224"/>
      <c r="AN966" s="234">
        <v>-1</v>
      </c>
      <c r="AO966" s="234">
        <v>-18</v>
      </c>
      <c r="AP966" s="234">
        <v>-22</v>
      </c>
      <c r="AQ966" s="234">
        <v>-15</v>
      </c>
      <c r="AR966" s="234">
        <v>0</v>
      </c>
      <c r="AS966" s="234">
        <v>0</v>
      </c>
      <c r="AT966" s="234">
        <v>0</v>
      </c>
      <c r="AU966" s="234">
        <v>-1</v>
      </c>
      <c r="AV966" s="234">
        <v>-18</v>
      </c>
      <c r="AW966" s="234">
        <v>-22</v>
      </c>
      <c r="AX966" s="234">
        <v>-15</v>
      </c>
      <c r="AY966" s="234">
        <v>0</v>
      </c>
      <c r="AZ966" s="234">
        <v>0</v>
      </c>
      <c r="BA966" s="234">
        <v>0</v>
      </c>
      <c r="BB966" s="234">
        <v>0</v>
      </c>
      <c r="BC966" s="234">
        <v>0</v>
      </c>
      <c r="BD966" s="234">
        <v>0</v>
      </c>
      <c r="BE966" s="234">
        <v>0</v>
      </c>
      <c r="BF966" s="234">
        <v>0</v>
      </c>
      <c r="BG966" s="234">
        <v>0</v>
      </c>
      <c r="BH966" s="234">
        <v>0</v>
      </c>
      <c r="BI966" s="234">
        <v>0</v>
      </c>
      <c r="BJ966" s="234">
        <v>0</v>
      </c>
      <c r="BK966" s="234">
        <v>0</v>
      </c>
      <c r="BL966" s="234">
        <v>0</v>
      </c>
      <c r="BM966" s="234">
        <v>0</v>
      </c>
      <c r="BN966" s="234">
        <v>0</v>
      </c>
      <c r="BO966" s="234">
        <v>0</v>
      </c>
      <c r="BP966" s="234"/>
      <c r="BQ966" s="234"/>
      <c r="BR966" s="237" t="s">
        <v>150</v>
      </c>
      <c r="BS966" s="238">
        <v>8</v>
      </c>
      <c r="BX966" s="239">
        <f>M966</f>
        <v>-56</v>
      </c>
      <c r="CN966" s="238">
        <f t="shared" si="118"/>
        <v>-56</v>
      </c>
      <c r="CO966" s="238">
        <f t="shared" si="119"/>
        <v>-56</v>
      </c>
    </row>
    <row r="967" spans="1:93" ht="13.95" customHeight="1" x14ac:dyDescent="0.2">
      <c r="A967" s="231">
        <v>3521</v>
      </c>
      <c r="B967" s="232" t="s">
        <v>822</v>
      </c>
      <c r="C967" s="232" t="s">
        <v>814</v>
      </c>
      <c r="D967" s="232" t="s">
        <v>809</v>
      </c>
      <c r="E967" s="232" t="s">
        <v>2685</v>
      </c>
      <c r="F967" s="231">
        <v>527156</v>
      </c>
      <c r="G967" s="231">
        <v>175243</v>
      </c>
      <c r="H967" s="232" t="s">
        <v>167</v>
      </c>
      <c r="I967" s="233">
        <v>43862</v>
      </c>
      <c r="J967" s="231"/>
      <c r="K967" s="231">
        <v>28</v>
      </c>
      <c r="L967" s="231">
        <v>0</v>
      </c>
      <c r="M967" s="231">
        <v>-28</v>
      </c>
      <c r="N967" s="231">
        <v>446</v>
      </c>
      <c r="O967" s="231">
        <v>204</v>
      </c>
      <c r="P967" s="234" t="s">
        <v>318</v>
      </c>
      <c r="Q967" s="232" t="s">
        <v>816</v>
      </c>
      <c r="R967" s="234" t="s">
        <v>344</v>
      </c>
      <c r="S967" s="235">
        <v>43028</v>
      </c>
      <c r="T967" s="235">
        <v>43480</v>
      </c>
      <c r="U967" s="234"/>
      <c r="V967" s="232" t="s">
        <v>321</v>
      </c>
      <c r="W967" s="231"/>
      <c r="X967" s="232" t="s">
        <v>322</v>
      </c>
      <c r="Y967" s="232" t="s">
        <v>323</v>
      </c>
      <c r="Z967" s="232" t="s">
        <v>323</v>
      </c>
      <c r="AA967" s="232" t="s">
        <v>324</v>
      </c>
      <c r="AB967" s="236">
        <v>0</v>
      </c>
      <c r="AC967" s="235"/>
      <c r="AD967" s="234"/>
      <c r="AE967" s="234"/>
      <c r="AF967" s="232" t="s">
        <v>77</v>
      </c>
      <c r="AG967" s="232" t="s">
        <v>350</v>
      </c>
      <c r="AH967" s="234" t="s">
        <v>813</v>
      </c>
      <c r="AJ967" s="234">
        <v>0</v>
      </c>
      <c r="AK967" s="224"/>
      <c r="AL967" s="234">
        <v>0</v>
      </c>
      <c r="AM967" s="224"/>
      <c r="AN967" s="234">
        <v>-1</v>
      </c>
      <c r="AO967" s="234">
        <v>-12</v>
      </c>
      <c r="AP967" s="234">
        <v>-12</v>
      </c>
      <c r="AQ967" s="234">
        <v>-3</v>
      </c>
      <c r="AR967" s="234">
        <v>0</v>
      </c>
      <c r="AS967" s="234">
        <v>0</v>
      </c>
      <c r="AT967" s="234">
        <v>0</v>
      </c>
      <c r="AU967" s="234">
        <v>-1</v>
      </c>
      <c r="AV967" s="234">
        <v>-12</v>
      </c>
      <c r="AW967" s="234">
        <v>-12</v>
      </c>
      <c r="AX967" s="234">
        <v>-3</v>
      </c>
      <c r="AY967" s="234">
        <v>0</v>
      </c>
      <c r="AZ967" s="234">
        <v>0</v>
      </c>
      <c r="BA967" s="234">
        <v>0</v>
      </c>
      <c r="BB967" s="234">
        <v>0</v>
      </c>
      <c r="BC967" s="234">
        <v>0</v>
      </c>
      <c r="BD967" s="234">
        <v>0</v>
      </c>
      <c r="BE967" s="234">
        <v>0</v>
      </c>
      <c r="BF967" s="234">
        <v>0</v>
      </c>
      <c r="BG967" s="234">
        <v>0</v>
      </c>
      <c r="BH967" s="234">
        <v>0</v>
      </c>
      <c r="BI967" s="234">
        <v>0</v>
      </c>
      <c r="BJ967" s="234">
        <v>0</v>
      </c>
      <c r="BK967" s="234">
        <v>0</v>
      </c>
      <c r="BL967" s="234">
        <v>0</v>
      </c>
      <c r="BM967" s="234">
        <v>0</v>
      </c>
      <c r="BN967" s="234">
        <v>0</v>
      </c>
      <c r="BO967" s="234">
        <v>0</v>
      </c>
      <c r="BP967" s="234"/>
      <c r="BQ967" s="234"/>
      <c r="BR967" s="237" t="s">
        <v>150</v>
      </c>
      <c r="BS967" s="238">
        <v>8</v>
      </c>
      <c r="BX967" s="239">
        <f>M967</f>
        <v>-28</v>
      </c>
      <c r="CN967" s="238">
        <f t="shared" si="118"/>
        <v>-28</v>
      </c>
      <c r="CO967" s="238">
        <f t="shared" si="119"/>
        <v>-28</v>
      </c>
    </row>
    <row r="968" spans="1:93" ht="13.95" customHeight="1" x14ac:dyDescent="0.2">
      <c r="A968" s="231">
        <v>3521</v>
      </c>
      <c r="B968" s="232" t="s">
        <v>822</v>
      </c>
      <c r="C968" s="232" t="s">
        <v>808</v>
      </c>
      <c r="D968" s="232" t="s">
        <v>809</v>
      </c>
      <c r="E968" s="232" t="s">
        <v>2686</v>
      </c>
      <c r="F968" s="231">
        <v>527156</v>
      </c>
      <c r="G968" s="231">
        <v>175243</v>
      </c>
      <c r="H968" s="232" t="s">
        <v>167</v>
      </c>
      <c r="I968" s="233">
        <v>44868</v>
      </c>
      <c r="J968" s="231"/>
      <c r="K968" s="231">
        <v>0</v>
      </c>
      <c r="L968" s="231">
        <v>37</v>
      </c>
      <c r="M968" s="231">
        <v>37</v>
      </c>
      <c r="N968" s="231">
        <v>315</v>
      </c>
      <c r="O968" s="231">
        <v>307</v>
      </c>
      <c r="P968" s="234" t="s">
        <v>318</v>
      </c>
      <c r="Q968" s="232" t="s">
        <v>811</v>
      </c>
      <c r="R968" s="234" t="s">
        <v>344</v>
      </c>
      <c r="S968" s="235">
        <v>44547</v>
      </c>
      <c r="T968" s="235">
        <v>44868</v>
      </c>
      <c r="U968" s="234" t="s">
        <v>318</v>
      </c>
      <c r="V968" s="232" t="s">
        <v>321</v>
      </c>
      <c r="W968" s="231"/>
      <c r="X968" s="232" t="s">
        <v>322</v>
      </c>
      <c r="Y968" s="232" t="s">
        <v>338</v>
      </c>
      <c r="Z968" s="232" t="s">
        <v>323</v>
      </c>
      <c r="AA968" s="232" t="s">
        <v>324</v>
      </c>
      <c r="AB968" s="236">
        <v>0.155</v>
      </c>
      <c r="AC968" s="235"/>
      <c r="AD968" s="234"/>
      <c r="AE968" s="234"/>
      <c r="AF968" s="232" t="s">
        <v>56</v>
      </c>
      <c r="AG968" s="232" t="s">
        <v>355</v>
      </c>
      <c r="AH968" s="234" t="s">
        <v>813</v>
      </c>
      <c r="AJ968" s="234">
        <v>37</v>
      </c>
      <c r="AK968" s="224"/>
      <c r="AL968" s="234">
        <v>0</v>
      </c>
      <c r="AM968" s="224"/>
      <c r="AN968" s="234">
        <v>0</v>
      </c>
      <c r="AO968" s="234">
        <v>18</v>
      </c>
      <c r="AP968" s="234">
        <v>16</v>
      </c>
      <c r="AQ968" s="234">
        <v>3</v>
      </c>
      <c r="AR968" s="234">
        <v>0</v>
      </c>
      <c r="AS968" s="234">
        <v>0</v>
      </c>
      <c r="AT968" s="234">
        <v>0</v>
      </c>
      <c r="AU968" s="234">
        <v>0</v>
      </c>
      <c r="AV968" s="234">
        <v>18</v>
      </c>
      <c r="AW968" s="234">
        <v>16</v>
      </c>
      <c r="AX968" s="234">
        <v>3</v>
      </c>
      <c r="AY968" s="234">
        <v>0</v>
      </c>
      <c r="AZ968" s="234">
        <v>0</v>
      </c>
      <c r="BA968" s="234">
        <v>0</v>
      </c>
      <c r="BB968" s="234">
        <v>0</v>
      </c>
      <c r="BC968" s="234">
        <v>0</v>
      </c>
      <c r="BD968" s="234">
        <v>0</v>
      </c>
      <c r="BE968" s="234">
        <v>0</v>
      </c>
      <c r="BF968" s="234">
        <v>0</v>
      </c>
      <c r="BG968" s="234">
        <v>0</v>
      </c>
      <c r="BH968" s="234">
        <v>0</v>
      </c>
      <c r="BI968" s="234">
        <v>0</v>
      </c>
      <c r="BJ968" s="234">
        <v>0</v>
      </c>
      <c r="BK968" s="234">
        <v>0</v>
      </c>
      <c r="BL968" s="234">
        <v>0</v>
      </c>
      <c r="BM968" s="234">
        <v>0</v>
      </c>
      <c r="BN968" s="234">
        <v>0</v>
      </c>
      <c r="BO968" s="234">
        <v>0</v>
      </c>
      <c r="BP968" s="234"/>
      <c r="BQ968" s="234"/>
      <c r="BR968" s="237" t="s">
        <v>150</v>
      </c>
      <c r="BS968" s="238">
        <v>8</v>
      </c>
      <c r="BX968" s="239">
        <f>M968</f>
        <v>37</v>
      </c>
      <c r="CN968" s="238">
        <f t="shared" si="118"/>
        <v>37</v>
      </c>
      <c r="CO968" s="238">
        <f t="shared" si="119"/>
        <v>37</v>
      </c>
    </row>
    <row r="969" spans="1:93" ht="13.95" customHeight="1" x14ac:dyDescent="0.2">
      <c r="A969" s="231">
        <v>3521</v>
      </c>
      <c r="B969" s="232" t="s">
        <v>822</v>
      </c>
      <c r="C969" s="232" t="s">
        <v>808</v>
      </c>
      <c r="D969" s="232" t="s">
        <v>809</v>
      </c>
      <c r="E969" s="232" t="s">
        <v>2687</v>
      </c>
      <c r="F969" s="231">
        <v>527156</v>
      </c>
      <c r="G969" s="231">
        <v>175243</v>
      </c>
      <c r="H969" s="232" t="s">
        <v>167</v>
      </c>
      <c r="I969" s="233">
        <v>44868</v>
      </c>
      <c r="J969" s="231"/>
      <c r="K969" s="231">
        <v>0</v>
      </c>
      <c r="L969" s="231">
        <v>270</v>
      </c>
      <c r="M969" s="231">
        <v>270</v>
      </c>
      <c r="N969" s="231">
        <v>315</v>
      </c>
      <c r="O969" s="231">
        <v>307</v>
      </c>
      <c r="P969" s="234" t="s">
        <v>318</v>
      </c>
      <c r="Q969" s="232" t="s">
        <v>811</v>
      </c>
      <c r="R969" s="234" t="s">
        <v>344</v>
      </c>
      <c r="S969" s="235">
        <v>44547</v>
      </c>
      <c r="T969" s="235">
        <v>44868</v>
      </c>
      <c r="U969" s="234" t="s">
        <v>318</v>
      </c>
      <c r="V969" s="232" t="s">
        <v>321</v>
      </c>
      <c r="W969" s="231"/>
      <c r="X969" s="232" t="s">
        <v>322</v>
      </c>
      <c r="Y969" s="232" t="s">
        <v>338</v>
      </c>
      <c r="Z969" s="232" t="s">
        <v>323</v>
      </c>
      <c r="AA969" s="232" t="s">
        <v>324</v>
      </c>
      <c r="AB969" s="236">
        <v>1.0840000000000001</v>
      </c>
      <c r="AC969" s="235"/>
      <c r="AD969" s="234"/>
      <c r="AE969" s="234"/>
      <c r="AF969" s="232" t="s">
        <v>77</v>
      </c>
      <c r="AG969" s="232" t="s">
        <v>350</v>
      </c>
      <c r="AH969" s="234" t="s">
        <v>813</v>
      </c>
      <c r="AJ969" s="234">
        <v>270</v>
      </c>
      <c r="AK969" s="224"/>
      <c r="AL969" s="234">
        <v>0</v>
      </c>
      <c r="AM969" s="224"/>
      <c r="AN969" s="234">
        <v>11</v>
      </c>
      <c r="AO969" s="234">
        <v>133</v>
      </c>
      <c r="AP969" s="234">
        <v>123</v>
      </c>
      <c r="AQ969" s="234">
        <v>3</v>
      </c>
      <c r="AR969" s="234">
        <v>0</v>
      </c>
      <c r="AS969" s="234">
        <v>0</v>
      </c>
      <c r="AT969" s="234">
        <v>0</v>
      </c>
      <c r="AU969" s="234">
        <v>11</v>
      </c>
      <c r="AV969" s="234">
        <v>133</v>
      </c>
      <c r="AW969" s="234">
        <v>123</v>
      </c>
      <c r="AX969" s="234">
        <v>3</v>
      </c>
      <c r="AY969" s="234">
        <v>0</v>
      </c>
      <c r="AZ969" s="234">
        <v>0</v>
      </c>
      <c r="BA969" s="234">
        <v>0</v>
      </c>
      <c r="BB969" s="234">
        <v>0</v>
      </c>
      <c r="BC969" s="234">
        <v>0</v>
      </c>
      <c r="BD969" s="234">
        <v>0</v>
      </c>
      <c r="BE969" s="234">
        <v>0</v>
      </c>
      <c r="BF969" s="234">
        <v>0</v>
      </c>
      <c r="BG969" s="234">
        <v>0</v>
      </c>
      <c r="BH969" s="234">
        <v>0</v>
      </c>
      <c r="BI969" s="234">
        <v>0</v>
      </c>
      <c r="BJ969" s="234">
        <v>0</v>
      </c>
      <c r="BK969" s="234">
        <v>0</v>
      </c>
      <c r="BL969" s="234">
        <v>0</v>
      </c>
      <c r="BM969" s="234">
        <v>0</v>
      </c>
      <c r="BN969" s="234">
        <v>0</v>
      </c>
      <c r="BO969" s="234">
        <v>0</v>
      </c>
      <c r="BP969" s="234"/>
      <c r="BQ969" s="234"/>
      <c r="BR969" s="237" t="s">
        <v>150</v>
      </c>
      <c r="BS969" s="238">
        <v>8</v>
      </c>
      <c r="BX969" s="239">
        <f>M969</f>
        <v>270</v>
      </c>
      <c r="CN969" s="238">
        <f t="shared" si="118"/>
        <v>270</v>
      </c>
      <c r="CO969" s="238">
        <f t="shared" si="119"/>
        <v>270</v>
      </c>
    </row>
    <row r="970" spans="1:93" ht="13.95" customHeight="1" x14ac:dyDescent="0.2">
      <c r="A970" s="231">
        <v>2411</v>
      </c>
      <c r="B970" s="232" t="s">
        <v>822</v>
      </c>
      <c r="C970" s="232" t="s">
        <v>1412</v>
      </c>
      <c r="D970" s="232" t="s">
        <v>534</v>
      </c>
      <c r="E970" s="232" t="s">
        <v>2688</v>
      </c>
      <c r="F970" s="231">
        <v>528934</v>
      </c>
      <c r="G970" s="231">
        <v>177496</v>
      </c>
      <c r="H970" s="232" t="s">
        <v>168</v>
      </c>
      <c r="I970" s="233">
        <v>42506</v>
      </c>
      <c r="J970" s="231"/>
      <c r="K970" s="231">
        <v>0</v>
      </c>
      <c r="L970" s="231">
        <v>306</v>
      </c>
      <c r="M970" s="231">
        <v>306</v>
      </c>
      <c r="N970" s="231">
        <v>1192</v>
      </c>
      <c r="O970" s="231">
        <v>1192</v>
      </c>
      <c r="P970" s="234" t="s">
        <v>318</v>
      </c>
      <c r="Q970" s="232" t="s">
        <v>1414</v>
      </c>
      <c r="R970" s="234" t="s">
        <v>655</v>
      </c>
      <c r="S970" s="235">
        <v>42809</v>
      </c>
      <c r="T970" s="235">
        <v>43049</v>
      </c>
      <c r="U970" s="234"/>
      <c r="V970" s="232" t="s">
        <v>321</v>
      </c>
      <c r="W970" s="231"/>
      <c r="X970" s="232" t="s">
        <v>322</v>
      </c>
      <c r="Y970" s="232" t="s">
        <v>323</v>
      </c>
      <c r="Z970" s="232" t="s">
        <v>323</v>
      </c>
      <c r="AA970" s="232" t="s">
        <v>324</v>
      </c>
      <c r="AB970" s="236">
        <v>0.38600000000000001</v>
      </c>
      <c r="AC970" s="235"/>
      <c r="AD970" s="234"/>
      <c r="AE970" s="234"/>
      <c r="AF970" s="232" t="s">
        <v>77</v>
      </c>
      <c r="AG970" s="232" t="s">
        <v>350</v>
      </c>
      <c r="AH970" s="234" t="s">
        <v>537</v>
      </c>
      <c r="AJ970" s="234">
        <v>306</v>
      </c>
      <c r="AK970" s="224"/>
      <c r="AL970" s="234">
        <v>31</v>
      </c>
      <c r="AM970" s="224"/>
      <c r="AN970" s="234">
        <v>29</v>
      </c>
      <c r="AO970" s="234">
        <v>0</v>
      </c>
      <c r="AP970" s="234">
        <v>36</v>
      </c>
      <c r="AQ970" s="234">
        <v>140</v>
      </c>
      <c r="AR970" s="234">
        <v>35</v>
      </c>
      <c r="AS970" s="234">
        <v>66</v>
      </c>
      <c r="AT970" s="234">
        <v>0</v>
      </c>
      <c r="AU970" s="234">
        <v>29</v>
      </c>
      <c r="AV970" s="234">
        <v>0</v>
      </c>
      <c r="AW970" s="234">
        <v>36</v>
      </c>
      <c r="AX970" s="234">
        <v>140</v>
      </c>
      <c r="AY970" s="234">
        <v>35</v>
      </c>
      <c r="AZ970" s="234">
        <v>66</v>
      </c>
      <c r="BA970" s="234">
        <v>0</v>
      </c>
      <c r="BB970" s="234">
        <v>0</v>
      </c>
      <c r="BC970" s="234">
        <v>0</v>
      </c>
      <c r="BD970" s="234">
        <v>0</v>
      </c>
      <c r="BE970" s="234">
        <v>0</v>
      </c>
      <c r="BF970" s="234">
        <v>0</v>
      </c>
      <c r="BG970" s="234">
        <v>0</v>
      </c>
      <c r="BH970" s="234">
        <v>0</v>
      </c>
      <c r="BI970" s="234">
        <v>0</v>
      </c>
      <c r="BJ970" s="234">
        <v>0</v>
      </c>
      <c r="BK970" s="234">
        <v>0</v>
      </c>
      <c r="BL970" s="234">
        <v>0</v>
      </c>
      <c r="BM970" s="234">
        <v>0</v>
      </c>
      <c r="BN970" s="234">
        <v>0</v>
      </c>
      <c r="BO970" s="234">
        <v>0</v>
      </c>
      <c r="BP970" s="234"/>
      <c r="BQ970" s="234" t="s">
        <v>318</v>
      </c>
      <c r="BR970" s="237" t="s">
        <v>151</v>
      </c>
      <c r="BS970" s="238">
        <v>10</v>
      </c>
      <c r="BX970" s="239">
        <f>M970/3</f>
        <v>102</v>
      </c>
      <c r="BY970" s="239">
        <f>M970/3</f>
        <v>102</v>
      </c>
      <c r="BZ970" s="239">
        <f>M970/3</f>
        <v>102</v>
      </c>
      <c r="CN970" s="238">
        <f t="shared" si="118"/>
        <v>204</v>
      </c>
      <c r="CO970" s="238">
        <f t="shared" si="119"/>
        <v>306</v>
      </c>
    </row>
    <row r="971" spans="1:93" ht="13.95" customHeight="1" x14ac:dyDescent="0.2">
      <c r="A971" s="231">
        <v>2411</v>
      </c>
      <c r="B971" s="232" t="s">
        <v>822</v>
      </c>
      <c r="C971" s="232" t="s">
        <v>1412</v>
      </c>
      <c r="D971" s="232" t="s">
        <v>534</v>
      </c>
      <c r="E971" s="232" t="s">
        <v>2688</v>
      </c>
      <c r="F971" s="231">
        <v>528934</v>
      </c>
      <c r="G971" s="231">
        <v>177496</v>
      </c>
      <c r="H971" s="232" t="s">
        <v>168</v>
      </c>
      <c r="I971" s="233">
        <v>42506</v>
      </c>
      <c r="J971" s="231"/>
      <c r="K971" s="231">
        <v>0</v>
      </c>
      <c r="L971" s="231">
        <v>92</v>
      </c>
      <c r="M971" s="231">
        <v>92</v>
      </c>
      <c r="N971" s="231">
        <v>1192</v>
      </c>
      <c r="O971" s="231">
        <v>1192</v>
      </c>
      <c r="P971" s="234" t="s">
        <v>318</v>
      </c>
      <c r="Q971" s="232" t="s">
        <v>1414</v>
      </c>
      <c r="R971" s="234" t="s">
        <v>655</v>
      </c>
      <c r="S971" s="235">
        <v>42809</v>
      </c>
      <c r="T971" s="235">
        <v>43049</v>
      </c>
      <c r="U971" s="234"/>
      <c r="V971" s="232" t="s">
        <v>321</v>
      </c>
      <c r="W971" s="231"/>
      <c r="X971" s="232" t="s">
        <v>322</v>
      </c>
      <c r="Y971" s="232" t="s">
        <v>323</v>
      </c>
      <c r="Z971" s="232" t="s">
        <v>323</v>
      </c>
      <c r="AA971" s="232" t="s">
        <v>324</v>
      </c>
      <c r="AB971" s="236">
        <v>0.11600000000000001</v>
      </c>
      <c r="AC971" s="235"/>
      <c r="AD971" s="234"/>
      <c r="AE971" s="234"/>
      <c r="AF971" s="232" t="s">
        <v>56</v>
      </c>
      <c r="AG971" s="232" t="s">
        <v>355</v>
      </c>
      <c r="AH971" s="234" t="s">
        <v>537</v>
      </c>
      <c r="AJ971" s="234">
        <v>92</v>
      </c>
      <c r="AK971" s="224"/>
      <c r="AL971" s="234">
        <v>9</v>
      </c>
      <c r="AM971" s="224"/>
      <c r="AN971" s="234">
        <v>0</v>
      </c>
      <c r="AO971" s="234">
        <v>41</v>
      </c>
      <c r="AP971" s="234">
        <v>48</v>
      </c>
      <c r="AQ971" s="234">
        <v>3</v>
      </c>
      <c r="AR971" s="234">
        <v>0</v>
      </c>
      <c r="AS971" s="234">
        <v>0</v>
      </c>
      <c r="AT971" s="234">
        <v>0</v>
      </c>
      <c r="AU971" s="234">
        <v>0</v>
      </c>
      <c r="AV971" s="234">
        <v>41</v>
      </c>
      <c r="AW971" s="234">
        <v>48</v>
      </c>
      <c r="AX971" s="234">
        <v>3</v>
      </c>
      <c r="AY971" s="234">
        <v>0</v>
      </c>
      <c r="AZ971" s="234">
        <v>0</v>
      </c>
      <c r="BA971" s="234">
        <v>0</v>
      </c>
      <c r="BB971" s="234">
        <v>0</v>
      </c>
      <c r="BC971" s="234">
        <v>0</v>
      </c>
      <c r="BD971" s="234">
        <v>0</v>
      </c>
      <c r="BE971" s="234">
        <v>0</v>
      </c>
      <c r="BF971" s="234">
        <v>0</v>
      </c>
      <c r="BG971" s="234">
        <v>0</v>
      </c>
      <c r="BH971" s="234">
        <v>0</v>
      </c>
      <c r="BI971" s="234">
        <v>0</v>
      </c>
      <c r="BJ971" s="234">
        <v>0</v>
      </c>
      <c r="BK971" s="234">
        <v>0</v>
      </c>
      <c r="BL971" s="234">
        <v>0</v>
      </c>
      <c r="BM971" s="234">
        <v>0</v>
      </c>
      <c r="BN971" s="234">
        <v>0</v>
      </c>
      <c r="BO971" s="234">
        <v>0</v>
      </c>
      <c r="BP971" s="234"/>
      <c r="BQ971" s="234" t="s">
        <v>318</v>
      </c>
      <c r="BR971" s="237" t="s">
        <v>151</v>
      </c>
      <c r="BS971" s="238">
        <v>10</v>
      </c>
      <c r="BX971" s="239">
        <f>M971/3</f>
        <v>30.666666666666668</v>
      </c>
      <c r="BY971" s="239">
        <f>M971/3</f>
        <v>30.666666666666668</v>
      </c>
      <c r="BZ971" s="239">
        <f>M971/3</f>
        <v>30.666666666666668</v>
      </c>
      <c r="CN971" s="238">
        <f t="shared" si="118"/>
        <v>61.333333333333336</v>
      </c>
      <c r="CO971" s="238">
        <f t="shared" si="119"/>
        <v>92</v>
      </c>
    </row>
    <row r="972" spans="1:93" ht="13.95" customHeight="1" x14ac:dyDescent="0.2">
      <c r="A972" s="231">
        <v>2411</v>
      </c>
      <c r="B972" s="232" t="s">
        <v>822</v>
      </c>
      <c r="C972" s="232" t="s">
        <v>2689</v>
      </c>
      <c r="D972" s="232" t="s">
        <v>534</v>
      </c>
      <c r="E972" s="232" t="s">
        <v>2690</v>
      </c>
      <c r="F972" s="231">
        <v>528934</v>
      </c>
      <c r="G972" s="231">
        <v>177496</v>
      </c>
      <c r="H972" s="232" t="s">
        <v>168</v>
      </c>
      <c r="I972" s="233">
        <v>41599</v>
      </c>
      <c r="J972" s="231"/>
      <c r="K972" s="231">
        <v>0</v>
      </c>
      <c r="L972" s="231">
        <v>152</v>
      </c>
      <c r="M972" s="231">
        <v>152</v>
      </c>
      <c r="N972" s="231">
        <v>2735</v>
      </c>
      <c r="O972" s="231">
        <v>2735</v>
      </c>
      <c r="P972" s="234" t="s">
        <v>318</v>
      </c>
      <c r="Q972" s="232" t="s">
        <v>2691</v>
      </c>
      <c r="R972" s="234" t="s">
        <v>344</v>
      </c>
      <c r="S972" s="235">
        <v>42431</v>
      </c>
      <c r="T972" s="235">
        <v>42682</v>
      </c>
      <c r="U972" s="234"/>
      <c r="V972" s="232" t="s">
        <v>321</v>
      </c>
      <c r="W972" s="231"/>
      <c r="X972" s="232" t="s">
        <v>322</v>
      </c>
      <c r="Y972" s="232" t="s">
        <v>323</v>
      </c>
      <c r="Z972" s="232" t="s">
        <v>323</v>
      </c>
      <c r="AA972" s="232" t="s">
        <v>324</v>
      </c>
      <c r="AB972" s="236">
        <v>0.21</v>
      </c>
      <c r="AC972" s="235"/>
      <c r="AD972" s="234"/>
      <c r="AE972" s="234"/>
      <c r="AF972" s="232" t="s">
        <v>77</v>
      </c>
      <c r="AG972" s="232" t="s">
        <v>350</v>
      </c>
      <c r="AH972" s="234" t="s">
        <v>537</v>
      </c>
      <c r="AJ972" s="234">
        <v>152</v>
      </c>
      <c r="AK972" s="224"/>
      <c r="AL972" s="234">
        <v>15</v>
      </c>
      <c r="AM972" s="224"/>
      <c r="AN972" s="234">
        <v>26</v>
      </c>
      <c r="AO972" s="234">
        <v>1</v>
      </c>
      <c r="AP972" s="234">
        <v>31</v>
      </c>
      <c r="AQ972" s="234">
        <v>55</v>
      </c>
      <c r="AR972" s="234">
        <v>14</v>
      </c>
      <c r="AS972" s="234">
        <v>25</v>
      </c>
      <c r="AT972" s="234">
        <v>0</v>
      </c>
      <c r="AU972" s="234">
        <v>26</v>
      </c>
      <c r="AV972" s="234">
        <v>1</v>
      </c>
      <c r="AW972" s="234">
        <v>31</v>
      </c>
      <c r="AX972" s="234">
        <v>55</v>
      </c>
      <c r="AY972" s="234">
        <v>14</v>
      </c>
      <c r="AZ972" s="234">
        <v>25</v>
      </c>
      <c r="BA972" s="234">
        <v>0</v>
      </c>
      <c r="BB972" s="234">
        <v>0</v>
      </c>
      <c r="BC972" s="234">
        <v>0</v>
      </c>
      <c r="BD972" s="234">
        <v>0</v>
      </c>
      <c r="BE972" s="234">
        <v>0</v>
      </c>
      <c r="BF972" s="234">
        <v>0</v>
      </c>
      <c r="BG972" s="234">
        <v>0</v>
      </c>
      <c r="BH972" s="234">
        <v>0</v>
      </c>
      <c r="BI972" s="234">
        <v>0</v>
      </c>
      <c r="BJ972" s="234">
        <v>0</v>
      </c>
      <c r="BK972" s="234">
        <v>0</v>
      </c>
      <c r="BL972" s="234">
        <v>0</v>
      </c>
      <c r="BM972" s="234">
        <v>0</v>
      </c>
      <c r="BN972" s="234">
        <v>0</v>
      </c>
      <c r="BO972" s="234">
        <v>0</v>
      </c>
      <c r="BP972" s="234"/>
      <c r="BQ972" s="234" t="s">
        <v>318</v>
      </c>
      <c r="BR972" s="237" t="s">
        <v>151</v>
      </c>
      <c r="BS972" s="238">
        <v>10</v>
      </c>
      <c r="BX972" s="239">
        <f>M972/3</f>
        <v>50.666666666666664</v>
      </c>
      <c r="BY972" s="239">
        <f>M972/3</f>
        <v>50.666666666666664</v>
      </c>
      <c r="BZ972" s="239">
        <f>M972/3</f>
        <v>50.666666666666664</v>
      </c>
      <c r="CN972" s="238">
        <f t="shared" si="118"/>
        <v>101.33333333333333</v>
      </c>
      <c r="CO972" s="238">
        <f t="shared" si="119"/>
        <v>152</v>
      </c>
    </row>
    <row r="973" spans="1:93" ht="13.95" customHeight="1" x14ac:dyDescent="0.2">
      <c r="A973" s="231">
        <v>3938</v>
      </c>
      <c r="B973" s="232" t="s">
        <v>314</v>
      </c>
      <c r="C973" s="232" t="s">
        <v>2692</v>
      </c>
      <c r="D973" s="232" t="s">
        <v>2693</v>
      </c>
      <c r="E973" s="232" t="s">
        <v>2694</v>
      </c>
      <c r="F973" s="231">
        <v>529318</v>
      </c>
      <c r="G973" s="231">
        <v>177190</v>
      </c>
      <c r="H973" s="232" t="s">
        <v>168</v>
      </c>
      <c r="I973" s="233">
        <v>42506</v>
      </c>
      <c r="J973" s="231"/>
      <c r="K973" s="231">
        <v>0</v>
      </c>
      <c r="L973" s="231">
        <v>136</v>
      </c>
      <c r="M973" s="231">
        <v>136</v>
      </c>
      <c r="N973" s="231">
        <v>386</v>
      </c>
      <c r="O973" s="231">
        <v>386</v>
      </c>
      <c r="P973" s="234" t="s">
        <v>318</v>
      </c>
      <c r="Q973" s="232" t="s">
        <v>2695</v>
      </c>
      <c r="R973" s="234" t="s">
        <v>469</v>
      </c>
      <c r="S973" s="235">
        <v>44375</v>
      </c>
      <c r="T973" s="235">
        <v>44403</v>
      </c>
      <c r="U973" s="234"/>
      <c r="V973" s="232" t="s">
        <v>321</v>
      </c>
      <c r="W973" s="231"/>
      <c r="X973" s="232" t="s">
        <v>322</v>
      </c>
      <c r="Y973" s="232" t="s">
        <v>323</v>
      </c>
      <c r="Z973" s="232" t="s">
        <v>323</v>
      </c>
      <c r="AA973" s="232" t="s">
        <v>324</v>
      </c>
      <c r="AB973" s="236">
        <v>0.25</v>
      </c>
      <c r="AC973" s="235">
        <v>43549</v>
      </c>
      <c r="AD973" s="234"/>
      <c r="AE973" s="235">
        <v>45016</v>
      </c>
      <c r="AF973" s="232" t="s">
        <v>56</v>
      </c>
      <c r="AG973" s="232" t="s">
        <v>345</v>
      </c>
      <c r="AH973" s="234" t="s">
        <v>2696</v>
      </c>
      <c r="AI973" s="250"/>
      <c r="AJ973" s="234">
        <v>0</v>
      </c>
      <c r="AK973" s="234">
        <v>123</v>
      </c>
      <c r="AL973" s="234">
        <v>0</v>
      </c>
      <c r="AM973" s="234">
        <v>13</v>
      </c>
      <c r="AN973" s="234">
        <v>11</v>
      </c>
      <c r="AO973" s="234">
        <v>73</v>
      </c>
      <c r="AP973" s="234">
        <v>52</v>
      </c>
      <c r="AQ973" s="234">
        <v>0</v>
      </c>
      <c r="AR973" s="234">
        <v>0</v>
      </c>
      <c r="AS973" s="234">
        <v>0</v>
      </c>
      <c r="AT973" s="234">
        <v>0</v>
      </c>
      <c r="AU973" s="234">
        <v>11</v>
      </c>
      <c r="AV973" s="234">
        <v>73</v>
      </c>
      <c r="AW973" s="234">
        <v>52</v>
      </c>
      <c r="AX973" s="234">
        <v>0</v>
      </c>
      <c r="AY973" s="234">
        <v>0</v>
      </c>
      <c r="AZ973" s="234">
        <v>0</v>
      </c>
      <c r="BA973" s="234">
        <v>0</v>
      </c>
      <c r="BB973" s="234">
        <v>0</v>
      </c>
      <c r="BC973" s="234">
        <v>0</v>
      </c>
      <c r="BD973" s="234">
        <v>0</v>
      </c>
      <c r="BE973" s="234">
        <v>0</v>
      </c>
      <c r="BF973" s="234">
        <v>0</v>
      </c>
      <c r="BG973" s="234">
        <v>0</v>
      </c>
      <c r="BH973" s="234">
        <v>0</v>
      </c>
      <c r="BI973" s="234">
        <v>0</v>
      </c>
      <c r="BJ973" s="234">
        <v>0</v>
      </c>
      <c r="BK973" s="234">
        <v>0</v>
      </c>
      <c r="BL973" s="234">
        <v>0</v>
      </c>
      <c r="BM973" s="234">
        <v>0</v>
      </c>
      <c r="BN973" s="234">
        <v>0</v>
      </c>
      <c r="BO973" s="234">
        <v>0</v>
      </c>
      <c r="BP973" s="234"/>
      <c r="BQ973" s="234" t="s">
        <v>318</v>
      </c>
      <c r="BR973" s="237" t="s">
        <v>151</v>
      </c>
      <c r="BS973" s="238">
        <v>1</v>
      </c>
      <c r="BT973" s="239">
        <f>M973</f>
        <v>136</v>
      </c>
      <c r="CN973" s="238">
        <f t="shared" si="118"/>
        <v>0</v>
      </c>
      <c r="CO973" s="238">
        <f t="shared" si="119"/>
        <v>0</v>
      </c>
    </row>
    <row r="974" spans="1:93" ht="13.95" customHeight="1" x14ac:dyDescent="0.2">
      <c r="A974" s="231">
        <v>3938</v>
      </c>
      <c r="B974" s="232" t="s">
        <v>848</v>
      </c>
      <c r="C974" s="232" t="s">
        <v>2692</v>
      </c>
      <c r="D974" s="232" t="s">
        <v>2693</v>
      </c>
      <c r="E974" s="232" t="s">
        <v>2697</v>
      </c>
      <c r="F974" s="231">
        <v>529318</v>
      </c>
      <c r="G974" s="231">
        <v>177190</v>
      </c>
      <c r="H974" s="232" t="s">
        <v>168</v>
      </c>
      <c r="I974" s="233">
        <v>42506</v>
      </c>
      <c r="J974" s="231"/>
      <c r="K974" s="231">
        <v>0</v>
      </c>
      <c r="L974" s="231">
        <v>168</v>
      </c>
      <c r="M974" s="231">
        <v>168</v>
      </c>
      <c r="N974" s="231">
        <v>386</v>
      </c>
      <c r="O974" s="231">
        <v>386</v>
      </c>
      <c r="P974" s="234" t="s">
        <v>318</v>
      </c>
      <c r="Q974" s="232" t="s">
        <v>2695</v>
      </c>
      <c r="R974" s="234" t="s">
        <v>469</v>
      </c>
      <c r="S974" s="235">
        <v>44375</v>
      </c>
      <c r="T974" s="235">
        <v>44403</v>
      </c>
      <c r="U974" s="234"/>
      <c r="V974" s="232" t="s">
        <v>321</v>
      </c>
      <c r="W974" s="231"/>
      <c r="X974" s="232" t="s">
        <v>322</v>
      </c>
      <c r="Y974" s="232" t="s">
        <v>323</v>
      </c>
      <c r="Z974" s="232" t="s">
        <v>323</v>
      </c>
      <c r="AA974" s="232" t="s">
        <v>324</v>
      </c>
      <c r="AB974" s="236">
        <v>0.309</v>
      </c>
      <c r="AC974" s="235">
        <v>43549</v>
      </c>
      <c r="AD974" s="234"/>
      <c r="AE974" s="234"/>
      <c r="AF974" s="232" t="s">
        <v>57</v>
      </c>
      <c r="AG974" s="232" t="s">
        <v>328</v>
      </c>
      <c r="AH974" s="234" t="s">
        <v>2696</v>
      </c>
      <c r="AI974" s="250"/>
      <c r="AJ974" s="234">
        <v>0</v>
      </c>
      <c r="AK974" s="234">
        <v>147</v>
      </c>
      <c r="AL974" s="234">
        <v>0</v>
      </c>
      <c r="AM974" s="234">
        <v>21</v>
      </c>
      <c r="AN974" s="234">
        <v>2</v>
      </c>
      <c r="AO974" s="234">
        <v>60</v>
      </c>
      <c r="AP974" s="234">
        <v>44</v>
      </c>
      <c r="AQ974" s="234">
        <v>30</v>
      </c>
      <c r="AR974" s="234">
        <v>32</v>
      </c>
      <c r="AS974" s="234">
        <v>0</v>
      </c>
      <c r="AT974" s="234">
        <v>0</v>
      </c>
      <c r="AU974" s="234">
        <v>2</v>
      </c>
      <c r="AV974" s="234">
        <v>60</v>
      </c>
      <c r="AW974" s="234">
        <v>44</v>
      </c>
      <c r="AX974" s="234">
        <v>30</v>
      </c>
      <c r="AY974" s="234">
        <v>32</v>
      </c>
      <c r="AZ974" s="234">
        <v>0</v>
      </c>
      <c r="BA974" s="234">
        <v>0</v>
      </c>
      <c r="BB974" s="234">
        <v>0</v>
      </c>
      <c r="BC974" s="234">
        <v>0</v>
      </c>
      <c r="BD974" s="234">
        <v>0</v>
      </c>
      <c r="BE974" s="234">
        <v>0</v>
      </c>
      <c r="BF974" s="234">
        <v>0</v>
      </c>
      <c r="BG974" s="234">
        <v>0</v>
      </c>
      <c r="BH974" s="234">
        <v>0</v>
      </c>
      <c r="BI974" s="234">
        <v>0</v>
      </c>
      <c r="BJ974" s="234">
        <v>0</v>
      </c>
      <c r="BK974" s="234">
        <v>0</v>
      </c>
      <c r="BL974" s="234">
        <v>0</v>
      </c>
      <c r="BM974" s="234">
        <v>0</v>
      </c>
      <c r="BN974" s="234">
        <v>0</v>
      </c>
      <c r="BO974" s="234">
        <v>0</v>
      </c>
      <c r="BP974" s="234"/>
      <c r="BQ974" s="234" t="s">
        <v>318</v>
      </c>
      <c r="BR974" s="237" t="s">
        <v>151</v>
      </c>
      <c r="BS974" s="238">
        <v>5</v>
      </c>
      <c r="BU974" s="239">
        <v>168</v>
      </c>
      <c r="CN974" s="238">
        <f t="shared" si="118"/>
        <v>168</v>
      </c>
      <c r="CO974" s="238">
        <f t="shared" si="119"/>
        <v>168</v>
      </c>
    </row>
    <row r="975" spans="1:93" ht="13.95" customHeight="1" x14ac:dyDescent="0.2">
      <c r="A975" s="231">
        <v>2502</v>
      </c>
      <c r="B975" s="232" t="s">
        <v>822</v>
      </c>
      <c r="C975" s="232" t="s">
        <v>2698</v>
      </c>
      <c r="D975" s="232" t="s">
        <v>829</v>
      </c>
      <c r="E975" s="232" t="s">
        <v>2699</v>
      </c>
      <c r="F975" s="231">
        <v>527221</v>
      </c>
      <c r="G975" s="231">
        <v>172443</v>
      </c>
      <c r="H975" s="232" t="s">
        <v>180</v>
      </c>
      <c r="I975" s="233">
        <v>42244</v>
      </c>
      <c r="J975" s="231"/>
      <c r="K975" s="231">
        <v>0</v>
      </c>
      <c r="L975" s="231">
        <v>80</v>
      </c>
      <c r="M975" s="231">
        <v>80</v>
      </c>
      <c r="N975" s="231">
        <v>80</v>
      </c>
      <c r="O975" s="231">
        <v>80</v>
      </c>
      <c r="P975" s="234" t="s">
        <v>318</v>
      </c>
      <c r="Q975" s="232" t="s">
        <v>2700</v>
      </c>
      <c r="R975" s="234" t="s">
        <v>332</v>
      </c>
      <c r="S975" s="235">
        <v>44480</v>
      </c>
      <c r="T975" s="235">
        <v>44614</v>
      </c>
      <c r="U975" s="234"/>
      <c r="V975" s="232" t="s">
        <v>321</v>
      </c>
      <c r="W975" s="231"/>
      <c r="X975" s="232" t="s">
        <v>322</v>
      </c>
      <c r="Y975" s="232" t="s">
        <v>323</v>
      </c>
      <c r="Z975" s="232" t="s">
        <v>323</v>
      </c>
      <c r="AA975" s="232" t="s">
        <v>324</v>
      </c>
      <c r="AB975" s="236">
        <v>2E-3</v>
      </c>
      <c r="AC975" s="235"/>
      <c r="AD975" s="234"/>
      <c r="AE975" s="234"/>
      <c r="AF975" s="232" t="s">
        <v>77</v>
      </c>
      <c r="AG975" s="232" t="s">
        <v>350</v>
      </c>
      <c r="AH975" s="234" t="s">
        <v>832</v>
      </c>
      <c r="AJ975" s="234">
        <v>0</v>
      </c>
      <c r="AK975" s="224"/>
      <c r="AL975" s="234">
        <v>0</v>
      </c>
      <c r="AM975" s="224"/>
      <c r="AN975" s="234">
        <v>0</v>
      </c>
      <c r="AO975" s="234">
        <v>45</v>
      </c>
      <c r="AP975" s="234">
        <v>33</v>
      </c>
      <c r="AQ975" s="234">
        <v>2</v>
      </c>
      <c r="AR975" s="234">
        <v>0</v>
      </c>
      <c r="AS975" s="234">
        <v>0</v>
      </c>
      <c r="AT975" s="234">
        <v>0</v>
      </c>
      <c r="AU975" s="234">
        <v>0</v>
      </c>
      <c r="AV975" s="234">
        <v>45</v>
      </c>
      <c r="AW975" s="234">
        <v>33</v>
      </c>
      <c r="AX975" s="234">
        <v>2</v>
      </c>
      <c r="AY975" s="234">
        <v>0</v>
      </c>
      <c r="AZ975" s="234">
        <v>0</v>
      </c>
      <c r="BA975" s="234">
        <v>0</v>
      </c>
      <c r="BB975" s="234">
        <v>0</v>
      </c>
      <c r="BC975" s="234">
        <v>0</v>
      </c>
      <c r="BD975" s="234">
        <v>0</v>
      </c>
      <c r="BE975" s="234">
        <v>0</v>
      </c>
      <c r="BF975" s="234">
        <v>0</v>
      </c>
      <c r="BG975" s="234">
        <v>0</v>
      </c>
      <c r="BH975" s="234">
        <v>0</v>
      </c>
      <c r="BI975" s="234">
        <v>0</v>
      </c>
      <c r="BJ975" s="234">
        <v>0</v>
      </c>
      <c r="BK975" s="234">
        <v>0</v>
      </c>
      <c r="BL975" s="234">
        <v>0</v>
      </c>
      <c r="BM975" s="234">
        <v>0</v>
      </c>
      <c r="BN975" s="234">
        <v>0</v>
      </c>
      <c r="BO975" s="234">
        <v>0</v>
      </c>
      <c r="BP975" s="234"/>
      <c r="BQ975" s="234"/>
      <c r="BR975" s="237" t="s">
        <v>334</v>
      </c>
      <c r="BS975" s="238">
        <v>10</v>
      </c>
      <c r="BX975" s="239">
        <f>M975/3</f>
        <v>26.666666666666668</v>
      </c>
      <c r="BY975" s="239">
        <f>M975/3</f>
        <v>26.666666666666668</v>
      </c>
      <c r="BZ975" s="239">
        <f>M975/3</f>
        <v>26.666666666666668</v>
      </c>
      <c r="CN975" s="238">
        <f t="shared" si="118"/>
        <v>53.333333333333336</v>
      </c>
      <c r="CO975" s="238">
        <f t="shared" si="119"/>
        <v>80</v>
      </c>
    </row>
    <row r="976" spans="1:93" ht="13.95" customHeight="1" x14ac:dyDescent="0.2">
      <c r="A976" s="231">
        <v>3938</v>
      </c>
      <c r="B976" s="232" t="s">
        <v>848</v>
      </c>
      <c r="C976" s="232" t="s">
        <v>2692</v>
      </c>
      <c r="D976" s="232" t="s">
        <v>2693</v>
      </c>
      <c r="E976" s="232" t="s">
        <v>2701</v>
      </c>
      <c r="F976" s="231">
        <v>529318</v>
      </c>
      <c r="G976" s="231">
        <v>177190</v>
      </c>
      <c r="H976" s="232" t="s">
        <v>168</v>
      </c>
      <c r="I976" s="233">
        <v>42506</v>
      </c>
      <c r="J976" s="231"/>
      <c r="K976" s="231">
        <v>0</v>
      </c>
      <c r="L976" s="231">
        <v>82</v>
      </c>
      <c r="M976" s="231">
        <v>82</v>
      </c>
      <c r="N976" s="231">
        <v>386</v>
      </c>
      <c r="O976" s="231">
        <v>386</v>
      </c>
      <c r="P976" s="234" t="s">
        <v>318</v>
      </c>
      <c r="Q976" s="232" t="s">
        <v>2695</v>
      </c>
      <c r="R976" s="234" t="s">
        <v>469</v>
      </c>
      <c r="S976" s="235">
        <v>44375</v>
      </c>
      <c r="T976" s="235">
        <v>44403</v>
      </c>
      <c r="U976" s="234"/>
      <c r="V976" s="232" t="s">
        <v>321</v>
      </c>
      <c r="W976" s="231"/>
      <c r="X976" s="232" t="s">
        <v>322</v>
      </c>
      <c r="Y976" s="232" t="s">
        <v>323</v>
      </c>
      <c r="Z976" s="232" t="s">
        <v>323</v>
      </c>
      <c r="AA976" s="232" t="s">
        <v>324</v>
      </c>
      <c r="AB976" s="236">
        <v>0.151</v>
      </c>
      <c r="AC976" s="235">
        <v>43549</v>
      </c>
      <c r="AD976" s="234"/>
      <c r="AE976" s="234"/>
      <c r="AF976" s="232" t="s">
        <v>57</v>
      </c>
      <c r="AG976" s="232" t="s">
        <v>328</v>
      </c>
      <c r="AH976" s="234" t="s">
        <v>2696</v>
      </c>
      <c r="AI976" s="250"/>
      <c r="AJ976" s="234">
        <v>0</v>
      </c>
      <c r="AK976" s="234">
        <v>77</v>
      </c>
      <c r="AL976" s="234">
        <v>0</v>
      </c>
      <c r="AM976" s="234">
        <v>5</v>
      </c>
      <c r="AN976" s="234">
        <v>0</v>
      </c>
      <c r="AO976" s="234">
        <v>0</v>
      </c>
      <c r="AP976" s="234">
        <v>40</v>
      </c>
      <c r="AQ976" s="234">
        <v>39</v>
      </c>
      <c r="AR976" s="234">
        <v>3</v>
      </c>
      <c r="AS976" s="234">
        <v>0</v>
      </c>
      <c r="AT976" s="234">
        <v>0</v>
      </c>
      <c r="AU976" s="234">
        <v>0</v>
      </c>
      <c r="AV976" s="234">
        <v>0</v>
      </c>
      <c r="AW976" s="234">
        <v>40</v>
      </c>
      <c r="AX976" s="234">
        <v>39</v>
      </c>
      <c r="AY976" s="234">
        <v>3</v>
      </c>
      <c r="AZ976" s="234">
        <v>0</v>
      </c>
      <c r="BA976" s="234">
        <v>0</v>
      </c>
      <c r="BB976" s="234">
        <v>0</v>
      </c>
      <c r="BC976" s="234">
        <v>0</v>
      </c>
      <c r="BD976" s="234">
        <v>0</v>
      </c>
      <c r="BE976" s="234">
        <v>0</v>
      </c>
      <c r="BF976" s="234">
        <v>0</v>
      </c>
      <c r="BG976" s="234">
        <v>0</v>
      </c>
      <c r="BH976" s="234">
        <v>0</v>
      </c>
      <c r="BI976" s="234">
        <v>0</v>
      </c>
      <c r="BJ976" s="234">
        <v>0</v>
      </c>
      <c r="BK976" s="234">
        <v>0</v>
      </c>
      <c r="BL976" s="234">
        <v>0</v>
      </c>
      <c r="BM976" s="234">
        <v>0</v>
      </c>
      <c r="BN976" s="234">
        <v>0</v>
      </c>
      <c r="BO976" s="234">
        <v>0</v>
      </c>
      <c r="BP976" s="234"/>
      <c r="BQ976" s="234" t="s">
        <v>318</v>
      </c>
      <c r="BR976" s="237" t="s">
        <v>151</v>
      </c>
      <c r="BS976" s="238">
        <v>5</v>
      </c>
      <c r="BU976" s="239">
        <v>82</v>
      </c>
      <c r="CN976" s="238">
        <f t="shared" si="118"/>
        <v>82</v>
      </c>
      <c r="CO976" s="238">
        <f t="shared" si="119"/>
        <v>82</v>
      </c>
    </row>
    <row r="977" spans="1:93" ht="13.95" customHeight="1" x14ac:dyDescent="0.2">
      <c r="A977" s="231">
        <v>6505</v>
      </c>
      <c r="B977" s="232" t="s">
        <v>822</v>
      </c>
      <c r="C977" s="232" t="s">
        <v>2702</v>
      </c>
      <c r="D977" s="232" t="s">
        <v>2703</v>
      </c>
      <c r="E977" s="232" t="s">
        <v>2704</v>
      </c>
      <c r="F977" s="231">
        <v>526483</v>
      </c>
      <c r="G977" s="231">
        <v>175747</v>
      </c>
      <c r="H977" s="232" t="s">
        <v>174</v>
      </c>
      <c r="I977" s="233"/>
      <c r="J977" s="231"/>
      <c r="K977" s="231">
        <v>0</v>
      </c>
      <c r="L977" s="231">
        <v>77</v>
      </c>
      <c r="M977" s="231">
        <v>77</v>
      </c>
      <c r="N977" s="231">
        <v>127</v>
      </c>
      <c r="O977" s="231">
        <v>125</v>
      </c>
      <c r="P977" s="234" t="s">
        <v>318</v>
      </c>
      <c r="Q977" s="232" t="s">
        <v>2705</v>
      </c>
      <c r="R977" s="234" t="s">
        <v>320</v>
      </c>
      <c r="S977" s="235">
        <v>42650</v>
      </c>
      <c r="T977" s="235">
        <v>44300</v>
      </c>
      <c r="U977" s="234"/>
      <c r="V977" s="232" t="s">
        <v>321</v>
      </c>
      <c r="W977" s="231"/>
      <c r="X977" s="232" t="s">
        <v>322</v>
      </c>
      <c r="Y977" s="232" t="s">
        <v>323</v>
      </c>
      <c r="Z977" s="232" t="s">
        <v>323</v>
      </c>
      <c r="AA977" s="232" t="s">
        <v>324</v>
      </c>
      <c r="AB977" s="236">
        <v>0.2</v>
      </c>
      <c r="AC977" s="235"/>
      <c r="AD977" s="234"/>
      <c r="AE977" s="234"/>
      <c r="AF977" s="232" t="s">
        <v>77</v>
      </c>
      <c r="AG977" s="232" t="s">
        <v>350</v>
      </c>
      <c r="AH977" s="234" t="s">
        <v>1513</v>
      </c>
      <c r="AJ977" s="234">
        <v>0</v>
      </c>
      <c r="AK977" s="224"/>
      <c r="AL977" s="234">
        <v>0</v>
      </c>
      <c r="AM977" s="224"/>
      <c r="AN977" s="234">
        <v>0</v>
      </c>
      <c r="AO977" s="234">
        <v>10</v>
      </c>
      <c r="AP977" s="234">
        <v>64</v>
      </c>
      <c r="AQ977" s="234">
        <v>3</v>
      </c>
      <c r="AR977" s="234">
        <v>0</v>
      </c>
      <c r="AS977" s="234">
        <v>0</v>
      </c>
      <c r="AT977" s="234">
        <v>0</v>
      </c>
      <c r="AU977" s="234">
        <v>0</v>
      </c>
      <c r="AV977" s="234">
        <v>10</v>
      </c>
      <c r="AW977" s="234">
        <v>64</v>
      </c>
      <c r="AX977" s="234">
        <v>3</v>
      </c>
      <c r="AY977" s="234">
        <v>0</v>
      </c>
      <c r="AZ977" s="234">
        <v>0</v>
      </c>
      <c r="BA977" s="234">
        <v>0</v>
      </c>
      <c r="BB977" s="234">
        <v>0</v>
      </c>
      <c r="BC977" s="234">
        <v>0</v>
      </c>
      <c r="BD977" s="234">
        <v>0</v>
      </c>
      <c r="BE977" s="234">
        <v>0</v>
      </c>
      <c r="BF977" s="234">
        <v>0</v>
      </c>
      <c r="BG977" s="234">
        <v>0</v>
      </c>
      <c r="BH977" s="234">
        <v>0</v>
      </c>
      <c r="BI977" s="234">
        <v>0</v>
      </c>
      <c r="BJ977" s="234">
        <v>0</v>
      </c>
      <c r="BK977" s="234">
        <v>0</v>
      </c>
      <c r="BL977" s="234">
        <v>0</v>
      </c>
      <c r="BM977" s="234">
        <v>0</v>
      </c>
      <c r="BN977" s="234">
        <v>0</v>
      </c>
      <c r="BO977" s="234">
        <v>0</v>
      </c>
      <c r="BP977" s="234"/>
      <c r="BQ977" s="234"/>
      <c r="BR977" s="237" t="s">
        <v>481</v>
      </c>
      <c r="BS977" s="238">
        <v>10</v>
      </c>
      <c r="BX977" s="239">
        <f>M977/3</f>
        <v>25.666666666666668</v>
      </c>
      <c r="BY977" s="239">
        <f>M977/3</f>
        <v>25.666666666666668</v>
      </c>
      <c r="BZ977" s="239">
        <f>M977/3</f>
        <v>25.666666666666668</v>
      </c>
      <c r="CN977" s="238">
        <f t="shared" si="118"/>
        <v>51.333333333333336</v>
      </c>
      <c r="CO977" s="238">
        <f t="shared" si="119"/>
        <v>77</v>
      </c>
    </row>
    <row r="978" spans="1:93" ht="13.95" customHeight="1" x14ac:dyDescent="0.2">
      <c r="A978" s="231">
        <v>6505</v>
      </c>
      <c r="B978" s="232" t="s">
        <v>822</v>
      </c>
      <c r="C978" s="232" t="s">
        <v>2702</v>
      </c>
      <c r="D978" s="232" t="s">
        <v>2703</v>
      </c>
      <c r="E978" s="232" t="s">
        <v>2704</v>
      </c>
      <c r="F978" s="231">
        <v>526483</v>
      </c>
      <c r="G978" s="231">
        <v>175747</v>
      </c>
      <c r="H978" s="232" t="s">
        <v>174</v>
      </c>
      <c r="I978" s="233"/>
      <c r="J978" s="231"/>
      <c r="K978" s="231">
        <v>0</v>
      </c>
      <c r="L978" s="231">
        <v>8</v>
      </c>
      <c r="M978" s="231">
        <v>8</v>
      </c>
      <c r="N978" s="231">
        <v>127</v>
      </c>
      <c r="O978" s="231">
        <v>125</v>
      </c>
      <c r="P978" s="234" t="s">
        <v>318</v>
      </c>
      <c r="Q978" s="232" t="s">
        <v>2705</v>
      </c>
      <c r="R978" s="234" t="s">
        <v>320</v>
      </c>
      <c r="S978" s="235">
        <v>42650</v>
      </c>
      <c r="T978" s="235">
        <v>44300</v>
      </c>
      <c r="U978" s="234"/>
      <c r="V978" s="232" t="s">
        <v>321</v>
      </c>
      <c r="W978" s="231"/>
      <c r="X978" s="232" t="s">
        <v>322</v>
      </c>
      <c r="Y978" s="232" t="s">
        <v>323</v>
      </c>
      <c r="Z978" s="232" t="s">
        <v>323</v>
      </c>
      <c r="AA978" s="232" t="s">
        <v>324</v>
      </c>
      <c r="AB978" s="236">
        <v>1.84E-2</v>
      </c>
      <c r="AC978" s="235"/>
      <c r="AD978" s="234"/>
      <c r="AE978" s="234"/>
      <c r="AF978" s="232" t="s">
        <v>56</v>
      </c>
      <c r="AG978" s="232" t="s">
        <v>325</v>
      </c>
      <c r="AH978" s="234" t="s">
        <v>1513</v>
      </c>
      <c r="AJ978" s="234">
        <v>0</v>
      </c>
      <c r="AK978" s="224"/>
      <c r="AL978" s="234">
        <v>0</v>
      </c>
      <c r="AM978" s="224"/>
      <c r="AN978" s="234">
        <v>0</v>
      </c>
      <c r="AO978" s="234">
        <v>4</v>
      </c>
      <c r="AP978" s="234">
        <v>4</v>
      </c>
      <c r="AQ978" s="234">
        <v>0</v>
      </c>
      <c r="AR978" s="234">
        <v>0</v>
      </c>
      <c r="AS978" s="234">
        <v>0</v>
      </c>
      <c r="AT978" s="234">
        <v>0</v>
      </c>
      <c r="AU978" s="234">
        <v>0</v>
      </c>
      <c r="AV978" s="234">
        <v>4</v>
      </c>
      <c r="AW978" s="234">
        <v>4</v>
      </c>
      <c r="AX978" s="234">
        <v>0</v>
      </c>
      <c r="AY978" s="234">
        <v>0</v>
      </c>
      <c r="AZ978" s="234">
        <v>0</v>
      </c>
      <c r="BA978" s="234">
        <v>0</v>
      </c>
      <c r="BB978" s="234">
        <v>0</v>
      </c>
      <c r="BC978" s="234">
        <v>0</v>
      </c>
      <c r="BD978" s="234">
        <v>0</v>
      </c>
      <c r="BE978" s="234">
        <v>0</v>
      </c>
      <c r="BF978" s="234">
        <v>0</v>
      </c>
      <c r="BG978" s="234">
        <v>0</v>
      </c>
      <c r="BH978" s="234">
        <v>0</v>
      </c>
      <c r="BI978" s="234">
        <v>0</v>
      </c>
      <c r="BJ978" s="234">
        <v>0</v>
      </c>
      <c r="BK978" s="234">
        <v>0</v>
      </c>
      <c r="BL978" s="234">
        <v>0</v>
      </c>
      <c r="BM978" s="234">
        <v>0</v>
      </c>
      <c r="BN978" s="234">
        <v>0</v>
      </c>
      <c r="BO978" s="234">
        <v>0</v>
      </c>
      <c r="BP978" s="234"/>
      <c r="BQ978" s="234"/>
      <c r="BR978" s="237" t="s">
        <v>481</v>
      </c>
      <c r="BS978" s="238">
        <v>10</v>
      </c>
      <c r="BX978" s="239">
        <f>M978/3</f>
        <v>2.6666666666666665</v>
      </c>
      <c r="BY978" s="239">
        <f>M978/3</f>
        <v>2.6666666666666665</v>
      </c>
      <c r="BZ978" s="239">
        <f>M978/3</f>
        <v>2.6666666666666665</v>
      </c>
      <c r="CN978" s="238">
        <f t="shared" si="118"/>
        <v>5.333333333333333</v>
      </c>
      <c r="CO978" s="238">
        <f t="shared" si="119"/>
        <v>8</v>
      </c>
    </row>
    <row r="979" spans="1:93" ht="13.95" customHeight="1" x14ac:dyDescent="0.2">
      <c r="A979" s="231">
        <v>7463</v>
      </c>
      <c r="B979" s="232" t="s">
        <v>822</v>
      </c>
      <c r="C979" s="232" t="s">
        <v>2638</v>
      </c>
      <c r="D979" s="232" t="s">
        <v>2639</v>
      </c>
      <c r="E979" s="232" t="s">
        <v>2706</v>
      </c>
      <c r="F979" s="231">
        <v>525270</v>
      </c>
      <c r="G979" s="231">
        <v>174719</v>
      </c>
      <c r="H979" s="232" t="s">
        <v>164</v>
      </c>
      <c r="I979" s="233">
        <v>44792</v>
      </c>
      <c r="J979" s="231"/>
      <c r="K979" s="231">
        <v>0</v>
      </c>
      <c r="L979" s="231">
        <v>3</v>
      </c>
      <c r="M979" s="231">
        <v>3</v>
      </c>
      <c r="N979" s="231">
        <v>9</v>
      </c>
      <c r="O979" s="231">
        <v>9</v>
      </c>
      <c r="P979" s="234"/>
      <c r="Q979" s="232" t="s">
        <v>2641</v>
      </c>
      <c r="R979" s="234" t="s">
        <v>332</v>
      </c>
      <c r="S979" s="235">
        <v>44187</v>
      </c>
      <c r="T979" s="235">
        <v>44308</v>
      </c>
      <c r="U979" s="234"/>
      <c r="V979" s="232" t="s">
        <v>321</v>
      </c>
      <c r="W979" s="231"/>
      <c r="X979" s="232" t="s">
        <v>322</v>
      </c>
      <c r="Y979" s="232" t="s">
        <v>323</v>
      </c>
      <c r="Z979" s="232" t="s">
        <v>324</v>
      </c>
      <c r="AA979" s="232" t="s">
        <v>349</v>
      </c>
      <c r="AB979" s="236">
        <v>2.1000000000000001E-2</v>
      </c>
      <c r="AC979" s="235"/>
      <c r="AD979" s="234"/>
      <c r="AE979" s="234"/>
      <c r="AF979" s="232" t="s">
        <v>77</v>
      </c>
      <c r="AG979" s="232" t="s">
        <v>350</v>
      </c>
      <c r="AH979" s="234" t="s">
        <v>317</v>
      </c>
      <c r="AJ979" s="234">
        <v>0</v>
      </c>
      <c r="AK979" s="224"/>
      <c r="AL979" s="234">
        <v>0</v>
      </c>
      <c r="AM979" s="224"/>
      <c r="AN979" s="234">
        <v>0</v>
      </c>
      <c r="AO979" s="234">
        <v>0</v>
      </c>
      <c r="AP979" s="234">
        <v>3</v>
      </c>
      <c r="AQ979" s="234">
        <v>0</v>
      </c>
      <c r="AR979" s="234">
        <v>0</v>
      </c>
      <c r="AS979" s="234">
        <v>0</v>
      </c>
      <c r="AT979" s="234">
        <v>0</v>
      </c>
      <c r="AU979" s="234">
        <v>0</v>
      </c>
      <c r="AV979" s="234">
        <v>0</v>
      </c>
      <c r="AW979" s="234">
        <v>3</v>
      </c>
      <c r="AX979" s="234">
        <v>0</v>
      </c>
      <c r="AY979" s="234">
        <v>0</v>
      </c>
      <c r="AZ979" s="234">
        <v>0</v>
      </c>
      <c r="BA979" s="234">
        <v>0</v>
      </c>
      <c r="BB979" s="234">
        <v>0</v>
      </c>
      <c r="BC979" s="234">
        <v>0</v>
      </c>
      <c r="BD979" s="234">
        <v>0</v>
      </c>
      <c r="BE979" s="234">
        <v>0</v>
      </c>
      <c r="BF979" s="234">
        <v>0</v>
      </c>
      <c r="BG979" s="234">
        <v>0</v>
      </c>
      <c r="BH979" s="234">
        <v>0</v>
      </c>
      <c r="BI979" s="234">
        <v>0</v>
      </c>
      <c r="BJ979" s="234">
        <v>0</v>
      </c>
      <c r="BK979" s="234">
        <v>0</v>
      </c>
      <c r="BL979" s="234">
        <v>0</v>
      </c>
      <c r="BM979" s="234">
        <v>0</v>
      </c>
      <c r="BN979" s="234">
        <v>0</v>
      </c>
      <c r="BO979" s="234">
        <v>0</v>
      </c>
      <c r="BP979" s="234"/>
      <c r="BQ979" s="234"/>
      <c r="BR979" s="237" t="s">
        <v>327</v>
      </c>
      <c r="BS979" s="238">
        <v>8</v>
      </c>
      <c r="BV979" s="239">
        <f>M979</f>
        <v>3</v>
      </c>
      <c r="CN979" s="238">
        <f t="shared" si="118"/>
        <v>3</v>
      </c>
      <c r="CO979" s="238">
        <f t="shared" si="119"/>
        <v>3</v>
      </c>
    </row>
    <row r="980" spans="1:93" ht="13.95" customHeight="1" x14ac:dyDescent="0.2">
      <c r="A980" s="231">
        <v>6908</v>
      </c>
      <c r="B980" s="232" t="s">
        <v>822</v>
      </c>
      <c r="C980" s="232" t="s">
        <v>2585</v>
      </c>
      <c r="D980" s="232" t="s">
        <v>2586</v>
      </c>
      <c r="E980" s="232" t="s">
        <v>2707</v>
      </c>
      <c r="F980" s="231">
        <v>525716</v>
      </c>
      <c r="G980" s="231">
        <v>173464</v>
      </c>
      <c r="H980" s="232" t="s">
        <v>179</v>
      </c>
      <c r="I980" s="233"/>
      <c r="J980" s="231"/>
      <c r="K980" s="231">
        <v>0</v>
      </c>
      <c r="L980" s="231">
        <v>41</v>
      </c>
      <c r="M980" s="231">
        <v>41</v>
      </c>
      <c r="N980" s="231">
        <v>433</v>
      </c>
      <c r="O980" s="231">
        <v>433</v>
      </c>
      <c r="P980" s="234" t="s">
        <v>318</v>
      </c>
      <c r="Q980" s="232" t="s">
        <v>2588</v>
      </c>
      <c r="R980" s="234" t="s">
        <v>320</v>
      </c>
      <c r="S980" s="235">
        <v>44441</v>
      </c>
      <c r="T980" s="235">
        <v>44817</v>
      </c>
      <c r="U980" s="234" t="s">
        <v>318</v>
      </c>
      <c r="V980" s="232" t="s">
        <v>321</v>
      </c>
      <c r="W980" s="231"/>
      <c r="X980" s="232" t="s">
        <v>322</v>
      </c>
      <c r="Y980" s="232" t="s">
        <v>323</v>
      </c>
      <c r="Z980" s="232" t="s">
        <v>323</v>
      </c>
      <c r="AA980" s="232" t="s">
        <v>324</v>
      </c>
      <c r="AB980" s="236">
        <v>0</v>
      </c>
      <c r="AC980" s="235"/>
      <c r="AD980" s="234"/>
      <c r="AE980" s="234"/>
      <c r="AF980" s="232" t="s">
        <v>77</v>
      </c>
      <c r="AG980" s="232" t="s">
        <v>350</v>
      </c>
      <c r="AH980" s="234" t="s">
        <v>317</v>
      </c>
      <c r="AI980" s="234">
        <v>17320085</v>
      </c>
      <c r="AJ980" s="234">
        <v>0</v>
      </c>
      <c r="AK980" s="224"/>
      <c r="AL980" s="234">
        <v>0</v>
      </c>
      <c r="AM980" s="224"/>
      <c r="AN980" s="234">
        <v>0</v>
      </c>
      <c r="AO980" s="234">
        <v>18</v>
      </c>
      <c r="AP980" s="234">
        <v>13</v>
      </c>
      <c r="AQ980" s="234">
        <v>10</v>
      </c>
      <c r="AR980" s="234">
        <v>0</v>
      </c>
      <c r="AS980" s="234">
        <v>0</v>
      </c>
      <c r="AT980" s="234">
        <v>0</v>
      </c>
      <c r="AU980" s="234">
        <v>0</v>
      </c>
      <c r="AV980" s="234">
        <v>18</v>
      </c>
      <c r="AW980" s="234">
        <v>13</v>
      </c>
      <c r="AX980" s="234">
        <v>10</v>
      </c>
      <c r="AY980" s="234">
        <v>0</v>
      </c>
      <c r="AZ980" s="234">
        <v>0</v>
      </c>
      <c r="BA980" s="234">
        <v>0</v>
      </c>
      <c r="BB980" s="234">
        <v>0</v>
      </c>
      <c r="BC980" s="234">
        <v>0</v>
      </c>
      <c r="BD980" s="234">
        <v>0</v>
      </c>
      <c r="BE980" s="234">
        <v>0</v>
      </c>
      <c r="BF980" s="234">
        <v>0</v>
      </c>
      <c r="BG980" s="234">
        <v>0</v>
      </c>
      <c r="BH980" s="234">
        <v>0</v>
      </c>
      <c r="BI980" s="234">
        <v>0</v>
      </c>
      <c r="BJ980" s="234">
        <v>0</v>
      </c>
      <c r="BK980" s="234">
        <v>0</v>
      </c>
      <c r="BL980" s="234">
        <v>0</v>
      </c>
      <c r="BM980" s="234">
        <v>0</v>
      </c>
      <c r="BN980" s="234">
        <v>0</v>
      </c>
      <c r="BO980" s="234">
        <v>0</v>
      </c>
      <c r="BP980" s="234"/>
      <c r="BQ980" s="234"/>
      <c r="BR980" s="237" t="s">
        <v>154</v>
      </c>
      <c r="BS980" s="238">
        <v>8</v>
      </c>
      <c r="BX980" s="239">
        <f>M980</f>
        <v>41</v>
      </c>
      <c r="CN980" s="238">
        <f t="shared" si="118"/>
        <v>41</v>
      </c>
      <c r="CO980" s="238">
        <f t="shared" si="119"/>
        <v>41</v>
      </c>
    </row>
    <row r="981" spans="1:93" ht="13.95" customHeight="1" x14ac:dyDescent="0.2">
      <c r="A981" s="231">
        <v>6908</v>
      </c>
      <c r="B981" s="232" t="s">
        <v>822</v>
      </c>
      <c r="C981" s="232" t="s">
        <v>2585</v>
      </c>
      <c r="D981" s="232" t="s">
        <v>2586</v>
      </c>
      <c r="E981" s="232" t="s">
        <v>2708</v>
      </c>
      <c r="F981" s="231">
        <v>525716</v>
      </c>
      <c r="G981" s="231">
        <v>173464</v>
      </c>
      <c r="H981" s="232" t="s">
        <v>179</v>
      </c>
      <c r="I981" s="233"/>
      <c r="J981" s="231"/>
      <c r="K981" s="231">
        <v>0</v>
      </c>
      <c r="L981" s="231">
        <v>79</v>
      </c>
      <c r="M981" s="231">
        <v>79</v>
      </c>
      <c r="N981" s="231">
        <v>433</v>
      </c>
      <c r="O981" s="231">
        <v>433</v>
      </c>
      <c r="P981" s="234" t="s">
        <v>318</v>
      </c>
      <c r="Q981" s="232" t="s">
        <v>2588</v>
      </c>
      <c r="R981" s="234" t="s">
        <v>320</v>
      </c>
      <c r="S981" s="235">
        <v>44441</v>
      </c>
      <c r="T981" s="235">
        <v>44817</v>
      </c>
      <c r="U981" s="234" t="s">
        <v>318</v>
      </c>
      <c r="V981" s="232" t="s">
        <v>321</v>
      </c>
      <c r="W981" s="231"/>
      <c r="X981" s="232" t="s">
        <v>322</v>
      </c>
      <c r="Y981" s="232" t="s">
        <v>323</v>
      </c>
      <c r="Z981" s="232" t="s">
        <v>323</v>
      </c>
      <c r="AA981" s="232" t="s">
        <v>324</v>
      </c>
      <c r="AB981" s="236">
        <v>0</v>
      </c>
      <c r="AC981" s="235"/>
      <c r="AD981" s="234"/>
      <c r="AE981" s="234"/>
      <c r="AF981" s="232" t="s">
        <v>77</v>
      </c>
      <c r="AG981" s="232" t="s">
        <v>350</v>
      </c>
      <c r="AH981" s="234" t="s">
        <v>317</v>
      </c>
      <c r="AI981" s="234">
        <v>17320085</v>
      </c>
      <c r="AJ981" s="234">
        <v>0</v>
      </c>
      <c r="AK981" s="224"/>
      <c r="AL981" s="234">
        <v>0</v>
      </c>
      <c r="AM981" s="224"/>
      <c r="AN981" s="234">
        <v>7</v>
      </c>
      <c r="AO981" s="234">
        <v>39</v>
      </c>
      <c r="AP981" s="234">
        <v>31</v>
      </c>
      <c r="AQ981" s="234">
        <v>2</v>
      </c>
      <c r="AR981" s="234">
        <v>0</v>
      </c>
      <c r="AS981" s="234">
        <v>0</v>
      </c>
      <c r="AT981" s="234">
        <v>0</v>
      </c>
      <c r="AU981" s="234">
        <v>7</v>
      </c>
      <c r="AV981" s="234">
        <v>39</v>
      </c>
      <c r="AW981" s="234">
        <v>31</v>
      </c>
      <c r="AX981" s="234">
        <v>2</v>
      </c>
      <c r="AY981" s="234">
        <v>0</v>
      </c>
      <c r="AZ981" s="234">
        <v>0</v>
      </c>
      <c r="BA981" s="234">
        <v>0</v>
      </c>
      <c r="BB981" s="234">
        <v>0</v>
      </c>
      <c r="BC981" s="234">
        <v>0</v>
      </c>
      <c r="BD981" s="234">
        <v>0</v>
      </c>
      <c r="BE981" s="234">
        <v>0</v>
      </c>
      <c r="BF981" s="234">
        <v>0</v>
      </c>
      <c r="BG981" s="234">
        <v>0</v>
      </c>
      <c r="BH981" s="234">
        <v>0</v>
      </c>
      <c r="BI981" s="234">
        <v>0</v>
      </c>
      <c r="BJ981" s="234">
        <v>0</v>
      </c>
      <c r="BK981" s="234">
        <v>0</v>
      </c>
      <c r="BL981" s="234">
        <v>0</v>
      </c>
      <c r="BM981" s="234">
        <v>0</v>
      </c>
      <c r="BN981" s="234">
        <v>0</v>
      </c>
      <c r="BO981" s="234">
        <v>0</v>
      </c>
      <c r="BP981" s="234"/>
      <c r="BQ981" s="234"/>
      <c r="BR981" s="237" t="s">
        <v>154</v>
      </c>
      <c r="BS981" s="238">
        <v>8</v>
      </c>
      <c r="BY981" s="239">
        <f>M981</f>
        <v>79</v>
      </c>
      <c r="CN981" s="238">
        <f t="shared" si="118"/>
        <v>79</v>
      </c>
      <c r="CO981" s="238">
        <f t="shared" si="119"/>
        <v>79</v>
      </c>
    </row>
    <row r="982" spans="1:93" ht="13.95" customHeight="1" x14ac:dyDescent="0.2">
      <c r="A982" s="231">
        <v>6908</v>
      </c>
      <c r="B982" s="232" t="s">
        <v>822</v>
      </c>
      <c r="C982" s="232" t="s">
        <v>2585</v>
      </c>
      <c r="D982" s="232" t="s">
        <v>2586</v>
      </c>
      <c r="E982" s="232" t="s">
        <v>2709</v>
      </c>
      <c r="F982" s="231">
        <v>525716</v>
      </c>
      <c r="G982" s="231">
        <v>173464</v>
      </c>
      <c r="H982" s="232" t="s">
        <v>179</v>
      </c>
      <c r="I982" s="233"/>
      <c r="J982" s="231"/>
      <c r="K982" s="231">
        <v>0</v>
      </c>
      <c r="L982" s="231">
        <v>51</v>
      </c>
      <c r="M982" s="231">
        <v>51</v>
      </c>
      <c r="N982" s="231">
        <v>433</v>
      </c>
      <c r="O982" s="231">
        <v>433</v>
      </c>
      <c r="P982" s="234" t="s">
        <v>318</v>
      </c>
      <c r="Q982" s="232" t="s">
        <v>2588</v>
      </c>
      <c r="R982" s="234" t="s">
        <v>320</v>
      </c>
      <c r="S982" s="235">
        <v>44441</v>
      </c>
      <c r="T982" s="235">
        <v>44817</v>
      </c>
      <c r="U982" s="234" t="s">
        <v>318</v>
      </c>
      <c r="V982" s="232" t="s">
        <v>321</v>
      </c>
      <c r="W982" s="231"/>
      <c r="X982" s="232" t="s">
        <v>322</v>
      </c>
      <c r="Y982" s="232" t="s">
        <v>323</v>
      </c>
      <c r="Z982" s="232" t="s">
        <v>323</v>
      </c>
      <c r="AA982" s="232" t="s">
        <v>324</v>
      </c>
      <c r="AB982" s="236">
        <v>0</v>
      </c>
      <c r="AC982" s="235"/>
      <c r="AD982" s="234"/>
      <c r="AE982" s="234"/>
      <c r="AF982" s="232" t="s">
        <v>77</v>
      </c>
      <c r="AG982" s="232" t="s">
        <v>350</v>
      </c>
      <c r="AH982" s="234" t="s">
        <v>317</v>
      </c>
      <c r="AI982" s="234">
        <v>17320085</v>
      </c>
      <c r="AJ982" s="234">
        <v>0</v>
      </c>
      <c r="AK982" s="224"/>
      <c r="AL982" s="234">
        <v>0</v>
      </c>
      <c r="AM982" s="224"/>
      <c r="AN982" s="234">
        <v>0</v>
      </c>
      <c r="AO982" s="234">
        <v>33</v>
      </c>
      <c r="AP982" s="234">
        <v>17</v>
      </c>
      <c r="AQ982" s="234">
        <v>1</v>
      </c>
      <c r="AR982" s="234">
        <v>0</v>
      </c>
      <c r="AS982" s="234">
        <v>0</v>
      </c>
      <c r="AT982" s="234">
        <v>0</v>
      </c>
      <c r="AU982" s="234">
        <v>0</v>
      </c>
      <c r="AV982" s="234">
        <v>33</v>
      </c>
      <c r="AW982" s="234">
        <v>17</v>
      </c>
      <c r="AX982" s="234">
        <v>1</v>
      </c>
      <c r="AY982" s="234">
        <v>0</v>
      </c>
      <c r="AZ982" s="234">
        <v>0</v>
      </c>
      <c r="BA982" s="234">
        <v>0</v>
      </c>
      <c r="BB982" s="234">
        <v>0</v>
      </c>
      <c r="BC982" s="234">
        <v>0</v>
      </c>
      <c r="BD982" s="234">
        <v>0</v>
      </c>
      <c r="BE982" s="234">
        <v>0</v>
      </c>
      <c r="BF982" s="234">
        <v>0</v>
      </c>
      <c r="BG982" s="234">
        <v>0</v>
      </c>
      <c r="BH982" s="234">
        <v>0</v>
      </c>
      <c r="BI982" s="234">
        <v>0</v>
      </c>
      <c r="BJ982" s="234">
        <v>0</v>
      </c>
      <c r="BK982" s="234">
        <v>0</v>
      </c>
      <c r="BL982" s="234">
        <v>0</v>
      </c>
      <c r="BM982" s="234">
        <v>0</v>
      </c>
      <c r="BN982" s="234">
        <v>0</v>
      </c>
      <c r="BO982" s="234">
        <v>0</v>
      </c>
      <c r="BP982" s="234"/>
      <c r="BQ982" s="234"/>
      <c r="BR982" s="237" t="s">
        <v>154</v>
      </c>
      <c r="BS982" s="238">
        <v>8</v>
      </c>
      <c r="BY982" s="239">
        <f>M982</f>
        <v>51</v>
      </c>
      <c r="CN982" s="238">
        <f t="shared" si="118"/>
        <v>51</v>
      </c>
      <c r="CO982" s="238">
        <f t="shared" si="119"/>
        <v>51</v>
      </c>
    </row>
    <row r="983" spans="1:93" ht="13.95" customHeight="1" x14ac:dyDescent="0.2">
      <c r="A983" s="231">
        <v>6505</v>
      </c>
      <c r="B983" s="232" t="s">
        <v>822</v>
      </c>
      <c r="C983" s="232" t="s">
        <v>2702</v>
      </c>
      <c r="D983" s="232" t="s">
        <v>2703</v>
      </c>
      <c r="E983" s="232" t="s">
        <v>2710</v>
      </c>
      <c r="F983" s="231">
        <v>526483</v>
      </c>
      <c r="G983" s="231">
        <v>175747</v>
      </c>
      <c r="H983" s="232" t="s">
        <v>174</v>
      </c>
      <c r="I983" s="233"/>
      <c r="J983" s="231"/>
      <c r="K983" s="231">
        <v>0</v>
      </c>
      <c r="L983" s="231">
        <v>32</v>
      </c>
      <c r="M983" s="231">
        <v>32</v>
      </c>
      <c r="N983" s="231">
        <v>127</v>
      </c>
      <c r="O983" s="231">
        <v>125</v>
      </c>
      <c r="P983" s="234" t="s">
        <v>318</v>
      </c>
      <c r="Q983" s="232" t="s">
        <v>2705</v>
      </c>
      <c r="R983" s="234" t="s">
        <v>320</v>
      </c>
      <c r="S983" s="235">
        <v>42650</v>
      </c>
      <c r="T983" s="235">
        <v>44300</v>
      </c>
      <c r="U983" s="234"/>
      <c r="V983" s="232" t="s">
        <v>321</v>
      </c>
      <c r="W983" s="231"/>
      <c r="X983" s="232" t="s">
        <v>322</v>
      </c>
      <c r="Y983" s="232" t="s">
        <v>323</v>
      </c>
      <c r="Z983" s="232" t="s">
        <v>323</v>
      </c>
      <c r="AA983" s="232" t="s">
        <v>324</v>
      </c>
      <c r="AB983" s="236">
        <v>7.4999999999999997E-2</v>
      </c>
      <c r="AC983" s="235"/>
      <c r="AD983" s="234"/>
      <c r="AE983" s="234"/>
      <c r="AF983" s="232" t="s">
        <v>56</v>
      </c>
      <c r="AG983" s="232" t="s">
        <v>325</v>
      </c>
      <c r="AH983" s="234" t="s">
        <v>1513</v>
      </c>
      <c r="AJ983" s="234">
        <v>0</v>
      </c>
      <c r="AK983" s="224"/>
      <c r="AL983" s="234">
        <v>0</v>
      </c>
      <c r="AM983" s="224"/>
      <c r="AN983" s="234">
        <v>0</v>
      </c>
      <c r="AO983" s="234">
        <v>10</v>
      </c>
      <c r="AP983" s="234">
        <v>20</v>
      </c>
      <c r="AQ983" s="234">
        <v>2</v>
      </c>
      <c r="AR983" s="234">
        <v>0</v>
      </c>
      <c r="AS983" s="234">
        <v>0</v>
      </c>
      <c r="AT983" s="234">
        <v>0</v>
      </c>
      <c r="AU983" s="234">
        <v>0</v>
      </c>
      <c r="AV983" s="234">
        <v>10</v>
      </c>
      <c r="AW983" s="234">
        <v>20</v>
      </c>
      <c r="AX983" s="234">
        <v>2</v>
      </c>
      <c r="AY983" s="234">
        <v>0</v>
      </c>
      <c r="AZ983" s="234">
        <v>0</v>
      </c>
      <c r="BA983" s="234">
        <v>0</v>
      </c>
      <c r="BB983" s="234">
        <v>0</v>
      </c>
      <c r="BC983" s="234">
        <v>0</v>
      </c>
      <c r="BD983" s="234">
        <v>0</v>
      </c>
      <c r="BE983" s="234">
        <v>0</v>
      </c>
      <c r="BF983" s="234">
        <v>0</v>
      </c>
      <c r="BG983" s="234">
        <v>0</v>
      </c>
      <c r="BH983" s="234">
        <v>0</v>
      </c>
      <c r="BI983" s="234">
        <v>0</v>
      </c>
      <c r="BJ983" s="234">
        <v>0</v>
      </c>
      <c r="BK983" s="234">
        <v>0</v>
      </c>
      <c r="BL983" s="234">
        <v>0</v>
      </c>
      <c r="BM983" s="234">
        <v>0</v>
      </c>
      <c r="BN983" s="234">
        <v>0</v>
      </c>
      <c r="BO983" s="234">
        <v>0</v>
      </c>
      <c r="BP983" s="234"/>
      <c r="BQ983" s="234"/>
      <c r="BR983" s="237" t="s">
        <v>481</v>
      </c>
      <c r="BS983" s="238">
        <v>10</v>
      </c>
      <c r="BX983" s="239">
        <f>M983/3</f>
        <v>10.666666666666666</v>
      </c>
      <c r="BY983" s="239">
        <f>M983/3</f>
        <v>10.666666666666666</v>
      </c>
      <c r="BZ983" s="239">
        <f>M983/3</f>
        <v>10.666666666666666</v>
      </c>
      <c r="CN983" s="238">
        <f t="shared" si="118"/>
        <v>21.333333333333332</v>
      </c>
      <c r="CO983" s="238">
        <f t="shared" si="119"/>
        <v>32</v>
      </c>
    </row>
    <row r="984" spans="1:93" ht="13.95" customHeight="1" x14ac:dyDescent="0.2">
      <c r="A984" s="231">
        <v>7863</v>
      </c>
      <c r="B984" s="232" t="s">
        <v>822</v>
      </c>
      <c r="C984" s="232" t="s">
        <v>1909</v>
      </c>
      <c r="D984" s="232" t="s">
        <v>1910</v>
      </c>
      <c r="E984" s="232" t="s">
        <v>193</v>
      </c>
      <c r="F984" s="231">
        <v>527882</v>
      </c>
      <c r="G984" s="231">
        <v>170985</v>
      </c>
      <c r="H984" s="232" t="s">
        <v>177</v>
      </c>
      <c r="I984" s="233"/>
      <c r="J984" s="231"/>
      <c r="K984" s="231">
        <v>0</v>
      </c>
      <c r="L984" s="231">
        <v>1</v>
      </c>
      <c r="M984" s="231">
        <v>1</v>
      </c>
      <c r="N984" s="231">
        <v>4</v>
      </c>
      <c r="O984" s="231">
        <v>2</v>
      </c>
      <c r="P984" s="234"/>
      <c r="Q984" s="232" t="s">
        <v>1911</v>
      </c>
      <c r="R984" s="234" t="s">
        <v>332</v>
      </c>
      <c r="S984" s="235">
        <v>44728</v>
      </c>
      <c r="T984" s="235">
        <v>44847</v>
      </c>
      <c r="U984" s="234" t="s">
        <v>318</v>
      </c>
      <c r="V984" s="232" t="s">
        <v>321</v>
      </c>
      <c r="W984" s="231"/>
      <c r="X984" s="232" t="s">
        <v>322</v>
      </c>
      <c r="Y984" s="232" t="s">
        <v>338</v>
      </c>
      <c r="Z984" s="232" t="s">
        <v>324</v>
      </c>
      <c r="AA984" s="232" t="s">
        <v>354</v>
      </c>
      <c r="AB984" s="236">
        <v>3.7399999999999998E-3</v>
      </c>
      <c r="AC984" s="235"/>
      <c r="AD984" s="234"/>
      <c r="AE984" s="234"/>
      <c r="AF984" s="232" t="s">
        <v>77</v>
      </c>
      <c r="AG984" s="232" t="s">
        <v>340</v>
      </c>
      <c r="AH984" s="234" t="s">
        <v>317</v>
      </c>
      <c r="AJ984" s="234">
        <v>0</v>
      </c>
      <c r="AK984" s="224"/>
      <c r="AL984" s="234">
        <v>0</v>
      </c>
      <c r="AM984" s="224"/>
      <c r="AN984" s="234">
        <v>1</v>
      </c>
      <c r="AO984" s="234">
        <v>0</v>
      </c>
      <c r="AP984" s="234">
        <v>0</v>
      </c>
      <c r="AQ984" s="234">
        <v>0</v>
      </c>
      <c r="AR984" s="234">
        <v>0</v>
      </c>
      <c r="AS984" s="234">
        <v>0</v>
      </c>
      <c r="AT984" s="234">
        <v>0</v>
      </c>
      <c r="AU984" s="234">
        <v>1</v>
      </c>
      <c r="AV984" s="234">
        <v>0</v>
      </c>
      <c r="AW984" s="234">
        <v>0</v>
      </c>
      <c r="AX984" s="234">
        <v>0</v>
      </c>
      <c r="AY984" s="234">
        <v>0</v>
      </c>
      <c r="AZ984" s="234">
        <v>0</v>
      </c>
      <c r="BA984" s="234">
        <v>0</v>
      </c>
      <c r="BB984" s="234">
        <v>0</v>
      </c>
      <c r="BC984" s="234">
        <v>0</v>
      </c>
      <c r="BD984" s="234">
        <v>0</v>
      </c>
      <c r="BE984" s="234">
        <v>0</v>
      </c>
      <c r="BF984" s="234">
        <v>0</v>
      </c>
      <c r="BG984" s="234">
        <v>0</v>
      </c>
      <c r="BH984" s="234">
        <v>0</v>
      </c>
      <c r="BI984" s="234">
        <v>0</v>
      </c>
      <c r="BJ984" s="234">
        <v>0</v>
      </c>
      <c r="BK984" s="234">
        <v>0</v>
      </c>
      <c r="BL984" s="234">
        <v>0</v>
      </c>
      <c r="BM984" s="234">
        <v>0</v>
      </c>
      <c r="BN984" s="234">
        <v>0</v>
      </c>
      <c r="BO984" s="234">
        <v>0</v>
      </c>
      <c r="BP984" s="234"/>
      <c r="BQ984" s="234"/>
      <c r="BR984" s="237" t="s">
        <v>144</v>
      </c>
      <c r="BS984" s="238">
        <v>15</v>
      </c>
      <c r="BU984" s="239">
        <f>M984/4</f>
        <v>0.25</v>
      </c>
      <c r="BV984" s="239">
        <f>M984/4</f>
        <v>0.25</v>
      </c>
      <c r="BW984" s="239">
        <f>M984/4</f>
        <v>0.25</v>
      </c>
      <c r="BX984" s="239">
        <f>M984/4</f>
        <v>0.25</v>
      </c>
      <c r="CN984" s="238">
        <f t="shared" si="118"/>
        <v>1</v>
      </c>
      <c r="CO984" s="238">
        <f t="shared" si="119"/>
        <v>1</v>
      </c>
    </row>
    <row r="985" spans="1:93" ht="13.95" customHeight="1" x14ac:dyDescent="0.2">
      <c r="A985" s="231">
        <v>5479</v>
      </c>
      <c r="B985" s="232" t="s">
        <v>822</v>
      </c>
      <c r="C985" s="232" t="s">
        <v>2711</v>
      </c>
      <c r="D985" s="232" t="s">
        <v>2712</v>
      </c>
      <c r="E985" s="232" t="s">
        <v>2713</v>
      </c>
      <c r="F985" s="231">
        <v>528475</v>
      </c>
      <c r="G985" s="231">
        <v>176217</v>
      </c>
      <c r="H985" s="232" t="s">
        <v>171</v>
      </c>
      <c r="I985" s="233"/>
      <c r="J985" s="231"/>
      <c r="K985" s="231">
        <v>0</v>
      </c>
      <c r="L985" s="231">
        <v>1</v>
      </c>
      <c r="M985" s="231">
        <v>1</v>
      </c>
      <c r="N985" s="231">
        <v>2</v>
      </c>
      <c r="O985" s="231">
        <v>2</v>
      </c>
      <c r="P985" s="234"/>
      <c r="Q985" s="232" t="s">
        <v>2714</v>
      </c>
      <c r="R985" s="234" t="s">
        <v>332</v>
      </c>
      <c r="S985" s="235">
        <v>44258</v>
      </c>
      <c r="T985" s="235">
        <v>44369</v>
      </c>
      <c r="U985" s="234"/>
      <c r="V985" s="232" t="s">
        <v>321</v>
      </c>
      <c r="W985" s="231"/>
      <c r="X985" s="232" t="s">
        <v>322</v>
      </c>
      <c r="Y985" s="232" t="s">
        <v>323</v>
      </c>
      <c r="Z985" s="232" t="s">
        <v>324</v>
      </c>
      <c r="AA985" s="232" t="s">
        <v>349</v>
      </c>
      <c r="AB985" s="236">
        <v>0.02</v>
      </c>
      <c r="AC985" s="235"/>
      <c r="AD985" s="234"/>
      <c r="AE985" s="234"/>
      <c r="AF985" s="232" t="s">
        <v>77</v>
      </c>
      <c r="AG985" s="232" t="s">
        <v>350</v>
      </c>
      <c r="AH985" s="234" t="s">
        <v>317</v>
      </c>
      <c r="AJ985" s="234">
        <v>0</v>
      </c>
      <c r="AK985" s="224"/>
      <c r="AL985" s="234">
        <v>0</v>
      </c>
      <c r="AM985" s="224"/>
      <c r="AN985" s="234">
        <v>0</v>
      </c>
      <c r="AO985" s="234">
        <v>0</v>
      </c>
      <c r="AP985" s="234">
        <v>0</v>
      </c>
      <c r="AQ985" s="234">
        <v>0</v>
      </c>
      <c r="AR985" s="234">
        <v>1</v>
      </c>
      <c r="AS985" s="234">
        <v>0</v>
      </c>
      <c r="AT985" s="234">
        <v>0</v>
      </c>
      <c r="AU985" s="234">
        <v>0</v>
      </c>
      <c r="AV985" s="234">
        <v>0</v>
      </c>
      <c r="AW985" s="234">
        <v>0</v>
      </c>
      <c r="AX985" s="234">
        <v>0</v>
      </c>
      <c r="AY985" s="234">
        <v>0</v>
      </c>
      <c r="AZ985" s="234">
        <v>0</v>
      </c>
      <c r="BA985" s="234">
        <v>0</v>
      </c>
      <c r="BB985" s="234">
        <v>0</v>
      </c>
      <c r="BC985" s="234">
        <v>0</v>
      </c>
      <c r="BD985" s="234">
        <v>0</v>
      </c>
      <c r="BE985" s="234">
        <v>0</v>
      </c>
      <c r="BF985" s="234">
        <v>1</v>
      </c>
      <c r="BG985" s="234">
        <v>0</v>
      </c>
      <c r="BH985" s="234">
        <v>0</v>
      </c>
      <c r="BI985" s="234">
        <v>0</v>
      </c>
      <c r="BJ985" s="234">
        <v>0</v>
      </c>
      <c r="BK985" s="234">
        <v>0</v>
      </c>
      <c r="BL985" s="234">
        <v>0</v>
      </c>
      <c r="BM985" s="234">
        <v>0</v>
      </c>
      <c r="BN985" s="234">
        <v>0</v>
      </c>
      <c r="BO985" s="234">
        <v>0</v>
      </c>
      <c r="BP985" s="234"/>
      <c r="BQ985" s="234"/>
      <c r="BR985" s="237" t="s">
        <v>334</v>
      </c>
      <c r="BS985" s="238">
        <v>7</v>
      </c>
      <c r="BV985" s="239">
        <f>M985/4</f>
        <v>0.25</v>
      </c>
      <c r="BW985" s="239">
        <f>M985/4</f>
        <v>0.25</v>
      </c>
      <c r="BX985" s="239">
        <f>M985/4</f>
        <v>0.25</v>
      </c>
      <c r="BY985" s="239">
        <f>M985/4</f>
        <v>0.25</v>
      </c>
      <c r="CN985" s="238">
        <f t="shared" si="118"/>
        <v>1</v>
      </c>
      <c r="CO985" s="238">
        <f t="shared" si="119"/>
        <v>1</v>
      </c>
    </row>
    <row r="986" spans="1:93" ht="13.95" customHeight="1" x14ac:dyDescent="0.2">
      <c r="A986" s="231">
        <v>5479</v>
      </c>
      <c r="B986" s="232" t="s">
        <v>822</v>
      </c>
      <c r="C986" s="232" t="s">
        <v>2711</v>
      </c>
      <c r="D986" s="232" t="s">
        <v>2712</v>
      </c>
      <c r="E986" s="232" t="s">
        <v>2715</v>
      </c>
      <c r="F986" s="231">
        <v>528475</v>
      </c>
      <c r="G986" s="231">
        <v>176217</v>
      </c>
      <c r="H986" s="232" t="s">
        <v>171</v>
      </c>
      <c r="I986" s="233"/>
      <c r="J986" s="231"/>
      <c r="K986" s="231">
        <v>0</v>
      </c>
      <c r="L986" s="231">
        <v>1</v>
      </c>
      <c r="M986" s="231">
        <v>1</v>
      </c>
      <c r="N986" s="231">
        <v>2</v>
      </c>
      <c r="O986" s="231">
        <v>2</v>
      </c>
      <c r="P986" s="234"/>
      <c r="Q986" s="232" t="s">
        <v>2714</v>
      </c>
      <c r="R986" s="234" t="s">
        <v>332</v>
      </c>
      <c r="S986" s="235">
        <v>44258</v>
      </c>
      <c r="T986" s="235">
        <v>44369</v>
      </c>
      <c r="U986" s="234"/>
      <c r="V986" s="232" t="s">
        <v>321</v>
      </c>
      <c r="W986" s="231"/>
      <c r="X986" s="232" t="s">
        <v>322</v>
      </c>
      <c r="Y986" s="232" t="s">
        <v>323</v>
      </c>
      <c r="Z986" s="232" t="s">
        <v>324</v>
      </c>
      <c r="AA986" s="232" t="s">
        <v>349</v>
      </c>
      <c r="AB986" s="236">
        <v>1.2999999999999999E-2</v>
      </c>
      <c r="AC986" s="235"/>
      <c r="AD986" s="234"/>
      <c r="AE986" s="234"/>
      <c r="AF986" s="232" t="s">
        <v>77</v>
      </c>
      <c r="AG986" s="232" t="s">
        <v>350</v>
      </c>
      <c r="AH986" s="234" t="s">
        <v>317</v>
      </c>
      <c r="AJ986" s="234">
        <v>0</v>
      </c>
      <c r="AK986" s="224"/>
      <c r="AL986" s="234">
        <v>0</v>
      </c>
      <c r="AM986" s="224"/>
      <c r="AN986" s="234">
        <v>0</v>
      </c>
      <c r="AO986" s="234">
        <v>0</v>
      </c>
      <c r="AP986" s="234">
        <v>0</v>
      </c>
      <c r="AQ986" s="234">
        <v>1</v>
      </c>
      <c r="AR986" s="234">
        <v>0</v>
      </c>
      <c r="AS986" s="234">
        <v>0</v>
      </c>
      <c r="AT986" s="234">
        <v>0</v>
      </c>
      <c r="AU986" s="234">
        <v>0</v>
      </c>
      <c r="AV986" s="234">
        <v>0</v>
      </c>
      <c r="AW986" s="234">
        <v>0</v>
      </c>
      <c r="AX986" s="234">
        <v>0</v>
      </c>
      <c r="AY986" s="234">
        <v>0</v>
      </c>
      <c r="AZ986" s="234">
        <v>0</v>
      </c>
      <c r="BA986" s="234">
        <v>0</v>
      </c>
      <c r="BB986" s="234">
        <v>0</v>
      </c>
      <c r="BC986" s="234">
        <v>0</v>
      </c>
      <c r="BD986" s="234">
        <v>0</v>
      </c>
      <c r="BE986" s="234">
        <v>1</v>
      </c>
      <c r="BF986" s="234">
        <v>0</v>
      </c>
      <c r="BG986" s="234">
        <v>0</v>
      </c>
      <c r="BH986" s="234">
        <v>0</v>
      </c>
      <c r="BI986" s="234">
        <v>0</v>
      </c>
      <c r="BJ986" s="234">
        <v>0</v>
      </c>
      <c r="BK986" s="234">
        <v>0</v>
      </c>
      <c r="BL986" s="234">
        <v>0</v>
      </c>
      <c r="BM986" s="234">
        <v>0</v>
      </c>
      <c r="BN986" s="234">
        <v>0</v>
      </c>
      <c r="BO986" s="234">
        <v>0</v>
      </c>
      <c r="BP986" s="234"/>
      <c r="BQ986" s="234"/>
      <c r="BR986" s="237" t="s">
        <v>334</v>
      </c>
      <c r="BS986" s="238">
        <v>7</v>
      </c>
      <c r="BV986" s="239">
        <f>M986/4</f>
        <v>0.25</v>
      </c>
      <c r="BW986" s="239">
        <f>M986/4</f>
        <v>0.25</v>
      </c>
      <c r="BX986" s="239">
        <f>M986/4</f>
        <v>0.25</v>
      </c>
      <c r="BY986" s="239">
        <f>M986/4</f>
        <v>0.25</v>
      </c>
      <c r="CN986" s="238">
        <f t="shared" si="118"/>
        <v>1</v>
      </c>
      <c r="CO986" s="238">
        <f t="shared" si="119"/>
        <v>1</v>
      </c>
    </row>
    <row r="987" spans="1:93" ht="13.95" customHeight="1" x14ac:dyDescent="0.2">
      <c r="A987" s="231">
        <v>3511</v>
      </c>
      <c r="B987" s="232" t="s">
        <v>822</v>
      </c>
      <c r="C987" s="232" t="s">
        <v>844</v>
      </c>
      <c r="D987" s="232" t="s">
        <v>824</v>
      </c>
      <c r="E987" s="232" t="s">
        <v>2716</v>
      </c>
      <c r="F987" s="231">
        <v>529369</v>
      </c>
      <c r="G987" s="231">
        <v>177317</v>
      </c>
      <c r="H987" s="232" t="s">
        <v>168</v>
      </c>
      <c r="I987" s="233">
        <v>42825</v>
      </c>
      <c r="J987" s="231"/>
      <c r="K987" s="231">
        <v>0</v>
      </c>
      <c r="L987" s="231">
        <v>17</v>
      </c>
      <c r="M987" s="231">
        <v>17</v>
      </c>
      <c r="N987" s="231">
        <v>2971</v>
      </c>
      <c r="O987" s="231">
        <v>2966</v>
      </c>
      <c r="P987" s="234" t="s">
        <v>318</v>
      </c>
      <c r="Q987" s="232" t="s">
        <v>846</v>
      </c>
      <c r="R987" s="234" t="s">
        <v>847</v>
      </c>
      <c r="S987" s="235">
        <v>41774</v>
      </c>
      <c r="T987" s="235">
        <v>42046</v>
      </c>
      <c r="U987" s="234"/>
      <c r="V987" s="232" t="s">
        <v>321</v>
      </c>
      <c r="W987" s="231"/>
      <c r="X987" s="232" t="s">
        <v>322</v>
      </c>
      <c r="Y987" s="232" t="s">
        <v>323</v>
      </c>
      <c r="Z987" s="232" t="s">
        <v>323</v>
      </c>
      <c r="AA987" s="232" t="s">
        <v>324</v>
      </c>
      <c r="AB987" s="236">
        <v>0.10199999999999999</v>
      </c>
      <c r="AC987" s="235"/>
      <c r="AD987" s="234"/>
      <c r="AE987" s="234"/>
      <c r="AF987" s="232" t="s">
        <v>57</v>
      </c>
      <c r="AG987" s="232" t="s">
        <v>470</v>
      </c>
      <c r="AH987" s="234" t="s">
        <v>827</v>
      </c>
      <c r="AJ987" s="234">
        <v>0</v>
      </c>
      <c r="AK987" s="234">
        <v>15</v>
      </c>
      <c r="AL987" s="234">
        <v>0</v>
      </c>
      <c r="AM987" s="234">
        <v>2</v>
      </c>
      <c r="AN987" s="234">
        <v>0</v>
      </c>
      <c r="AO987" s="234">
        <v>2</v>
      </c>
      <c r="AP987" s="234">
        <v>7</v>
      </c>
      <c r="AQ987" s="234">
        <v>8</v>
      </c>
      <c r="AR987" s="234">
        <v>0</v>
      </c>
      <c r="AS987" s="234">
        <v>0</v>
      </c>
      <c r="AT987" s="234">
        <v>0</v>
      </c>
      <c r="AU987" s="234">
        <v>0</v>
      </c>
      <c r="AV987" s="234">
        <v>2</v>
      </c>
      <c r="AW987" s="234">
        <v>7</v>
      </c>
      <c r="AX987" s="234">
        <v>8</v>
      </c>
      <c r="AY987" s="234">
        <v>0</v>
      </c>
      <c r="AZ987" s="234">
        <v>0</v>
      </c>
      <c r="BA987" s="234">
        <v>0</v>
      </c>
      <c r="BB987" s="234">
        <v>0</v>
      </c>
      <c r="BC987" s="234">
        <v>0</v>
      </c>
      <c r="BD987" s="234">
        <v>0</v>
      </c>
      <c r="BE987" s="234">
        <v>0</v>
      </c>
      <c r="BF987" s="234">
        <v>0</v>
      </c>
      <c r="BG987" s="234">
        <v>0</v>
      </c>
      <c r="BH987" s="234">
        <v>0</v>
      </c>
      <c r="BI987" s="234">
        <v>0</v>
      </c>
      <c r="BJ987" s="234">
        <v>0</v>
      </c>
      <c r="BK987" s="234">
        <v>0</v>
      </c>
      <c r="BL987" s="234">
        <v>0</v>
      </c>
      <c r="BM987" s="234">
        <v>0</v>
      </c>
      <c r="BN987" s="234">
        <v>0</v>
      </c>
      <c r="BO987" s="234">
        <v>0</v>
      </c>
      <c r="BP987" s="234"/>
      <c r="BQ987" s="234" t="s">
        <v>318</v>
      </c>
      <c r="BR987" s="237" t="s">
        <v>151</v>
      </c>
      <c r="BS987" s="238">
        <v>8</v>
      </c>
      <c r="CA987" s="239">
        <f>M987</f>
        <v>17</v>
      </c>
      <c r="CN987" s="238">
        <f t="shared" si="118"/>
        <v>0</v>
      </c>
      <c r="CO987" s="238">
        <f t="shared" si="119"/>
        <v>17</v>
      </c>
    </row>
    <row r="988" spans="1:93" ht="13.95" customHeight="1" x14ac:dyDescent="0.2">
      <c r="A988" s="231">
        <v>3511</v>
      </c>
      <c r="B988" s="232" t="s">
        <v>822</v>
      </c>
      <c r="C988" s="232" t="s">
        <v>844</v>
      </c>
      <c r="D988" s="232" t="s">
        <v>824</v>
      </c>
      <c r="E988" s="232" t="s">
        <v>2717</v>
      </c>
      <c r="F988" s="231">
        <v>529369</v>
      </c>
      <c r="G988" s="231">
        <v>177317</v>
      </c>
      <c r="H988" s="232" t="s">
        <v>168</v>
      </c>
      <c r="I988" s="233">
        <v>42825</v>
      </c>
      <c r="J988" s="231"/>
      <c r="K988" s="231">
        <v>0</v>
      </c>
      <c r="L988" s="231">
        <v>11</v>
      </c>
      <c r="M988" s="231">
        <v>11</v>
      </c>
      <c r="N988" s="231">
        <v>2971</v>
      </c>
      <c r="O988" s="231">
        <v>2966</v>
      </c>
      <c r="P988" s="234" t="s">
        <v>318</v>
      </c>
      <c r="Q988" s="232" t="s">
        <v>846</v>
      </c>
      <c r="R988" s="234" t="s">
        <v>847</v>
      </c>
      <c r="S988" s="235">
        <v>41774</v>
      </c>
      <c r="T988" s="235">
        <v>42046</v>
      </c>
      <c r="U988" s="234"/>
      <c r="V988" s="232" t="s">
        <v>321</v>
      </c>
      <c r="W988" s="231"/>
      <c r="X988" s="232" t="s">
        <v>322</v>
      </c>
      <c r="Y988" s="232" t="s">
        <v>323</v>
      </c>
      <c r="Z988" s="232" t="s">
        <v>323</v>
      </c>
      <c r="AA988" s="232" t="s">
        <v>324</v>
      </c>
      <c r="AB988" s="236">
        <v>6.6000000000000003E-2</v>
      </c>
      <c r="AC988" s="235"/>
      <c r="AD988" s="234"/>
      <c r="AE988" s="234"/>
      <c r="AF988" s="232" t="s">
        <v>57</v>
      </c>
      <c r="AG988" s="232" t="s">
        <v>470</v>
      </c>
      <c r="AH988" s="234" t="s">
        <v>827</v>
      </c>
      <c r="AJ988" s="234">
        <v>0</v>
      </c>
      <c r="AK988" s="234">
        <v>10</v>
      </c>
      <c r="AL988" s="234">
        <v>0</v>
      </c>
      <c r="AM988" s="234">
        <v>1</v>
      </c>
      <c r="AN988" s="234">
        <v>0</v>
      </c>
      <c r="AO988" s="234">
        <v>2</v>
      </c>
      <c r="AP988" s="234">
        <v>5</v>
      </c>
      <c r="AQ988" s="234">
        <v>4</v>
      </c>
      <c r="AR988" s="234">
        <v>0</v>
      </c>
      <c r="AS988" s="234">
        <v>0</v>
      </c>
      <c r="AT988" s="234">
        <v>0</v>
      </c>
      <c r="AU988" s="234">
        <v>0</v>
      </c>
      <c r="AV988" s="234">
        <v>2</v>
      </c>
      <c r="AW988" s="234">
        <v>5</v>
      </c>
      <c r="AX988" s="234">
        <v>4</v>
      </c>
      <c r="AY988" s="234">
        <v>0</v>
      </c>
      <c r="AZ988" s="234">
        <v>0</v>
      </c>
      <c r="BA988" s="234">
        <v>0</v>
      </c>
      <c r="BB988" s="234">
        <v>0</v>
      </c>
      <c r="BC988" s="234">
        <v>0</v>
      </c>
      <c r="BD988" s="234">
        <v>0</v>
      </c>
      <c r="BE988" s="234">
        <v>0</v>
      </c>
      <c r="BF988" s="234">
        <v>0</v>
      </c>
      <c r="BG988" s="234">
        <v>0</v>
      </c>
      <c r="BH988" s="234">
        <v>0</v>
      </c>
      <c r="BI988" s="234">
        <v>0</v>
      </c>
      <c r="BJ988" s="234">
        <v>0</v>
      </c>
      <c r="BK988" s="234">
        <v>0</v>
      </c>
      <c r="BL988" s="234">
        <v>0</v>
      </c>
      <c r="BM988" s="234">
        <v>0</v>
      </c>
      <c r="BN988" s="234">
        <v>0</v>
      </c>
      <c r="BO988" s="234">
        <v>0</v>
      </c>
      <c r="BP988" s="234"/>
      <c r="BQ988" s="234" t="s">
        <v>318</v>
      </c>
      <c r="BR988" s="237" t="s">
        <v>151</v>
      </c>
      <c r="BS988" s="238">
        <v>8</v>
      </c>
      <c r="CA988" s="239">
        <f>M988</f>
        <v>11</v>
      </c>
      <c r="CN988" s="238">
        <f t="shared" si="118"/>
        <v>0</v>
      </c>
      <c r="CO988" s="238">
        <f t="shared" si="119"/>
        <v>11</v>
      </c>
    </row>
    <row r="989" spans="1:93" ht="13.95" customHeight="1" x14ac:dyDescent="0.2">
      <c r="A989" s="231">
        <v>3511</v>
      </c>
      <c r="B989" s="232" t="s">
        <v>822</v>
      </c>
      <c r="C989" s="232" t="s">
        <v>844</v>
      </c>
      <c r="D989" s="232" t="s">
        <v>824</v>
      </c>
      <c r="E989" s="232" t="s">
        <v>2718</v>
      </c>
      <c r="F989" s="231">
        <v>529369</v>
      </c>
      <c r="G989" s="231">
        <v>177317</v>
      </c>
      <c r="H989" s="232" t="s">
        <v>168</v>
      </c>
      <c r="I989" s="233">
        <v>42825</v>
      </c>
      <c r="J989" s="231"/>
      <c r="K989" s="231">
        <v>0</v>
      </c>
      <c r="L989" s="231">
        <v>6</v>
      </c>
      <c r="M989" s="231">
        <v>6</v>
      </c>
      <c r="N989" s="231">
        <v>2971</v>
      </c>
      <c r="O989" s="231">
        <v>2966</v>
      </c>
      <c r="P989" s="234" t="s">
        <v>318</v>
      </c>
      <c r="Q989" s="232" t="s">
        <v>846</v>
      </c>
      <c r="R989" s="234" t="s">
        <v>847</v>
      </c>
      <c r="S989" s="235">
        <v>41774</v>
      </c>
      <c r="T989" s="235">
        <v>42046</v>
      </c>
      <c r="U989" s="234"/>
      <c r="V989" s="232" t="s">
        <v>321</v>
      </c>
      <c r="W989" s="231"/>
      <c r="X989" s="232" t="s">
        <v>322</v>
      </c>
      <c r="Y989" s="232" t="s">
        <v>323</v>
      </c>
      <c r="Z989" s="232" t="s">
        <v>323</v>
      </c>
      <c r="AA989" s="232" t="s">
        <v>324</v>
      </c>
      <c r="AB989" s="236">
        <v>3.5999999999999997E-2</v>
      </c>
      <c r="AC989" s="235"/>
      <c r="AD989" s="234"/>
      <c r="AE989" s="234"/>
      <c r="AF989" s="232" t="s">
        <v>57</v>
      </c>
      <c r="AG989" s="232" t="s">
        <v>470</v>
      </c>
      <c r="AH989" s="234" t="s">
        <v>827</v>
      </c>
      <c r="AJ989" s="234">
        <v>0</v>
      </c>
      <c r="AK989" s="234">
        <v>5</v>
      </c>
      <c r="AL989" s="234">
        <v>0</v>
      </c>
      <c r="AM989" s="234">
        <v>1</v>
      </c>
      <c r="AN989" s="234">
        <v>0</v>
      </c>
      <c r="AO989" s="234">
        <v>0</v>
      </c>
      <c r="AP989" s="234">
        <v>2</v>
      </c>
      <c r="AQ989" s="234">
        <v>4</v>
      </c>
      <c r="AR989" s="234">
        <v>0</v>
      </c>
      <c r="AS989" s="234">
        <v>0</v>
      </c>
      <c r="AT989" s="234">
        <v>0</v>
      </c>
      <c r="AU989" s="234">
        <v>0</v>
      </c>
      <c r="AV989" s="234">
        <v>0</v>
      </c>
      <c r="AW989" s="234">
        <v>2</v>
      </c>
      <c r="AX989" s="234">
        <v>4</v>
      </c>
      <c r="AY989" s="234">
        <v>0</v>
      </c>
      <c r="AZ989" s="234">
        <v>0</v>
      </c>
      <c r="BA989" s="234">
        <v>0</v>
      </c>
      <c r="BB989" s="234">
        <v>0</v>
      </c>
      <c r="BC989" s="234">
        <v>0</v>
      </c>
      <c r="BD989" s="234">
        <v>0</v>
      </c>
      <c r="BE989" s="234">
        <v>0</v>
      </c>
      <c r="BF989" s="234">
        <v>0</v>
      </c>
      <c r="BG989" s="234">
        <v>0</v>
      </c>
      <c r="BH989" s="234">
        <v>0</v>
      </c>
      <c r="BI989" s="234">
        <v>0</v>
      </c>
      <c r="BJ989" s="234">
        <v>0</v>
      </c>
      <c r="BK989" s="234">
        <v>0</v>
      </c>
      <c r="BL989" s="234">
        <v>0</v>
      </c>
      <c r="BM989" s="234">
        <v>0</v>
      </c>
      <c r="BN989" s="234">
        <v>0</v>
      </c>
      <c r="BO989" s="234">
        <v>0</v>
      </c>
      <c r="BP989" s="234"/>
      <c r="BQ989" s="234" t="s">
        <v>318</v>
      </c>
      <c r="BR989" s="237" t="s">
        <v>151</v>
      </c>
      <c r="BS989" s="238">
        <v>8</v>
      </c>
      <c r="CA989" s="239">
        <f>M989</f>
        <v>6</v>
      </c>
      <c r="CN989" s="238">
        <f t="shared" si="118"/>
        <v>0</v>
      </c>
      <c r="CO989" s="238">
        <f t="shared" si="119"/>
        <v>6</v>
      </c>
    </row>
    <row r="990" spans="1:93" ht="13.95" customHeight="1" x14ac:dyDescent="0.2">
      <c r="A990" s="231">
        <v>3511</v>
      </c>
      <c r="B990" s="232" t="s">
        <v>822</v>
      </c>
      <c r="C990" s="232" t="s">
        <v>844</v>
      </c>
      <c r="D990" s="232" t="s">
        <v>824</v>
      </c>
      <c r="E990" s="232" t="s">
        <v>2719</v>
      </c>
      <c r="F990" s="231">
        <v>529369</v>
      </c>
      <c r="G990" s="231">
        <v>177317</v>
      </c>
      <c r="H990" s="232" t="s">
        <v>168</v>
      </c>
      <c r="I990" s="233">
        <v>42825</v>
      </c>
      <c r="J990" s="231"/>
      <c r="K990" s="231">
        <v>0</v>
      </c>
      <c r="L990" s="231">
        <v>17</v>
      </c>
      <c r="M990" s="231">
        <v>17</v>
      </c>
      <c r="N990" s="231">
        <v>2971</v>
      </c>
      <c r="O990" s="231">
        <v>2966</v>
      </c>
      <c r="P990" s="234" t="s">
        <v>318</v>
      </c>
      <c r="Q990" s="232" t="s">
        <v>846</v>
      </c>
      <c r="R990" s="234" t="s">
        <v>847</v>
      </c>
      <c r="S990" s="235">
        <v>41774</v>
      </c>
      <c r="T990" s="235">
        <v>42046</v>
      </c>
      <c r="U990" s="234"/>
      <c r="V990" s="232" t="s">
        <v>321</v>
      </c>
      <c r="W990" s="231"/>
      <c r="X990" s="232" t="s">
        <v>322</v>
      </c>
      <c r="Y990" s="232" t="s">
        <v>323</v>
      </c>
      <c r="Z990" s="232" t="s">
        <v>323</v>
      </c>
      <c r="AA990" s="232" t="s">
        <v>324</v>
      </c>
      <c r="AB990" s="236">
        <v>0.10199999999999999</v>
      </c>
      <c r="AC990" s="235"/>
      <c r="AD990" s="234"/>
      <c r="AE990" s="234"/>
      <c r="AF990" s="232" t="s">
        <v>57</v>
      </c>
      <c r="AG990" s="232" t="s">
        <v>470</v>
      </c>
      <c r="AH990" s="234" t="s">
        <v>827</v>
      </c>
      <c r="AJ990" s="234">
        <v>0</v>
      </c>
      <c r="AK990" s="234">
        <v>15</v>
      </c>
      <c r="AL990" s="234">
        <v>0</v>
      </c>
      <c r="AM990" s="234">
        <v>2</v>
      </c>
      <c r="AN990" s="234">
        <v>0</v>
      </c>
      <c r="AO990" s="234">
        <v>2</v>
      </c>
      <c r="AP990" s="234">
        <v>7</v>
      </c>
      <c r="AQ990" s="234">
        <v>8</v>
      </c>
      <c r="AR990" s="234">
        <v>0</v>
      </c>
      <c r="AS990" s="234">
        <v>0</v>
      </c>
      <c r="AT990" s="234">
        <v>0</v>
      </c>
      <c r="AU990" s="234">
        <v>0</v>
      </c>
      <c r="AV990" s="234">
        <v>2</v>
      </c>
      <c r="AW990" s="234">
        <v>7</v>
      </c>
      <c r="AX990" s="234">
        <v>8</v>
      </c>
      <c r="AY990" s="234">
        <v>0</v>
      </c>
      <c r="AZ990" s="234">
        <v>0</v>
      </c>
      <c r="BA990" s="234">
        <v>0</v>
      </c>
      <c r="BB990" s="234">
        <v>0</v>
      </c>
      <c r="BC990" s="234">
        <v>0</v>
      </c>
      <c r="BD990" s="234">
        <v>0</v>
      </c>
      <c r="BE990" s="234">
        <v>0</v>
      </c>
      <c r="BF990" s="234">
        <v>0</v>
      </c>
      <c r="BG990" s="234">
        <v>0</v>
      </c>
      <c r="BH990" s="234">
        <v>0</v>
      </c>
      <c r="BI990" s="234">
        <v>0</v>
      </c>
      <c r="BJ990" s="234">
        <v>0</v>
      </c>
      <c r="BK990" s="234">
        <v>0</v>
      </c>
      <c r="BL990" s="234">
        <v>0</v>
      </c>
      <c r="BM990" s="234">
        <v>0</v>
      </c>
      <c r="BN990" s="234">
        <v>0</v>
      </c>
      <c r="BO990" s="234">
        <v>0</v>
      </c>
      <c r="BP990" s="234"/>
      <c r="BQ990" s="234" t="s">
        <v>318</v>
      </c>
      <c r="BR990" s="237" t="s">
        <v>151</v>
      </c>
      <c r="BS990" s="238">
        <v>8</v>
      </c>
      <c r="CA990" s="239">
        <f>M990</f>
        <v>17</v>
      </c>
      <c r="CN990" s="238">
        <f t="shared" si="118"/>
        <v>0</v>
      </c>
      <c r="CO990" s="238">
        <f t="shared" si="119"/>
        <v>17</v>
      </c>
    </row>
    <row r="991" spans="1:93" ht="13.95" customHeight="1" x14ac:dyDescent="0.2">
      <c r="A991" s="231">
        <v>6505</v>
      </c>
      <c r="B991" s="232" t="s">
        <v>822</v>
      </c>
      <c r="C991" s="232" t="s">
        <v>2702</v>
      </c>
      <c r="D991" s="232" t="s">
        <v>2703</v>
      </c>
      <c r="E991" s="232" t="s">
        <v>2720</v>
      </c>
      <c r="F991" s="231">
        <v>526483</v>
      </c>
      <c r="G991" s="231">
        <v>175747</v>
      </c>
      <c r="H991" s="232" t="s">
        <v>174</v>
      </c>
      <c r="I991" s="233"/>
      <c r="J991" s="231"/>
      <c r="K991" s="231">
        <v>2</v>
      </c>
      <c r="L991" s="231">
        <v>10</v>
      </c>
      <c r="M991" s="231">
        <v>8</v>
      </c>
      <c r="N991" s="231">
        <v>127</v>
      </c>
      <c r="O991" s="231">
        <v>125</v>
      </c>
      <c r="P991" s="234" t="s">
        <v>318</v>
      </c>
      <c r="Q991" s="232" t="s">
        <v>2705</v>
      </c>
      <c r="R991" s="234" t="s">
        <v>320</v>
      </c>
      <c r="S991" s="235">
        <v>42650</v>
      </c>
      <c r="T991" s="235">
        <v>44300</v>
      </c>
      <c r="U991" s="234"/>
      <c r="V991" s="232" t="s">
        <v>321</v>
      </c>
      <c r="W991" s="231"/>
      <c r="X991" s="232" t="s">
        <v>322</v>
      </c>
      <c r="Y991" s="232" t="s">
        <v>323</v>
      </c>
      <c r="Z991" s="232" t="s">
        <v>323</v>
      </c>
      <c r="AA991" s="232" t="s">
        <v>324</v>
      </c>
      <c r="AB991" s="236">
        <v>2.3E-2</v>
      </c>
      <c r="AC991" s="235"/>
      <c r="AD991" s="234"/>
      <c r="AE991" s="234"/>
      <c r="AF991" s="232" t="s">
        <v>77</v>
      </c>
      <c r="AG991" s="232" t="s">
        <v>350</v>
      </c>
      <c r="AH991" s="234" t="s">
        <v>1513</v>
      </c>
      <c r="AJ991" s="234">
        <v>0</v>
      </c>
      <c r="AK991" s="224"/>
      <c r="AL991" s="234">
        <v>0</v>
      </c>
      <c r="AM991" s="224"/>
      <c r="AN991" s="234">
        <v>0</v>
      </c>
      <c r="AO991" s="234">
        <v>0</v>
      </c>
      <c r="AP991" s="234">
        <v>6</v>
      </c>
      <c r="AQ991" s="234">
        <v>1</v>
      </c>
      <c r="AR991" s="234">
        <v>1</v>
      </c>
      <c r="AS991" s="234">
        <v>0</v>
      </c>
      <c r="AT991" s="234">
        <v>0</v>
      </c>
      <c r="AU991" s="234">
        <v>0</v>
      </c>
      <c r="AV991" s="234">
        <v>0</v>
      </c>
      <c r="AW991" s="234">
        <v>6</v>
      </c>
      <c r="AX991" s="234">
        <v>1</v>
      </c>
      <c r="AY991" s="234">
        <v>1</v>
      </c>
      <c r="AZ991" s="234">
        <v>0</v>
      </c>
      <c r="BA991" s="234">
        <v>0</v>
      </c>
      <c r="BB991" s="234">
        <v>0</v>
      </c>
      <c r="BC991" s="234">
        <v>0</v>
      </c>
      <c r="BD991" s="234">
        <v>0</v>
      </c>
      <c r="BE991" s="234">
        <v>0</v>
      </c>
      <c r="BF991" s="234">
        <v>0</v>
      </c>
      <c r="BG991" s="234">
        <v>0</v>
      </c>
      <c r="BH991" s="234">
        <v>0</v>
      </c>
      <c r="BI991" s="234">
        <v>0</v>
      </c>
      <c r="BJ991" s="234">
        <v>0</v>
      </c>
      <c r="BK991" s="234">
        <v>0</v>
      </c>
      <c r="BL991" s="234">
        <v>0</v>
      </c>
      <c r="BM991" s="234">
        <v>0</v>
      </c>
      <c r="BN991" s="234">
        <v>0</v>
      </c>
      <c r="BO991" s="234">
        <v>0</v>
      </c>
      <c r="BP991" s="234"/>
      <c r="BQ991" s="234"/>
      <c r="BR991" s="237" t="s">
        <v>481</v>
      </c>
      <c r="BS991" s="238">
        <v>10</v>
      </c>
      <c r="BX991" s="239">
        <f>M991/3</f>
        <v>2.6666666666666665</v>
      </c>
      <c r="BY991" s="239">
        <f>M991/3</f>
        <v>2.6666666666666665</v>
      </c>
      <c r="BZ991" s="239">
        <f>M991/3</f>
        <v>2.6666666666666665</v>
      </c>
      <c r="CN991" s="238">
        <f t="shared" si="118"/>
        <v>5.333333333333333</v>
      </c>
      <c r="CO991" s="238">
        <f t="shared" si="119"/>
        <v>8</v>
      </c>
    </row>
    <row r="992" spans="1:93" ht="13.95" customHeight="1" x14ac:dyDescent="0.2">
      <c r="A992" s="231">
        <v>6149</v>
      </c>
      <c r="B992" s="232" t="s">
        <v>2721</v>
      </c>
      <c r="C992" s="232" t="s">
        <v>2722</v>
      </c>
      <c r="D992" s="232" t="s">
        <v>1678</v>
      </c>
      <c r="E992" s="232" t="s">
        <v>317</v>
      </c>
      <c r="F992" s="231">
        <v>525867</v>
      </c>
      <c r="G992" s="231">
        <v>172948</v>
      </c>
      <c r="H992" s="232" t="s">
        <v>173</v>
      </c>
      <c r="I992" s="233"/>
      <c r="J992" s="231"/>
      <c r="K992" s="231">
        <v>0</v>
      </c>
      <c r="L992" s="231">
        <v>17</v>
      </c>
      <c r="M992" s="231">
        <v>17</v>
      </c>
      <c r="N992" s="231">
        <v>17</v>
      </c>
      <c r="O992" s="231">
        <v>17</v>
      </c>
      <c r="P992" s="234" t="s">
        <v>318</v>
      </c>
      <c r="Q992" s="232" t="s">
        <v>2723</v>
      </c>
      <c r="R992" s="234" t="s">
        <v>2724</v>
      </c>
      <c r="S992" s="235">
        <v>44159</v>
      </c>
      <c r="T992" s="234"/>
      <c r="U992" s="234"/>
      <c r="V992" s="232" t="s">
        <v>321</v>
      </c>
      <c r="W992" s="231"/>
      <c r="X992" s="232" t="s">
        <v>322</v>
      </c>
      <c r="Y992" s="232" t="s">
        <v>323</v>
      </c>
      <c r="Z992" s="232" t="s">
        <v>323</v>
      </c>
      <c r="AA992" s="232" t="s">
        <v>324</v>
      </c>
      <c r="AB992" s="236">
        <v>6.7000000000000004E-2</v>
      </c>
      <c r="AC992" s="234" t="s">
        <v>317</v>
      </c>
      <c r="AD992" s="234"/>
      <c r="AE992" s="234"/>
      <c r="AF992" s="232" t="s">
        <v>77</v>
      </c>
      <c r="AG992" s="232" t="s">
        <v>350</v>
      </c>
      <c r="AH992" s="234" t="s">
        <v>317</v>
      </c>
      <c r="AJ992" s="224"/>
      <c r="AK992" s="224"/>
      <c r="AL992" s="224"/>
      <c r="AM992" s="224"/>
      <c r="AN992" s="234">
        <v>0</v>
      </c>
      <c r="AO992" s="234">
        <v>3</v>
      </c>
      <c r="AP992" s="234">
        <v>13</v>
      </c>
      <c r="AQ992" s="234">
        <v>1</v>
      </c>
      <c r="AR992" s="234">
        <v>0</v>
      </c>
      <c r="AS992" s="234">
        <v>0</v>
      </c>
      <c r="AT992" s="234">
        <v>0</v>
      </c>
      <c r="AU992" s="234">
        <v>0</v>
      </c>
      <c r="AV992" s="234">
        <v>3</v>
      </c>
      <c r="AW992" s="234">
        <v>13</v>
      </c>
      <c r="AX992" s="234">
        <v>1</v>
      </c>
      <c r="AY992" s="234">
        <v>0</v>
      </c>
      <c r="AZ992" s="234">
        <v>0</v>
      </c>
      <c r="BA992" s="234">
        <v>0</v>
      </c>
      <c r="BB992" s="234">
        <v>0</v>
      </c>
      <c r="BC992" s="234">
        <v>0</v>
      </c>
      <c r="BD992" s="234">
        <v>0</v>
      </c>
      <c r="BE992" s="234">
        <v>0</v>
      </c>
      <c r="BF992" s="234">
        <v>0</v>
      </c>
      <c r="BG992" s="234">
        <v>0</v>
      </c>
      <c r="BH992" s="234">
        <v>0</v>
      </c>
      <c r="BI992" s="234">
        <v>0</v>
      </c>
      <c r="BJ992" s="234">
        <v>0</v>
      </c>
      <c r="BK992" s="234">
        <v>0</v>
      </c>
      <c r="BL992" s="234">
        <v>0</v>
      </c>
      <c r="BM992" s="234">
        <v>0</v>
      </c>
      <c r="BN992" s="234">
        <v>0</v>
      </c>
      <c r="BO992" s="234">
        <v>0</v>
      </c>
      <c r="BP992" s="234"/>
      <c r="BQ992" s="234"/>
      <c r="BR992" s="237" t="s">
        <v>154</v>
      </c>
      <c r="BS992" s="238">
        <v>9</v>
      </c>
      <c r="BZ992" s="239">
        <f>M992/3</f>
        <v>5.666666666666667</v>
      </c>
      <c r="CA992" s="239">
        <f>M992/3</f>
        <v>5.666666666666667</v>
      </c>
      <c r="CB992" s="239">
        <f>M992/3</f>
        <v>5.666666666666667</v>
      </c>
      <c r="CN992" s="238">
        <f t="shared" si="118"/>
        <v>0</v>
      </c>
      <c r="CO992" s="238">
        <f t="shared" si="119"/>
        <v>17</v>
      </c>
    </row>
    <row r="993" spans="1:93" ht="13.95" customHeight="1" x14ac:dyDescent="0.2">
      <c r="A993" s="231">
        <v>7911</v>
      </c>
      <c r="B993" s="232" t="s">
        <v>2721</v>
      </c>
      <c r="C993" s="232" t="s">
        <v>2725</v>
      </c>
      <c r="D993" s="232" t="s">
        <v>2726</v>
      </c>
      <c r="E993" s="232" t="s">
        <v>317</v>
      </c>
      <c r="F993" s="231">
        <v>528292</v>
      </c>
      <c r="G993" s="231">
        <v>173674</v>
      </c>
      <c r="H993" s="232" t="s">
        <v>141</v>
      </c>
      <c r="I993" s="233"/>
      <c r="J993" s="231"/>
      <c r="K993" s="231">
        <v>0</v>
      </c>
      <c r="L993" s="231">
        <v>9</v>
      </c>
      <c r="M993" s="231">
        <v>9</v>
      </c>
      <c r="N993" s="231">
        <v>9</v>
      </c>
      <c r="O993" s="231">
        <v>9</v>
      </c>
      <c r="P993" s="234"/>
      <c r="Q993" s="232" t="s">
        <v>2727</v>
      </c>
      <c r="R993" s="234" t="s">
        <v>2724</v>
      </c>
      <c r="S993" s="235">
        <v>44860</v>
      </c>
      <c r="T993" s="234"/>
      <c r="U993" s="234"/>
      <c r="V993" s="232" t="s">
        <v>321</v>
      </c>
      <c r="W993" s="231"/>
      <c r="X993" s="232" t="s">
        <v>322</v>
      </c>
      <c r="Y993" s="232" t="s">
        <v>323</v>
      </c>
      <c r="Z993" s="232" t="s">
        <v>324</v>
      </c>
      <c r="AA993" s="232" t="s">
        <v>349</v>
      </c>
      <c r="AB993" s="236">
        <v>1.7299999999999999E-2</v>
      </c>
      <c r="AC993" s="234" t="s">
        <v>317</v>
      </c>
      <c r="AD993" s="234"/>
      <c r="AE993" s="234"/>
      <c r="AF993" s="232" t="s">
        <v>57</v>
      </c>
      <c r="AG993" s="232" t="s">
        <v>328</v>
      </c>
      <c r="AH993" s="234" t="s">
        <v>317</v>
      </c>
      <c r="AJ993" s="234">
        <v>0</v>
      </c>
      <c r="AK993" s="224"/>
      <c r="AL993" s="234">
        <v>0</v>
      </c>
      <c r="AM993" s="224"/>
      <c r="AN993" s="234">
        <v>8</v>
      </c>
      <c r="AO993" s="234">
        <v>1</v>
      </c>
      <c r="AP993" s="234">
        <v>0</v>
      </c>
      <c r="AQ993" s="234">
        <v>0</v>
      </c>
      <c r="AR993" s="234">
        <v>0</v>
      </c>
      <c r="AS993" s="234">
        <v>0</v>
      </c>
      <c r="AT993" s="234">
        <v>0</v>
      </c>
      <c r="AU993" s="234">
        <v>8</v>
      </c>
      <c r="AV993" s="234">
        <v>1</v>
      </c>
      <c r="AW993" s="234">
        <v>0</v>
      </c>
      <c r="AX993" s="234">
        <v>0</v>
      </c>
      <c r="AY993" s="234">
        <v>0</v>
      </c>
      <c r="AZ993" s="234">
        <v>0</v>
      </c>
      <c r="BA993" s="234">
        <v>0</v>
      </c>
      <c r="BB993" s="234">
        <v>0</v>
      </c>
      <c r="BC993" s="234">
        <v>0</v>
      </c>
      <c r="BD993" s="234">
        <v>0</v>
      </c>
      <c r="BE993" s="234">
        <v>0</v>
      </c>
      <c r="BF993" s="234">
        <v>0</v>
      </c>
      <c r="BG993" s="234">
        <v>0</v>
      </c>
      <c r="BH993" s="234">
        <v>0</v>
      </c>
      <c r="BI993" s="234">
        <v>0</v>
      </c>
      <c r="BJ993" s="234">
        <v>0</v>
      </c>
      <c r="BK993" s="234">
        <v>0</v>
      </c>
      <c r="BL993" s="234">
        <v>0</v>
      </c>
      <c r="BM993" s="234">
        <v>0</v>
      </c>
      <c r="BN993" s="234">
        <v>0</v>
      </c>
      <c r="BO993" s="234">
        <v>0</v>
      </c>
      <c r="BP993" s="234"/>
      <c r="BQ993" s="234"/>
      <c r="BR993" s="237" t="s">
        <v>334</v>
      </c>
      <c r="BS993" s="238">
        <v>9</v>
      </c>
      <c r="BZ993" s="239">
        <f>M993/3</f>
        <v>3</v>
      </c>
      <c r="CA993" s="239">
        <f>M993/3</f>
        <v>3</v>
      </c>
      <c r="CB993" s="239">
        <f>M993/3</f>
        <v>3</v>
      </c>
      <c r="CN993" s="238">
        <f t="shared" si="118"/>
        <v>0</v>
      </c>
      <c r="CO993" s="238">
        <f t="shared" si="119"/>
        <v>9</v>
      </c>
    </row>
    <row r="994" spans="1:93" ht="13.95" customHeight="1" x14ac:dyDescent="0.2">
      <c r="A994" s="231">
        <v>6670</v>
      </c>
      <c r="B994" s="232" t="s">
        <v>2721</v>
      </c>
      <c r="C994" s="232" t="s">
        <v>2728</v>
      </c>
      <c r="D994" s="232" t="s">
        <v>2729</v>
      </c>
      <c r="E994" s="232" t="s">
        <v>2730</v>
      </c>
      <c r="F994" s="231">
        <v>527469</v>
      </c>
      <c r="G994" s="231">
        <v>171617</v>
      </c>
      <c r="H994" s="232" t="s">
        <v>177</v>
      </c>
      <c r="I994" s="233"/>
      <c r="J994" s="231"/>
      <c r="K994" s="231">
        <v>0</v>
      </c>
      <c r="L994" s="231">
        <v>6</v>
      </c>
      <c r="M994" s="231">
        <v>6</v>
      </c>
      <c r="N994" s="231">
        <v>16</v>
      </c>
      <c r="O994" s="231">
        <v>16</v>
      </c>
      <c r="P994" s="234" t="s">
        <v>318</v>
      </c>
      <c r="Q994" s="232" t="s">
        <v>2731</v>
      </c>
      <c r="R994" s="234" t="s">
        <v>2724</v>
      </c>
      <c r="S994" s="235">
        <v>44445</v>
      </c>
      <c r="T994" s="234"/>
      <c r="U994" s="234"/>
      <c r="V994" s="232" t="s">
        <v>321</v>
      </c>
      <c r="W994" s="231"/>
      <c r="X994" s="232" t="s">
        <v>322</v>
      </c>
      <c r="Y994" s="232" t="s">
        <v>323</v>
      </c>
      <c r="Z994" s="232" t="s">
        <v>323</v>
      </c>
      <c r="AA994" s="232" t="s">
        <v>324</v>
      </c>
      <c r="AB994" s="236">
        <v>1.6549999999999999E-2</v>
      </c>
      <c r="AC994" s="234" t="s">
        <v>317</v>
      </c>
      <c r="AD994" s="234"/>
      <c r="AE994" s="234"/>
      <c r="AF994" s="232" t="s">
        <v>77</v>
      </c>
      <c r="AG994" s="232" t="s">
        <v>340</v>
      </c>
      <c r="AH994" s="234" t="s">
        <v>317</v>
      </c>
      <c r="AJ994" s="234">
        <v>0</v>
      </c>
      <c r="AK994" s="234">
        <v>6</v>
      </c>
      <c r="AL994" s="234">
        <v>0</v>
      </c>
      <c r="AM994" s="224"/>
      <c r="AN994" s="234">
        <v>1</v>
      </c>
      <c r="AO994" s="234">
        <v>3</v>
      </c>
      <c r="AP994" s="234">
        <v>1</v>
      </c>
      <c r="AQ994" s="234">
        <v>1</v>
      </c>
      <c r="AR994" s="234">
        <v>0</v>
      </c>
      <c r="AS994" s="234">
        <v>0</v>
      </c>
      <c r="AT994" s="234">
        <v>0</v>
      </c>
      <c r="AU994" s="234">
        <v>1</v>
      </c>
      <c r="AV994" s="234">
        <v>3</v>
      </c>
      <c r="AW994" s="234">
        <v>1</v>
      </c>
      <c r="AX994" s="234">
        <v>1</v>
      </c>
      <c r="AY994" s="234">
        <v>0</v>
      </c>
      <c r="AZ994" s="234">
        <v>0</v>
      </c>
      <c r="BA994" s="234">
        <v>0</v>
      </c>
      <c r="BB994" s="234">
        <v>0</v>
      </c>
      <c r="BC994" s="234">
        <v>0</v>
      </c>
      <c r="BD994" s="234">
        <v>0</v>
      </c>
      <c r="BE994" s="234">
        <v>0</v>
      </c>
      <c r="BF994" s="234">
        <v>0</v>
      </c>
      <c r="BG994" s="234">
        <v>0</v>
      </c>
      <c r="BH994" s="234">
        <v>0</v>
      </c>
      <c r="BI994" s="234">
        <v>0</v>
      </c>
      <c r="BJ994" s="234">
        <v>0</v>
      </c>
      <c r="BK994" s="234">
        <v>0</v>
      </c>
      <c r="BL994" s="234">
        <v>0</v>
      </c>
      <c r="BM994" s="234">
        <v>0</v>
      </c>
      <c r="BN994" s="234">
        <v>0</v>
      </c>
      <c r="BO994" s="234">
        <v>0</v>
      </c>
      <c r="BP994" s="234" t="s">
        <v>144</v>
      </c>
      <c r="BQ994" s="234"/>
      <c r="BR994" s="237" t="s">
        <v>144</v>
      </c>
      <c r="BS994" s="238">
        <v>9</v>
      </c>
      <c r="BZ994" s="239">
        <f>M994/3</f>
        <v>2</v>
      </c>
      <c r="CA994" s="239">
        <f>M994/3</f>
        <v>2</v>
      </c>
      <c r="CB994" s="239">
        <f>M994/3</f>
        <v>2</v>
      </c>
      <c r="CN994" s="238">
        <f t="shared" si="118"/>
        <v>0</v>
      </c>
      <c r="CO994" s="238">
        <f t="shared" si="119"/>
        <v>6</v>
      </c>
    </row>
    <row r="995" spans="1:93" ht="13.95" customHeight="1" x14ac:dyDescent="0.2">
      <c r="A995" s="231">
        <v>6670</v>
      </c>
      <c r="B995" s="232" t="s">
        <v>2721</v>
      </c>
      <c r="C995" s="232" t="s">
        <v>2728</v>
      </c>
      <c r="D995" s="232" t="s">
        <v>2729</v>
      </c>
      <c r="E995" s="232" t="s">
        <v>2732</v>
      </c>
      <c r="F995" s="231">
        <v>527469</v>
      </c>
      <c r="G995" s="231">
        <v>171617</v>
      </c>
      <c r="H995" s="232" t="s">
        <v>177</v>
      </c>
      <c r="I995" s="233"/>
      <c r="J995" s="231"/>
      <c r="K995" s="231">
        <v>0</v>
      </c>
      <c r="L995" s="231">
        <v>10</v>
      </c>
      <c r="M995" s="231">
        <v>10</v>
      </c>
      <c r="N995" s="231">
        <v>16</v>
      </c>
      <c r="O995" s="231">
        <v>16</v>
      </c>
      <c r="P995" s="234" t="s">
        <v>318</v>
      </c>
      <c r="Q995" s="232" t="s">
        <v>2731</v>
      </c>
      <c r="R995" s="234" t="s">
        <v>2724</v>
      </c>
      <c r="S995" s="235">
        <v>44445</v>
      </c>
      <c r="T995" s="234"/>
      <c r="U995" s="234"/>
      <c r="V995" s="232" t="s">
        <v>321</v>
      </c>
      <c r="W995" s="231"/>
      <c r="X995" s="232" t="s">
        <v>322</v>
      </c>
      <c r="Y995" s="232" t="s">
        <v>323</v>
      </c>
      <c r="Z995" s="232" t="s">
        <v>323</v>
      </c>
      <c r="AA995" s="232" t="s">
        <v>324</v>
      </c>
      <c r="AB995" s="236">
        <v>1.525E-2</v>
      </c>
      <c r="AC995" s="234" t="s">
        <v>317</v>
      </c>
      <c r="AD995" s="234"/>
      <c r="AE995" s="234"/>
      <c r="AF995" s="232" t="s">
        <v>77</v>
      </c>
      <c r="AG995" s="232" t="s">
        <v>340</v>
      </c>
      <c r="AH995" s="234" t="s">
        <v>317</v>
      </c>
      <c r="AJ995" s="234">
        <v>0</v>
      </c>
      <c r="AK995" s="234">
        <v>8</v>
      </c>
      <c r="AL995" s="234">
        <v>0</v>
      </c>
      <c r="AM995" s="234">
        <v>2</v>
      </c>
      <c r="AN995" s="234">
        <v>0</v>
      </c>
      <c r="AO995" s="234">
        <v>4</v>
      </c>
      <c r="AP995" s="234">
        <v>5</v>
      </c>
      <c r="AQ995" s="234">
        <v>1</v>
      </c>
      <c r="AR995" s="234">
        <v>0</v>
      </c>
      <c r="AS995" s="234">
        <v>0</v>
      </c>
      <c r="AT995" s="234">
        <v>0</v>
      </c>
      <c r="AU995" s="234">
        <v>0</v>
      </c>
      <c r="AV995" s="234">
        <v>4</v>
      </c>
      <c r="AW995" s="234">
        <v>5</v>
      </c>
      <c r="AX995" s="234">
        <v>1</v>
      </c>
      <c r="AY995" s="234">
        <v>0</v>
      </c>
      <c r="AZ995" s="234">
        <v>0</v>
      </c>
      <c r="BA995" s="234">
        <v>0</v>
      </c>
      <c r="BB995" s="234">
        <v>0</v>
      </c>
      <c r="BC995" s="234">
        <v>0</v>
      </c>
      <c r="BD995" s="234">
        <v>0</v>
      </c>
      <c r="BE995" s="234">
        <v>0</v>
      </c>
      <c r="BF995" s="234">
        <v>0</v>
      </c>
      <c r="BG995" s="234">
        <v>0</v>
      </c>
      <c r="BH995" s="234">
        <v>0</v>
      </c>
      <c r="BI995" s="234">
        <v>0</v>
      </c>
      <c r="BJ995" s="234">
        <v>0</v>
      </c>
      <c r="BK995" s="234">
        <v>0</v>
      </c>
      <c r="BL995" s="234">
        <v>0</v>
      </c>
      <c r="BM995" s="234">
        <v>0</v>
      </c>
      <c r="BN995" s="234">
        <v>0</v>
      </c>
      <c r="BO995" s="234">
        <v>0</v>
      </c>
      <c r="BP995" s="234" t="s">
        <v>144</v>
      </c>
      <c r="BQ995" s="234"/>
      <c r="BR995" s="237" t="s">
        <v>144</v>
      </c>
      <c r="BS995" s="238">
        <v>9</v>
      </c>
      <c r="BZ995" s="239">
        <f>M995/3</f>
        <v>3.3333333333333335</v>
      </c>
      <c r="CA995" s="239">
        <f>M995/3</f>
        <v>3.3333333333333335</v>
      </c>
      <c r="CB995" s="239">
        <f>M995/3</f>
        <v>3.3333333333333335</v>
      </c>
      <c r="CN995" s="238">
        <f t="shared" si="118"/>
        <v>0</v>
      </c>
      <c r="CO995" s="238">
        <f t="shared" si="119"/>
        <v>10</v>
      </c>
    </row>
    <row r="996" spans="1:93" ht="13.95" customHeight="1" x14ac:dyDescent="0.2">
      <c r="A996" s="231">
        <v>5339</v>
      </c>
      <c r="B996" s="232" t="s">
        <v>2721</v>
      </c>
      <c r="C996" s="232" t="s">
        <v>2733</v>
      </c>
      <c r="D996" s="232" t="s">
        <v>2734</v>
      </c>
      <c r="E996" s="232" t="s">
        <v>801</v>
      </c>
      <c r="F996" s="231">
        <v>527711</v>
      </c>
      <c r="G996" s="231">
        <v>171233</v>
      </c>
      <c r="H996" s="232" t="s">
        <v>177</v>
      </c>
      <c r="I996" s="233"/>
      <c r="J996" s="231"/>
      <c r="K996" s="231">
        <v>0</v>
      </c>
      <c r="L996" s="231">
        <v>15</v>
      </c>
      <c r="M996" s="231">
        <v>15</v>
      </c>
      <c r="N996" s="231">
        <v>24</v>
      </c>
      <c r="O996" s="231">
        <v>24</v>
      </c>
      <c r="P996" s="234" t="s">
        <v>318</v>
      </c>
      <c r="Q996" s="232" t="s">
        <v>2735</v>
      </c>
      <c r="R996" s="234" t="s">
        <v>2724</v>
      </c>
      <c r="S996" s="235">
        <v>44554</v>
      </c>
      <c r="T996" s="235"/>
      <c r="U996" s="234"/>
      <c r="V996" s="232" t="s">
        <v>321</v>
      </c>
      <c r="W996" s="231"/>
      <c r="X996" s="232" t="s">
        <v>322</v>
      </c>
      <c r="Y996" s="232" t="s">
        <v>338</v>
      </c>
      <c r="Z996" s="232" t="s">
        <v>323</v>
      </c>
      <c r="AA996" s="232" t="s">
        <v>324</v>
      </c>
      <c r="AB996" s="236">
        <v>8.8999999999999996E-2</v>
      </c>
      <c r="AC996" s="234" t="s">
        <v>317</v>
      </c>
      <c r="AD996" s="234"/>
      <c r="AE996" s="234"/>
      <c r="AF996" s="232" t="s">
        <v>77</v>
      </c>
      <c r="AG996" s="232" t="s">
        <v>350</v>
      </c>
      <c r="AH996" s="234" t="s">
        <v>317</v>
      </c>
      <c r="AJ996" s="234">
        <v>0</v>
      </c>
      <c r="AK996" s="234">
        <v>13</v>
      </c>
      <c r="AL996" s="234">
        <v>0</v>
      </c>
      <c r="AM996" s="234">
        <v>2</v>
      </c>
      <c r="AN996" s="234">
        <v>1</v>
      </c>
      <c r="AO996" s="234">
        <v>5</v>
      </c>
      <c r="AP996" s="234">
        <v>8</v>
      </c>
      <c r="AQ996" s="234">
        <v>1</v>
      </c>
      <c r="AR996" s="234">
        <v>0</v>
      </c>
      <c r="AS996" s="234">
        <v>0</v>
      </c>
      <c r="AT996" s="234">
        <v>0</v>
      </c>
      <c r="AU996" s="234">
        <v>1</v>
      </c>
      <c r="AV996" s="234">
        <v>5</v>
      </c>
      <c r="AW996" s="234">
        <v>8</v>
      </c>
      <c r="AX996" s="234">
        <v>1</v>
      </c>
      <c r="AY996" s="234">
        <v>0</v>
      </c>
      <c r="AZ996" s="234">
        <v>0</v>
      </c>
      <c r="BA996" s="234">
        <v>0</v>
      </c>
      <c r="BB996" s="234">
        <v>0</v>
      </c>
      <c r="BC996" s="234">
        <v>0</v>
      </c>
      <c r="BD996" s="234">
        <v>0</v>
      </c>
      <c r="BE996" s="234">
        <v>0</v>
      </c>
      <c r="BF996" s="234">
        <v>0</v>
      </c>
      <c r="BG996" s="234">
        <v>0</v>
      </c>
      <c r="BH996" s="234">
        <v>0</v>
      </c>
      <c r="BI996" s="234">
        <v>0</v>
      </c>
      <c r="BJ996" s="234">
        <v>0</v>
      </c>
      <c r="BK996" s="234">
        <v>0</v>
      </c>
      <c r="BL996" s="234">
        <v>0</v>
      </c>
      <c r="BM996" s="234">
        <v>0</v>
      </c>
      <c r="BN996" s="234">
        <v>0</v>
      </c>
      <c r="BO996" s="234">
        <v>0</v>
      </c>
      <c r="BP996" s="234" t="s">
        <v>144</v>
      </c>
      <c r="BQ996" s="234"/>
      <c r="BR996" s="237" t="s">
        <v>144</v>
      </c>
      <c r="BS996" s="238">
        <v>17</v>
      </c>
      <c r="BZ996" s="239">
        <f>M996/4</f>
        <v>3.75</v>
      </c>
      <c r="CA996" s="239">
        <f>M996/4</f>
        <v>3.75</v>
      </c>
      <c r="CB996" s="239">
        <f>M996/4</f>
        <v>3.75</v>
      </c>
      <c r="CC996" s="239">
        <f>M996/4</f>
        <v>3.75</v>
      </c>
      <c r="CN996" s="238">
        <f t="shared" si="118"/>
        <v>0</v>
      </c>
      <c r="CO996" s="238">
        <f t="shared" si="119"/>
        <v>15</v>
      </c>
    </row>
    <row r="997" spans="1:93" ht="13.95" customHeight="1" x14ac:dyDescent="0.2">
      <c r="A997" s="231">
        <v>5339</v>
      </c>
      <c r="B997" s="232" t="s">
        <v>2721</v>
      </c>
      <c r="C997" s="232" t="s">
        <v>2733</v>
      </c>
      <c r="D997" s="232" t="s">
        <v>2734</v>
      </c>
      <c r="E997" s="232" t="s">
        <v>781</v>
      </c>
      <c r="F997" s="231">
        <v>527711</v>
      </c>
      <c r="G997" s="231">
        <v>171233</v>
      </c>
      <c r="H997" s="232" t="s">
        <v>177</v>
      </c>
      <c r="I997" s="233"/>
      <c r="J997" s="231"/>
      <c r="K997" s="231">
        <v>0</v>
      </c>
      <c r="L997" s="231">
        <v>6</v>
      </c>
      <c r="M997" s="231">
        <v>6</v>
      </c>
      <c r="N997" s="231">
        <v>24</v>
      </c>
      <c r="O997" s="231">
        <v>24</v>
      </c>
      <c r="P997" s="234" t="s">
        <v>318</v>
      </c>
      <c r="Q997" s="232" t="s">
        <v>2735</v>
      </c>
      <c r="R997" s="234" t="s">
        <v>2724</v>
      </c>
      <c r="S997" s="235">
        <v>44554</v>
      </c>
      <c r="T997" s="235"/>
      <c r="U997" s="234"/>
      <c r="V997" s="232" t="s">
        <v>321</v>
      </c>
      <c r="W997" s="231"/>
      <c r="X997" s="232" t="s">
        <v>322</v>
      </c>
      <c r="Y997" s="232" t="s">
        <v>338</v>
      </c>
      <c r="Z997" s="232" t="s">
        <v>323</v>
      </c>
      <c r="AA997" s="232" t="s">
        <v>324</v>
      </c>
      <c r="AB997" s="236">
        <v>3.5000000000000003E-2</v>
      </c>
      <c r="AC997" s="234" t="s">
        <v>317</v>
      </c>
      <c r="AD997" s="234"/>
      <c r="AE997" s="234"/>
      <c r="AF997" s="232" t="s">
        <v>77</v>
      </c>
      <c r="AG997" s="232" t="s">
        <v>350</v>
      </c>
      <c r="AH997" s="234" t="s">
        <v>317</v>
      </c>
      <c r="AJ997" s="234">
        <v>0</v>
      </c>
      <c r="AK997" s="234">
        <v>5</v>
      </c>
      <c r="AL997" s="234">
        <v>0</v>
      </c>
      <c r="AM997" s="234">
        <v>1</v>
      </c>
      <c r="AN997" s="234">
        <v>0</v>
      </c>
      <c r="AO997" s="234">
        <v>0</v>
      </c>
      <c r="AP997" s="234">
        <v>4</v>
      </c>
      <c r="AQ997" s="234">
        <v>2</v>
      </c>
      <c r="AR997" s="234">
        <v>0</v>
      </c>
      <c r="AS997" s="234">
        <v>0</v>
      </c>
      <c r="AT997" s="234">
        <v>0</v>
      </c>
      <c r="AU997" s="234">
        <v>0</v>
      </c>
      <c r="AV997" s="234">
        <v>0</v>
      </c>
      <c r="AW997" s="234">
        <v>4</v>
      </c>
      <c r="AX997" s="234">
        <v>2</v>
      </c>
      <c r="AY997" s="234">
        <v>0</v>
      </c>
      <c r="AZ997" s="234">
        <v>0</v>
      </c>
      <c r="BA997" s="234">
        <v>0</v>
      </c>
      <c r="BB997" s="234">
        <v>0</v>
      </c>
      <c r="BC997" s="234">
        <v>0</v>
      </c>
      <c r="BD997" s="234">
        <v>0</v>
      </c>
      <c r="BE997" s="234">
        <v>0</v>
      </c>
      <c r="BF997" s="234">
        <v>0</v>
      </c>
      <c r="BG997" s="234">
        <v>0</v>
      </c>
      <c r="BH997" s="234">
        <v>0</v>
      </c>
      <c r="BI997" s="234">
        <v>0</v>
      </c>
      <c r="BJ997" s="234">
        <v>0</v>
      </c>
      <c r="BK997" s="234">
        <v>0</v>
      </c>
      <c r="BL997" s="234">
        <v>0</v>
      </c>
      <c r="BM997" s="234">
        <v>0</v>
      </c>
      <c r="BN997" s="234">
        <v>0</v>
      </c>
      <c r="BO997" s="234">
        <v>0</v>
      </c>
      <c r="BP997" s="234" t="s">
        <v>144</v>
      </c>
      <c r="BQ997" s="234"/>
      <c r="BR997" s="237" t="s">
        <v>144</v>
      </c>
      <c r="BS997" s="238">
        <v>17</v>
      </c>
      <c r="BZ997" s="239">
        <f>M997/4</f>
        <v>1.5</v>
      </c>
      <c r="CA997" s="239">
        <f>M997/4</f>
        <v>1.5</v>
      </c>
      <c r="CB997" s="239">
        <f>M997/4</f>
        <v>1.5</v>
      </c>
      <c r="CC997" s="239">
        <f>M997/4</f>
        <v>1.5</v>
      </c>
      <c r="CN997" s="238">
        <f t="shared" si="118"/>
        <v>0</v>
      </c>
      <c r="CO997" s="238">
        <f t="shared" si="119"/>
        <v>6</v>
      </c>
    </row>
    <row r="998" spans="1:93" ht="13.95" customHeight="1" x14ac:dyDescent="0.2">
      <c r="A998" s="231">
        <v>5339</v>
      </c>
      <c r="B998" s="232" t="s">
        <v>2721</v>
      </c>
      <c r="C998" s="232" t="s">
        <v>2733</v>
      </c>
      <c r="D998" s="232" t="s">
        <v>2734</v>
      </c>
      <c r="E998" s="232" t="s">
        <v>783</v>
      </c>
      <c r="F998" s="231">
        <v>527711</v>
      </c>
      <c r="G998" s="231">
        <v>171233</v>
      </c>
      <c r="H998" s="232" t="s">
        <v>177</v>
      </c>
      <c r="I998" s="233"/>
      <c r="J998" s="231"/>
      <c r="K998" s="231">
        <v>0</v>
      </c>
      <c r="L998" s="231">
        <v>1</v>
      </c>
      <c r="M998" s="231">
        <v>1</v>
      </c>
      <c r="N998" s="231">
        <v>24</v>
      </c>
      <c r="O998" s="231">
        <v>24</v>
      </c>
      <c r="P998" s="234" t="s">
        <v>318</v>
      </c>
      <c r="Q998" s="232" t="s">
        <v>2735</v>
      </c>
      <c r="R998" s="234" t="s">
        <v>2724</v>
      </c>
      <c r="S998" s="235">
        <v>44554</v>
      </c>
      <c r="T998" s="235"/>
      <c r="U998" s="234"/>
      <c r="V998" s="232" t="s">
        <v>321</v>
      </c>
      <c r="W998" s="231"/>
      <c r="X998" s="232" t="s">
        <v>322</v>
      </c>
      <c r="Y998" s="232" t="s">
        <v>338</v>
      </c>
      <c r="Z998" s="232" t="s">
        <v>323</v>
      </c>
      <c r="AA998" s="232" t="s">
        <v>324</v>
      </c>
      <c r="AB998" s="236">
        <v>6.0000000000000001E-3</v>
      </c>
      <c r="AC998" s="234" t="s">
        <v>317</v>
      </c>
      <c r="AD998" s="234"/>
      <c r="AE998" s="234"/>
      <c r="AF998" s="232" t="s">
        <v>77</v>
      </c>
      <c r="AG998" s="232" t="s">
        <v>350</v>
      </c>
      <c r="AH998" s="234" t="s">
        <v>317</v>
      </c>
      <c r="AJ998" s="234">
        <v>0</v>
      </c>
      <c r="AK998" s="234">
        <v>1</v>
      </c>
      <c r="AL998" s="234">
        <v>0</v>
      </c>
      <c r="AM998" s="234">
        <v>0</v>
      </c>
      <c r="AN998" s="234">
        <v>0</v>
      </c>
      <c r="AO998" s="234">
        <v>0</v>
      </c>
      <c r="AP998" s="234">
        <v>0</v>
      </c>
      <c r="AQ998" s="234">
        <v>1</v>
      </c>
      <c r="AR998" s="234">
        <v>0</v>
      </c>
      <c r="AS998" s="234">
        <v>0</v>
      </c>
      <c r="AT998" s="234">
        <v>0</v>
      </c>
      <c r="AU998" s="234">
        <v>0</v>
      </c>
      <c r="AV998" s="234">
        <v>0</v>
      </c>
      <c r="AW998" s="234">
        <v>0</v>
      </c>
      <c r="AX998" s="234">
        <v>1</v>
      </c>
      <c r="AY998" s="234">
        <v>0</v>
      </c>
      <c r="AZ998" s="234">
        <v>0</v>
      </c>
      <c r="BA998" s="234">
        <v>0</v>
      </c>
      <c r="BB998" s="234">
        <v>0</v>
      </c>
      <c r="BC998" s="234">
        <v>0</v>
      </c>
      <c r="BD998" s="234">
        <v>0</v>
      </c>
      <c r="BE998" s="234">
        <v>0</v>
      </c>
      <c r="BF998" s="234">
        <v>0</v>
      </c>
      <c r="BG998" s="234">
        <v>0</v>
      </c>
      <c r="BH998" s="234">
        <v>0</v>
      </c>
      <c r="BI998" s="234">
        <v>0</v>
      </c>
      <c r="BJ998" s="234">
        <v>0</v>
      </c>
      <c r="BK998" s="234">
        <v>0</v>
      </c>
      <c r="BL998" s="234">
        <v>0</v>
      </c>
      <c r="BM998" s="234">
        <v>0</v>
      </c>
      <c r="BN998" s="234">
        <v>0</v>
      </c>
      <c r="BO998" s="234">
        <v>0</v>
      </c>
      <c r="BP998" s="234" t="s">
        <v>144</v>
      </c>
      <c r="BQ998" s="234"/>
      <c r="BR998" s="237" t="s">
        <v>144</v>
      </c>
      <c r="BS998" s="238">
        <v>17</v>
      </c>
      <c r="BZ998" s="239">
        <f>M998/4</f>
        <v>0.25</v>
      </c>
      <c r="CA998" s="239">
        <f>M998/4</f>
        <v>0.25</v>
      </c>
      <c r="CB998" s="239">
        <f>M998/4</f>
        <v>0.25</v>
      </c>
      <c r="CC998" s="239">
        <f>M998/4</f>
        <v>0.25</v>
      </c>
      <c r="CN998" s="238">
        <f t="shared" si="118"/>
        <v>0</v>
      </c>
      <c r="CO998" s="238">
        <f t="shared" si="119"/>
        <v>1</v>
      </c>
    </row>
    <row r="999" spans="1:93" ht="13.95" customHeight="1" x14ac:dyDescent="0.2">
      <c r="A999" s="231">
        <v>5339</v>
      </c>
      <c r="B999" s="232" t="s">
        <v>2721</v>
      </c>
      <c r="C999" s="232" t="s">
        <v>2733</v>
      </c>
      <c r="D999" s="232" t="s">
        <v>2734</v>
      </c>
      <c r="E999" s="232" t="s">
        <v>1343</v>
      </c>
      <c r="F999" s="231">
        <v>527711</v>
      </c>
      <c r="G999" s="231">
        <v>171233</v>
      </c>
      <c r="H999" s="232" t="s">
        <v>177</v>
      </c>
      <c r="I999" s="233"/>
      <c r="J999" s="231"/>
      <c r="K999" s="231">
        <v>0</v>
      </c>
      <c r="L999" s="231">
        <v>2</v>
      </c>
      <c r="M999" s="231">
        <v>2</v>
      </c>
      <c r="N999" s="231">
        <v>24</v>
      </c>
      <c r="O999" s="231">
        <v>24</v>
      </c>
      <c r="P999" s="234" t="s">
        <v>318</v>
      </c>
      <c r="Q999" s="232" t="s">
        <v>2735</v>
      </c>
      <c r="R999" s="234" t="s">
        <v>2724</v>
      </c>
      <c r="S999" s="235">
        <v>44554</v>
      </c>
      <c r="T999" s="235"/>
      <c r="U999" s="234"/>
      <c r="V999" s="232" t="s">
        <v>321</v>
      </c>
      <c r="W999" s="231"/>
      <c r="X999" s="232" t="s">
        <v>322</v>
      </c>
      <c r="Y999" s="232" t="s">
        <v>338</v>
      </c>
      <c r="Z999" s="232" t="s">
        <v>812</v>
      </c>
      <c r="AA999" s="232" t="s">
        <v>324</v>
      </c>
      <c r="AB999" s="236">
        <v>1.2E-2</v>
      </c>
      <c r="AC999" s="234" t="s">
        <v>317</v>
      </c>
      <c r="AD999" s="234"/>
      <c r="AE999" s="234"/>
      <c r="AF999" s="232" t="s">
        <v>77</v>
      </c>
      <c r="AG999" s="232" t="s">
        <v>350</v>
      </c>
      <c r="AH999" s="234" t="s">
        <v>317</v>
      </c>
      <c r="AJ999" s="234">
        <v>0</v>
      </c>
      <c r="AK999" s="234">
        <v>2</v>
      </c>
      <c r="AL999" s="234">
        <v>0</v>
      </c>
      <c r="AM999" s="234">
        <v>0</v>
      </c>
      <c r="AN999" s="234">
        <v>0</v>
      </c>
      <c r="AO999" s="234">
        <v>0</v>
      </c>
      <c r="AP999" s="234">
        <v>2</v>
      </c>
      <c r="AQ999" s="234">
        <v>0</v>
      </c>
      <c r="AR999" s="234">
        <v>0</v>
      </c>
      <c r="AS999" s="234">
        <v>0</v>
      </c>
      <c r="AT999" s="234">
        <v>0</v>
      </c>
      <c r="AU999" s="234">
        <v>0</v>
      </c>
      <c r="AV999" s="234">
        <v>0</v>
      </c>
      <c r="AW999" s="234">
        <v>2</v>
      </c>
      <c r="AX999" s="234">
        <v>0</v>
      </c>
      <c r="AY999" s="234">
        <v>0</v>
      </c>
      <c r="AZ999" s="234">
        <v>0</v>
      </c>
      <c r="BA999" s="234">
        <v>0</v>
      </c>
      <c r="BB999" s="234">
        <v>0</v>
      </c>
      <c r="BC999" s="234">
        <v>0</v>
      </c>
      <c r="BD999" s="234">
        <v>0</v>
      </c>
      <c r="BE999" s="234">
        <v>0</v>
      </c>
      <c r="BF999" s="234">
        <v>0</v>
      </c>
      <c r="BG999" s="234">
        <v>0</v>
      </c>
      <c r="BH999" s="234">
        <v>0</v>
      </c>
      <c r="BI999" s="234">
        <v>0</v>
      </c>
      <c r="BJ999" s="234">
        <v>0</v>
      </c>
      <c r="BK999" s="234">
        <v>0</v>
      </c>
      <c r="BL999" s="234">
        <v>0</v>
      </c>
      <c r="BM999" s="234">
        <v>0</v>
      </c>
      <c r="BN999" s="234">
        <v>0</v>
      </c>
      <c r="BO999" s="234">
        <v>0</v>
      </c>
      <c r="BP999" s="234" t="s">
        <v>144</v>
      </c>
      <c r="BQ999" s="234"/>
      <c r="BR999" s="237" t="s">
        <v>144</v>
      </c>
      <c r="BS999" s="238">
        <v>17</v>
      </c>
      <c r="BZ999" s="239">
        <f>M999/4</f>
        <v>0.5</v>
      </c>
      <c r="CA999" s="239">
        <f>M999/4</f>
        <v>0.5</v>
      </c>
      <c r="CB999" s="239">
        <f>M999/4</f>
        <v>0.5</v>
      </c>
      <c r="CC999" s="239">
        <f>M999/4</f>
        <v>0.5</v>
      </c>
      <c r="CN999" s="238">
        <f t="shared" si="118"/>
        <v>0</v>
      </c>
      <c r="CO999" s="238">
        <f t="shared" si="119"/>
        <v>2</v>
      </c>
    </row>
    <row r="1000" spans="1:93" ht="13.95" customHeight="1" x14ac:dyDescent="0.2">
      <c r="A1000" s="238">
        <v>7571</v>
      </c>
      <c r="B1000" s="241" t="s">
        <v>2736</v>
      </c>
      <c r="C1000" s="238"/>
      <c r="D1000" s="237" t="s">
        <v>2737</v>
      </c>
      <c r="E1000" s="237"/>
      <c r="F1000" s="238">
        <v>527351</v>
      </c>
      <c r="G1000" s="238">
        <v>175329</v>
      </c>
      <c r="H1000" s="232" t="s">
        <v>167</v>
      </c>
      <c r="J1000" s="226"/>
      <c r="K1000" s="238">
        <v>0</v>
      </c>
      <c r="L1000" s="238">
        <v>7</v>
      </c>
      <c r="M1000" s="238">
        <v>7</v>
      </c>
      <c r="N1000" s="238">
        <v>10</v>
      </c>
      <c r="O1000" s="238">
        <v>10</v>
      </c>
      <c r="P1000" s="238" t="s">
        <v>318</v>
      </c>
      <c r="Q1000" s="242" t="s">
        <v>2738</v>
      </c>
      <c r="R1000" s="243" t="s">
        <v>2739</v>
      </c>
      <c r="T1000" s="226"/>
      <c r="U1000" s="238"/>
      <c r="V1000" s="238" t="s">
        <v>321</v>
      </c>
      <c r="W1000" s="226"/>
      <c r="X1000" s="238" t="s">
        <v>322</v>
      </c>
      <c r="Y1000" s="238" t="s">
        <v>323</v>
      </c>
      <c r="Z1000" s="238" t="s">
        <v>323</v>
      </c>
      <c r="AA1000" s="238" t="s">
        <v>324</v>
      </c>
      <c r="AB1000" s="244">
        <v>0</v>
      </c>
      <c r="AD1000" s="238"/>
      <c r="AE1000" s="226"/>
      <c r="AF1000" s="224" t="s">
        <v>77</v>
      </c>
      <c r="AG1000" s="238" t="s">
        <v>350</v>
      </c>
      <c r="AH1000" s="238" t="s">
        <v>2740</v>
      </c>
      <c r="AI1000" s="238"/>
      <c r="AJ1000" s="239">
        <v>0</v>
      </c>
      <c r="AK1000" s="239">
        <v>0</v>
      </c>
      <c r="AL1000" s="239">
        <v>0</v>
      </c>
      <c r="AM1000" s="239">
        <v>0</v>
      </c>
      <c r="AN1000" s="239">
        <v>0</v>
      </c>
      <c r="AO1000" s="239">
        <v>0</v>
      </c>
      <c r="AP1000" s="239">
        <v>0</v>
      </c>
      <c r="AQ1000" s="239">
        <v>0</v>
      </c>
      <c r="AR1000" s="239">
        <v>0</v>
      </c>
      <c r="AS1000" s="239">
        <v>0</v>
      </c>
      <c r="AT1000" s="239">
        <v>7</v>
      </c>
      <c r="AU1000" s="239">
        <v>0</v>
      </c>
      <c r="AV1000" s="239">
        <v>0</v>
      </c>
      <c r="AW1000" s="239">
        <v>0</v>
      </c>
      <c r="AX1000" s="239">
        <v>0</v>
      </c>
      <c r="AY1000" s="239">
        <v>0</v>
      </c>
      <c r="AZ1000" s="239">
        <v>0</v>
      </c>
      <c r="BA1000" s="239">
        <v>7</v>
      </c>
      <c r="BB1000" s="239">
        <v>0</v>
      </c>
      <c r="BC1000" s="239">
        <v>0</v>
      </c>
      <c r="BD1000" s="239">
        <v>0</v>
      </c>
      <c r="BE1000" s="239">
        <v>0</v>
      </c>
      <c r="BF1000" s="239">
        <v>0</v>
      </c>
      <c r="BG1000" s="239">
        <v>0</v>
      </c>
      <c r="BH1000" s="239">
        <v>0</v>
      </c>
      <c r="BI1000" s="239">
        <v>0</v>
      </c>
      <c r="BJ1000" s="239">
        <v>0</v>
      </c>
      <c r="BK1000" s="239">
        <v>0</v>
      </c>
      <c r="BL1000" s="239">
        <v>0</v>
      </c>
      <c r="BM1000" s="239">
        <v>0</v>
      </c>
      <c r="BN1000" s="239">
        <v>0</v>
      </c>
      <c r="BO1000" s="239">
        <v>0</v>
      </c>
      <c r="BP1000" s="234" t="s">
        <v>142</v>
      </c>
      <c r="BQ1000" s="238"/>
      <c r="BR1000" s="237" t="s">
        <v>150</v>
      </c>
      <c r="BS1000" s="238">
        <v>19</v>
      </c>
      <c r="BW1000" s="239">
        <f t="shared" ref="BW1000:BW1009" si="121">M1000</f>
        <v>7</v>
      </c>
      <c r="CN1000" s="238">
        <f t="shared" si="118"/>
        <v>7</v>
      </c>
      <c r="CO1000" s="238">
        <f t="shared" si="119"/>
        <v>7</v>
      </c>
    </row>
    <row r="1001" spans="1:93" ht="13.95" customHeight="1" x14ac:dyDescent="0.2">
      <c r="A1001" s="238">
        <v>7571</v>
      </c>
      <c r="B1001" s="241" t="s">
        <v>2736</v>
      </c>
      <c r="C1001" s="238"/>
      <c r="D1001" s="237" t="s">
        <v>2737</v>
      </c>
      <c r="E1001" s="237"/>
      <c r="F1001" s="238">
        <v>527351</v>
      </c>
      <c r="G1001" s="238">
        <v>175329</v>
      </c>
      <c r="H1001" s="232" t="s">
        <v>167</v>
      </c>
      <c r="J1001" s="226"/>
      <c r="K1001" s="238">
        <v>0</v>
      </c>
      <c r="L1001" s="238">
        <v>2</v>
      </c>
      <c r="M1001" s="238">
        <v>2</v>
      </c>
      <c r="N1001" s="238">
        <v>10</v>
      </c>
      <c r="O1001" s="238">
        <v>10</v>
      </c>
      <c r="P1001" s="238" t="s">
        <v>318</v>
      </c>
      <c r="Q1001" s="242" t="s">
        <v>2738</v>
      </c>
      <c r="R1001" s="243" t="s">
        <v>2739</v>
      </c>
      <c r="T1001" s="226"/>
      <c r="U1001" s="238"/>
      <c r="V1001" s="238" t="s">
        <v>321</v>
      </c>
      <c r="W1001" s="226"/>
      <c r="X1001" s="238" t="s">
        <v>322</v>
      </c>
      <c r="Y1001" s="238" t="s">
        <v>323</v>
      </c>
      <c r="Z1001" s="238" t="s">
        <v>323</v>
      </c>
      <c r="AA1001" s="238" t="s">
        <v>324</v>
      </c>
      <c r="AB1001" s="244">
        <v>0</v>
      </c>
      <c r="AD1001" s="238"/>
      <c r="AE1001" s="226"/>
      <c r="AF1001" s="238" t="s">
        <v>57</v>
      </c>
      <c r="AG1001" s="238" t="s">
        <v>470</v>
      </c>
      <c r="AH1001" s="238" t="s">
        <v>2740</v>
      </c>
      <c r="AI1001" s="238"/>
      <c r="AJ1001" s="239">
        <v>0</v>
      </c>
      <c r="AK1001" s="239">
        <v>0</v>
      </c>
      <c r="AL1001" s="239">
        <v>0</v>
      </c>
      <c r="AM1001" s="239">
        <v>0</v>
      </c>
      <c r="AN1001" s="239">
        <v>0</v>
      </c>
      <c r="AO1001" s="239">
        <v>0</v>
      </c>
      <c r="AP1001" s="239">
        <v>0</v>
      </c>
      <c r="AQ1001" s="239">
        <v>0</v>
      </c>
      <c r="AR1001" s="239">
        <v>0</v>
      </c>
      <c r="AS1001" s="239">
        <v>0</v>
      </c>
      <c r="AT1001" s="239">
        <v>2</v>
      </c>
      <c r="AU1001" s="239">
        <v>0</v>
      </c>
      <c r="AV1001" s="239">
        <v>0</v>
      </c>
      <c r="AW1001" s="239">
        <v>0</v>
      </c>
      <c r="AX1001" s="239">
        <v>0</v>
      </c>
      <c r="AY1001" s="239">
        <v>0</v>
      </c>
      <c r="AZ1001" s="239">
        <v>0</v>
      </c>
      <c r="BA1001" s="239">
        <v>2</v>
      </c>
      <c r="BB1001" s="239">
        <v>0</v>
      </c>
      <c r="BC1001" s="239">
        <v>0</v>
      </c>
      <c r="BD1001" s="239">
        <v>0</v>
      </c>
      <c r="BE1001" s="239">
        <v>0</v>
      </c>
      <c r="BF1001" s="239">
        <v>0</v>
      </c>
      <c r="BG1001" s="239">
        <v>0</v>
      </c>
      <c r="BH1001" s="239">
        <v>0</v>
      </c>
      <c r="BI1001" s="239">
        <v>0</v>
      </c>
      <c r="BJ1001" s="239">
        <v>0</v>
      </c>
      <c r="BK1001" s="239">
        <v>0</v>
      </c>
      <c r="BL1001" s="239">
        <v>0</v>
      </c>
      <c r="BM1001" s="239">
        <v>0</v>
      </c>
      <c r="BN1001" s="239">
        <v>0</v>
      </c>
      <c r="BO1001" s="239">
        <v>0</v>
      </c>
      <c r="BP1001" s="234" t="s">
        <v>142</v>
      </c>
      <c r="BQ1001" s="238"/>
      <c r="BR1001" s="237" t="s">
        <v>150</v>
      </c>
      <c r="BS1001" s="238">
        <v>19</v>
      </c>
      <c r="BW1001" s="239">
        <f t="shared" si="121"/>
        <v>2</v>
      </c>
      <c r="CN1001" s="238">
        <f t="shared" si="118"/>
        <v>2</v>
      </c>
      <c r="CO1001" s="238">
        <f t="shared" si="119"/>
        <v>2</v>
      </c>
    </row>
    <row r="1002" spans="1:93" ht="13.95" customHeight="1" x14ac:dyDescent="0.2">
      <c r="A1002" s="238">
        <v>7571</v>
      </c>
      <c r="B1002" s="241" t="s">
        <v>2736</v>
      </c>
      <c r="C1002" s="238"/>
      <c r="D1002" s="237" t="s">
        <v>2737</v>
      </c>
      <c r="E1002" s="237"/>
      <c r="F1002" s="238">
        <v>527351</v>
      </c>
      <c r="G1002" s="238">
        <v>175329</v>
      </c>
      <c r="H1002" s="232" t="s">
        <v>167</v>
      </c>
      <c r="J1002" s="226"/>
      <c r="K1002" s="238">
        <v>0</v>
      </c>
      <c r="L1002" s="238">
        <v>1</v>
      </c>
      <c r="M1002" s="238">
        <v>1</v>
      </c>
      <c r="N1002" s="238">
        <v>10</v>
      </c>
      <c r="O1002" s="238">
        <v>10</v>
      </c>
      <c r="P1002" s="238" t="s">
        <v>318</v>
      </c>
      <c r="Q1002" s="242" t="s">
        <v>2738</v>
      </c>
      <c r="R1002" s="243" t="s">
        <v>2739</v>
      </c>
      <c r="T1002" s="226"/>
      <c r="U1002" s="238"/>
      <c r="V1002" s="238" t="s">
        <v>321</v>
      </c>
      <c r="W1002" s="226"/>
      <c r="X1002" s="238" t="s">
        <v>322</v>
      </c>
      <c r="Y1002" s="238" t="s">
        <v>323</v>
      </c>
      <c r="Z1002" s="238" t="s">
        <v>323</v>
      </c>
      <c r="AA1002" s="238" t="s">
        <v>324</v>
      </c>
      <c r="AB1002" s="244">
        <v>0</v>
      </c>
      <c r="AD1002" s="238"/>
      <c r="AE1002" s="226"/>
      <c r="AF1002" s="238" t="s">
        <v>56</v>
      </c>
      <c r="AG1002" s="238" t="s">
        <v>1355</v>
      </c>
      <c r="AH1002" s="238" t="s">
        <v>2740</v>
      </c>
      <c r="AI1002" s="238"/>
      <c r="AJ1002" s="239">
        <v>0</v>
      </c>
      <c r="AK1002" s="239">
        <v>0</v>
      </c>
      <c r="AL1002" s="239">
        <v>0</v>
      </c>
      <c r="AM1002" s="239">
        <v>0</v>
      </c>
      <c r="AN1002" s="239">
        <v>0</v>
      </c>
      <c r="AO1002" s="239">
        <v>0</v>
      </c>
      <c r="AP1002" s="239">
        <v>0</v>
      </c>
      <c r="AQ1002" s="239">
        <v>0</v>
      </c>
      <c r="AR1002" s="239">
        <v>0</v>
      </c>
      <c r="AS1002" s="239">
        <v>0</v>
      </c>
      <c r="AT1002" s="239">
        <v>1</v>
      </c>
      <c r="AU1002" s="239">
        <v>0</v>
      </c>
      <c r="AV1002" s="239">
        <v>0</v>
      </c>
      <c r="AW1002" s="239">
        <v>0</v>
      </c>
      <c r="AX1002" s="239">
        <v>0</v>
      </c>
      <c r="AY1002" s="239">
        <v>0</v>
      </c>
      <c r="AZ1002" s="239">
        <v>0</v>
      </c>
      <c r="BA1002" s="239">
        <v>1</v>
      </c>
      <c r="BB1002" s="239">
        <v>0</v>
      </c>
      <c r="BC1002" s="239">
        <v>0</v>
      </c>
      <c r="BD1002" s="239">
        <v>0</v>
      </c>
      <c r="BE1002" s="239">
        <v>0</v>
      </c>
      <c r="BF1002" s="239">
        <v>0</v>
      </c>
      <c r="BG1002" s="239">
        <v>0</v>
      </c>
      <c r="BH1002" s="239">
        <v>0</v>
      </c>
      <c r="BI1002" s="239">
        <v>0</v>
      </c>
      <c r="BJ1002" s="239">
        <v>0</v>
      </c>
      <c r="BK1002" s="239">
        <v>0</v>
      </c>
      <c r="BL1002" s="239">
        <v>0</v>
      </c>
      <c r="BM1002" s="239">
        <v>0</v>
      </c>
      <c r="BN1002" s="239">
        <v>0</v>
      </c>
      <c r="BO1002" s="239">
        <v>0</v>
      </c>
      <c r="BP1002" s="234" t="s">
        <v>142</v>
      </c>
      <c r="BQ1002" s="238"/>
      <c r="BR1002" s="237" t="s">
        <v>150</v>
      </c>
      <c r="BS1002" s="238">
        <v>19</v>
      </c>
      <c r="BW1002" s="239">
        <f t="shared" si="121"/>
        <v>1</v>
      </c>
      <c r="CN1002" s="238">
        <f t="shared" si="118"/>
        <v>1</v>
      </c>
      <c r="CO1002" s="238">
        <f t="shared" si="119"/>
        <v>1</v>
      </c>
    </row>
    <row r="1003" spans="1:93" ht="13.95" customHeight="1" x14ac:dyDescent="0.2">
      <c r="A1003" s="238">
        <v>7572</v>
      </c>
      <c r="B1003" s="241" t="s">
        <v>2736</v>
      </c>
      <c r="C1003" s="238"/>
      <c r="D1003" s="237" t="s">
        <v>2741</v>
      </c>
      <c r="E1003" s="237"/>
      <c r="F1003" s="238">
        <v>524096</v>
      </c>
      <c r="G1003" s="238">
        <v>175411</v>
      </c>
      <c r="H1003" s="232" t="s">
        <v>175</v>
      </c>
      <c r="J1003" s="226"/>
      <c r="K1003" s="238">
        <v>0</v>
      </c>
      <c r="L1003" s="238">
        <v>5</v>
      </c>
      <c r="M1003" s="238">
        <v>5</v>
      </c>
      <c r="N1003" s="238">
        <v>5</v>
      </c>
      <c r="O1003" s="238">
        <v>5</v>
      </c>
      <c r="P1003" s="238"/>
      <c r="Q1003" s="242" t="s">
        <v>2738</v>
      </c>
      <c r="R1003" s="238" t="s">
        <v>2739</v>
      </c>
      <c r="T1003" s="226"/>
      <c r="U1003" s="238"/>
      <c r="V1003" s="238" t="s">
        <v>321</v>
      </c>
      <c r="W1003" s="226"/>
      <c r="X1003" s="238" t="s">
        <v>322</v>
      </c>
      <c r="Y1003" s="238" t="s">
        <v>323</v>
      </c>
      <c r="Z1003" s="238" t="s">
        <v>324</v>
      </c>
      <c r="AA1003" s="238" t="s">
        <v>349</v>
      </c>
      <c r="AB1003" s="244">
        <v>0</v>
      </c>
      <c r="AD1003" s="238"/>
      <c r="AE1003" s="226"/>
      <c r="AF1003" s="224" t="s">
        <v>77</v>
      </c>
      <c r="AG1003" s="238" t="s">
        <v>350</v>
      </c>
      <c r="AH1003" s="238" t="s">
        <v>2742</v>
      </c>
      <c r="AI1003" s="238"/>
      <c r="AJ1003" s="239">
        <v>0</v>
      </c>
      <c r="AK1003" s="239">
        <v>0</v>
      </c>
      <c r="AL1003" s="239">
        <v>0</v>
      </c>
      <c r="AM1003" s="239">
        <v>0</v>
      </c>
      <c r="AN1003" s="239">
        <v>0</v>
      </c>
      <c r="AO1003" s="239">
        <v>0</v>
      </c>
      <c r="AP1003" s="239">
        <v>0</v>
      </c>
      <c r="AQ1003" s="239">
        <v>0</v>
      </c>
      <c r="AR1003" s="239">
        <v>0</v>
      </c>
      <c r="AS1003" s="239">
        <v>0</v>
      </c>
      <c r="AT1003" s="239">
        <v>5</v>
      </c>
      <c r="AU1003" s="239">
        <v>0</v>
      </c>
      <c r="AV1003" s="239">
        <v>0</v>
      </c>
      <c r="AW1003" s="239">
        <v>0</v>
      </c>
      <c r="AX1003" s="239">
        <v>0</v>
      </c>
      <c r="AY1003" s="239">
        <v>0</v>
      </c>
      <c r="AZ1003" s="239">
        <v>0</v>
      </c>
      <c r="BA1003" s="239">
        <v>5</v>
      </c>
      <c r="BB1003" s="239">
        <v>0</v>
      </c>
      <c r="BC1003" s="239">
        <v>0</v>
      </c>
      <c r="BD1003" s="239">
        <v>0</v>
      </c>
      <c r="BE1003" s="239">
        <v>0</v>
      </c>
      <c r="BF1003" s="239">
        <v>0</v>
      </c>
      <c r="BG1003" s="239">
        <v>0</v>
      </c>
      <c r="BH1003" s="239">
        <v>0</v>
      </c>
      <c r="BI1003" s="239">
        <v>0</v>
      </c>
      <c r="BJ1003" s="239">
        <v>0</v>
      </c>
      <c r="BK1003" s="239">
        <v>0</v>
      </c>
      <c r="BL1003" s="239">
        <v>0</v>
      </c>
      <c r="BM1003" s="239">
        <v>0</v>
      </c>
      <c r="BN1003" s="239">
        <v>0</v>
      </c>
      <c r="BO1003" s="239">
        <v>0</v>
      </c>
      <c r="BP1003" s="234" t="s">
        <v>143</v>
      </c>
      <c r="BQ1003" s="238"/>
      <c r="BR1003" s="237" t="s">
        <v>152</v>
      </c>
      <c r="BS1003" s="238">
        <v>19</v>
      </c>
      <c r="BW1003" s="239">
        <f t="shared" si="121"/>
        <v>5</v>
      </c>
      <c r="CN1003" s="238">
        <f t="shared" si="118"/>
        <v>5</v>
      </c>
      <c r="CO1003" s="238">
        <f t="shared" si="119"/>
        <v>5</v>
      </c>
    </row>
    <row r="1004" spans="1:93" ht="13.95" customHeight="1" x14ac:dyDescent="0.2">
      <c r="A1004" s="238">
        <v>7386</v>
      </c>
      <c r="B1004" s="241" t="s">
        <v>2736</v>
      </c>
      <c r="C1004" s="238"/>
      <c r="D1004" s="237" t="s">
        <v>2743</v>
      </c>
      <c r="E1004" s="237"/>
      <c r="F1004" s="238">
        <v>526944</v>
      </c>
      <c r="G1004" s="238">
        <v>176965</v>
      </c>
      <c r="H1004" s="232" t="s">
        <v>174</v>
      </c>
      <c r="J1004" s="226"/>
      <c r="K1004" s="238">
        <v>0</v>
      </c>
      <c r="L1004" s="238">
        <v>54</v>
      </c>
      <c r="M1004" s="238">
        <v>54</v>
      </c>
      <c r="N1004" s="238">
        <v>81</v>
      </c>
      <c r="O1004" s="238">
        <v>81</v>
      </c>
      <c r="P1004" s="238" t="s">
        <v>318</v>
      </c>
      <c r="Q1004" s="242" t="s">
        <v>2738</v>
      </c>
      <c r="R1004" s="243" t="s">
        <v>2739</v>
      </c>
      <c r="T1004" s="226"/>
      <c r="U1004" s="238"/>
      <c r="V1004" s="238" t="s">
        <v>321</v>
      </c>
      <c r="W1004" s="226"/>
      <c r="X1004" s="238" t="s">
        <v>322</v>
      </c>
      <c r="Y1004" s="238" t="s">
        <v>323</v>
      </c>
      <c r="Z1004" s="238" t="s">
        <v>323</v>
      </c>
      <c r="AA1004" s="238" t="s">
        <v>324</v>
      </c>
      <c r="AB1004" s="244">
        <v>0</v>
      </c>
      <c r="AD1004" s="238"/>
      <c r="AE1004" s="226"/>
      <c r="AF1004" s="224" t="s">
        <v>77</v>
      </c>
      <c r="AG1004" s="238" t="s">
        <v>350</v>
      </c>
      <c r="AH1004" s="238" t="s">
        <v>2744</v>
      </c>
      <c r="AI1004" s="238"/>
      <c r="AJ1004" s="239">
        <v>0</v>
      </c>
      <c r="AK1004" s="239">
        <v>0</v>
      </c>
      <c r="AL1004" s="239">
        <v>0</v>
      </c>
      <c r="AM1004" s="239">
        <v>0</v>
      </c>
      <c r="AN1004" s="239">
        <v>0</v>
      </c>
      <c r="AO1004" s="239">
        <v>0</v>
      </c>
      <c r="AP1004" s="239">
        <v>0</v>
      </c>
      <c r="AQ1004" s="239">
        <v>0</v>
      </c>
      <c r="AR1004" s="239">
        <v>0</v>
      </c>
      <c r="AS1004" s="239">
        <v>0</v>
      </c>
      <c r="AT1004" s="239">
        <v>54</v>
      </c>
      <c r="AU1004" s="239">
        <v>0</v>
      </c>
      <c r="AV1004" s="239">
        <v>0</v>
      </c>
      <c r="AW1004" s="239">
        <v>0</v>
      </c>
      <c r="AX1004" s="239">
        <v>0</v>
      </c>
      <c r="AY1004" s="239">
        <v>0</v>
      </c>
      <c r="AZ1004" s="239">
        <v>0</v>
      </c>
      <c r="BA1004" s="239">
        <v>54</v>
      </c>
      <c r="BB1004" s="239">
        <v>0</v>
      </c>
      <c r="BC1004" s="239">
        <v>0</v>
      </c>
      <c r="BD1004" s="239">
        <v>0</v>
      </c>
      <c r="BE1004" s="239">
        <v>0</v>
      </c>
      <c r="BF1004" s="239">
        <v>0</v>
      </c>
      <c r="BG1004" s="239">
        <v>0</v>
      </c>
      <c r="BH1004" s="239">
        <v>0</v>
      </c>
      <c r="BI1004" s="239">
        <v>0</v>
      </c>
      <c r="BJ1004" s="239">
        <v>0</v>
      </c>
      <c r="BK1004" s="239">
        <v>0</v>
      </c>
      <c r="BL1004" s="239">
        <v>0</v>
      </c>
      <c r="BM1004" s="239">
        <v>0</v>
      </c>
      <c r="BN1004" s="239">
        <v>0</v>
      </c>
      <c r="BO1004" s="239">
        <v>0</v>
      </c>
      <c r="BP1004" s="238"/>
      <c r="BQ1004" s="238"/>
      <c r="BR1004" s="237" t="s">
        <v>481</v>
      </c>
      <c r="BS1004" s="238">
        <v>19</v>
      </c>
      <c r="BW1004" s="239">
        <f t="shared" si="121"/>
        <v>54</v>
      </c>
      <c r="CN1004" s="238">
        <f t="shared" si="118"/>
        <v>54</v>
      </c>
      <c r="CO1004" s="238">
        <f t="shared" si="119"/>
        <v>54</v>
      </c>
    </row>
    <row r="1005" spans="1:93" ht="13.95" customHeight="1" x14ac:dyDescent="0.2">
      <c r="A1005" s="238">
        <v>7386</v>
      </c>
      <c r="B1005" s="241" t="s">
        <v>2736</v>
      </c>
      <c r="C1005" s="238"/>
      <c r="D1005" s="237" t="s">
        <v>2743</v>
      </c>
      <c r="E1005" s="237"/>
      <c r="F1005" s="238">
        <v>526944</v>
      </c>
      <c r="G1005" s="238">
        <v>176965</v>
      </c>
      <c r="H1005" s="232" t="s">
        <v>174</v>
      </c>
      <c r="J1005" s="226"/>
      <c r="K1005" s="238">
        <v>0</v>
      </c>
      <c r="L1005" s="238">
        <v>16</v>
      </c>
      <c r="M1005" s="238">
        <v>16</v>
      </c>
      <c r="N1005" s="238">
        <v>81</v>
      </c>
      <c r="O1005" s="238">
        <v>81</v>
      </c>
      <c r="P1005" s="238" t="s">
        <v>318</v>
      </c>
      <c r="Q1005" s="242" t="s">
        <v>2738</v>
      </c>
      <c r="R1005" s="243" t="s">
        <v>2739</v>
      </c>
      <c r="T1005" s="226"/>
      <c r="U1005" s="238"/>
      <c r="V1005" s="238" t="s">
        <v>321</v>
      </c>
      <c r="W1005" s="226"/>
      <c r="X1005" s="238" t="s">
        <v>322</v>
      </c>
      <c r="Y1005" s="238" t="s">
        <v>323</v>
      </c>
      <c r="Z1005" s="238" t="s">
        <v>323</v>
      </c>
      <c r="AA1005" s="238" t="s">
        <v>324</v>
      </c>
      <c r="AB1005" s="244">
        <v>0</v>
      </c>
      <c r="AD1005" s="238"/>
      <c r="AE1005" s="226"/>
      <c r="AF1005" s="238" t="s">
        <v>57</v>
      </c>
      <c r="AG1005" s="238" t="s">
        <v>470</v>
      </c>
      <c r="AH1005" s="238" t="s">
        <v>2744</v>
      </c>
      <c r="AI1005" s="238"/>
      <c r="AJ1005" s="239">
        <v>0</v>
      </c>
      <c r="AK1005" s="239">
        <v>0</v>
      </c>
      <c r="AL1005" s="239">
        <v>0</v>
      </c>
      <c r="AM1005" s="239">
        <v>0</v>
      </c>
      <c r="AN1005" s="239">
        <v>0</v>
      </c>
      <c r="AO1005" s="239">
        <v>0</v>
      </c>
      <c r="AP1005" s="239">
        <v>0</v>
      </c>
      <c r="AQ1005" s="239">
        <v>0</v>
      </c>
      <c r="AR1005" s="239">
        <v>0</v>
      </c>
      <c r="AS1005" s="239">
        <v>0</v>
      </c>
      <c r="AT1005" s="239">
        <v>16</v>
      </c>
      <c r="AU1005" s="239">
        <v>0</v>
      </c>
      <c r="AV1005" s="239">
        <v>0</v>
      </c>
      <c r="AW1005" s="239">
        <v>0</v>
      </c>
      <c r="AX1005" s="239">
        <v>0</v>
      </c>
      <c r="AY1005" s="239">
        <v>0</v>
      </c>
      <c r="AZ1005" s="239">
        <v>0</v>
      </c>
      <c r="BA1005" s="239">
        <v>16</v>
      </c>
      <c r="BB1005" s="239">
        <v>0</v>
      </c>
      <c r="BC1005" s="239">
        <v>0</v>
      </c>
      <c r="BD1005" s="239">
        <v>0</v>
      </c>
      <c r="BE1005" s="239">
        <v>0</v>
      </c>
      <c r="BF1005" s="239">
        <v>0</v>
      </c>
      <c r="BG1005" s="239">
        <v>0</v>
      </c>
      <c r="BH1005" s="239">
        <v>0</v>
      </c>
      <c r="BI1005" s="239">
        <v>0</v>
      </c>
      <c r="BJ1005" s="239">
        <v>0</v>
      </c>
      <c r="BK1005" s="239">
        <v>0</v>
      </c>
      <c r="BL1005" s="239">
        <v>0</v>
      </c>
      <c r="BM1005" s="239">
        <v>0</v>
      </c>
      <c r="BN1005" s="239">
        <v>0</v>
      </c>
      <c r="BO1005" s="239">
        <v>0</v>
      </c>
      <c r="BP1005" s="238"/>
      <c r="BQ1005" s="238"/>
      <c r="BR1005" s="237" t="s">
        <v>481</v>
      </c>
      <c r="BS1005" s="238">
        <v>19</v>
      </c>
      <c r="BW1005" s="239">
        <f t="shared" si="121"/>
        <v>16</v>
      </c>
      <c r="CN1005" s="238">
        <f t="shared" si="118"/>
        <v>16</v>
      </c>
      <c r="CO1005" s="238">
        <f t="shared" si="119"/>
        <v>16</v>
      </c>
    </row>
    <row r="1006" spans="1:93" ht="13.95" customHeight="1" x14ac:dyDescent="0.2">
      <c r="A1006" s="238">
        <v>7386</v>
      </c>
      <c r="B1006" s="241" t="s">
        <v>2736</v>
      </c>
      <c r="C1006" s="238"/>
      <c r="D1006" s="237" t="s">
        <v>2743</v>
      </c>
      <c r="E1006" s="237"/>
      <c r="F1006" s="238">
        <v>526944</v>
      </c>
      <c r="G1006" s="238">
        <v>176965</v>
      </c>
      <c r="H1006" s="232" t="s">
        <v>174</v>
      </c>
      <c r="J1006" s="226"/>
      <c r="K1006" s="238">
        <v>0</v>
      </c>
      <c r="L1006" s="238">
        <v>11</v>
      </c>
      <c r="M1006" s="238">
        <v>11</v>
      </c>
      <c r="N1006" s="238">
        <v>81</v>
      </c>
      <c r="O1006" s="238">
        <v>81</v>
      </c>
      <c r="P1006" s="238" t="s">
        <v>318</v>
      </c>
      <c r="Q1006" s="242" t="s">
        <v>2738</v>
      </c>
      <c r="R1006" s="243" t="s">
        <v>2739</v>
      </c>
      <c r="T1006" s="226"/>
      <c r="U1006" s="238"/>
      <c r="V1006" s="238" t="s">
        <v>321</v>
      </c>
      <c r="W1006" s="226"/>
      <c r="X1006" s="238" t="s">
        <v>322</v>
      </c>
      <c r="Y1006" s="238" t="s">
        <v>323</v>
      </c>
      <c r="Z1006" s="238" t="s">
        <v>323</v>
      </c>
      <c r="AA1006" s="238" t="s">
        <v>324</v>
      </c>
      <c r="AB1006" s="244">
        <v>0</v>
      </c>
      <c r="AD1006" s="238"/>
      <c r="AE1006" s="226"/>
      <c r="AF1006" s="238" t="s">
        <v>56</v>
      </c>
      <c r="AG1006" s="238" t="s">
        <v>1355</v>
      </c>
      <c r="AH1006" s="238" t="s">
        <v>2744</v>
      </c>
      <c r="AI1006" s="238"/>
      <c r="AJ1006" s="239">
        <v>0</v>
      </c>
      <c r="AK1006" s="239">
        <v>0</v>
      </c>
      <c r="AL1006" s="239">
        <v>0</v>
      </c>
      <c r="AM1006" s="239">
        <v>0</v>
      </c>
      <c r="AN1006" s="239">
        <v>0</v>
      </c>
      <c r="AO1006" s="239">
        <v>0</v>
      </c>
      <c r="AP1006" s="239">
        <v>0</v>
      </c>
      <c r="AQ1006" s="239">
        <v>0</v>
      </c>
      <c r="AR1006" s="239">
        <v>0</v>
      </c>
      <c r="AS1006" s="239">
        <v>0</v>
      </c>
      <c r="AT1006" s="239">
        <v>11</v>
      </c>
      <c r="AU1006" s="239">
        <v>0</v>
      </c>
      <c r="AV1006" s="239">
        <v>0</v>
      </c>
      <c r="AW1006" s="239">
        <v>0</v>
      </c>
      <c r="AX1006" s="239">
        <v>0</v>
      </c>
      <c r="AY1006" s="239">
        <v>0</v>
      </c>
      <c r="AZ1006" s="239">
        <v>0</v>
      </c>
      <c r="BA1006" s="239">
        <v>11</v>
      </c>
      <c r="BB1006" s="239">
        <v>0</v>
      </c>
      <c r="BC1006" s="239">
        <v>0</v>
      </c>
      <c r="BD1006" s="239">
        <v>0</v>
      </c>
      <c r="BE1006" s="239">
        <v>0</v>
      </c>
      <c r="BF1006" s="239">
        <v>0</v>
      </c>
      <c r="BG1006" s="239">
        <v>0</v>
      </c>
      <c r="BH1006" s="239">
        <v>0</v>
      </c>
      <c r="BI1006" s="239">
        <v>0</v>
      </c>
      <c r="BJ1006" s="239">
        <v>0</v>
      </c>
      <c r="BK1006" s="239">
        <v>0</v>
      </c>
      <c r="BL1006" s="239">
        <v>0</v>
      </c>
      <c r="BM1006" s="239">
        <v>0</v>
      </c>
      <c r="BN1006" s="239">
        <v>0</v>
      </c>
      <c r="BO1006" s="239">
        <v>0</v>
      </c>
      <c r="BP1006" s="238"/>
      <c r="BQ1006" s="238"/>
      <c r="BR1006" s="237" t="s">
        <v>481</v>
      </c>
      <c r="BS1006" s="238">
        <v>19</v>
      </c>
      <c r="BW1006" s="239">
        <f t="shared" si="121"/>
        <v>11</v>
      </c>
      <c r="CN1006" s="238">
        <f t="shared" si="118"/>
        <v>11</v>
      </c>
      <c r="CO1006" s="238">
        <f t="shared" si="119"/>
        <v>11</v>
      </c>
    </row>
    <row r="1007" spans="1:93" ht="13.95" customHeight="1" x14ac:dyDescent="0.2">
      <c r="A1007" s="238">
        <v>6899</v>
      </c>
      <c r="B1007" s="241" t="s">
        <v>2736</v>
      </c>
      <c r="C1007" s="238"/>
      <c r="D1007" s="237" t="s">
        <v>2745</v>
      </c>
      <c r="E1007" s="237"/>
      <c r="F1007" s="238">
        <v>527207</v>
      </c>
      <c r="G1007" s="238">
        <v>175690</v>
      </c>
      <c r="H1007" s="232" t="s">
        <v>165</v>
      </c>
      <c r="J1007" s="226"/>
      <c r="K1007" s="238">
        <v>0</v>
      </c>
      <c r="L1007" s="238">
        <v>163</v>
      </c>
      <c r="M1007" s="238">
        <v>163</v>
      </c>
      <c r="N1007" s="238">
        <v>243</v>
      </c>
      <c r="O1007" s="238">
        <v>243</v>
      </c>
      <c r="P1007" s="238" t="s">
        <v>318</v>
      </c>
      <c r="Q1007" s="242" t="s">
        <v>2738</v>
      </c>
      <c r="R1007" s="243" t="s">
        <v>2739</v>
      </c>
      <c r="T1007" s="226"/>
      <c r="U1007" s="238"/>
      <c r="V1007" s="238" t="s">
        <v>321</v>
      </c>
      <c r="W1007" s="226"/>
      <c r="X1007" s="238" t="s">
        <v>322</v>
      </c>
      <c r="Y1007" s="238" t="s">
        <v>323</v>
      </c>
      <c r="Z1007" s="238" t="s">
        <v>323</v>
      </c>
      <c r="AA1007" s="238" t="s">
        <v>324</v>
      </c>
      <c r="AB1007" s="244">
        <v>0</v>
      </c>
      <c r="AD1007" s="238"/>
      <c r="AE1007" s="226"/>
      <c r="AF1007" s="224" t="s">
        <v>77</v>
      </c>
      <c r="AG1007" s="238" t="s">
        <v>350</v>
      </c>
      <c r="AH1007" s="238" t="s">
        <v>2746</v>
      </c>
      <c r="AI1007" s="238"/>
      <c r="AJ1007" s="239">
        <v>0</v>
      </c>
      <c r="AK1007" s="239">
        <v>0</v>
      </c>
      <c r="AL1007" s="239">
        <v>0</v>
      </c>
      <c r="AM1007" s="239">
        <v>0</v>
      </c>
      <c r="AN1007" s="239">
        <v>0</v>
      </c>
      <c r="AO1007" s="239">
        <v>0</v>
      </c>
      <c r="AP1007" s="239">
        <v>0</v>
      </c>
      <c r="AQ1007" s="239">
        <v>0</v>
      </c>
      <c r="AR1007" s="239">
        <v>0</v>
      </c>
      <c r="AS1007" s="239">
        <v>0</v>
      </c>
      <c r="AT1007" s="239">
        <v>163</v>
      </c>
      <c r="AU1007" s="239">
        <v>0</v>
      </c>
      <c r="AV1007" s="239">
        <v>0</v>
      </c>
      <c r="AW1007" s="239">
        <v>0</v>
      </c>
      <c r="AX1007" s="239">
        <v>0</v>
      </c>
      <c r="AY1007" s="239">
        <v>0</v>
      </c>
      <c r="AZ1007" s="239">
        <v>0</v>
      </c>
      <c r="BA1007" s="239">
        <v>163</v>
      </c>
      <c r="BB1007" s="239">
        <v>0</v>
      </c>
      <c r="BC1007" s="239">
        <v>0</v>
      </c>
      <c r="BD1007" s="239">
        <v>0</v>
      </c>
      <c r="BE1007" s="239">
        <v>0</v>
      </c>
      <c r="BF1007" s="239">
        <v>0</v>
      </c>
      <c r="BG1007" s="239">
        <v>0</v>
      </c>
      <c r="BH1007" s="239">
        <v>0</v>
      </c>
      <c r="BI1007" s="239">
        <v>0</v>
      </c>
      <c r="BJ1007" s="239">
        <v>0</v>
      </c>
      <c r="BK1007" s="239">
        <v>0</v>
      </c>
      <c r="BL1007" s="239">
        <v>0</v>
      </c>
      <c r="BM1007" s="239">
        <v>0</v>
      </c>
      <c r="BN1007" s="239">
        <v>0</v>
      </c>
      <c r="BO1007" s="239">
        <v>0</v>
      </c>
      <c r="BP1007" s="234" t="s">
        <v>142</v>
      </c>
      <c r="BQ1007" s="238"/>
      <c r="BR1007" s="237" t="s">
        <v>150</v>
      </c>
      <c r="BS1007" s="238">
        <v>19</v>
      </c>
      <c r="BW1007" s="239">
        <f t="shared" si="121"/>
        <v>163</v>
      </c>
      <c r="CN1007" s="238">
        <f t="shared" si="118"/>
        <v>163</v>
      </c>
      <c r="CO1007" s="238">
        <f t="shared" si="119"/>
        <v>163</v>
      </c>
    </row>
    <row r="1008" spans="1:93" ht="13.95" customHeight="1" x14ac:dyDescent="0.2">
      <c r="A1008" s="238">
        <v>6899</v>
      </c>
      <c r="B1008" s="241" t="s">
        <v>2736</v>
      </c>
      <c r="C1008" s="238"/>
      <c r="D1008" s="237" t="s">
        <v>2745</v>
      </c>
      <c r="E1008" s="237"/>
      <c r="F1008" s="238">
        <v>527207</v>
      </c>
      <c r="G1008" s="238">
        <v>175690</v>
      </c>
      <c r="H1008" s="232" t="s">
        <v>165</v>
      </c>
      <c r="J1008" s="226"/>
      <c r="K1008" s="238">
        <v>0</v>
      </c>
      <c r="L1008" s="238">
        <v>49</v>
      </c>
      <c r="M1008" s="238">
        <v>49</v>
      </c>
      <c r="N1008" s="238">
        <v>243</v>
      </c>
      <c r="O1008" s="238">
        <v>243</v>
      </c>
      <c r="P1008" s="238" t="s">
        <v>318</v>
      </c>
      <c r="Q1008" s="242" t="s">
        <v>2738</v>
      </c>
      <c r="R1008" s="243" t="s">
        <v>2739</v>
      </c>
      <c r="T1008" s="226"/>
      <c r="U1008" s="238"/>
      <c r="V1008" s="238" t="s">
        <v>321</v>
      </c>
      <c r="W1008" s="226"/>
      <c r="X1008" s="238" t="s">
        <v>322</v>
      </c>
      <c r="Y1008" s="238" t="s">
        <v>323</v>
      </c>
      <c r="Z1008" s="238" t="s">
        <v>323</v>
      </c>
      <c r="AA1008" s="238" t="s">
        <v>324</v>
      </c>
      <c r="AB1008" s="244">
        <v>0</v>
      </c>
      <c r="AD1008" s="238"/>
      <c r="AE1008" s="226"/>
      <c r="AF1008" s="238" t="s">
        <v>57</v>
      </c>
      <c r="AG1008" s="238" t="s">
        <v>470</v>
      </c>
      <c r="AH1008" s="238" t="s">
        <v>2746</v>
      </c>
      <c r="AI1008" s="238"/>
      <c r="AJ1008" s="239">
        <v>0</v>
      </c>
      <c r="AK1008" s="239">
        <v>0</v>
      </c>
      <c r="AL1008" s="239">
        <v>0</v>
      </c>
      <c r="AM1008" s="239">
        <v>0</v>
      </c>
      <c r="AN1008" s="239">
        <v>0</v>
      </c>
      <c r="AO1008" s="239">
        <v>0</v>
      </c>
      <c r="AP1008" s="239">
        <v>0</v>
      </c>
      <c r="AQ1008" s="239">
        <v>0</v>
      </c>
      <c r="AR1008" s="239">
        <v>0</v>
      </c>
      <c r="AS1008" s="239">
        <v>0</v>
      </c>
      <c r="AT1008" s="239">
        <v>49</v>
      </c>
      <c r="AU1008" s="239">
        <v>0</v>
      </c>
      <c r="AV1008" s="239">
        <v>0</v>
      </c>
      <c r="AW1008" s="239">
        <v>0</v>
      </c>
      <c r="AX1008" s="239">
        <v>0</v>
      </c>
      <c r="AY1008" s="239">
        <v>0</v>
      </c>
      <c r="AZ1008" s="239">
        <v>0</v>
      </c>
      <c r="BA1008" s="239">
        <v>49</v>
      </c>
      <c r="BB1008" s="239">
        <v>0</v>
      </c>
      <c r="BC1008" s="239">
        <v>0</v>
      </c>
      <c r="BD1008" s="239">
        <v>0</v>
      </c>
      <c r="BE1008" s="239">
        <v>0</v>
      </c>
      <c r="BF1008" s="239">
        <v>0</v>
      </c>
      <c r="BG1008" s="239">
        <v>0</v>
      </c>
      <c r="BH1008" s="239">
        <v>0</v>
      </c>
      <c r="BI1008" s="239">
        <v>0</v>
      </c>
      <c r="BJ1008" s="239">
        <v>0</v>
      </c>
      <c r="BK1008" s="239">
        <v>0</v>
      </c>
      <c r="BL1008" s="239">
        <v>0</v>
      </c>
      <c r="BM1008" s="239">
        <v>0</v>
      </c>
      <c r="BN1008" s="239">
        <v>0</v>
      </c>
      <c r="BO1008" s="239">
        <v>0</v>
      </c>
      <c r="BP1008" s="234" t="s">
        <v>142</v>
      </c>
      <c r="BQ1008" s="238"/>
      <c r="BR1008" s="237" t="s">
        <v>150</v>
      </c>
      <c r="BS1008" s="238">
        <v>19</v>
      </c>
      <c r="BW1008" s="239">
        <f t="shared" si="121"/>
        <v>49</v>
      </c>
      <c r="CN1008" s="238">
        <f t="shared" si="118"/>
        <v>49</v>
      </c>
      <c r="CO1008" s="238">
        <f t="shared" si="119"/>
        <v>49</v>
      </c>
    </row>
    <row r="1009" spans="1:93" ht="13.95" customHeight="1" x14ac:dyDescent="0.2">
      <c r="A1009" s="238">
        <v>6899</v>
      </c>
      <c r="B1009" s="241" t="s">
        <v>2736</v>
      </c>
      <c r="C1009" s="238"/>
      <c r="D1009" s="237" t="s">
        <v>2745</v>
      </c>
      <c r="E1009" s="237"/>
      <c r="F1009" s="238">
        <v>527207</v>
      </c>
      <c r="G1009" s="238">
        <v>175690</v>
      </c>
      <c r="H1009" s="232" t="s">
        <v>165</v>
      </c>
      <c r="J1009" s="226"/>
      <c r="K1009" s="238">
        <v>0</v>
      </c>
      <c r="L1009" s="238">
        <v>31</v>
      </c>
      <c r="M1009" s="238">
        <v>31</v>
      </c>
      <c r="N1009" s="238">
        <v>243</v>
      </c>
      <c r="O1009" s="238">
        <v>243</v>
      </c>
      <c r="P1009" s="238" t="s">
        <v>318</v>
      </c>
      <c r="Q1009" s="242" t="s">
        <v>2738</v>
      </c>
      <c r="R1009" s="243" t="s">
        <v>2739</v>
      </c>
      <c r="T1009" s="226"/>
      <c r="U1009" s="238"/>
      <c r="V1009" s="238" t="s">
        <v>321</v>
      </c>
      <c r="W1009" s="226"/>
      <c r="X1009" s="238" t="s">
        <v>322</v>
      </c>
      <c r="Y1009" s="238" t="s">
        <v>323</v>
      </c>
      <c r="Z1009" s="238" t="s">
        <v>323</v>
      </c>
      <c r="AA1009" s="238" t="s">
        <v>324</v>
      </c>
      <c r="AB1009" s="244">
        <v>0</v>
      </c>
      <c r="AD1009" s="238"/>
      <c r="AE1009" s="226"/>
      <c r="AF1009" s="238" t="s">
        <v>56</v>
      </c>
      <c r="AG1009" s="238" t="s">
        <v>1355</v>
      </c>
      <c r="AH1009" s="238" t="s">
        <v>2746</v>
      </c>
      <c r="AI1009" s="238"/>
      <c r="AJ1009" s="239">
        <v>0</v>
      </c>
      <c r="AK1009" s="239">
        <v>0</v>
      </c>
      <c r="AL1009" s="239">
        <v>0</v>
      </c>
      <c r="AM1009" s="239">
        <v>0</v>
      </c>
      <c r="AN1009" s="239">
        <v>0</v>
      </c>
      <c r="AO1009" s="239">
        <v>0</v>
      </c>
      <c r="AP1009" s="239">
        <v>0</v>
      </c>
      <c r="AQ1009" s="239">
        <v>0</v>
      </c>
      <c r="AR1009" s="239">
        <v>0</v>
      </c>
      <c r="AS1009" s="239">
        <v>0</v>
      </c>
      <c r="AT1009" s="239">
        <v>31</v>
      </c>
      <c r="AU1009" s="239">
        <v>0</v>
      </c>
      <c r="AV1009" s="239">
        <v>0</v>
      </c>
      <c r="AW1009" s="239">
        <v>0</v>
      </c>
      <c r="AX1009" s="239">
        <v>0</v>
      </c>
      <c r="AY1009" s="239">
        <v>0</v>
      </c>
      <c r="AZ1009" s="239">
        <v>0</v>
      </c>
      <c r="BA1009" s="239">
        <v>31</v>
      </c>
      <c r="BB1009" s="239">
        <v>0</v>
      </c>
      <c r="BC1009" s="239">
        <v>0</v>
      </c>
      <c r="BD1009" s="239">
        <v>0</v>
      </c>
      <c r="BE1009" s="239">
        <v>0</v>
      </c>
      <c r="BF1009" s="239">
        <v>0</v>
      </c>
      <c r="BG1009" s="239">
        <v>0</v>
      </c>
      <c r="BH1009" s="239">
        <v>0</v>
      </c>
      <c r="BI1009" s="239">
        <v>0</v>
      </c>
      <c r="BJ1009" s="239">
        <v>0</v>
      </c>
      <c r="BK1009" s="239">
        <v>0</v>
      </c>
      <c r="BL1009" s="239">
        <v>0</v>
      </c>
      <c r="BM1009" s="239">
        <v>0</v>
      </c>
      <c r="BN1009" s="239">
        <v>0</v>
      </c>
      <c r="BO1009" s="239">
        <v>0</v>
      </c>
      <c r="BP1009" s="234" t="s">
        <v>142</v>
      </c>
      <c r="BQ1009" s="238"/>
      <c r="BR1009" s="237" t="s">
        <v>150</v>
      </c>
      <c r="BS1009" s="238">
        <v>19</v>
      </c>
      <c r="BW1009" s="239">
        <f t="shared" si="121"/>
        <v>31</v>
      </c>
      <c r="CN1009" s="238">
        <f t="shared" si="118"/>
        <v>31</v>
      </c>
      <c r="CO1009" s="238">
        <f t="shared" si="119"/>
        <v>31</v>
      </c>
    </row>
    <row r="1010" spans="1:93" ht="13.95" customHeight="1" x14ac:dyDescent="0.2">
      <c r="A1010" s="238">
        <v>7541</v>
      </c>
      <c r="B1010" s="241" t="s">
        <v>2736</v>
      </c>
      <c r="C1010" s="238"/>
      <c r="D1010" s="237" t="s">
        <v>2747</v>
      </c>
      <c r="E1010" s="237"/>
      <c r="F1010" s="238">
        <v>521608</v>
      </c>
      <c r="G1010" s="238">
        <v>172378</v>
      </c>
      <c r="H1010" s="232" t="s">
        <v>170</v>
      </c>
      <c r="J1010" s="226"/>
      <c r="K1010" s="238">
        <v>0</v>
      </c>
      <c r="L1010" s="238">
        <v>6</v>
      </c>
      <c r="M1010" s="238">
        <v>6</v>
      </c>
      <c r="N1010" s="238">
        <v>6</v>
      </c>
      <c r="O1010" s="238">
        <v>6</v>
      </c>
      <c r="P1010" s="238"/>
      <c r="Q1010" s="242" t="s">
        <v>2738</v>
      </c>
      <c r="R1010" s="238" t="s">
        <v>2739</v>
      </c>
      <c r="T1010" s="226"/>
      <c r="U1010" s="238"/>
      <c r="V1010" s="238" t="s">
        <v>321</v>
      </c>
      <c r="W1010" s="226"/>
      <c r="X1010" s="238" t="s">
        <v>322</v>
      </c>
      <c r="Y1010" s="238" t="s">
        <v>323</v>
      </c>
      <c r="Z1010" s="238" t="s">
        <v>324</v>
      </c>
      <c r="AA1010" s="238" t="s">
        <v>349</v>
      </c>
      <c r="AB1010" s="244">
        <v>0</v>
      </c>
      <c r="AD1010" s="238"/>
      <c r="AE1010" s="226"/>
      <c r="AF1010" s="224" t="s">
        <v>77</v>
      </c>
      <c r="AG1010" s="238" t="s">
        <v>350</v>
      </c>
      <c r="AH1010" s="238"/>
      <c r="AI1010" s="238"/>
      <c r="AJ1010" s="239">
        <v>0</v>
      </c>
      <c r="AK1010" s="239">
        <v>0</v>
      </c>
      <c r="AL1010" s="239">
        <v>0</v>
      </c>
      <c r="AM1010" s="239">
        <v>0</v>
      </c>
      <c r="AN1010" s="239">
        <v>0</v>
      </c>
      <c r="AO1010" s="239">
        <v>0</v>
      </c>
      <c r="AP1010" s="239">
        <v>0</v>
      </c>
      <c r="AQ1010" s="239">
        <v>0</v>
      </c>
      <c r="AR1010" s="239">
        <v>0</v>
      </c>
      <c r="AS1010" s="239">
        <v>0</v>
      </c>
      <c r="AT1010" s="239">
        <v>6</v>
      </c>
      <c r="AU1010" s="239">
        <v>0</v>
      </c>
      <c r="AV1010" s="239">
        <v>0</v>
      </c>
      <c r="AW1010" s="239">
        <v>0</v>
      </c>
      <c r="AX1010" s="239">
        <v>0</v>
      </c>
      <c r="AY1010" s="239">
        <v>0</v>
      </c>
      <c r="AZ1010" s="239">
        <v>0</v>
      </c>
      <c r="BA1010" s="239">
        <v>6</v>
      </c>
      <c r="BB1010" s="239">
        <v>0</v>
      </c>
      <c r="BC1010" s="239">
        <v>0</v>
      </c>
      <c r="BD1010" s="239">
        <v>0</v>
      </c>
      <c r="BE1010" s="239">
        <v>0</v>
      </c>
      <c r="BF1010" s="239">
        <v>0</v>
      </c>
      <c r="BG1010" s="239">
        <v>0</v>
      </c>
      <c r="BH1010" s="239">
        <v>0</v>
      </c>
      <c r="BI1010" s="239">
        <v>0</v>
      </c>
      <c r="BJ1010" s="239">
        <v>0</v>
      </c>
      <c r="BK1010" s="239">
        <v>0</v>
      </c>
      <c r="BL1010" s="239">
        <v>0</v>
      </c>
      <c r="BM1010" s="239">
        <v>0</v>
      </c>
      <c r="BN1010" s="239">
        <v>0</v>
      </c>
      <c r="BO1010" s="239">
        <v>0</v>
      </c>
      <c r="BP1010" s="238"/>
      <c r="BQ1010" s="238"/>
      <c r="BR1010" s="237" t="s">
        <v>334</v>
      </c>
      <c r="BS1010" s="238">
        <v>19</v>
      </c>
      <c r="BY1010" s="239">
        <f>M1010</f>
        <v>6</v>
      </c>
      <c r="CN1010" s="238">
        <f t="shared" si="118"/>
        <v>6</v>
      </c>
      <c r="CO1010" s="238">
        <f t="shared" si="119"/>
        <v>6</v>
      </c>
    </row>
    <row r="1011" spans="1:93" ht="13.95" customHeight="1" x14ac:dyDescent="0.2">
      <c r="A1011" s="238">
        <v>6867</v>
      </c>
      <c r="B1011" s="241" t="s">
        <v>2736</v>
      </c>
      <c r="C1011" s="238"/>
      <c r="D1011" s="237" t="s">
        <v>2748</v>
      </c>
      <c r="E1011" s="237"/>
      <c r="F1011" s="238">
        <v>528331.56229999894</v>
      </c>
      <c r="G1011" s="238">
        <v>176668.96749999901</v>
      </c>
      <c r="H1011" s="232" t="s">
        <v>163</v>
      </c>
      <c r="J1011" s="226"/>
      <c r="K1011" s="238">
        <v>0</v>
      </c>
      <c r="L1011" s="238">
        <v>13</v>
      </c>
      <c r="M1011" s="238">
        <v>13</v>
      </c>
      <c r="N1011" s="238">
        <v>20</v>
      </c>
      <c r="O1011" s="238">
        <v>20</v>
      </c>
      <c r="P1011" s="238" t="s">
        <v>318</v>
      </c>
      <c r="Q1011" s="242" t="s">
        <v>2738</v>
      </c>
      <c r="R1011" s="243" t="s">
        <v>2739</v>
      </c>
      <c r="T1011" s="226"/>
      <c r="U1011" s="238"/>
      <c r="V1011" s="238" t="s">
        <v>321</v>
      </c>
      <c r="W1011" s="226"/>
      <c r="X1011" s="238" t="s">
        <v>322</v>
      </c>
      <c r="Y1011" s="238" t="s">
        <v>323</v>
      </c>
      <c r="Z1011" s="238" t="s">
        <v>323</v>
      </c>
      <c r="AA1011" s="238" t="s">
        <v>324</v>
      </c>
      <c r="AB1011" s="244">
        <v>0</v>
      </c>
      <c r="AD1011" s="238"/>
      <c r="AE1011" s="226"/>
      <c r="AF1011" s="224" t="s">
        <v>77</v>
      </c>
      <c r="AG1011" s="238" t="s">
        <v>350</v>
      </c>
      <c r="AH1011" s="238" t="s">
        <v>2749</v>
      </c>
      <c r="AI1011" s="238"/>
      <c r="AJ1011" s="239">
        <v>0</v>
      </c>
      <c r="AK1011" s="239">
        <v>0</v>
      </c>
      <c r="AL1011" s="239">
        <v>0</v>
      </c>
      <c r="AM1011" s="239">
        <v>0</v>
      </c>
      <c r="AN1011" s="239">
        <v>0</v>
      </c>
      <c r="AO1011" s="239">
        <v>0</v>
      </c>
      <c r="AP1011" s="239">
        <v>0</v>
      </c>
      <c r="AQ1011" s="239">
        <v>0</v>
      </c>
      <c r="AR1011" s="239">
        <v>0</v>
      </c>
      <c r="AS1011" s="239">
        <v>0</v>
      </c>
      <c r="AT1011" s="239">
        <v>13</v>
      </c>
      <c r="AU1011" s="239">
        <v>0</v>
      </c>
      <c r="AV1011" s="239">
        <v>0</v>
      </c>
      <c r="AW1011" s="239">
        <v>0</v>
      </c>
      <c r="AX1011" s="239">
        <v>0</v>
      </c>
      <c r="AY1011" s="239">
        <v>0</v>
      </c>
      <c r="AZ1011" s="239">
        <v>0</v>
      </c>
      <c r="BA1011" s="239">
        <v>13</v>
      </c>
      <c r="BB1011" s="239">
        <v>0</v>
      </c>
      <c r="BC1011" s="239">
        <v>0</v>
      </c>
      <c r="BD1011" s="239">
        <v>0</v>
      </c>
      <c r="BE1011" s="239">
        <v>0</v>
      </c>
      <c r="BF1011" s="239">
        <v>0</v>
      </c>
      <c r="BG1011" s="239">
        <v>0</v>
      </c>
      <c r="BH1011" s="239">
        <v>0</v>
      </c>
      <c r="BI1011" s="239">
        <v>0</v>
      </c>
      <c r="BJ1011" s="239">
        <v>0</v>
      </c>
      <c r="BK1011" s="239">
        <v>0</v>
      </c>
      <c r="BL1011" s="239">
        <v>0</v>
      </c>
      <c r="BM1011" s="239">
        <v>0</v>
      </c>
      <c r="BN1011" s="239">
        <v>0</v>
      </c>
      <c r="BO1011" s="239">
        <v>0</v>
      </c>
      <c r="BP1011" s="238"/>
      <c r="BQ1011" s="238"/>
      <c r="BR1011" s="237" t="s">
        <v>334</v>
      </c>
      <c r="BS1011" s="238">
        <v>19</v>
      </c>
      <c r="CC1011" s="239">
        <f>M1011/12</f>
        <v>1.0833333333333333</v>
      </c>
      <c r="CD1011" s="239">
        <f>M1011/12</f>
        <v>1.0833333333333333</v>
      </c>
      <c r="CE1011" s="239">
        <f>M1011/12</f>
        <v>1.0833333333333333</v>
      </c>
      <c r="CF1011" s="239">
        <f>M1011/12</f>
        <v>1.0833333333333333</v>
      </c>
      <c r="CG1011" s="239">
        <f>M1011/12</f>
        <v>1.0833333333333333</v>
      </c>
      <c r="CH1011" s="239">
        <f>M1011/12</f>
        <v>1.0833333333333333</v>
      </c>
      <c r="CI1011" s="239">
        <f>M1011/12</f>
        <v>1.0833333333333333</v>
      </c>
      <c r="CJ1011" s="239">
        <f>M1011/12</f>
        <v>1.0833333333333333</v>
      </c>
      <c r="CK1011" s="239">
        <f>M1011/12</f>
        <v>1.0833333333333333</v>
      </c>
      <c r="CL1011" s="239">
        <f>M1011/12</f>
        <v>1.0833333333333333</v>
      </c>
      <c r="CM1011" s="239">
        <f>M1011/12</f>
        <v>1.0833333333333333</v>
      </c>
      <c r="CN1011" s="238">
        <f t="shared" si="118"/>
        <v>0</v>
      </c>
      <c r="CO1011" s="238">
        <f t="shared" si="119"/>
        <v>2.1666666666666665</v>
      </c>
    </row>
    <row r="1012" spans="1:93" ht="13.95" customHeight="1" x14ac:dyDescent="0.2">
      <c r="A1012" s="238">
        <v>6867</v>
      </c>
      <c r="B1012" s="241" t="s">
        <v>2736</v>
      </c>
      <c r="C1012" s="238"/>
      <c r="D1012" s="237" t="s">
        <v>2748</v>
      </c>
      <c r="E1012" s="237"/>
      <c r="F1012" s="238">
        <v>528331.56229999894</v>
      </c>
      <c r="G1012" s="238">
        <v>176668.96749999901</v>
      </c>
      <c r="H1012" s="232" t="s">
        <v>163</v>
      </c>
      <c r="J1012" s="226"/>
      <c r="K1012" s="238">
        <v>0</v>
      </c>
      <c r="L1012" s="238">
        <v>4</v>
      </c>
      <c r="M1012" s="238">
        <v>4</v>
      </c>
      <c r="N1012" s="238">
        <v>20</v>
      </c>
      <c r="O1012" s="238">
        <v>20</v>
      </c>
      <c r="P1012" s="238" t="s">
        <v>318</v>
      </c>
      <c r="Q1012" s="242" t="s">
        <v>2738</v>
      </c>
      <c r="R1012" s="243" t="s">
        <v>2739</v>
      </c>
      <c r="T1012" s="226"/>
      <c r="U1012" s="238"/>
      <c r="V1012" s="238" t="s">
        <v>321</v>
      </c>
      <c r="W1012" s="226"/>
      <c r="X1012" s="238" t="s">
        <v>322</v>
      </c>
      <c r="Y1012" s="238" t="s">
        <v>323</v>
      </c>
      <c r="Z1012" s="238" t="s">
        <v>323</v>
      </c>
      <c r="AA1012" s="238" t="s">
        <v>324</v>
      </c>
      <c r="AB1012" s="244">
        <v>0</v>
      </c>
      <c r="AD1012" s="238"/>
      <c r="AE1012" s="226"/>
      <c r="AF1012" s="238" t="s">
        <v>57</v>
      </c>
      <c r="AG1012" s="238" t="s">
        <v>470</v>
      </c>
      <c r="AH1012" s="238" t="s">
        <v>2749</v>
      </c>
      <c r="AI1012" s="238"/>
      <c r="AJ1012" s="239">
        <v>0</v>
      </c>
      <c r="AK1012" s="239">
        <v>0</v>
      </c>
      <c r="AL1012" s="239">
        <v>0</v>
      </c>
      <c r="AM1012" s="239">
        <v>0</v>
      </c>
      <c r="AN1012" s="239">
        <v>0</v>
      </c>
      <c r="AO1012" s="239">
        <v>0</v>
      </c>
      <c r="AP1012" s="239">
        <v>0</v>
      </c>
      <c r="AQ1012" s="239">
        <v>0</v>
      </c>
      <c r="AR1012" s="239">
        <v>0</v>
      </c>
      <c r="AS1012" s="239">
        <v>0</v>
      </c>
      <c r="AT1012" s="239">
        <v>4</v>
      </c>
      <c r="AU1012" s="239">
        <v>0</v>
      </c>
      <c r="AV1012" s="239">
        <v>0</v>
      </c>
      <c r="AW1012" s="239">
        <v>0</v>
      </c>
      <c r="AX1012" s="239">
        <v>0</v>
      </c>
      <c r="AY1012" s="239">
        <v>0</v>
      </c>
      <c r="AZ1012" s="239">
        <v>0</v>
      </c>
      <c r="BA1012" s="239">
        <v>4</v>
      </c>
      <c r="BB1012" s="239">
        <v>0</v>
      </c>
      <c r="BC1012" s="239">
        <v>0</v>
      </c>
      <c r="BD1012" s="239">
        <v>0</v>
      </c>
      <c r="BE1012" s="239">
        <v>0</v>
      </c>
      <c r="BF1012" s="239">
        <v>0</v>
      </c>
      <c r="BG1012" s="239">
        <v>0</v>
      </c>
      <c r="BH1012" s="239">
        <v>0</v>
      </c>
      <c r="BI1012" s="239">
        <v>0</v>
      </c>
      <c r="BJ1012" s="239">
        <v>0</v>
      </c>
      <c r="BK1012" s="239">
        <v>0</v>
      </c>
      <c r="BL1012" s="239">
        <v>0</v>
      </c>
      <c r="BM1012" s="239">
        <v>0</v>
      </c>
      <c r="BN1012" s="239">
        <v>0</v>
      </c>
      <c r="BO1012" s="239">
        <v>0</v>
      </c>
      <c r="BP1012" s="238"/>
      <c r="BQ1012" s="238"/>
      <c r="BR1012" s="237" t="s">
        <v>334</v>
      </c>
      <c r="BS1012" s="238">
        <v>19</v>
      </c>
      <c r="CC1012" s="239">
        <f>M1012/12</f>
        <v>0.33333333333333331</v>
      </c>
      <c r="CD1012" s="239">
        <f>M1012/12</f>
        <v>0.33333333333333331</v>
      </c>
      <c r="CE1012" s="239">
        <f>M1012/12</f>
        <v>0.33333333333333331</v>
      </c>
      <c r="CF1012" s="239">
        <f>M1012/12</f>
        <v>0.33333333333333331</v>
      </c>
      <c r="CG1012" s="239">
        <f>M1012/12</f>
        <v>0.33333333333333331</v>
      </c>
      <c r="CH1012" s="239">
        <f>M1012/12</f>
        <v>0.33333333333333331</v>
      </c>
      <c r="CI1012" s="239">
        <f>M1012/12</f>
        <v>0.33333333333333331</v>
      </c>
      <c r="CJ1012" s="239">
        <f>M1012/12</f>
        <v>0.33333333333333331</v>
      </c>
      <c r="CK1012" s="239">
        <f>M1012/12</f>
        <v>0.33333333333333331</v>
      </c>
      <c r="CL1012" s="239">
        <f>M1012/12</f>
        <v>0.33333333333333331</v>
      </c>
      <c r="CM1012" s="239">
        <f>M1012/12</f>
        <v>0.33333333333333331</v>
      </c>
      <c r="CN1012" s="238">
        <f t="shared" si="118"/>
        <v>0</v>
      </c>
      <c r="CO1012" s="238">
        <f t="shared" si="119"/>
        <v>0.66666666666666663</v>
      </c>
    </row>
    <row r="1013" spans="1:93" ht="13.95" customHeight="1" x14ac:dyDescent="0.2">
      <c r="A1013" s="238">
        <v>6867</v>
      </c>
      <c r="B1013" s="241" t="s">
        <v>2736</v>
      </c>
      <c r="C1013" s="238"/>
      <c r="D1013" s="237" t="s">
        <v>2748</v>
      </c>
      <c r="E1013" s="237"/>
      <c r="F1013" s="238">
        <v>528331.56229999894</v>
      </c>
      <c r="G1013" s="238">
        <v>176668.96749999901</v>
      </c>
      <c r="H1013" s="232" t="s">
        <v>163</v>
      </c>
      <c r="J1013" s="226"/>
      <c r="K1013" s="238">
        <v>0</v>
      </c>
      <c r="L1013" s="238">
        <v>3</v>
      </c>
      <c r="M1013" s="238">
        <v>3</v>
      </c>
      <c r="N1013" s="238">
        <v>20</v>
      </c>
      <c r="O1013" s="238">
        <v>20</v>
      </c>
      <c r="P1013" s="238" t="s">
        <v>318</v>
      </c>
      <c r="Q1013" s="242" t="s">
        <v>2738</v>
      </c>
      <c r="R1013" s="243" t="s">
        <v>2739</v>
      </c>
      <c r="T1013" s="226"/>
      <c r="U1013" s="238"/>
      <c r="V1013" s="238" t="s">
        <v>321</v>
      </c>
      <c r="W1013" s="226"/>
      <c r="X1013" s="238" t="s">
        <v>322</v>
      </c>
      <c r="Y1013" s="238" t="s">
        <v>323</v>
      </c>
      <c r="Z1013" s="238" t="s">
        <v>323</v>
      </c>
      <c r="AA1013" s="238" t="s">
        <v>324</v>
      </c>
      <c r="AB1013" s="244">
        <v>0</v>
      </c>
      <c r="AD1013" s="238"/>
      <c r="AE1013" s="226"/>
      <c r="AF1013" s="238" t="s">
        <v>56</v>
      </c>
      <c r="AG1013" s="238" t="s">
        <v>1355</v>
      </c>
      <c r="AH1013" s="238" t="s">
        <v>2749</v>
      </c>
      <c r="AI1013" s="238"/>
      <c r="AJ1013" s="239">
        <v>0</v>
      </c>
      <c r="AK1013" s="239">
        <v>0</v>
      </c>
      <c r="AL1013" s="239">
        <v>0</v>
      </c>
      <c r="AM1013" s="239">
        <v>0</v>
      </c>
      <c r="AN1013" s="239">
        <v>0</v>
      </c>
      <c r="AO1013" s="239">
        <v>0</v>
      </c>
      <c r="AP1013" s="239">
        <v>0</v>
      </c>
      <c r="AQ1013" s="239">
        <v>0</v>
      </c>
      <c r="AR1013" s="239">
        <v>0</v>
      </c>
      <c r="AS1013" s="239">
        <v>0</v>
      </c>
      <c r="AT1013" s="239">
        <v>3</v>
      </c>
      <c r="AU1013" s="239">
        <v>0</v>
      </c>
      <c r="AV1013" s="239">
        <v>0</v>
      </c>
      <c r="AW1013" s="239">
        <v>0</v>
      </c>
      <c r="AX1013" s="239">
        <v>0</v>
      </c>
      <c r="AY1013" s="239">
        <v>0</v>
      </c>
      <c r="AZ1013" s="239">
        <v>0</v>
      </c>
      <c r="BA1013" s="239">
        <v>3</v>
      </c>
      <c r="BB1013" s="239">
        <v>0</v>
      </c>
      <c r="BC1013" s="239">
        <v>0</v>
      </c>
      <c r="BD1013" s="239">
        <v>0</v>
      </c>
      <c r="BE1013" s="239">
        <v>0</v>
      </c>
      <c r="BF1013" s="239">
        <v>0</v>
      </c>
      <c r="BG1013" s="239">
        <v>0</v>
      </c>
      <c r="BH1013" s="239">
        <v>0</v>
      </c>
      <c r="BI1013" s="239">
        <v>0</v>
      </c>
      <c r="BJ1013" s="239">
        <v>0</v>
      </c>
      <c r="BK1013" s="239">
        <v>0</v>
      </c>
      <c r="BL1013" s="239">
        <v>0</v>
      </c>
      <c r="BM1013" s="239">
        <v>0</v>
      </c>
      <c r="BN1013" s="239">
        <v>0</v>
      </c>
      <c r="BO1013" s="239">
        <v>0</v>
      </c>
      <c r="BP1013" s="238"/>
      <c r="BQ1013" s="238"/>
      <c r="BR1013" s="237" t="s">
        <v>334</v>
      </c>
      <c r="BS1013" s="238">
        <v>19</v>
      </c>
      <c r="CC1013" s="239">
        <f>M1013/12</f>
        <v>0.25</v>
      </c>
      <c r="CD1013" s="239">
        <f>M1013/12</f>
        <v>0.25</v>
      </c>
      <c r="CE1013" s="239">
        <f>M1013/12</f>
        <v>0.25</v>
      </c>
      <c r="CF1013" s="239">
        <f>M1013/12</f>
        <v>0.25</v>
      </c>
      <c r="CG1013" s="239">
        <f>M1013/12</f>
        <v>0.25</v>
      </c>
      <c r="CH1013" s="239">
        <f>M1013/12</f>
        <v>0.25</v>
      </c>
      <c r="CI1013" s="239">
        <f>M1013/12</f>
        <v>0.25</v>
      </c>
      <c r="CJ1013" s="239">
        <f>M1013/12</f>
        <v>0.25</v>
      </c>
      <c r="CK1013" s="239">
        <f>M1013/12</f>
        <v>0.25</v>
      </c>
      <c r="CL1013" s="239">
        <f>M1013/12</f>
        <v>0.25</v>
      </c>
      <c r="CM1013" s="239">
        <f>M1013/12</f>
        <v>0.25</v>
      </c>
      <c r="CN1013" s="238">
        <f t="shared" ref="CN1013:CN1076" si="122">SUM(BU1013:BY1013)</f>
        <v>0</v>
      </c>
      <c r="CO1013" s="238">
        <f t="shared" ref="CO1013:CO1076" si="123">SUM(BU1013:CD1013)</f>
        <v>0.5</v>
      </c>
    </row>
    <row r="1014" spans="1:93" ht="13.95" customHeight="1" x14ac:dyDescent="0.2">
      <c r="A1014" s="238">
        <v>223</v>
      </c>
      <c r="B1014" s="241" t="s">
        <v>2736</v>
      </c>
      <c r="C1014" s="238"/>
      <c r="D1014" s="237" t="s">
        <v>2750</v>
      </c>
      <c r="E1014" s="237"/>
      <c r="F1014" s="238">
        <v>528890</v>
      </c>
      <c r="G1014" s="238">
        <v>170545</v>
      </c>
      <c r="H1014" s="232" t="s">
        <v>166</v>
      </c>
      <c r="J1014" s="226"/>
      <c r="K1014" s="238">
        <v>0</v>
      </c>
      <c r="L1014" s="238">
        <v>2</v>
      </c>
      <c r="M1014" s="238">
        <v>2</v>
      </c>
      <c r="N1014" s="238">
        <v>2</v>
      </c>
      <c r="O1014" s="238">
        <v>2</v>
      </c>
      <c r="P1014" s="238"/>
      <c r="Q1014" s="242" t="s">
        <v>2738</v>
      </c>
      <c r="R1014" s="238" t="s">
        <v>2739</v>
      </c>
      <c r="T1014" s="226"/>
      <c r="U1014" s="238"/>
      <c r="V1014" s="238" t="s">
        <v>321</v>
      </c>
      <c r="W1014" s="226"/>
      <c r="X1014" s="238" t="s">
        <v>322</v>
      </c>
      <c r="Y1014" s="238" t="s">
        <v>323</v>
      </c>
      <c r="Z1014" s="238" t="s">
        <v>324</v>
      </c>
      <c r="AA1014" s="238" t="s">
        <v>349</v>
      </c>
      <c r="AB1014" s="244">
        <v>0</v>
      </c>
      <c r="AD1014" s="238"/>
      <c r="AE1014" s="226"/>
      <c r="AF1014" s="224" t="s">
        <v>77</v>
      </c>
      <c r="AG1014" s="238" t="s">
        <v>350</v>
      </c>
      <c r="AH1014" s="238"/>
      <c r="AI1014" s="238"/>
      <c r="AJ1014" s="239">
        <v>0</v>
      </c>
      <c r="AK1014" s="239">
        <v>0</v>
      </c>
      <c r="AL1014" s="239">
        <v>0</v>
      </c>
      <c r="AM1014" s="239">
        <v>0</v>
      </c>
      <c r="AN1014" s="239">
        <v>0</v>
      </c>
      <c r="AO1014" s="239">
        <v>0</v>
      </c>
      <c r="AP1014" s="239">
        <v>0</v>
      </c>
      <c r="AQ1014" s="239">
        <v>0</v>
      </c>
      <c r="AR1014" s="239">
        <v>0</v>
      </c>
      <c r="AS1014" s="239">
        <v>0</v>
      </c>
      <c r="AT1014" s="239">
        <v>2</v>
      </c>
      <c r="AU1014" s="239">
        <v>0</v>
      </c>
      <c r="AV1014" s="239">
        <v>0</v>
      </c>
      <c r="AW1014" s="239">
        <v>0</v>
      </c>
      <c r="AX1014" s="239">
        <v>0</v>
      </c>
      <c r="AY1014" s="239">
        <v>0</v>
      </c>
      <c r="AZ1014" s="239">
        <v>0</v>
      </c>
      <c r="BA1014" s="239">
        <v>2</v>
      </c>
      <c r="BB1014" s="239">
        <v>0</v>
      </c>
      <c r="BC1014" s="239">
        <v>0</v>
      </c>
      <c r="BD1014" s="239">
        <v>0</v>
      </c>
      <c r="BE1014" s="239">
        <v>0</v>
      </c>
      <c r="BF1014" s="239">
        <v>0</v>
      </c>
      <c r="BG1014" s="239">
        <v>0</v>
      </c>
      <c r="BH1014" s="239">
        <v>0</v>
      </c>
      <c r="BI1014" s="239">
        <v>0</v>
      </c>
      <c r="BJ1014" s="239">
        <v>0</v>
      </c>
      <c r="BK1014" s="239">
        <v>0</v>
      </c>
      <c r="BL1014" s="239">
        <v>0</v>
      </c>
      <c r="BM1014" s="239">
        <v>0</v>
      </c>
      <c r="BN1014" s="239">
        <v>0</v>
      </c>
      <c r="BO1014" s="239">
        <v>0</v>
      </c>
      <c r="BP1014" s="238"/>
      <c r="BQ1014" s="238"/>
      <c r="BR1014" s="237" t="s">
        <v>334</v>
      </c>
      <c r="BS1014" s="238">
        <v>19</v>
      </c>
      <c r="BY1014" s="239">
        <f>M1014</f>
        <v>2</v>
      </c>
      <c r="CN1014" s="238">
        <f t="shared" si="122"/>
        <v>2</v>
      </c>
      <c r="CO1014" s="238">
        <f t="shared" si="123"/>
        <v>2</v>
      </c>
    </row>
    <row r="1015" spans="1:93" ht="13.95" customHeight="1" x14ac:dyDescent="0.2">
      <c r="A1015" s="238">
        <v>6869</v>
      </c>
      <c r="B1015" s="241" t="s">
        <v>2736</v>
      </c>
      <c r="C1015" s="238"/>
      <c r="D1015" s="237" t="s">
        <v>2751</v>
      </c>
      <c r="E1015" s="237"/>
      <c r="F1015" s="238">
        <v>526639</v>
      </c>
      <c r="G1015" s="238">
        <v>176128</v>
      </c>
      <c r="H1015" s="232" t="s">
        <v>174</v>
      </c>
      <c r="J1015" s="226"/>
      <c r="K1015" s="238">
        <v>0</v>
      </c>
      <c r="L1015" s="238">
        <v>43</v>
      </c>
      <c r="M1015" s="238">
        <v>43</v>
      </c>
      <c r="N1015" s="238">
        <v>64</v>
      </c>
      <c r="O1015" s="238">
        <v>64</v>
      </c>
      <c r="P1015" s="238" t="s">
        <v>318</v>
      </c>
      <c r="Q1015" s="242" t="s">
        <v>2738</v>
      </c>
      <c r="R1015" s="243" t="s">
        <v>2739</v>
      </c>
      <c r="T1015" s="226"/>
      <c r="U1015" s="238"/>
      <c r="V1015" s="238" t="s">
        <v>321</v>
      </c>
      <c r="W1015" s="226"/>
      <c r="X1015" s="238" t="s">
        <v>322</v>
      </c>
      <c r="Y1015" s="238" t="s">
        <v>323</v>
      </c>
      <c r="Z1015" s="238" t="s">
        <v>323</v>
      </c>
      <c r="AA1015" s="238" t="s">
        <v>324</v>
      </c>
      <c r="AB1015" s="244">
        <v>0</v>
      </c>
      <c r="AD1015" s="238"/>
      <c r="AE1015" s="226"/>
      <c r="AF1015" s="224" t="s">
        <v>77</v>
      </c>
      <c r="AG1015" s="238" t="s">
        <v>350</v>
      </c>
      <c r="AH1015" s="238" t="s">
        <v>2752</v>
      </c>
      <c r="AI1015" s="238"/>
      <c r="AJ1015" s="239">
        <v>0</v>
      </c>
      <c r="AK1015" s="239">
        <v>0</v>
      </c>
      <c r="AL1015" s="239">
        <v>0</v>
      </c>
      <c r="AM1015" s="239">
        <v>0</v>
      </c>
      <c r="AN1015" s="239">
        <v>0</v>
      </c>
      <c r="AO1015" s="239">
        <v>0</v>
      </c>
      <c r="AP1015" s="239">
        <v>0</v>
      </c>
      <c r="AQ1015" s="239">
        <v>0</v>
      </c>
      <c r="AR1015" s="239">
        <v>0</v>
      </c>
      <c r="AS1015" s="239">
        <v>0</v>
      </c>
      <c r="AT1015" s="239">
        <v>43</v>
      </c>
      <c r="AU1015" s="239">
        <v>0</v>
      </c>
      <c r="AV1015" s="239">
        <v>0</v>
      </c>
      <c r="AW1015" s="239">
        <v>0</v>
      </c>
      <c r="AX1015" s="239">
        <v>0</v>
      </c>
      <c r="AY1015" s="239">
        <v>0</v>
      </c>
      <c r="AZ1015" s="239">
        <v>0</v>
      </c>
      <c r="BA1015" s="239">
        <v>43</v>
      </c>
      <c r="BB1015" s="239">
        <v>0</v>
      </c>
      <c r="BC1015" s="239">
        <v>0</v>
      </c>
      <c r="BD1015" s="239">
        <v>0</v>
      </c>
      <c r="BE1015" s="239">
        <v>0</v>
      </c>
      <c r="BF1015" s="239">
        <v>0</v>
      </c>
      <c r="BG1015" s="239">
        <v>0</v>
      </c>
      <c r="BH1015" s="239">
        <v>0</v>
      </c>
      <c r="BI1015" s="239">
        <v>0</v>
      </c>
      <c r="BJ1015" s="239">
        <v>0</v>
      </c>
      <c r="BK1015" s="239">
        <v>0</v>
      </c>
      <c r="BL1015" s="239">
        <v>0</v>
      </c>
      <c r="BM1015" s="239">
        <v>0</v>
      </c>
      <c r="BN1015" s="239">
        <v>0</v>
      </c>
      <c r="BO1015" s="239">
        <v>0</v>
      </c>
      <c r="BP1015" s="238"/>
      <c r="BQ1015" s="238"/>
      <c r="BR1015" s="237" t="s">
        <v>481</v>
      </c>
      <c r="BS1015" s="238">
        <v>19</v>
      </c>
      <c r="BY1015" s="239">
        <f>M1015/16</f>
        <v>2.6875</v>
      </c>
      <c r="BZ1015" s="239">
        <f>M1015/16</f>
        <v>2.6875</v>
      </c>
      <c r="CA1015" s="239">
        <f>M1015/16</f>
        <v>2.6875</v>
      </c>
      <c r="CB1015" s="239">
        <f>M1015/16</f>
        <v>2.6875</v>
      </c>
      <c r="CC1015" s="239">
        <f>M1015/16</f>
        <v>2.6875</v>
      </c>
      <c r="CD1015" s="239">
        <f>M1015/16</f>
        <v>2.6875</v>
      </c>
      <c r="CE1015" s="239">
        <f>M1015/16</f>
        <v>2.6875</v>
      </c>
      <c r="CF1015" s="239">
        <f>M1015/16</f>
        <v>2.6875</v>
      </c>
      <c r="CG1015" s="239">
        <f>M1015/16</f>
        <v>2.6875</v>
      </c>
      <c r="CH1015" s="239">
        <f>M1015/16</f>
        <v>2.6875</v>
      </c>
      <c r="CI1015" s="239">
        <f>M1015/16</f>
        <v>2.6875</v>
      </c>
      <c r="CJ1015" s="239">
        <f>M1015/16</f>
        <v>2.6875</v>
      </c>
      <c r="CK1015" s="239">
        <f>M1015/16</f>
        <v>2.6875</v>
      </c>
      <c r="CL1015" s="239">
        <f>M1015/16</f>
        <v>2.6875</v>
      </c>
      <c r="CM1015" s="239">
        <f>M1015/16</f>
        <v>2.6875</v>
      </c>
      <c r="CN1015" s="238">
        <f t="shared" si="122"/>
        <v>2.6875</v>
      </c>
      <c r="CO1015" s="238">
        <f t="shared" si="123"/>
        <v>16.125</v>
      </c>
    </row>
    <row r="1016" spans="1:93" ht="13.95" customHeight="1" x14ac:dyDescent="0.2">
      <c r="A1016" s="238">
        <v>6869</v>
      </c>
      <c r="B1016" s="241" t="s">
        <v>2736</v>
      </c>
      <c r="C1016" s="238"/>
      <c r="D1016" s="237" t="s">
        <v>2751</v>
      </c>
      <c r="E1016" s="237"/>
      <c r="F1016" s="238">
        <v>526639</v>
      </c>
      <c r="G1016" s="238">
        <v>176128</v>
      </c>
      <c r="H1016" s="232" t="s">
        <v>174</v>
      </c>
      <c r="J1016" s="226"/>
      <c r="K1016" s="238">
        <v>0</v>
      </c>
      <c r="L1016" s="238">
        <v>13</v>
      </c>
      <c r="M1016" s="238">
        <v>13</v>
      </c>
      <c r="N1016" s="238">
        <v>64</v>
      </c>
      <c r="O1016" s="238">
        <v>64</v>
      </c>
      <c r="P1016" s="238" t="s">
        <v>318</v>
      </c>
      <c r="Q1016" s="242" t="s">
        <v>2738</v>
      </c>
      <c r="R1016" s="243" t="s">
        <v>2739</v>
      </c>
      <c r="T1016" s="226"/>
      <c r="U1016" s="238"/>
      <c r="V1016" s="238" t="s">
        <v>321</v>
      </c>
      <c r="W1016" s="226"/>
      <c r="X1016" s="238" t="s">
        <v>322</v>
      </c>
      <c r="Y1016" s="238" t="s">
        <v>323</v>
      </c>
      <c r="Z1016" s="238" t="s">
        <v>323</v>
      </c>
      <c r="AA1016" s="238" t="s">
        <v>324</v>
      </c>
      <c r="AB1016" s="244">
        <v>0</v>
      </c>
      <c r="AD1016" s="238"/>
      <c r="AE1016" s="226"/>
      <c r="AF1016" s="238" t="s">
        <v>57</v>
      </c>
      <c r="AG1016" s="238" t="s">
        <v>470</v>
      </c>
      <c r="AH1016" s="238" t="s">
        <v>2752</v>
      </c>
      <c r="AI1016" s="238"/>
      <c r="AJ1016" s="239">
        <v>0</v>
      </c>
      <c r="AK1016" s="239">
        <v>0</v>
      </c>
      <c r="AL1016" s="239">
        <v>0</v>
      </c>
      <c r="AM1016" s="239">
        <v>0</v>
      </c>
      <c r="AN1016" s="239">
        <v>0</v>
      </c>
      <c r="AO1016" s="239">
        <v>0</v>
      </c>
      <c r="AP1016" s="239">
        <v>0</v>
      </c>
      <c r="AQ1016" s="239">
        <v>0</v>
      </c>
      <c r="AR1016" s="239">
        <v>0</v>
      </c>
      <c r="AS1016" s="239">
        <v>0</v>
      </c>
      <c r="AT1016" s="239">
        <v>13</v>
      </c>
      <c r="AU1016" s="239">
        <v>0</v>
      </c>
      <c r="AV1016" s="239">
        <v>0</v>
      </c>
      <c r="AW1016" s="239">
        <v>0</v>
      </c>
      <c r="AX1016" s="239">
        <v>0</v>
      </c>
      <c r="AY1016" s="239">
        <v>0</v>
      </c>
      <c r="AZ1016" s="239">
        <v>0</v>
      </c>
      <c r="BA1016" s="239">
        <v>13</v>
      </c>
      <c r="BB1016" s="239">
        <v>0</v>
      </c>
      <c r="BC1016" s="239">
        <v>0</v>
      </c>
      <c r="BD1016" s="239">
        <v>0</v>
      </c>
      <c r="BE1016" s="239">
        <v>0</v>
      </c>
      <c r="BF1016" s="239">
        <v>0</v>
      </c>
      <c r="BG1016" s="239">
        <v>0</v>
      </c>
      <c r="BH1016" s="239">
        <v>0</v>
      </c>
      <c r="BI1016" s="239">
        <v>0</v>
      </c>
      <c r="BJ1016" s="239">
        <v>0</v>
      </c>
      <c r="BK1016" s="239">
        <v>0</v>
      </c>
      <c r="BL1016" s="239">
        <v>0</v>
      </c>
      <c r="BM1016" s="239">
        <v>0</v>
      </c>
      <c r="BN1016" s="239">
        <v>0</v>
      </c>
      <c r="BO1016" s="239">
        <v>0</v>
      </c>
      <c r="BP1016" s="238"/>
      <c r="BQ1016" s="238"/>
      <c r="BR1016" s="237" t="s">
        <v>481</v>
      </c>
      <c r="BS1016" s="238">
        <v>19</v>
      </c>
      <c r="BY1016" s="239">
        <f>M1016/16</f>
        <v>0.8125</v>
      </c>
      <c r="BZ1016" s="239">
        <f>M1016/16</f>
        <v>0.8125</v>
      </c>
      <c r="CA1016" s="239">
        <f>M1016/16</f>
        <v>0.8125</v>
      </c>
      <c r="CB1016" s="239">
        <f>M1016/16</f>
        <v>0.8125</v>
      </c>
      <c r="CC1016" s="239">
        <f>M1016/16</f>
        <v>0.8125</v>
      </c>
      <c r="CD1016" s="239">
        <f>M1016/16</f>
        <v>0.8125</v>
      </c>
      <c r="CE1016" s="239">
        <f>M1016/16</f>
        <v>0.8125</v>
      </c>
      <c r="CF1016" s="239">
        <f>M1016/16</f>
        <v>0.8125</v>
      </c>
      <c r="CG1016" s="239">
        <f>M1016/16</f>
        <v>0.8125</v>
      </c>
      <c r="CH1016" s="239">
        <f>M1016/16</f>
        <v>0.8125</v>
      </c>
      <c r="CI1016" s="239">
        <f>M1016/16</f>
        <v>0.8125</v>
      </c>
      <c r="CJ1016" s="239">
        <f>M1016/16</f>
        <v>0.8125</v>
      </c>
      <c r="CK1016" s="239">
        <f>M1016/16</f>
        <v>0.8125</v>
      </c>
      <c r="CL1016" s="239">
        <f>M1016/16</f>
        <v>0.8125</v>
      </c>
      <c r="CM1016" s="239">
        <f>M1016/16</f>
        <v>0.8125</v>
      </c>
      <c r="CN1016" s="238">
        <f t="shared" si="122"/>
        <v>0.8125</v>
      </c>
      <c r="CO1016" s="238">
        <f t="shared" si="123"/>
        <v>4.875</v>
      </c>
    </row>
    <row r="1017" spans="1:93" ht="13.95" customHeight="1" x14ac:dyDescent="0.2">
      <c r="A1017" s="238">
        <v>6869</v>
      </c>
      <c r="B1017" s="241" t="s">
        <v>2736</v>
      </c>
      <c r="C1017" s="238"/>
      <c r="D1017" s="237" t="s">
        <v>2751</v>
      </c>
      <c r="E1017" s="237"/>
      <c r="F1017" s="238">
        <v>526639</v>
      </c>
      <c r="G1017" s="238">
        <v>176128</v>
      </c>
      <c r="H1017" s="232" t="s">
        <v>174</v>
      </c>
      <c r="J1017" s="226"/>
      <c r="K1017" s="238">
        <v>0</v>
      </c>
      <c r="L1017" s="238">
        <v>8</v>
      </c>
      <c r="M1017" s="238">
        <v>8</v>
      </c>
      <c r="N1017" s="238">
        <v>64</v>
      </c>
      <c r="O1017" s="238">
        <v>64</v>
      </c>
      <c r="P1017" s="238" t="s">
        <v>318</v>
      </c>
      <c r="Q1017" s="242" t="s">
        <v>2738</v>
      </c>
      <c r="R1017" s="243" t="s">
        <v>2739</v>
      </c>
      <c r="T1017" s="226"/>
      <c r="U1017" s="238"/>
      <c r="V1017" s="238" t="s">
        <v>321</v>
      </c>
      <c r="W1017" s="226"/>
      <c r="X1017" s="238" t="s">
        <v>322</v>
      </c>
      <c r="Y1017" s="238" t="s">
        <v>323</v>
      </c>
      <c r="Z1017" s="238" t="s">
        <v>323</v>
      </c>
      <c r="AA1017" s="238" t="s">
        <v>324</v>
      </c>
      <c r="AB1017" s="244">
        <v>0</v>
      </c>
      <c r="AD1017" s="238"/>
      <c r="AE1017" s="226"/>
      <c r="AF1017" s="238" t="s">
        <v>56</v>
      </c>
      <c r="AG1017" s="238" t="s">
        <v>1355</v>
      </c>
      <c r="AH1017" s="238" t="s">
        <v>2752</v>
      </c>
      <c r="AI1017" s="238"/>
      <c r="AJ1017" s="239">
        <v>0</v>
      </c>
      <c r="AK1017" s="239">
        <v>0</v>
      </c>
      <c r="AL1017" s="239">
        <v>0</v>
      </c>
      <c r="AM1017" s="239">
        <v>0</v>
      </c>
      <c r="AN1017" s="239">
        <v>0</v>
      </c>
      <c r="AO1017" s="239">
        <v>0</v>
      </c>
      <c r="AP1017" s="239">
        <v>0</v>
      </c>
      <c r="AQ1017" s="239">
        <v>0</v>
      </c>
      <c r="AR1017" s="239">
        <v>0</v>
      </c>
      <c r="AS1017" s="239">
        <v>0</v>
      </c>
      <c r="AT1017" s="239">
        <v>8</v>
      </c>
      <c r="AU1017" s="239">
        <v>0</v>
      </c>
      <c r="AV1017" s="239">
        <v>0</v>
      </c>
      <c r="AW1017" s="239">
        <v>0</v>
      </c>
      <c r="AX1017" s="239">
        <v>0</v>
      </c>
      <c r="AY1017" s="239">
        <v>0</v>
      </c>
      <c r="AZ1017" s="239">
        <v>0</v>
      </c>
      <c r="BA1017" s="239">
        <v>8</v>
      </c>
      <c r="BB1017" s="239">
        <v>0</v>
      </c>
      <c r="BC1017" s="239">
        <v>0</v>
      </c>
      <c r="BD1017" s="239">
        <v>0</v>
      </c>
      <c r="BE1017" s="239">
        <v>0</v>
      </c>
      <c r="BF1017" s="239">
        <v>0</v>
      </c>
      <c r="BG1017" s="239">
        <v>0</v>
      </c>
      <c r="BH1017" s="239">
        <v>0</v>
      </c>
      <c r="BI1017" s="239">
        <v>0</v>
      </c>
      <c r="BJ1017" s="239">
        <v>0</v>
      </c>
      <c r="BK1017" s="239">
        <v>0</v>
      </c>
      <c r="BL1017" s="239">
        <v>0</v>
      </c>
      <c r="BM1017" s="239">
        <v>0</v>
      </c>
      <c r="BN1017" s="239">
        <v>0</v>
      </c>
      <c r="BO1017" s="239">
        <v>0</v>
      </c>
      <c r="BP1017" s="238"/>
      <c r="BQ1017" s="238"/>
      <c r="BR1017" s="237" t="s">
        <v>481</v>
      </c>
      <c r="BS1017" s="238">
        <v>19</v>
      </c>
      <c r="BY1017" s="239">
        <f>M1017/16</f>
        <v>0.5</v>
      </c>
      <c r="BZ1017" s="239">
        <f>M1017/16</f>
        <v>0.5</v>
      </c>
      <c r="CA1017" s="239">
        <f>M1017/16</f>
        <v>0.5</v>
      </c>
      <c r="CB1017" s="239">
        <f>M1017/16</f>
        <v>0.5</v>
      </c>
      <c r="CC1017" s="239">
        <f>M1017/16</f>
        <v>0.5</v>
      </c>
      <c r="CD1017" s="239">
        <f>M1017/16</f>
        <v>0.5</v>
      </c>
      <c r="CE1017" s="239">
        <f>M1017/16</f>
        <v>0.5</v>
      </c>
      <c r="CF1017" s="239">
        <f>M1017/16</f>
        <v>0.5</v>
      </c>
      <c r="CG1017" s="239">
        <f>M1017/16</f>
        <v>0.5</v>
      </c>
      <c r="CH1017" s="239">
        <f>M1017/16</f>
        <v>0.5</v>
      </c>
      <c r="CI1017" s="239">
        <f>M1017/16</f>
        <v>0.5</v>
      </c>
      <c r="CJ1017" s="239">
        <f>M1017/16</f>
        <v>0.5</v>
      </c>
      <c r="CK1017" s="239">
        <f>M1017/16</f>
        <v>0.5</v>
      </c>
      <c r="CL1017" s="239">
        <f>M1017/16</f>
        <v>0.5</v>
      </c>
      <c r="CM1017" s="239">
        <f>M1017/16</f>
        <v>0.5</v>
      </c>
      <c r="CN1017" s="238">
        <f t="shared" si="122"/>
        <v>0.5</v>
      </c>
      <c r="CO1017" s="238">
        <f t="shared" si="123"/>
        <v>3</v>
      </c>
    </row>
    <row r="1018" spans="1:93" ht="13.95" customHeight="1" x14ac:dyDescent="0.2">
      <c r="A1018" s="238">
        <v>7580</v>
      </c>
      <c r="B1018" s="241" t="s">
        <v>2736</v>
      </c>
      <c r="C1018" s="238"/>
      <c r="D1018" s="237" t="s">
        <v>2753</v>
      </c>
      <c r="E1018" s="237"/>
      <c r="F1018" s="238">
        <v>527411.84160000004</v>
      </c>
      <c r="G1018" s="238">
        <v>171480.26829999901</v>
      </c>
      <c r="H1018" s="232" t="s">
        <v>177</v>
      </c>
      <c r="J1018" s="226"/>
      <c r="K1018" s="238">
        <v>0</v>
      </c>
      <c r="L1018" s="238">
        <v>5</v>
      </c>
      <c r="M1018" s="238">
        <v>5</v>
      </c>
      <c r="N1018" s="238">
        <v>5</v>
      </c>
      <c r="O1018" s="238">
        <v>5</v>
      </c>
      <c r="P1018" s="238"/>
      <c r="Q1018" s="242" t="s">
        <v>2738</v>
      </c>
      <c r="R1018" s="238" t="s">
        <v>2739</v>
      </c>
      <c r="T1018" s="226"/>
      <c r="U1018" s="238"/>
      <c r="V1018" s="238" t="s">
        <v>321</v>
      </c>
      <c r="W1018" s="226"/>
      <c r="X1018" s="238" t="s">
        <v>322</v>
      </c>
      <c r="Y1018" s="238" t="s">
        <v>323</v>
      </c>
      <c r="Z1018" s="238" t="s">
        <v>324</v>
      </c>
      <c r="AA1018" s="238" t="s">
        <v>349</v>
      </c>
      <c r="AB1018" s="244">
        <v>0</v>
      </c>
      <c r="AD1018" s="238"/>
      <c r="AE1018" s="226"/>
      <c r="AF1018" s="224" t="s">
        <v>77</v>
      </c>
      <c r="AG1018" s="238" t="s">
        <v>350</v>
      </c>
      <c r="AH1018" s="238" t="s">
        <v>2754</v>
      </c>
      <c r="AI1018" s="238"/>
      <c r="AJ1018" s="239">
        <v>0</v>
      </c>
      <c r="AK1018" s="239">
        <v>0</v>
      </c>
      <c r="AL1018" s="239">
        <v>0</v>
      </c>
      <c r="AM1018" s="239">
        <v>0</v>
      </c>
      <c r="AN1018" s="239">
        <v>0</v>
      </c>
      <c r="AO1018" s="239">
        <v>0</v>
      </c>
      <c r="AP1018" s="239">
        <v>0</v>
      </c>
      <c r="AQ1018" s="239">
        <v>0</v>
      </c>
      <c r="AR1018" s="239">
        <v>0</v>
      </c>
      <c r="AS1018" s="239">
        <v>0</v>
      </c>
      <c r="AT1018" s="239">
        <v>5</v>
      </c>
      <c r="AU1018" s="239">
        <v>0</v>
      </c>
      <c r="AV1018" s="239">
        <v>0</v>
      </c>
      <c r="AW1018" s="239">
        <v>0</v>
      </c>
      <c r="AX1018" s="239">
        <v>0</v>
      </c>
      <c r="AY1018" s="239">
        <v>0</v>
      </c>
      <c r="AZ1018" s="239">
        <v>0</v>
      </c>
      <c r="BA1018" s="239">
        <v>5</v>
      </c>
      <c r="BB1018" s="239">
        <v>0</v>
      </c>
      <c r="BC1018" s="239">
        <v>0</v>
      </c>
      <c r="BD1018" s="239">
        <v>0</v>
      </c>
      <c r="BE1018" s="239">
        <v>0</v>
      </c>
      <c r="BF1018" s="239">
        <v>0</v>
      </c>
      <c r="BG1018" s="239">
        <v>0</v>
      </c>
      <c r="BH1018" s="239">
        <v>0</v>
      </c>
      <c r="BI1018" s="239">
        <v>0</v>
      </c>
      <c r="BJ1018" s="239">
        <v>0</v>
      </c>
      <c r="BK1018" s="239">
        <v>0</v>
      </c>
      <c r="BL1018" s="239">
        <v>0</v>
      </c>
      <c r="BM1018" s="239">
        <v>0</v>
      </c>
      <c r="BN1018" s="239">
        <v>0</v>
      </c>
      <c r="BO1018" s="239">
        <v>0</v>
      </c>
      <c r="BP1018" s="234" t="s">
        <v>144</v>
      </c>
      <c r="BQ1018" s="238"/>
      <c r="BR1018" s="237" t="s">
        <v>144</v>
      </c>
      <c r="BS1018" s="238">
        <v>19</v>
      </c>
      <c r="BX1018" s="239">
        <f>M1018/5</f>
        <v>1</v>
      </c>
      <c r="BY1018" s="239">
        <f>M1018/5</f>
        <v>1</v>
      </c>
      <c r="BZ1018" s="239">
        <f>M1018/5</f>
        <v>1</v>
      </c>
      <c r="CA1018" s="239">
        <f>M1018/5</f>
        <v>1</v>
      </c>
      <c r="CB1018" s="239">
        <f>M1018/5</f>
        <v>1</v>
      </c>
      <c r="CN1018" s="238">
        <f t="shared" si="122"/>
        <v>2</v>
      </c>
      <c r="CO1018" s="238">
        <f t="shared" si="123"/>
        <v>5</v>
      </c>
    </row>
    <row r="1019" spans="1:93" ht="13.95" customHeight="1" x14ac:dyDescent="0.2">
      <c r="A1019" s="238">
        <v>3515</v>
      </c>
      <c r="B1019" s="241" t="s">
        <v>2736</v>
      </c>
      <c r="C1019" s="238"/>
      <c r="D1019" s="237" t="s">
        <v>2755</v>
      </c>
      <c r="E1019" s="237"/>
      <c r="F1019" s="238">
        <v>524039</v>
      </c>
      <c r="G1019" s="238">
        <v>175460</v>
      </c>
      <c r="H1019" s="232" t="s">
        <v>175</v>
      </c>
      <c r="J1019" s="226"/>
      <c r="K1019" s="238">
        <v>0</v>
      </c>
      <c r="L1019" s="238">
        <v>65</v>
      </c>
      <c r="M1019" s="238">
        <v>65</v>
      </c>
      <c r="N1019" s="238">
        <v>97</v>
      </c>
      <c r="O1019" s="238">
        <v>97</v>
      </c>
      <c r="P1019" s="238" t="s">
        <v>318</v>
      </c>
      <c r="Q1019" s="242" t="s">
        <v>2738</v>
      </c>
      <c r="R1019" s="243" t="s">
        <v>2739</v>
      </c>
      <c r="T1019" s="226"/>
      <c r="U1019" s="238"/>
      <c r="V1019" s="238" t="s">
        <v>321</v>
      </c>
      <c r="W1019" s="226"/>
      <c r="X1019" s="238" t="s">
        <v>322</v>
      </c>
      <c r="Y1019" s="238" t="s">
        <v>323</v>
      </c>
      <c r="Z1019" s="238" t="s">
        <v>323</v>
      </c>
      <c r="AA1019" s="238" t="s">
        <v>324</v>
      </c>
      <c r="AB1019" s="244">
        <v>0</v>
      </c>
      <c r="AD1019" s="238"/>
      <c r="AE1019" s="226"/>
      <c r="AF1019" s="224" t="s">
        <v>77</v>
      </c>
      <c r="AG1019" s="238" t="s">
        <v>350</v>
      </c>
      <c r="AH1019" s="238" t="s">
        <v>2756</v>
      </c>
      <c r="AI1019" s="238"/>
      <c r="AJ1019" s="239">
        <v>0</v>
      </c>
      <c r="AK1019" s="239">
        <v>0</v>
      </c>
      <c r="AL1019" s="239">
        <v>0</v>
      </c>
      <c r="AM1019" s="239">
        <v>0</v>
      </c>
      <c r="AN1019" s="239">
        <v>0</v>
      </c>
      <c r="AO1019" s="239">
        <v>0</v>
      </c>
      <c r="AP1019" s="239">
        <v>0</v>
      </c>
      <c r="AQ1019" s="239">
        <v>0</v>
      </c>
      <c r="AR1019" s="239">
        <v>0</v>
      </c>
      <c r="AS1019" s="239">
        <v>0</v>
      </c>
      <c r="AT1019" s="239">
        <v>65</v>
      </c>
      <c r="AU1019" s="239">
        <v>0</v>
      </c>
      <c r="AV1019" s="239">
        <v>0</v>
      </c>
      <c r="AW1019" s="239">
        <v>0</v>
      </c>
      <c r="AX1019" s="239">
        <v>0</v>
      </c>
      <c r="AY1019" s="239">
        <v>0</v>
      </c>
      <c r="AZ1019" s="239">
        <v>0</v>
      </c>
      <c r="BA1019" s="239">
        <v>65</v>
      </c>
      <c r="BB1019" s="239">
        <v>0</v>
      </c>
      <c r="BC1019" s="239">
        <v>0</v>
      </c>
      <c r="BD1019" s="239">
        <v>0</v>
      </c>
      <c r="BE1019" s="239">
        <v>0</v>
      </c>
      <c r="BF1019" s="239">
        <v>0</v>
      </c>
      <c r="BG1019" s="239">
        <v>0</v>
      </c>
      <c r="BH1019" s="239">
        <v>0</v>
      </c>
      <c r="BI1019" s="239">
        <v>0</v>
      </c>
      <c r="BJ1019" s="239">
        <v>0</v>
      </c>
      <c r="BK1019" s="239">
        <v>0</v>
      </c>
      <c r="BL1019" s="239">
        <v>0</v>
      </c>
      <c r="BM1019" s="239">
        <v>0</v>
      </c>
      <c r="BN1019" s="239">
        <v>0</v>
      </c>
      <c r="BO1019" s="239">
        <v>0</v>
      </c>
      <c r="BP1019" s="234" t="s">
        <v>143</v>
      </c>
      <c r="BQ1019" s="238"/>
      <c r="BR1019" s="237" t="s">
        <v>152</v>
      </c>
      <c r="BS1019" s="238">
        <v>19</v>
      </c>
      <c r="CA1019" s="239">
        <f>M1019/4</f>
        <v>16.25</v>
      </c>
      <c r="CB1019" s="239">
        <f>M1019/4</f>
        <v>16.25</v>
      </c>
      <c r="CC1019" s="239">
        <f>M1019/4</f>
        <v>16.25</v>
      </c>
      <c r="CD1019" s="239">
        <f>M1019/4</f>
        <v>16.25</v>
      </c>
      <c r="CN1019" s="238">
        <f t="shared" si="122"/>
        <v>0</v>
      </c>
      <c r="CO1019" s="238">
        <f t="shared" si="123"/>
        <v>65</v>
      </c>
    </row>
    <row r="1020" spans="1:93" ht="13.95" customHeight="1" x14ac:dyDescent="0.2">
      <c r="A1020" s="238">
        <v>3515</v>
      </c>
      <c r="B1020" s="241" t="s">
        <v>2736</v>
      </c>
      <c r="C1020" s="238"/>
      <c r="D1020" s="237" t="s">
        <v>2755</v>
      </c>
      <c r="E1020" s="237"/>
      <c r="F1020" s="238">
        <v>524039</v>
      </c>
      <c r="G1020" s="238">
        <v>175460</v>
      </c>
      <c r="H1020" s="232" t="s">
        <v>175</v>
      </c>
      <c r="J1020" s="226"/>
      <c r="K1020" s="238">
        <v>0</v>
      </c>
      <c r="L1020" s="238">
        <v>20</v>
      </c>
      <c r="M1020" s="238">
        <v>20</v>
      </c>
      <c r="N1020" s="238">
        <v>97</v>
      </c>
      <c r="O1020" s="238">
        <v>97</v>
      </c>
      <c r="P1020" s="238" t="s">
        <v>318</v>
      </c>
      <c r="Q1020" s="242" t="s">
        <v>2738</v>
      </c>
      <c r="R1020" s="243" t="s">
        <v>2739</v>
      </c>
      <c r="T1020" s="226"/>
      <c r="U1020" s="238"/>
      <c r="V1020" s="238" t="s">
        <v>321</v>
      </c>
      <c r="W1020" s="226"/>
      <c r="X1020" s="238" t="s">
        <v>322</v>
      </c>
      <c r="Y1020" s="238" t="s">
        <v>323</v>
      </c>
      <c r="Z1020" s="238" t="s">
        <v>323</v>
      </c>
      <c r="AA1020" s="238" t="s">
        <v>324</v>
      </c>
      <c r="AB1020" s="244">
        <v>0</v>
      </c>
      <c r="AD1020" s="238"/>
      <c r="AE1020" s="226"/>
      <c r="AF1020" s="238" t="s">
        <v>57</v>
      </c>
      <c r="AG1020" s="238" t="s">
        <v>470</v>
      </c>
      <c r="AH1020" s="238" t="s">
        <v>2756</v>
      </c>
      <c r="AI1020" s="238"/>
      <c r="AJ1020" s="239">
        <v>0</v>
      </c>
      <c r="AK1020" s="239">
        <v>0</v>
      </c>
      <c r="AL1020" s="239">
        <v>0</v>
      </c>
      <c r="AM1020" s="239">
        <v>0</v>
      </c>
      <c r="AN1020" s="239">
        <v>0</v>
      </c>
      <c r="AO1020" s="239">
        <v>0</v>
      </c>
      <c r="AP1020" s="239">
        <v>0</v>
      </c>
      <c r="AQ1020" s="239">
        <v>0</v>
      </c>
      <c r="AR1020" s="239">
        <v>0</v>
      </c>
      <c r="AS1020" s="239">
        <v>0</v>
      </c>
      <c r="AT1020" s="239">
        <v>20</v>
      </c>
      <c r="AU1020" s="239">
        <v>0</v>
      </c>
      <c r="AV1020" s="239">
        <v>0</v>
      </c>
      <c r="AW1020" s="239">
        <v>0</v>
      </c>
      <c r="AX1020" s="239">
        <v>0</v>
      </c>
      <c r="AY1020" s="239">
        <v>0</v>
      </c>
      <c r="AZ1020" s="239">
        <v>0</v>
      </c>
      <c r="BA1020" s="239">
        <v>20</v>
      </c>
      <c r="BB1020" s="239">
        <v>0</v>
      </c>
      <c r="BC1020" s="239">
        <v>0</v>
      </c>
      <c r="BD1020" s="239">
        <v>0</v>
      </c>
      <c r="BE1020" s="239">
        <v>0</v>
      </c>
      <c r="BF1020" s="239">
        <v>0</v>
      </c>
      <c r="BG1020" s="239">
        <v>0</v>
      </c>
      <c r="BH1020" s="239">
        <v>0</v>
      </c>
      <c r="BI1020" s="239">
        <v>0</v>
      </c>
      <c r="BJ1020" s="239">
        <v>0</v>
      </c>
      <c r="BK1020" s="239">
        <v>0</v>
      </c>
      <c r="BL1020" s="239">
        <v>0</v>
      </c>
      <c r="BM1020" s="239">
        <v>0</v>
      </c>
      <c r="BN1020" s="239">
        <v>0</v>
      </c>
      <c r="BO1020" s="239">
        <v>0</v>
      </c>
      <c r="BP1020" s="234" t="s">
        <v>143</v>
      </c>
      <c r="BQ1020" s="238"/>
      <c r="BR1020" s="237" t="s">
        <v>152</v>
      </c>
      <c r="BS1020" s="238">
        <v>19</v>
      </c>
      <c r="CA1020" s="239">
        <f>M1020/4</f>
        <v>5</v>
      </c>
      <c r="CB1020" s="239">
        <f>M1020/4</f>
        <v>5</v>
      </c>
      <c r="CC1020" s="239">
        <f>M1020/4</f>
        <v>5</v>
      </c>
      <c r="CD1020" s="239">
        <f>M1020/4</f>
        <v>5</v>
      </c>
      <c r="CN1020" s="238">
        <f t="shared" si="122"/>
        <v>0</v>
      </c>
      <c r="CO1020" s="238">
        <f t="shared" si="123"/>
        <v>20</v>
      </c>
    </row>
    <row r="1021" spans="1:93" ht="13.95" customHeight="1" x14ac:dyDescent="0.2">
      <c r="A1021" s="238">
        <v>3515</v>
      </c>
      <c r="B1021" s="241" t="s">
        <v>2736</v>
      </c>
      <c r="C1021" s="238"/>
      <c r="D1021" s="237" t="s">
        <v>2755</v>
      </c>
      <c r="E1021" s="237"/>
      <c r="F1021" s="238">
        <v>524039</v>
      </c>
      <c r="G1021" s="238">
        <v>175460</v>
      </c>
      <c r="H1021" s="232" t="s">
        <v>175</v>
      </c>
      <c r="J1021" s="226"/>
      <c r="K1021" s="238">
        <v>0</v>
      </c>
      <c r="L1021" s="238">
        <v>12</v>
      </c>
      <c r="M1021" s="238">
        <v>12</v>
      </c>
      <c r="N1021" s="238">
        <v>97</v>
      </c>
      <c r="O1021" s="238">
        <v>97</v>
      </c>
      <c r="P1021" s="238" t="s">
        <v>318</v>
      </c>
      <c r="Q1021" s="242" t="s">
        <v>2738</v>
      </c>
      <c r="R1021" s="243" t="s">
        <v>2739</v>
      </c>
      <c r="T1021" s="226"/>
      <c r="U1021" s="238"/>
      <c r="V1021" s="238" t="s">
        <v>321</v>
      </c>
      <c r="W1021" s="226"/>
      <c r="X1021" s="238" t="s">
        <v>322</v>
      </c>
      <c r="Y1021" s="238" t="s">
        <v>323</v>
      </c>
      <c r="Z1021" s="238" t="s">
        <v>323</v>
      </c>
      <c r="AA1021" s="238" t="s">
        <v>324</v>
      </c>
      <c r="AB1021" s="244">
        <v>0</v>
      </c>
      <c r="AD1021" s="238"/>
      <c r="AE1021" s="226"/>
      <c r="AF1021" s="238" t="s">
        <v>56</v>
      </c>
      <c r="AG1021" s="238" t="s">
        <v>1355</v>
      </c>
      <c r="AH1021" s="238" t="s">
        <v>2756</v>
      </c>
      <c r="AI1021" s="238"/>
      <c r="AJ1021" s="239">
        <v>0</v>
      </c>
      <c r="AK1021" s="239">
        <v>0</v>
      </c>
      <c r="AL1021" s="239">
        <v>0</v>
      </c>
      <c r="AM1021" s="239">
        <v>0</v>
      </c>
      <c r="AN1021" s="239">
        <v>0</v>
      </c>
      <c r="AO1021" s="239">
        <v>0</v>
      </c>
      <c r="AP1021" s="239">
        <v>0</v>
      </c>
      <c r="AQ1021" s="239">
        <v>0</v>
      </c>
      <c r="AR1021" s="239">
        <v>0</v>
      </c>
      <c r="AS1021" s="239">
        <v>0</v>
      </c>
      <c r="AT1021" s="239">
        <v>12</v>
      </c>
      <c r="AU1021" s="239">
        <v>0</v>
      </c>
      <c r="AV1021" s="239">
        <v>0</v>
      </c>
      <c r="AW1021" s="239">
        <v>0</v>
      </c>
      <c r="AX1021" s="239">
        <v>0</v>
      </c>
      <c r="AY1021" s="239">
        <v>0</v>
      </c>
      <c r="AZ1021" s="239">
        <v>0</v>
      </c>
      <c r="BA1021" s="239">
        <v>12</v>
      </c>
      <c r="BB1021" s="239">
        <v>0</v>
      </c>
      <c r="BC1021" s="239">
        <v>0</v>
      </c>
      <c r="BD1021" s="239">
        <v>0</v>
      </c>
      <c r="BE1021" s="239">
        <v>0</v>
      </c>
      <c r="BF1021" s="239">
        <v>0</v>
      </c>
      <c r="BG1021" s="239">
        <v>0</v>
      </c>
      <c r="BH1021" s="239">
        <v>0</v>
      </c>
      <c r="BI1021" s="239">
        <v>0</v>
      </c>
      <c r="BJ1021" s="239">
        <v>0</v>
      </c>
      <c r="BK1021" s="239">
        <v>0</v>
      </c>
      <c r="BL1021" s="239">
        <v>0</v>
      </c>
      <c r="BM1021" s="239">
        <v>0</v>
      </c>
      <c r="BN1021" s="239">
        <v>0</v>
      </c>
      <c r="BO1021" s="239">
        <v>0</v>
      </c>
      <c r="BP1021" s="234" t="s">
        <v>143</v>
      </c>
      <c r="BQ1021" s="238"/>
      <c r="BR1021" s="237" t="s">
        <v>152</v>
      </c>
      <c r="BS1021" s="238">
        <v>19</v>
      </c>
      <c r="CA1021" s="239">
        <f>M1021/4</f>
        <v>3</v>
      </c>
      <c r="CB1021" s="239">
        <f>M1021/4</f>
        <v>3</v>
      </c>
      <c r="CC1021" s="239">
        <f>M1021/4</f>
        <v>3</v>
      </c>
      <c r="CD1021" s="239">
        <f>M1021/4</f>
        <v>3</v>
      </c>
      <c r="CN1021" s="238">
        <f t="shared" si="122"/>
        <v>0</v>
      </c>
      <c r="CO1021" s="238">
        <f t="shared" si="123"/>
        <v>12</v>
      </c>
    </row>
    <row r="1022" spans="1:93" ht="13.95" customHeight="1" x14ac:dyDescent="0.2">
      <c r="A1022" s="238">
        <v>7132</v>
      </c>
      <c r="B1022" s="241" t="s">
        <v>2736</v>
      </c>
      <c r="C1022" s="238"/>
      <c r="D1022" s="237" t="s">
        <v>2757</v>
      </c>
      <c r="E1022" s="237"/>
      <c r="F1022" s="238">
        <v>525690.77379999903</v>
      </c>
      <c r="G1022" s="238">
        <v>174603.17490000001</v>
      </c>
      <c r="H1022" s="232" t="s">
        <v>181</v>
      </c>
      <c r="J1022" s="226"/>
      <c r="K1022" s="238">
        <v>0</v>
      </c>
      <c r="L1022" s="238">
        <v>7</v>
      </c>
      <c r="M1022" s="238">
        <v>7</v>
      </c>
      <c r="N1022" s="238">
        <v>7</v>
      </c>
      <c r="O1022" s="238">
        <v>7</v>
      </c>
      <c r="P1022" s="238"/>
      <c r="Q1022" s="242" t="s">
        <v>2738</v>
      </c>
      <c r="R1022" s="238" t="s">
        <v>2739</v>
      </c>
      <c r="T1022" s="226"/>
      <c r="U1022" s="238"/>
      <c r="V1022" s="238" t="s">
        <v>321</v>
      </c>
      <c r="W1022" s="226"/>
      <c r="X1022" s="238" t="s">
        <v>322</v>
      </c>
      <c r="Y1022" s="238" t="s">
        <v>323</v>
      </c>
      <c r="Z1022" s="238" t="s">
        <v>324</v>
      </c>
      <c r="AA1022" s="238" t="s">
        <v>349</v>
      </c>
      <c r="AB1022" s="244">
        <v>0</v>
      </c>
      <c r="AD1022" s="238"/>
      <c r="AE1022" s="226"/>
      <c r="AF1022" s="224" t="s">
        <v>77</v>
      </c>
      <c r="AG1022" s="238" t="s">
        <v>350</v>
      </c>
      <c r="AH1022" s="238" t="s">
        <v>2758</v>
      </c>
      <c r="AI1022" s="238"/>
      <c r="AJ1022" s="239">
        <v>0</v>
      </c>
      <c r="AK1022" s="239">
        <v>0</v>
      </c>
      <c r="AL1022" s="239">
        <v>0</v>
      </c>
      <c r="AM1022" s="239">
        <v>0</v>
      </c>
      <c r="AN1022" s="239">
        <v>0</v>
      </c>
      <c r="AO1022" s="239">
        <v>0</v>
      </c>
      <c r="AP1022" s="239">
        <v>0</v>
      </c>
      <c r="AQ1022" s="239">
        <v>0</v>
      </c>
      <c r="AR1022" s="239">
        <v>0</v>
      </c>
      <c r="AS1022" s="239">
        <v>0</v>
      </c>
      <c r="AT1022" s="239">
        <v>7</v>
      </c>
      <c r="AU1022" s="239">
        <v>0</v>
      </c>
      <c r="AV1022" s="239">
        <v>0</v>
      </c>
      <c r="AW1022" s="239">
        <v>0</v>
      </c>
      <c r="AX1022" s="239">
        <v>0</v>
      </c>
      <c r="AY1022" s="239">
        <v>0</v>
      </c>
      <c r="AZ1022" s="239">
        <v>0</v>
      </c>
      <c r="BA1022" s="239">
        <v>7</v>
      </c>
      <c r="BB1022" s="239">
        <v>0</v>
      </c>
      <c r="BC1022" s="239">
        <v>0</v>
      </c>
      <c r="BD1022" s="239">
        <v>0</v>
      </c>
      <c r="BE1022" s="239">
        <v>0</v>
      </c>
      <c r="BF1022" s="239">
        <v>0</v>
      </c>
      <c r="BG1022" s="239">
        <v>0</v>
      </c>
      <c r="BH1022" s="239">
        <v>0</v>
      </c>
      <c r="BI1022" s="239">
        <v>0</v>
      </c>
      <c r="BJ1022" s="239">
        <v>0</v>
      </c>
      <c r="BK1022" s="239">
        <v>0</v>
      </c>
      <c r="BL1022" s="239">
        <v>0</v>
      </c>
      <c r="BM1022" s="239">
        <v>0</v>
      </c>
      <c r="BN1022" s="239">
        <v>0</v>
      </c>
      <c r="BO1022" s="239">
        <v>0</v>
      </c>
      <c r="BP1022" s="234" t="s">
        <v>145</v>
      </c>
      <c r="BQ1022" s="238"/>
      <c r="BR1022" s="237" t="s">
        <v>327</v>
      </c>
      <c r="BS1022" s="238">
        <v>19</v>
      </c>
      <c r="CC1022" s="239">
        <f>M1022/12</f>
        <v>0.58333333333333337</v>
      </c>
      <c r="CD1022" s="239">
        <f>M1022/12</f>
        <v>0.58333333333333337</v>
      </c>
      <c r="CE1022" s="239">
        <f>M1022/12</f>
        <v>0.58333333333333337</v>
      </c>
      <c r="CF1022" s="239">
        <f>M1022/12</f>
        <v>0.58333333333333337</v>
      </c>
      <c r="CG1022" s="239">
        <f>M1022/12</f>
        <v>0.58333333333333337</v>
      </c>
      <c r="CH1022" s="239">
        <f>M1022/12</f>
        <v>0.58333333333333337</v>
      </c>
      <c r="CI1022" s="239">
        <f>M1022/12</f>
        <v>0.58333333333333337</v>
      </c>
      <c r="CJ1022" s="239">
        <f>M1022/12</f>
        <v>0.58333333333333337</v>
      </c>
      <c r="CK1022" s="239">
        <f>M1022/12</f>
        <v>0.58333333333333337</v>
      </c>
      <c r="CL1022" s="239">
        <f>M1022/12</f>
        <v>0.58333333333333337</v>
      </c>
      <c r="CM1022" s="239">
        <f>M1022/12</f>
        <v>0.58333333333333337</v>
      </c>
      <c r="CN1022" s="238">
        <f t="shared" si="122"/>
        <v>0</v>
      </c>
      <c r="CO1022" s="238">
        <f t="shared" si="123"/>
        <v>1.1666666666666667</v>
      </c>
    </row>
    <row r="1023" spans="1:93" ht="13.95" customHeight="1" x14ac:dyDescent="0.2">
      <c r="A1023" s="238">
        <v>7587</v>
      </c>
      <c r="B1023" s="241" t="s">
        <v>2736</v>
      </c>
      <c r="C1023" s="238"/>
      <c r="D1023" s="237" t="s">
        <v>2759</v>
      </c>
      <c r="E1023" s="237"/>
      <c r="F1023" s="238">
        <v>525271.18099999905</v>
      </c>
      <c r="G1023" s="238">
        <v>174956.73670000001</v>
      </c>
      <c r="H1023" s="232" t="s">
        <v>181</v>
      </c>
      <c r="J1023" s="226"/>
      <c r="K1023" s="238">
        <v>0</v>
      </c>
      <c r="L1023" s="238">
        <v>17</v>
      </c>
      <c r="M1023" s="238">
        <v>17</v>
      </c>
      <c r="N1023" s="238">
        <v>25</v>
      </c>
      <c r="O1023" s="238">
        <v>25</v>
      </c>
      <c r="P1023" s="238" t="s">
        <v>318</v>
      </c>
      <c r="Q1023" s="242" t="s">
        <v>2738</v>
      </c>
      <c r="R1023" s="243" t="s">
        <v>2739</v>
      </c>
      <c r="T1023" s="226"/>
      <c r="U1023" s="238"/>
      <c r="V1023" s="238" t="s">
        <v>321</v>
      </c>
      <c r="W1023" s="226"/>
      <c r="X1023" s="238" t="s">
        <v>322</v>
      </c>
      <c r="Y1023" s="238" t="s">
        <v>323</v>
      </c>
      <c r="Z1023" s="238" t="s">
        <v>323</v>
      </c>
      <c r="AA1023" s="238" t="s">
        <v>324</v>
      </c>
      <c r="AB1023" s="244">
        <v>0</v>
      </c>
      <c r="AD1023" s="238"/>
      <c r="AE1023" s="226"/>
      <c r="AF1023" s="224" t="s">
        <v>77</v>
      </c>
      <c r="AG1023" s="238" t="s">
        <v>350</v>
      </c>
      <c r="AH1023" s="238" t="s">
        <v>2760</v>
      </c>
      <c r="AI1023" s="238"/>
      <c r="AJ1023" s="239">
        <v>0</v>
      </c>
      <c r="AK1023" s="239">
        <v>0</v>
      </c>
      <c r="AL1023" s="239">
        <v>0</v>
      </c>
      <c r="AM1023" s="239">
        <v>0</v>
      </c>
      <c r="AN1023" s="239">
        <v>0</v>
      </c>
      <c r="AO1023" s="239">
        <v>0</v>
      </c>
      <c r="AP1023" s="239">
        <v>0</v>
      </c>
      <c r="AQ1023" s="239">
        <v>0</v>
      </c>
      <c r="AR1023" s="239">
        <v>0</v>
      </c>
      <c r="AS1023" s="239">
        <v>0</v>
      </c>
      <c r="AT1023" s="239">
        <v>17</v>
      </c>
      <c r="AU1023" s="239">
        <v>0</v>
      </c>
      <c r="AV1023" s="239">
        <v>0</v>
      </c>
      <c r="AW1023" s="239">
        <v>0</v>
      </c>
      <c r="AX1023" s="239">
        <v>0</v>
      </c>
      <c r="AY1023" s="239">
        <v>0</v>
      </c>
      <c r="AZ1023" s="239">
        <v>0</v>
      </c>
      <c r="BA1023" s="239">
        <v>17</v>
      </c>
      <c r="BB1023" s="239">
        <v>0</v>
      </c>
      <c r="BC1023" s="239">
        <v>0</v>
      </c>
      <c r="BD1023" s="239">
        <v>0</v>
      </c>
      <c r="BE1023" s="239">
        <v>0</v>
      </c>
      <c r="BF1023" s="239">
        <v>0</v>
      </c>
      <c r="BG1023" s="239">
        <v>0</v>
      </c>
      <c r="BH1023" s="239">
        <v>0</v>
      </c>
      <c r="BI1023" s="239">
        <v>0</v>
      </c>
      <c r="BJ1023" s="239">
        <v>0</v>
      </c>
      <c r="BK1023" s="239">
        <v>0</v>
      </c>
      <c r="BL1023" s="239">
        <v>0</v>
      </c>
      <c r="BM1023" s="239">
        <v>0</v>
      </c>
      <c r="BN1023" s="239">
        <v>0</v>
      </c>
      <c r="BO1023" s="239">
        <v>0</v>
      </c>
      <c r="BP1023" s="238"/>
      <c r="BQ1023" s="238"/>
      <c r="BR1023" s="237" t="s">
        <v>327</v>
      </c>
      <c r="BS1023" s="238">
        <v>19</v>
      </c>
      <c r="BX1023" s="239">
        <f>M1023</f>
        <v>17</v>
      </c>
      <c r="CN1023" s="238">
        <f t="shared" si="122"/>
        <v>17</v>
      </c>
      <c r="CO1023" s="238">
        <f t="shared" si="123"/>
        <v>17</v>
      </c>
    </row>
    <row r="1024" spans="1:93" ht="13.95" customHeight="1" x14ac:dyDescent="0.2">
      <c r="A1024" s="238">
        <v>7587</v>
      </c>
      <c r="B1024" s="241" t="s">
        <v>2736</v>
      </c>
      <c r="C1024" s="238"/>
      <c r="D1024" s="237" t="s">
        <v>2759</v>
      </c>
      <c r="E1024" s="237"/>
      <c r="F1024" s="238">
        <v>525271.18099999905</v>
      </c>
      <c r="G1024" s="238">
        <v>174956.73670000001</v>
      </c>
      <c r="H1024" s="232" t="s">
        <v>181</v>
      </c>
      <c r="J1024" s="226"/>
      <c r="K1024" s="238">
        <v>0</v>
      </c>
      <c r="L1024" s="238">
        <v>5</v>
      </c>
      <c r="M1024" s="238">
        <v>5</v>
      </c>
      <c r="N1024" s="238">
        <v>25</v>
      </c>
      <c r="O1024" s="238">
        <v>25</v>
      </c>
      <c r="P1024" s="238" t="s">
        <v>318</v>
      </c>
      <c r="Q1024" s="242" t="s">
        <v>2738</v>
      </c>
      <c r="R1024" s="243" t="s">
        <v>2739</v>
      </c>
      <c r="T1024" s="226"/>
      <c r="U1024" s="238"/>
      <c r="V1024" s="238" t="s">
        <v>321</v>
      </c>
      <c r="W1024" s="226"/>
      <c r="X1024" s="238" t="s">
        <v>322</v>
      </c>
      <c r="Y1024" s="238" t="s">
        <v>323</v>
      </c>
      <c r="Z1024" s="238" t="s">
        <v>323</v>
      </c>
      <c r="AA1024" s="238" t="s">
        <v>324</v>
      </c>
      <c r="AB1024" s="244">
        <v>0</v>
      </c>
      <c r="AD1024" s="238"/>
      <c r="AE1024" s="226"/>
      <c r="AF1024" s="238" t="s">
        <v>57</v>
      </c>
      <c r="AG1024" s="238" t="s">
        <v>470</v>
      </c>
      <c r="AH1024" s="238" t="s">
        <v>2760</v>
      </c>
      <c r="AI1024" s="238"/>
      <c r="AJ1024" s="239">
        <v>0</v>
      </c>
      <c r="AK1024" s="239">
        <v>0</v>
      </c>
      <c r="AL1024" s="239">
        <v>0</v>
      </c>
      <c r="AM1024" s="239">
        <v>0</v>
      </c>
      <c r="AN1024" s="239">
        <v>0</v>
      </c>
      <c r="AO1024" s="239">
        <v>0</v>
      </c>
      <c r="AP1024" s="239">
        <v>0</v>
      </c>
      <c r="AQ1024" s="239">
        <v>0</v>
      </c>
      <c r="AR1024" s="239">
        <v>0</v>
      </c>
      <c r="AS1024" s="239">
        <v>0</v>
      </c>
      <c r="AT1024" s="239">
        <v>5</v>
      </c>
      <c r="AU1024" s="239">
        <v>0</v>
      </c>
      <c r="AV1024" s="239">
        <v>0</v>
      </c>
      <c r="AW1024" s="239">
        <v>0</v>
      </c>
      <c r="AX1024" s="239">
        <v>0</v>
      </c>
      <c r="AY1024" s="239">
        <v>0</v>
      </c>
      <c r="AZ1024" s="239">
        <v>0</v>
      </c>
      <c r="BA1024" s="239">
        <v>5</v>
      </c>
      <c r="BB1024" s="239">
        <v>0</v>
      </c>
      <c r="BC1024" s="239">
        <v>0</v>
      </c>
      <c r="BD1024" s="239">
        <v>0</v>
      </c>
      <c r="BE1024" s="239">
        <v>0</v>
      </c>
      <c r="BF1024" s="239">
        <v>0</v>
      </c>
      <c r="BG1024" s="239">
        <v>0</v>
      </c>
      <c r="BH1024" s="239">
        <v>0</v>
      </c>
      <c r="BI1024" s="239">
        <v>0</v>
      </c>
      <c r="BJ1024" s="239">
        <v>0</v>
      </c>
      <c r="BK1024" s="239">
        <v>0</v>
      </c>
      <c r="BL1024" s="239">
        <v>0</v>
      </c>
      <c r="BM1024" s="239">
        <v>0</v>
      </c>
      <c r="BN1024" s="239">
        <v>0</v>
      </c>
      <c r="BO1024" s="239">
        <v>0</v>
      </c>
      <c r="BP1024" s="238"/>
      <c r="BQ1024" s="238"/>
      <c r="BR1024" s="237" t="s">
        <v>327</v>
      </c>
      <c r="BS1024" s="238">
        <v>19</v>
      </c>
      <c r="BX1024" s="239">
        <f>M1024</f>
        <v>5</v>
      </c>
      <c r="CN1024" s="238">
        <f t="shared" si="122"/>
        <v>5</v>
      </c>
      <c r="CO1024" s="238">
        <f t="shared" si="123"/>
        <v>5</v>
      </c>
    </row>
    <row r="1025" spans="1:93" ht="13.95" customHeight="1" x14ac:dyDescent="0.2">
      <c r="A1025" s="238">
        <v>7587</v>
      </c>
      <c r="B1025" s="241" t="s">
        <v>2736</v>
      </c>
      <c r="C1025" s="238"/>
      <c r="D1025" s="237" t="s">
        <v>2759</v>
      </c>
      <c r="E1025" s="237"/>
      <c r="F1025" s="238">
        <v>525271.18099999905</v>
      </c>
      <c r="G1025" s="238">
        <v>174956.73670000001</v>
      </c>
      <c r="H1025" s="232" t="s">
        <v>181</v>
      </c>
      <c r="J1025" s="226"/>
      <c r="K1025" s="238">
        <v>0</v>
      </c>
      <c r="L1025" s="238">
        <v>3</v>
      </c>
      <c r="M1025" s="238">
        <v>3</v>
      </c>
      <c r="N1025" s="238">
        <v>25</v>
      </c>
      <c r="O1025" s="238">
        <v>25</v>
      </c>
      <c r="P1025" s="238" t="s">
        <v>318</v>
      </c>
      <c r="Q1025" s="242" t="s">
        <v>2738</v>
      </c>
      <c r="R1025" s="243" t="s">
        <v>2739</v>
      </c>
      <c r="T1025" s="226"/>
      <c r="U1025" s="238"/>
      <c r="V1025" s="238" t="s">
        <v>321</v>
      </c>
      <c r="W1025" s="226"/>
      <c r="X1025" s="238" t="s">
        <v>322</v>
      </c>
      <c r="Y1025" s="238" t="s">
        <v>323</v>
      </c>
      <c r="Z1025" s="238" t="s">
        <v>323</v>
      </c>
      <c r="AA1025" s="238" t="s">
        <v>324</v>
      </c>
      <c r="AB1025" s="244">
        <v>0</v>
      </c>
      <c r="AD1025" s="238"/>
      <c r="AE1025" s="226"/>
      <c r="AF1025" s="238" t="s">
        <v>56</v>
      </c>
      <c r="AG1025" s="238" t="s">
        <v>1355</v>
      </c>
      <c r="AH1025" s="238" t="s">
        <v>2760</v>
      </c>
      <c r="AI1025" s="238"/>
      <c r="AJ1025" s="239">
        <v>0</v>
      </c>
      <c r="AK1025" s="239">
        <v>0</v>
      </c>
      <c r="AL1025" s="239">
        <v>0</v>
      </c>
      <c r="AM1025" s="239">
        <v>0</v>
      </c>
      <c r="AN1025" s="239">
        <v>0</v>
      </c>
      <c r="AO1025" s="239">
        <v>0</v>
      </c>
      <c r="AP1025" s="239">
        <v>0</v>
      </c>
      <c r="AQ1025" s="239">
        <v>0</v>
      </c>
      <c r="AR1025" s="239">
        <v>0</v>
      </c>
      <c r="AS1025" s="239">
        <v>0</v>
      </c>
      <c r="AT1025" s="239">
        <v>3</v>
      </c>
      <c r="AU1025" s="239">
        <v>0</v>
      </c>
      <c r="AV1025" s="239">
        <v>0</v>
      </c>
      <c r="AW1025" s="239">
        <v>0</v>
      </c>
      <c r="AX1025" s="239">
        <v>0</v>
      </c>
      <c r="AY1025" s="239">
        <v>0</v>
      </c>
      <c r="AZ1025" s="239">
        <v>0</v>
      </c>
      <c r="BA1025" s="239">
        <v>3</v>
      </c>
      <c r="BB1025" s="239">
        <v>0</v>
      </c>
      <c r="BC1025" s="239">
        <v>0</v>
      </c>
      <c r="BD1025" s="239">
        <v>0</v>
      </c>
      <c r="BE1025" s="239">
        <v>0</v>
      </c>
      <c r="BF1025" s="239">
        <v>0</v>
      </c>
      <c r="BG1025" s="239">
        <v>0</v>
      </c>
      <c r="BH1025" s="239">
        <v>0</v>
      </c>
      <c r="BI1025" s="239">
        <v>0</v>
      </c>
      <c r="BJ1025" s="239">
        <v>0</v>
      </c>
      <c r="BK1025" s="239">
        <v>0</v>
      </c>
      <c r="BL1025" s="239">
        <v>0</v>
      </c>
      <c r="BM1025" s="239">
        <v>0</v>
      </c>
      <c r="BN1025" s="239">
        <v>0</v>
      </c>
      <c r="BO1025" s="239">
        <v>0</v>
      </c>
      <c r="BP1025" s="238"/>
      <c r="BQ1025" s="238"/>
      <c r="BR1025" s="237" t="s">
        <v>327</v>
      </c>
      <c r="BS1025" s="238">
        <v>19</v>
      </c>
      <c r="BX1025" s="239">
        <f>M1025</f>
        <v>3</v>
      </c>
      <c r="CN1025" s="238">
        <f t="shared" si="122"/>
        <v>3</v>
      </c>
      <c r="CO1025" s="238">
        <f t="shared" si="123"/>
        <v>3</v>
      </c>
    </row>
    <row r="1026" spans="1:93" ht="13.95" customHeight="1" x14ac:dyDescent="0.2">
      <c r="A1026" s="238">
        <v>6871</v>
      </c>
      <c r="B1026" s="241" t="s">
        <v>2736</v>
      </c>
      <c r="C1026" s="238"/>
      <c r="D1026" s="237" t="s">
        <v>2761</v>
      </c>
      <c r="E1026" s="237"/>
      <c r="F1026" s="238">
        <v>526746</v>
      </c>
      <c r="G1026" s="238">
        <v>176345</v>
      </c>
      <c r="H1026" s="232" t="s">
        <v>174</v>
      </c>
      <c r="J1026" s="226"/>
      <c r="K1026" s="238">
        <v>0</v>
      </c>
      <c r="L1026" s="238">
        <v>48</v>
      </c>
      <c r="M1026" s="238">
        <v>48</v>
      </c>
      <c r="N1026" s="238">
        <v>71</v>
      </c>
      <c r="O1026" s="238">
        <v>71</v>
      </c>
      <c r="P1026" s="238" t="s">
        <v>318</v>
      </c>
      <c r="Q1026" s="242" t="s">
        <v>2738</v>
      </c>
      <c r="R1026" s="243" t="s">
        <v>2739</v>
      </c>
      <c r="T1026" s="226"/>
      <c r="U1026" s="238"/>
      <c r="V1026" s="238" t="s">
        <v>321</v>
      </c>
      <c r="W1026" s="226"/>
      <c r="X1026" s="238" t="s">
        <v>322</v>
      </c>
      <c r="Y1026" s="238" t="s">
        <v>323</v>
      </c>
      <c r="Z1026" s="238" t="s">
        <v>323</v>
      </c>
      <c r="AA1026" s="238" t="s">
        <v>324</v>
      </c>
      <c r="AB1026" s="244">
        <v>0</v>
      </c>
      <c r="AD1026" s="238"/>
      <c r="AE1026" s="226"/>
      <c r="AF1026" s="224" t="s">
        <v>77</v>
      </c>
      <c r="AG1026" s="238" t="s">
        <v>350</v>
      </c>
      <c r="AH1026" s="238" t="s">
        <v>2762</v>
      </c>
      <c r="AI1026" s="238"/>
      <c r="AJ1026" s="239">
        <v>0</v>
      </c>
      <c r="AK1026" s="239">
        <v>0</v>
      </c>
      <c r="AL1026" s="239">
        <v>0</v>
      </c>
      <c r="AM1026" s="239">
        <v>0</v>
      </c>
      <c r="AN1026" s="239">
        <v>0</v>
      </c>
      <c r="AO1026" s="239">
        <v>0</v>
      </c>
      <c r="AP1026" s="239">
        <v>0</v>
      </c>
      <c r="AQ1026" s="239">
        <v>0</v>
      </c>
      <c r="AR1026" s="239">
        <v>0</v>
      </c>
      <c r="AS1026" s="239">
        <v>0</v>
      </c>
      <c r="AT1026" s="239">
        <v>48</v>
      </c>
      <c r="AU1026" s="239">
        <v>0</v>
      </c>
      <c r="AV1026" s="239">
        <v>0</v>
      </c>
      <c r="AW1026" s="239">
        <v>0</v>
      </c>
      <c r="AX1026" s="239">
        <v>0</v>
      </c>
      <c r="AY1026" s="239">
        <v>0</v>
      </c>
      <c r="AZ1026" s="239">
        <v>0</v>
      </c>
      <c r="BA1026" s="239">
        <v>48</v>
      </c>
      <c r="BB1026" s="239">
        <v>0</v>
      </c>
      <c r="BC1026" s="239">
        <v>0</v>
      </c>
      <c r="BD1026" s="239">
        <v>0</v>
      </c>
      <c r="BE1026" s="239">
        <v>0</v>
      </c>
      <c r="BF1026" s="239">
        <v>0</v>
      </c>
      <c r="BG1026" s="239">
        <v>0</v>
      </c>
      <c r="BH1026" s="239">
        <v>0</v>
      </c>
      <c r="BI1026" s="239">
        <v>0</v>
      </c>
      <c r="BJ1026" s="239">
        <v>0</v>
      </c>
      <c r="BK1026" s="239">
        <v>0</v>
      </c>
      <c r="BL1026" s="239">
        <v>0</v>
      </c>
      <c r="BM1026" s="239">
        <v>0</v>
      </c>
      <c r="BN1026" s="239">
        <v>0</v>
      </c>
      <c r="BO1026" s="239">
        <v>0</v>
      </c>
      <c r="BP1026" s="238"/>
      <c r="BQ1026" s="238"/>
      <c r="BR1026" s="237" t="s">
        <v>481</v>
      </c>
      <c r="BS1026" s="238">
        <v>19</v>
      </c>
      <c r="BY1026" s="239">
        <f>M1026/16</f>
        <v>3</v>
      </c>
      <c r="BZ1026" s="239">
        <f>M1026/16</f>
        <v>3</v>
      </c>
      <c r="CA1026" s="239">
        <f>M1026/16</f>
        <v>3</v>
      </c>
      <c r="CB1026" s="239">
        <f>M1026/16</f>
        <v>3</v>
      </c>
      <c r="CC1026" s="239">
        <f>M1026/16</f>
        <v>3</v>
      </c>
      <c r="CD1026" s="239">
        <f>M1026/16</f>
        <v>3</v>
      </c>
      <c r="CE1026" s="239">
        <f>M1026/16</f>
        <v>3</v>
      </c>
      <c r="CF1026" s="239">
        <f>M1026/16</f>
        <v>3</v>
      </c>
      <c r="CG1026" s="239">
        <f>M1026/16</f>
        <v>3</v>
      </c>
      <c r="CH1026" s="239">
        <f>M1026/16</f>
        <v>3</v>
      </c>
      <c r="CI1026" s="239">
        <f>M1026/16</f>
        <v>3</v>
      </c>
      <c r="CJ1026" s="239">
        <f>M1026/16</f>
        <v>3</v>
      </c>
      <c r="CK1026" s="239">
        <f>M1026/16</f>
        <v>3</v>
      </c>
      <c r="CL1026" s="239">
        <f>M1026/16</f>
        <v>3</v>
      </c>
      <c r="CM1026" s="239">
        <f>M1026/16</f>
        <v>3</v>
      </c>
      <c r="CN1026" s="238">
        <f t="shared" si="122"/>
        <v>3</v>
      </c>
      <c r="CO1026" s="238">
        <f t="shared" si="123"/>
        <v>18</v>
      </c>
    </row>
    <row r="1027" spans="1:93" ht="13.95" customHeight="1" x14ac:dyDescent="0.2">
      <c r="A1027" s="238">
        <v>6871</v>
      </c>
      <c r="B1027" s="241" t="s">
        <v>2736</v>
      </c>
      <c r="C1027" s="238"/>
      <c r="D1027" s="237" t="s">
        <v>2761</v>
      </c>
      <c r="E1027" s="237"/>
      <c r="F1027" s="238">
        <v>526746</v>
      </c>
      <c r="G1027" s="238">
        <v>176345</v>
      </c>
      <c r="H1027" s="232" t="s">
        <v>174</v>
      </c>
      <c r="J1027" s="226"/>
      <c r="K1027" s="238">
        <v>0</v>
      </c>
      <c r="L1027" s="238">
        <v>14</v>
      </c>
      <c r="M1027" s="238">
        <v>14</v>
      </c>
      <c r="N1027" s="238">
        <v>71</v>
      </c>
      <c r="O1027" s="238">
        <v>71</v>
      </c>
      <c r="P1027" s="238" t="s">
        <v>318</v>
      </c>
      <c r="Q1027" s="242" t="s">
        <v>2738</v>
      </c>
      <c r="R1027" s="243" t="s">
        <v>2739</v>
      </c>
      <c r="T1027" s="226"/>
      <c r="U1027" s="238"/>
      <c r="V1027" s="238" t="s">
        <v>321</v>
      </c>
      <c r="W1027" s="226"/>
      <c r="X1027" s="238" t="s">
        <v>322</v>
      </c>
      <c r="Y1027" s="238" t="s">
        <v>323</v>
      </c>
      <c r="Z1027" s="238" t="s">
        <v>323</v>
      </c>
      <c r="AA1027" s="238" t="s">
        <v>324</v>
      </c>
      <c r="AB1027" s="244">
        <v>0</v>
      </c>
      <c r="AD1027" s="238"/>
      <c r="AE1027" s="226"/>
      <c r="AF1027" s="238" t="s">
        <v>57</v>
      </c>
      <c r="AG1027" s="238" t="s">
        <v>470</v>
      </c>
      <c r="AH1027" s="238" t="s">
        <v>2762</v>
      </c>
      <c r="AI1027" s="238"/>
      <c r="AJ1027" s="239">
        <v>0</v>
      </c>
      <c r="AK1027" s="239">
        <v>0</v>
      </c>
      <c r="AL1027" s="239">
        <v>0</v>
      </c>
      <c r="AM1027" s="239">
        <v>0</v>
      </c>
      <c r="AN1027" s="239">
        <v>0</v>
      </c>
      <c r="AO1027" s="239">
        <v>0</v>
      </c>
      <c r="AP1027" s="239">
        <v>0</v>
      </c>
      <c r="AQ1027" s="239">
        <v>0</v>
      </c>
      <c r="AR1027" s="239">
        <v>0</v>
      </c>
      <c r="AS1027" s="239">
        <v>0</v>
      </c>
      <c r="AT1027" s="239">
        <v>14</v>
      </c>
      <c r="AU1027" s="239">
        <v>0</v>
      </c>
      <c r="AV1027" s="239">
        <v>0</v>
      </c>
      <c r="AW1027" s="239">
        <v>0</v>
      </c>
      <c r="AX1027" s="239">
        <v>0</v>
      </c>
      <c r="AY1027" s="239">
        <v>0</v>
      </c>
      <c r="AZ1027" s="239">
        <v>0</v>
      </c>
      <c r="BA1027" s="239">
        <v>14</v>
      </c>
      <c r="BB1027" s="239">
        <v>0</v>
      </c>
      <c r="BC1027" s="239">
        <v>0</v>
      </c>
      <c r="BD1027" s="239">
        <v>0</v>
      </c>
      <c r="BE1027" s="239">
        <v>0</v>
      </c>
      <c r="BF1027" s="239">
        <v>0</v>
      </c>
      <c r="BG1027" s="239">
        <v>0</v>
      </c>
      <c r="BH1027" s="239">
        <v>0</v>
      </c>
      <c r="BI1027" s="239">
        <v>0</v>
      </c>
      <c r="BJ1027" s="239">
        <v>0</v>
      </c>
      <c r="BK1027" s="239">
        <v>0</v>
      </c>
      <c r="BL1027" s="239">
        <v>0</v>
      </c>
      <c r="BM1027" s="239">
        <v>0</v>
      </c>
      <c r="BN1027" s="239">
        <v>0</v>
      </c>
      <c r="BO1027" s="239">
        <v>0</v>
      </c>
      <c r="BP1027" s="238"/>
      <c r="BQ1027" s="238"/>
      <c r="BR1027" s="237" t="s">
        <v>481</v>
      </c>
      <c r="BS1027" s="238">
        <v>19</v>
      </c>
      <c r="BY1027" s="239">
        <f>M1027/16</f>
        <v>0.875</v>
      </c>
      <c r="BZ1027" s="239">
        <f>M1027/16</f>
        <v>0.875</v>
      </c>
      <c r="CA1027" s="239">
        <f>M1027/16</f>
        <v>0.875</v>
      </c>
      <c r="CB1027" s="239">
        <f>M1027/16</f>
        <v>0.875</v>
      </c>
      <c r="CC1027" s="239">
        <f>M1027/16</f>
        <v>0.875</v>
      </c>
      <c r="CD1027" s="239">
        <f>M1027/16</f>
        <v>0.875</v>
      </c>
      <c r="CE1027" s="239">
        <f>M1027/16</f>
        <v>0.875</v>
      </c>
      <c r="CF1027" s="239">
        <f>M1027/16</f>
        <v>0.875</v>
      </c>
      <c r="CG1027" s="239">
        <f>M1027/16</f>
        <v>0.875</v>
      </c>
      <c r="CH1027" s="239">
        <f>M1027/16</f>
        <v>0.875</v>
      </c>
      <c r="CI1027" s="239">
        <f>M1027/16</f>
        <v>0.875</v>
      </c>
      <c r="CJ1027" s="239">
        <f>M1027/16</f>
        <v>0.875</v>
      </c>
      <c r="CK1027" s="239">
        <f>M1027/16</f>
        <v>0.875</v>
      </c>
      <c r="CL1027" s="239">
        <f>M1027/16</f>
        <v>0.875</v>
      </c>
      <c r="CM1027" s="239">
        <f>M1027/16</f>
        <v>0.875</v>
      </c>
      <c r="CN1027" s="238">
        <f t="shared" si="122"/>
        <v>0.875</v>
      </c>
      <c r="CO1027" s="238">
        <f t="shared" si="123"/>
        <v>5.25</v>
      </c>
    </row>
    <row r="1028" spans="1:93" ht="13.95" customHeight="1" x14ac:dyDescent="0.2">
      <c r="A1028" s="238">
        <v>6871</v>
      </c>
      <c r="B1028" s="241" t="s">
        <v>2736</v>
      </c>
      <c r="C1028" s="238"/>
      <c r="D1028" s="237" t="s">
        <v>2761</v>
      </c>
      <c r="E1028" s="237"/>
      <c r="F1028" s="238">
        <v>526746</v>
      </c>
      <c r="G1028" s="238">
        <v>176345</v>
      </c>
      <c r="H1028" s="232" t="s">
        <v>174</v>
      </c>
      <c r="J1028" s="226"/>
      <c r="K1028" s="238">
        <v>0</v>
      </c>
      <c r="L1028" s="238">
        <v>9</v>
      </c>
      <c r="M1028" s="238">
        <v>9</v>
      </c>
      <c r="N1028" s="238">
        <v>71</v>
      </c>
      <c r="O1028" s="238">
        <v>71</v>
      </c>
      <c r="P1028" s="238" t="s">
        <v>318</v>
      </c>
      <c r="Q1028" s="242" t="s">
        <v>2738</v>
      </c>
      <c r="R1028" s="243" t="s">
        <v>2739</v>
      </c>
      <c r="T1028" s="226"/>
      <c r="U1028" s="238"/>
      <c r="V1028" s="238" t="s">
        <v>321</v>
      </c>
      <c r="W1028" s="226"/>
      <c r="X1028" s="238" t="s">
        <v>322</v>
      </c>
      <c r="Y1028" s="238" t="s">
        <v>323</v>
      </c>
      <c r="Z1028" s="238" t="s">
        <v>323</v>
      </c>
      <c r="AA1028" s="238" t="s">
        <v>324</v>
      </c>
      <c r="AB1028" s="244">
        <v>0</v>
      </c>
      <c r="AD1028" s="238"/>
      <c r="AE1028" s="226"/>
      <c r="AF1028" s="238" t="s">
        <v>56</v>
      </c>
      <c r="AG1028" s="238" t="s">
        <v>1355</v>
      </c>
      <c r="AH1028" s="238" t="s">
        <v>2762</v>
      </c>
      <c r="AI1028" s="238"/>
      <c r="AJ1028" s="239">
        <v>0</v>
      </c>
      <c r="AK1028" s="239">
        <v>0</v>
      </c>
      <c r="AL1028" s="239">
        <v>0</v>
      </c>
      <c r="AM1028" s="239">
        <v>0</v>
      </c>
      <c r="AN1028" s="239">
        <v>0</v>
      </c>
      <c r="AO1028" s="239">
        <v>0</v>
      </c>
      <c r="AP1028" s="239">
        <v>0</v>
      </c>
      <c r="AQ1028" s="239">
        <v>0</v>
      </c>
      <c r="AR1028" s="239">
        <v>0</v>
      </c>
      <c r="AS1028" s="239">
        <v>0</v>
      </c>
      <c r="AT1028" s="239">
        <v>9</v>
      </c>
      <c r="AU1028" s="239">
        <v>0</v>
      </c>
      <c r="AV1028" s="239">
        <v>0</v>
      </c>
      <c r="AW1028" s="239">
        <v>0</v>
      </c>
      <c r="AX1028" s="239">
        <v>0</v>
      </c>
      <c r="AY1028" s="239">
        <v>0</v>
      </c>
      <c r="AZ1028" s="239">
        <v>0</v>
      </c>
      <c r="BA1028" s="239">
        <v>9</v>
      </c>
      <c r="BB1028" s="239">
        <v>0</v>
      </c>
      <c r="BC1028" s="239">
        <v>0</v>
      </c>
      <c r="BD1028" s="239">
        <v>0</v>
      </c>
      <c r="BE1028" s="239">
        <v>0</v>
      </c>
      <c r="BF1028" s="239">
        <v>0</v>
      </c>
      <c r="BG1028" s="239">
        <v>0</v>
      </c>
      <c r="BH1028" s="239">
        <v>0</v>
      </c>
      <c r="BI1028" s="239">
        <v>0</v>
      </c>
      <c r="BJ1028" s="239">
        <v>0</v>
      </c>
      <c r="BK1028" s="239">
        <v>0</v>
      </c>
      <c r="BL1028" s="239">
        <v>0</v>
      </c>
      <c r="BM1028" s="239">
        <v>0</v>
      </c>
      <c r="BN1028" s="239">
        <v>0</v>
      </c>
      <c r="BO1028" s="239">
        <v>0</v>
      </c>
      <c r="BP1028" s="238"/>
      <c r="BQ1028" s="238"/>
      <c r="BR1028" s="237" t="s">
        <v>481</v>
      </c>
      <c r="BS1028" s="238">
        <v>19</v>
      </c>
      <c r="BY1028" s="239">
        <f>M1028/16</f>
        <v>0.5625</v>
      </c>
      <c r="BZ1028" s="239">
        <f>M1028/16</f>
        <v>0.5625</v>
      </c>
      <c r="CA1028" s="239">
        <f>M1028/16</f>
        <v>0.5625</v>
      </c>
      <c r="CB1028" s="239">
        <f>M1028/16</f>
        <v>0.5625</v>
      </c>
      <c r="CC1028" s="239">
        <f>M1028/16</f>
        <v>0.5625</v>
      </c>
      <c r="CD1028" s="239">
        <f>M1028/16</f>
        <v>0.5625</v>
      </c>
      <c r="CE1028" s="239">
        <f>M1028/16</f>
        <v>0.5625</v>
      </c>
      <c r="CF1028" s="239">
        <f>M1028/16</f>
        <v>0.5625</v>
      </c>
      <c r="CG1028" s="239">
        <f>M1028/16</f>
        <v>0.5625</v>
      </c>
      <c r="CH1028" s="239">
        <f>M1028/16</f>
        <v>0.5625</v>
      </c>
      <c r="CI1028" s="239">
        <f>M1028/16</f>
        <v>0.5625</v>
      </c>
      <c r="CJ1028" s="239">
        <f>M1028/16</f>
        <v>0.5625</v>
      </c>
      <c r="CK1028" s="239">
        <f>M1028/16</f>
        <v>0.5625</v>
      </c>
      <c r="CL1028" s="239">
        <f>M1028/16</f>
        <v>0.5625</v>
      </c>
      <c r="CM1028" s="239">
        <f>M1028/16</f>
        <v>0.5625</v>
      </c>
      <c r="CN1028" s="238">
        <f t="shared" si="122"/>
        <v>0.5625</v>
      </c>
      <c r="CO1028" s="238">
        <f t="shared" si="123"/>
        <v>3.375</v>
      </c>
    </row>
    <row r="1029" spans="1:93" ht="13.95" customHeight="1" x14ac:dyDescent="0.2">
      <c r="A1029" s="238">
        <v>7546</v>
      </c>
      <c r="B1029" s="241" t="s">
        <v>2736</v>
      </c>
      <c r="C1029" s="238"/>
      <c r="D1029" s="237" t="s">
        <v>2763</v>
      </c>
      <c r="E1029" s="237"/>
      <c r="F1029" s="238">
        <v>523936</v>
      </c>
      <c r="G1029" s="238">
        <v>175285</v>
      </c>
      <c r="H1029" s="232" t="s">
        <v>175</v>
      </c>
      <c r="J1029" s="226"/>
      <c r="K1029" s="238">
        <v>0</v>
      </c>
      <c r="L1029" s="238">
        <v>1</v>
      </c>
      <c r="M1029" s="238">
        <v>1</v>
      </c>
      <c r="N1029" s="238">
        <v>1</v>
      </c>
      <c r="O1029" s="238">
        <v>1</v>
      </c>
      <c r="P1029" s="238"/>
      <c r="Q1029" s="242" t="s">
        <v>2738</v>
      </c>
      <c r="R1029" s="238" t="s">
        <v>2739</v>
      </c>
      <c r="T1029" s="226"/>
      <c r="U1029" s="238"/>
      <c r="V1029" s="238" t="s">
        <v>321</v>
      </c>
      <c r="W1029" s="226"/>
      <c r="X1029" s="238" t="s">
        <v>322</v>
      </c>
      <c r="Y1029" s="238" t="s">
        <v>323</v>
      </c>
      <c r="Z1029" s="238" t="s">
        <v>324</v>
      </c>
      <c r="AA1029" s="238" t="s">
        <v>349</v>
      </c>
      <c r="AB1029" s="244">
        <v>0</v>
      </c>
      <c r="AD1029" s="238"/>
      <c r="AE1029" s="226"/>
      <c r="AF1029" s="224" t="s">
        <v>77</v>
      </c>
      <c r="AG1029" s="238" t="s">
        <v>350</v>
      </c>
      <c r="AH1029" s="238"/>
      <c r="AI1029" s="238"/>
      <c r="AJ1029" s="239">
        <v>0</v>
      </c>
      <c r="AK1029" s="239">
        <v>0</v>
      </c>
      <c r="AL1029" s="239">
        <v>0</v>
      </c>
      <c r="AM1029" s="239">
        <v>0</v>
      </c>
      <c r="AN1029" s="239">
        <v>0</v>
      </c>
      <c r="AO1029" s="239">
        <v>0</v>
      </c>
      <c r="AP1029" s="239">
        <v>0</v>
      </c>
      <c r="AQ1029" s="239">
        <v>0</v>
      </c>
      <c r="AR1029" s="239">
        <v>0</v>
      </c>
      <c r="AS1029" s="239">
        <v>0</v>
      </c>
      <c r="AT1029" s="239">
        <v>1</v>
      </c>
      <c r="AU1029" s="239">
        <v>0</v>
      </c>
      <c r="AV1029" s="239">
        <v>0</v>
      </c>
      <c r="AW1029" s="239">
        <v>0</v>
      </c>
      <c r="AX1029" s="239">
        <v>0</v>
      </c>
      <c r="AY1029" s="239">
        <v>0</v>
      </c>
      <c r="AZ1029" s="239">
        <v>0</v>
      </c>
      <c r="BA1029" s="239">
        <v>1</v>
      </c>
      <c r="BB1029" s="239">
        <v>0</v>
      </c>
      <c r="BC1029" s="239">
        <v>0</v>
      </c>
      <c r="BD1029" s="239">
        <v>0</v>
      </c>
      <c r="BE1029" s="239">
        <v>0</v>
      </c>
      <c r="BF1029" s="239">
        <v>0</v>
      </c>
      <c r="BG1029" s="239">
        <v>0</v>
      </c>
      <c r="BH1029" s="239">
        <v>0</v>
      </c>
      <c r="BI1029" s="239">
        <v>0</v>
      </c>
      <c r="BJ1029" s="239">
        <v>0</v>
      </c>
      <c r="BK1029" s="239">
        <v>0</v>
      </c>
      <c r="BL1029" s="239">
        <v>0</v>
      </c>
      <c r="BM1029" s="239">
        <v>0</v>
      </c>
      <c r="BN1029" s="239">
        <v>0</v>
      </c>
      <c r="BO1029" s="239">
        <v>0</v>
      </c>
      <c r="BP1029" s="234" t="s">
        <v>143</v>
      </c>
      <c r="BQ1029" s="238"/>
      <c r="BR1029" s="237" t="s">
        <v>152</v>
      </c>
      <c r="BS1029" s="238">
        <v>19</v>
      </c>
      <c r="BY1029" s="239">
        <f>M1029</f>
        <v>1</v>
      </c>
      <c r="CN1029" s="238">
        <f t="shared" si="122"/>
        <v>1</v>
      </c>
      <c r="CO1029" s="238">
        <f t="shared" si="123"/>
        <v>1</v>
      </c>
    </row>
    <row r="1030" spans="1:93" ht="13.95" customHeight="1" x14ac:dyDescent="0.2">
      <c r="A1030" s="238">
        <v>6897</v>
      </c>
      <c r="B1030" s="241" t="s">
        <v>2736</v>
      </c>
      <c r="C1030" s="238"/>
      <c r="D1030" s="237" t="s">
        <v>2764</v>
      </c>
      <c r="E1030" s="237"/>
      <c r="F1030" s="238">
        <v>527569</v>
      </c>
      <c r="G1030" s="238">
        <v>175602</v>
      </c>
      <c r="H1030" s="232" t="s">
        <v>171</v>
      </c>
      <c r="J1030" s="226"/>
      <c r="K1030" s="238">
        <v>0</v>
      </c>
      <c r="L1030" s="238">
        <v>53</v>
      </c>
      <c r="M1030" s="238">
        <v>53</v>
      </c>
      <c r="N1030" s="238">
        <v>79</v>
      </c>
      <c r="O1030" s="238">
        <v>79</v>
      </c>
      <c r="P1030" s="238" t="s">
        <v>318</v>
      </c>
      <c r="Q1030" s="242" t="s">
        <v>2738</v>
      </c>
      <c r="R1030" s="243" t="s">
        <v>2739</v>
      </c>
      <c r="T1030" s="226"/>
      <c r="U1030" s="238"/>
      <c r="V1030" s="238" t="s">
        <v>321</v>
      </c>
      <c r="W1030" s="226"/>
      <c r="X1030" s="238" t="s">
        <v>322</v>
      </c>
      <c r="Y1030" s="238" t="s">
        <v>323</v>
      </c>
      <c r="Z1030" s="238" t="s">
        <v>323</v>
      </c>
      <c r="AA1030" s="238" t="s">
        <v>324</v>
      </c>
      <c r="AB1030" s="244">
        <v>0</v>
      </c>
      <c r="AD1030" s="238"/>
      <c r="AE1030" s="226"/>
      <c r="AF1030" s="224" t="s">
        <v>77</v>
      </c>
      <c r="AG1030" s="238" t="s">
        <v>350</v>
      </c>
      <c r="AH1030" s="238" t="s">
        <v>2765</v>
      </c>
      <c r="AI1030" s="238"/>
      <c r="AJ1030" s="239">
        <v>0</v>
      </c>
      <c r="AK1030" s="239">
        <v>0</v>
      </c>
      <c r="AL1030" s="239">
        <v>0</v>
      </c>
      <c r="AM1030" s="239">
        <v>0</v>
      </c>
      <c r="AN1030" s="239">
        <v>0</v>
      </c>
      <c r="AO1030" s="239">
        <v>0</v>
      </c>
      <c r="AP1030" s="239">
        <v>0</v>
      </c>
      <c r="AQ1030" s="239">
        <v>0</v>
      </c>
      <c r="AR1030" s="239">
        <v>0</v>
      </c>
      <c r="AS1030" s="239">
        <v>0</v>
      </c>
      <c r="AT1030" s="239">
        <v>53</v>
      </c>
      <c r="AU1030" s="239">
        <v>0</v>
      </c>
      <c r="AV1030" s="239">
        <v>0</v>
      </c>
      <c r="AW1030" s="239">
        <v>0</v>
      </c>
      <c r="AX1030" s="239">
        <v>0</v>
      </c>
      <c r="AY1030" s="239">
        <v>0</v>
      </c>
      <c r="AZ1030" s="239">
        <v>0</v>
      </c>
      <c r="BA1030" s="239">
        <v>53</v>
      </c>
      <c r="BB1030" s="239">
        <v>0</v>
      </c>
      <c r="BC1030" s="239">
        <v>0</v>
      </c>
      <c r="BD1030" s="239">
        <v>0</v>
      </c>
      <c r="BE1030" s="239">
        <v>0</v>
      </c>
      <c r="BF1030" s="239">
        <v>0</v>
      </c>
      <c r="BG1030" s="239">
        <v>0</v>
      </c>
      <c r="BH1030" s="239">
        <v>0</v>
      </c>
      <c r="BI1030" s="239">
        <v>0</v>
      </c>
      <c r="BJ1030" s="239">
        <v>0</v>
      </c>
      <c r="BK1030" s="239">
        <v>0</v>
      </c>
      <c r="BL1030" s="239">
        <v>0</v>
      </c>
      <c r="BM1030" s="239">
        <v>0</v>
      </c>
      <c r="BN1030" s="239">
        <v>0</v>
      </c>
      <c r="BO1030" s="239">
        <v>0</v>
      </c>
      <c r="BP1030" s="234" t="s">
        <v>142</v>
      </c>
      <c r="BQ1030" s="238"/>
      <c r="BR1030" s="237" t="s">
        <v>150</v>
      </c>
      <c r="BS1030" s="238">
        <v>19</v>
      </c>
      <c r="CC1030" s="239">
        <f>M1030/12</f>
        <v>4.416666666666667</v>
      </c>
      <c r="CD1030" s="239">
        <f>M1030/12</f>
        <v>4.416666666666667</v>
      </c>
      <c r="CE1030" s="239">
        <f>M1030/12</f>
        <v>4.416666666666667</v>
      </c>
      <c r="CF1030" s="239">
        <f>M1030/12</f>
        <v>4.416666666666667</v>
      </c>
      <c r="CG1030" s="239">
        <f>M1030/12</f>
        <v>4.416666666666667</v>
      </c>
      <c r="CH1030" s="239">
        <f>M1030/12</f>
        <v>4.416666666666667</v>
      </c>
      <c r="CI1030" s="239">
        <f>M1030/12</f>
        <v>4.416666666666667</v>
      </c>
      <c r="CJ1030" s="239">
        <f>M1030/12</f>
        <v>4.416666666666667</v>
      </c>
      <c r="CK1030" s="239">
        <f>M1030/12</f>
        <v>4.416666666666667</v>
      </c>
      <c r="CL1030" s="239">
        <f>M1030/12</f>
        <v>4.416666666666667</v>
      </c>
      <c r="CM1030" s="239">
        <f>M1030/12</f>
        <v>4.416666666666667</v>
      </c>
      <c r="CN1030" s="238">
        <f t="shared" si="122"/>
        <v>0</v>
      </c>
      <c r="CO1030" s="238">
        <f t="shared" si="123"/>
        <v>8.8333333333333339</v>
      </c>
    </row>
    <row r="1031" spans="1:93" ht="13.95" customHeight="1" x14ac:dyDescent="0.2">
      <c r="A1031" s="238">
        <v>6897</v>
      </c>
      <c r="B1031" s="241" t="s">
        <v>2736</v>
      </c>
      <c r="C1031" s="238"/>
      <c r="D1031" s="237" t="s">
        <v>2764</v>
      </c>
      <c r="E1031" s="237"/>
      <c r="F1031" s="238">
        <v>527569</v>
      </c>
      <c r="G1031" s="238">
        <v>175602</v>
      </c>
      <c r="H1031" s="232" t="s">
        <v>171</v>
      </c>
      <c r="J1031" s="226"/>
      <c r="K1031" s="238">
        <v>0</v>
      </c>
      <c r="L1031" s="238">
        <v>16</v>
      </c>
      <c r="M1031" s="238">
        <v>16</v>
      </c>
      <c r="N1031" s="238">
        <v>79</v>
      </c>
      <c r="O1031" s="238">
        <v>79</v>
      </c>
      <c r="P1031" s="238" t="s">
        <v>318</v>
      </c>
      <c r="Q1031" s="242" t="s">
        <v>2738</v>
      </c>
      <c r="R1031" s="243" t="s">
        <v>2739</v>
      </c>
      <c r="T1031" s="226"/>
      <c r="U1031" s="238"/>
      <c r="V1031" s="238" t="s">
        <v>321</v>
      </c>
      <c r="W1031" s="226"/>
      <c r="X1031" s="238" t="s">
        <v>322</v>
      </c>
      <c r="Y1031" s="238" t="s">
        <v>323</v>
      </c>
      <c r="Z1031" s="238" t="s">
        <v>323</v>
      </c>
      <c r="AA1031" s="238" t="s">
        <v>324</v>
      </c>
      <c r="AB1031" s="244">
        <v>0</v>
      </c>
      <c r="AD1031" s="238"/>
      <c r="AE1031" s="226"/>
      <c r="AF1031" s="238" t="s">
        <v>57</v>
      </c>
      <c r="AG1031" s="238" t="s">
        <v>470</v>
      </c>
      <c r="AH1031" s="238" t="s">
        <v>2765</v>
      </c>
      <c r="AI1031" s="238"/>
      <c r="AJ1031" s="239">
        <v>0</v>
      </c>
      <c r="AK1031" s="239">
        <v>0</v>
      </c>
      <c r="AL1031" s="239">
        <v>0</v>
      </c>
      <c r="AM1031" s="239">
        <v>0</v>
      </c>
      <c r="AN1031" s="239">
        <v>0</v>
      </c>
      <c r="AO1031" s="239">
        <v>0</v>
      </c>
      <c r="AP1031" s="239">
        <v>0</v>
      </c>
      <c r="AQ1031" s="239">
        <v>0</v>
      </c>
      <c r="AR1031" s="239">
        <v>0</v>
      </c>
      <c r="AS1031" s="239">
        <v>0</v>
      </c>
      <c r="AT1031" s="239">
        <v>16</v>
      </c>
      <c r="AU1031" s="239">
        <v>0</v>
      </c>
      <c r="AV1031" s="239">
        <v>0</v>
      </c>
      <c r="AW1031" s="239">
        <v>0</v>
      </c>
      <c r="AX1031" s="239">
        <v>0</v>
      </c>
      <c r="AY1031" s="239">
        <v>0</v>
      </c>
      <c r="AZ1031" s="239">
        <v>0</v>
      </c>
      <c r="BA1031" s="239">
        <v>16</v>
      </c>
      <c r="BB1031" s="239">
        <v>0</v>
      </c>
      <c r="BC1031" s="239">
        <v>0</v>
      </c>
      <c r="BD1031" s="239">
        <v>0</v>
      </c>
      <c r="BE1031" s="239">
        <v>0</v>
      </c>
      <c r="BF1031" s="239">
        <v>0</v>
      </c>
      <c r="BG1031" s="239">
        <v>0</v>
      </c>
      <c r="BH1031" s="239">
        <v>0</v>
      </c>
      <c r="BI1031" s="239">
        <v>0</v>
      </c>
      <c r="BJ1031" s="239">
        <v>0</v>
      </c>
      <c r="BK1031" s="239">
        <v>0</v>
      </c>
      <c r="BL1031" s="239">
        <v>0</v>
      </c>
      <c r="BM1031" s="239">
        <v>0</v>
      </c>
      <c r="BN1031" s="239">
        <v>0</v>
      </c>
      <c r="BO1031" s="239">
        <v>0</v>
      </c>
      <c r="BP1031" s="234" t="s">
        <v>142</v>
      </c>
      <c r="BQ1031" s="238"/>
      <c r="BR1031" s="237" t="s">
        <v>150</v>
      </c>
      <c r="BS1031" s="238">
        <v>19</v>
      </c>
      <c r="CC1031" s="239">
        <f>M1031/12</f>
        <v>1.3333333333333333</v>
      </c>
      <c r="CD1031" s="239">
        <f>M1031/12</f>
        <v>1.3333333333333333</v>
      </c>
      <c r="CE1031" s="239">
        <f>M1031/12</f>
        <v>1.3333333333333333</v>
      </c>
      <c r="CF1031" s="239">
        <f>M1031/12</f>
        <v>1.3333333333333333</v>
      </c>
      <c r="CG1031" s="239">
        <f>M1031/12</f>
        <v>1.3333333333333333</v>
      </c>
      <c r="CH1031" s="239">
        <f>M1031/12</f>
        <v>1.3333333333333333</v>
      </c>
      <c r="CI1031" s="239">
        <f>M1031/12</f>
        <v>1.3333333333333333</v>
      </c>
      <c r="CJ1031" s="239">
        <f>M1031/12</f>
        <v>1.3333333333333333</v>
      </c>
      <c r="CK1031" s="239">
        <f>M1031/12</f>
        <v>1.3333333333333333</v>
      </c>
      <c r="CL1031" s="239">
        <f>M1031/12</f>
        <v>1.3333333333333333</v>
      </c>
      <c r="CM1031" s="239">
        <f>M1031/12</f>
        <v>1.3333333333333333</v>
      </c>
      <c r="CN1031" s="238">
        <f t="shared" si="122"/>
        <v>0</v>
      </c>
      <c r="CO1031" s="238">
        <f t="shared" si="123"/>
        <v>2.6666666666666665</v>
      </c>
    </row>
    <row r="1032" spans="1:93" ht="13.95" customHeight="1" x14ac:dyDescent="0.2">
      <c r="A1032" s="238">
        <v>6897</v>
      </c>
      <c r="B1032" s="241" t="s">
        <v>2736</v>
      </c>
      <c r="C1032" s="238"/>
      <c r="D1032" s="237" t="s">
        <v>2764</v>
      </c>
      <c r="E1032" s="237"/>
      <c r="F1032" s="238">
        <v>527569</v>
      </c>
      <c r="G1032" s="238">
        <v>175602</v>
      </c>
      <c r="H1032" s="232" t="s">
        <v>171</v>
      </c>
      <c r="J1032" s="226"/>
      <c r="K1032" s="238">
        <v>0</v>
      </c>
      <c r="L1032" s="238">
        <v>10</v>
      </c>
      <c r="M1032" s="238">
        <v>10</v>
      </c>
      <c r="N1032" s="238">
        <v>79</v>
      </c>
      <c r="O1032" s="238">
        <v>79</v>
      </c>
      <c r="P1032" s="238" t="s">
        <v>318</v>
      </c>
      <c r="Q1032" s="242" t="s">
        <v>2738</v>
      </c>
      <c r="R1032" s="243" t="s">
        <v>2739</v>
      </c>
      <c r="T1032" s="226"/>
      <c r="U1032" s="238"/>
      <c r="V1032" s="238" t="s">
        <v>321</v>
      </c>
      <c r="W1032" s="226"/>
      <c r="X1032" s="238" t="s">
        <v>322</v>
      </c>
      <c r="Y1032" s="238" t="s">
        <v>323</v>
      </c>
      <c r="Z1032" s="238" t="s">
        <v>323</v>
      </c>
      <c r="AA1032" s="238" t="s">
        <v>324</v>
      </c>
      <c r="AB1032" s="244">
        <v>0</v>
      </c>
      <c r="AD1032" s="238"/>
      <c r="AE1032" s="226"/>
      <c r="AF1032" s="238" t="s">
        <v>56</v>
      </c>
      <c r="AG1032" s="238" t="s">
        <v>1355</v>
      </c>
      <c r="AH1032" s="238" t="s">
        <v>2765</v>
      </c>
      <c r="AI1032" s="238"/>
      <c r="AJ1032" s="239">
        <v>0</v>
      </c>
      <c r="AK1032" s="239">
        <v>0</v>
      </c>
      <c r="AL1032" s="239">
        <v>0</v>
      </c>
      <c r="AM1032" s="239">
        <v>0</v>
      </c>
      <c r="AN1032" s="239">
        <v>0</v>
      </c>
      <c r="AO1032" s="239">
        <v>0</v>
      </c>
      <c r="AP1032" s="239">
        <v>0</v>
      </c>
      <c r="AQ1032" s="239">
        <v>0</v>
      </c>
      <c r="AR1032" s="239">
        <v>0</v>
      </c>
      <c r="AS1032" s="239">
        <v>0</v>
      </c>
      <c r="AT1032" s="239">
        <v>10</v>
      </c>
      <c r="AU1032" s="239">
        <v>0</v>
      </c>
      <c r="AV1032" s="239">
        <v>0</v>
      </c>
      <c r="AW1032" s="239">
        <v>0</v>
      </c>
      <c r="AX1032" s="239">
        <v>0</v>
      </c>
      <c r="AY1032" s="239">
        <v>0</v>
      </c>
      <c r="AZ1032" s="239">
        <v>0</v>
      </c>
      <c r="BA1032" s="239">
        <v>10</v>
      </c>
      <c r="BB1032" s="239">
        <v>0</v>
      </c>
      <c r="BC1032" s="239">
        <v>0</v>
      </c>
      <c r="BD1032" s="239">
        <v>0</v>
      </c>
      <c r="BE1032" s="239">
        <v>0</v>
      </c>
      <c r="BF1032" s="239">
        <v>0</v>
      </c>
      <c r="BG1032" s="239">
        <v>0</v>
      </c>
      <c r="BH1032" s="239">
        <v>0</v>
      </c>
      <c r="BI1032" s="239">
        <v>0</v>
      </c>
      <c r="BJ1032" s="239">
        <v>0</v>
      </c>
      <c r="BK1032" s="239">
        <v>0</v>
      </c>
      <c r="BL1032" s="239">
        <v>0</v>
      </c>
      <c r="BM1032" s="239">
        <v>0</v>
      </c>
      <c r="BN1032" s="239">
        <v>0</v>
      </c>
      <c r="BO1032" s="239">
        <v>0</v>
      </c>
      <c r="BP1032" s="234" t="s">
        <v>142</v>
      </c>
      <c r="BQ1032" s="238"/>
      <c r="BR1032" s="237" t="s">
        <v>150</v>
      </c>
      <c r="BS1032" s="238">
        <v>19</v>
      </c>
      <c r="CC1032" s="239">
        <f>M1032/12</f>
        <v>0.83333333333333337</v>
      </c>
      <c r="CD1032" s="239">
        <f>M1032/12</f>
        <v>0.83333333333333337</v>
      </c>
      <c r="CE1032" s="239">
        <f>M1032/12</f>
        <v>0.83333333333333337</v>
      </c>
      <c r="CF1032" s="239">
        <f>M1032/12</f>
        <v>0.83333333333333337</v>
      </c>
      <c r="CG1032" s="239">
        <f>M1032/12</f>
        <v>0.83333333333333337</v>
      </c>
      <c r="CH1032" s="239">
        <f>M1032/12</f>
        <v>0.83333333333333337</v>
      </c>
      <c r="CI1032" s="239">
        <f>M1032/12</f>
        <v>0.83333333333333337</v>
      </c>
      <c r="CJ1032" s="239">
        <f>M1032/12</f>
        <v>0.83333333333333337</v>
      </c>
      <c r="CK1032" s="239">
        <f>M1032/12</f>
        <v>0.83333333333333337</v>
      </c>
      <c r="CL1032" s="239">
        <f>M1032/12</f>
        <v>0.83333333333333337</v>
      </c>
      <c r="CM1032" s="239">
        <f>M1032/12</f>
        <v>0.83333333333333337</v>
      </c>
      <c r="CN1032" s="238">
        <f t="shared" si="122"/>
        <v>0</v>
      </c>
      <c r="CO1032" s="238">
        <f t="shared" si="123"/>
        <v>1.6666666666666667</v>
      </c>
    </row>
    <row r="1033" spans="1:93" ht="13.95" customHeight="1" x14ac:dyDescent="0.2">
      <c r="A1033" s="238">
        <v>7387</v>
      </c>
      <c r="B1033" s="241" t="s">
        <v>2736</v>
      </c>
      <c r="C1033" s="238"/>
      <c r="D1033" s="237" t="s">
        <v>2766</v>
      </c>
      <c r="E1033" s="237"/>
      <c r="F1033" s="238">
        <v>523041</v>
      </c>
      <c r="G1033" s="238">
        <v>174501</v>
      </c>
      <c r="H1033" s="232" t="s">
        <v>183</v>
      </c>
      <c r="J1033" s="226"/>
      <c r="K1033" s="238">
        <v>0</v>
      </c>
      <c r="L1033" s="238">
        <v>1</v>
      </c>
      <c r="M1033" s="238">
        <v>1</v>
      </c>
      <c r="N1033" s="238">
        <v>1</v>
      </c>
      <c r="O1033" s="238">
        <v>1</v>
      </c>
      <c r="P1033" s="238"/>
      <c r="Q1033" s="242" t="s">
        <v>2738</v>
      </c>
      <c r="R1033" s="238" t="s">
        <v>2739</v>
      </c>
      <c r="T1033" s="226"/>
      <c r="U1033" s="238"/>
      <c r="V1033" s="238" t="s">
        <v>321</v>
      </c>
      <c r="W1033" s="226"/>
      <c r="X1033" s="238" t="s">
        <v>322</v>
      </c>
      <c r="Y1033" s="238" t="s">
        <v>323</v>
      </c>
      <c r="Z1033" s="238" t="s">
        <v>324</v>
      </c>
      <c r="AA1033" s="238" t="s">
        <v>349</v>
      </c>
      <c r="AB1033" s="244">
        <v>0</v>
      </c>
      <c r="AD1033" s="238"/>
      <c r="AE1033" s="226"/>
      <c r="AF1033" s="224" t="s">
        <v>77</v>
      </c>
      <c r="AG1033" s="238" t="s">
        <v>350</v>
      </c>
      <c r="AH1033" s="238"/>
      <c r="AI1033" s="238"/>
      <c r="AJ1033" s="239">
        <v>0</v>
      </c>
      <c r="AK1033" s="239">
        <v>0</v>
      </c>
      <c r="AL1033" s="239">
        <v>0</v>
      </c>
      <c r="AM1033" s="239">
        <v>0</v>
      </c>
      <c r="AN1033" s="239">
        <v>0</v>
      </c>
      <c r="AO1033" s="239">
        <v>0</v>
      </c>
      <c r="AP1033" s="239">
        <v>0</v>
      </c>
      <c r="AQ1033" s="239">
        <v>0</v>
      </c>
      <c r="AR1033" s="239">
        <v>0</v>
      </c>
      <c r="AS1033" s="239">
        <v>0</v>
      </c>
      <c r="AT1033" s="239">
        <v>1</v>
      </c>
      <c r="AU1033" s="239">
        <v>0</v>
      </c>
      <c r="AV1033" s="239">
        <v>0</v>
      </c>
      <c r="AW1033" s="239">
        <v>0</v>
      </c>
      <c r="AX1033" s="239">
        <v>0</v>
      </c>
      <c r="AY1033" s="239">
        <v>0</v>
      </c>
      <c r="AZ1033" s="239">
        <v>0</v>
      </c>
      <c r="BA1033" s="239">
        <v>1</v>
      </c>
      <c r="BB1033" s="239">
        <v>0</v>
      </c>
      <c r="BC1033" s="239">
        <v>0</v>
      </c>
      <c r="BD1033" s="239">
        <v>0</v>
      </c>
      <c r="BE1033" s="239">
        <v>0</v>
      </c>
      <c r="BF1033" s="239">
        <v>0</v>
      </c>
      <c r="BG1033" s="239">
        <v>0</v>
      </c>
      <c r="BH1033" s="239">
        <v>0</v>
      </c>
      <c r="BI1033" s="239">
        <v>0</v>
      </c>
      <c r="BJ1033" s="239">
        <v>0</v>
      </c>
      <c r="BK1033" s="239">
        <v>0</v>
      </c>
      <c r="BL1033" s="239">
        <v>0</v>
      </c>
      <c r="BM1033" s="239">
        <v>0</v>
      </c>
      <c r="BN1033" s="239">
        <v>0</v>
      </c>
      <c r="BO1033" s="239">
        <v>0</v>
      </c>
      <c r="BP1033" s="238"/>
      <c r="BQ1033" s="238"/>
      <c r="BR1033" s="237" t="s">
        <v>334</v>
      </c>
      <c r="BS1033" s="238">
        <v>19</v>
      </c>
      <c r="BY1033" s="239">
        <f>M1033</f>
        <v>1</v>
      </c>
      <c r="CN1033" s="238">
        <f t="shared" si="122"/>
        <v>1</v>
      </c>
      <c r="CO1033" s="238">
        <f t="shared" si="123"/>
        <v>1</v>
      </c>
    </row>
    <row r="1034" spans="1:93" ht="13.95" customHeight="1" x14ac:dyDescent="0.2">
      <c r="A1034" s="238">
        <v>6910</v>
      </c>
      <c r="B1034" s="241" t="s">
        <v>2736</v>
      </c>
      <c r="C1034" s="238"/>
      <c r="D1034" s="237" t="s">
        <v>2767</v>
      </c>
      <c r="E1034" s="237"/>
      <c r="F1034" s="238">
        <v>528743</v>
      </c>
      <c r="G1034" s="238">
        <v>172931</v>
      </c>
      <c r="H1034" s="232" t="s">
        <v>172</v>
      </c>
      <c r="J1034" s="226"/>
      <c r="K1034" s="238">
        <v>0</v>
      </c>
      <c r="L1034" s="238">
        <v>29</v>
      </c>
      <c r="M1034" s="238">
        <v>29</v>
      </c>
      <c r="N1034" s="238">
        <v>44</v>
      </c>
      <c r="O1034" s="238">
        <v>44</v>
      </c>
      <c r="P1034" s="238" t="s">
        <v>318</v>
      </c>
      <c r="Q1034" s="242" t="s">
        <v>2738</v>
      </c>
      <c r="R1034" s="243" t="s">
        <v>2739</v>
      </c>
      <c r="T1034" s="226"/>
      <c r="U1034" s="238"/>
      <c r="V1034" s="238" t="s">
        <v>321</v>
      </c>
      <c r="W1034" s="226"/>
      <c r="X1034" s="238" t="s">
        <v>322</v>
      </c>
      <c r="Y1034" s="238" t="s">
        <v>323</v>
      </c>
      <c r="Z1034" s="238" t="s">
        <v>323</v>
      </c>
      <c r="AA1034" s="238" t="s">
        <v>324</v>
      </c>
      <c r="AB1034" s="244">
        <v>0</v>
      </c>
      <c r="AD1034" s="238"/>
      <c r="AE1034" s="226"/>
      <c r="AF1034" s="224" t="s">
        <v>77</v>
      </c>
      <c r="AG1034" s="238" t="s">
        <v>350</v>
      </c>
      <c r="AH1034" s="238" t="s">
        <v>2768</v>
      </c>
      <c r="AI1034" s="238"/>
      <c r="AJ1034" s="239">
        <v>0</v>
      </c>
      <c r="AK1034" s="239">
        <v>0</v>
      </c>
      <c r="AL1034" s="239">
        <v>0</v>
      </c>
      <c r="AM1034" s="239">
        <v>0</v>
      </c>
      <c r="AN1034" s="239">
        <v>0</v>
      </c>
      <c r="AO1034" s="239">
        <v>0</v>
      </c>
      <c r="AP1034" s="239">
        <v>0</v>
      </c>
      <c r="AQ1034" s="239">
        <v>0</v>
      </c>
      <c r="AR1034" s="239">
        <v>0</v>
      </c>
      <c r="AS1034" s="239">
        <v>0</v>
      </c>
      <c r="AT1034" s="239">
        <v>29</v>
      </c>
      <c r="AU1034" s="239">
        <v>0</v>
      </c>
      <c r="AV1034" s="239">
        <v>0</v>
      </c>
      <c r="AW1034" s="239">
        <v>0</v>
      </c>
      <c r="AX1034" s="239">
        <v>0</v>
      </c>
      <c r="AY1034" s="239">
        <v>0</v>
      </c>
      <c r="AZ1034" s="239">
        <v>0</v>
      </c>
      <c r="BA1034" s="239">
        <v>29</v>
      </c>
      <c r="BB1034" s="239">
        <v>0</v>
      </c>
      <c r="BC1034" s="239">
        <v>0</v>
      </c>
      <c r="BD1034" s="239">
        <v>0</v>
      </c>
      <c r="BE1034" s="239">
        <v>0</v>
      </c>
      <c r="BF1034" s="239">
        <v>0</v>
      </c>
      <c r="BG1034" s="239">
        <v>0</v>
      </c>
      <c r="BH1034" s="239">
        <v>0</v>
      </c>
      <c r="BI1034" s="239">
        <v>0</v>
      </c>
      <c r="BJ1034" s="239">
        <v>0</v>
      </c>
      <c r="BK1034" s="239">
        <v>0</v>
      </c>
      <c r="BL1034" s="239">
        <v>0</v>
      </c>
      <c r="BM1034" s="239">
        <v>0</v>
      </c>
      <c r="BN1034" s="239">
        <v>0</v>
      </c>
      <c r="BO1034" s="239">
        <v>0</v>
      </c>
      <c r="BP1034" s="238"/>
      <c r="BQ1034" s="238"/>
      <c r="BR1034" s="237" t="s">
        <v>334</v>
      </c>
      <c r="BS1034" s="238">
        <v>19</v>
      </c>
      <c r="BY1034" s="239">
        <f>M1034/16</f>
        <v>1.8125</v>
      </c>
      <c r="BZ1034" s="239">
        <f>M1034/16</f>
        <v>1.8125</v>
      </c>
      <c r="CA1034" s="239">
        <f>M1034/16</f>
        <v>1.8125</v>
      </c>
      <c r="CB1034" s="239">
        <f>M1034/16</f>
        <v>1.8125</v>
      </c>
      <c r="CC1034" s="239">
        <f>M1034/16</f>
        <v>1.8125</v>
      </c>
      <c r="CD1034" s="239">
        <f>M1034/16</f>
        <v>1.8125</v>
      </c>
      <c r="CE1034" s="239">
        <f>M1034/16</f>
        <v>1.8125</v>
      </c>
      <c r="CF1034" s="239">
        <f>M1034/16</f>
        <v>1.8125</v>
      </c>
      <c r="CG1034" s="239">
        <f>M1034/16</f>
        <v>1.8125</v>
      </c>
      <c r="CH1034" s="239">
        <f>M1034/16</f>
        <v>1.8125</v>
      </c>
      <c r="CI1034" s="239">
        <f>M1034/16</f>
        <v>1.8125</v>
      </c>
      <c r="CJ1034" s="239">
        <f>M1034/16</f>
        <v>1.8125</v>
      </c>
      <c r="CK1034" s="239">
        <f>M1034/16</f>
        <v>1.8125</v>
      </c>
      <c r="CL1034" s="239">
        <f>M1034/16</f>
        <v>1.8125</v>
      </c>
      <c r="CM1034" s="239">
        <f>M1034/16</f>
        <v>1.8125</v>
      </c>
      <c r="CN1034" s="238">
        <f t="shared" si="122"/>
        <v>1.8125</v>
      </c>
      <c r="CO1034" s="238">
        <f t="shared" si="123"/>
        <v>10.875</v>
      </c>
    </row>
    <row r="1035" spans="1:93" ht="13.95" customHeight="1" x14ac:dyDescent="0.2">
      <c r="A1035" s="238">
        <v>6910</v>
      </c>
      <c r="B1035" s="241" t="s">
        <v>2736</v>
      </c>
      <c r="C1035" s="238"/>
      <c r="D1035" s="237" t="s">
        <v>2767</v>
      </c>
      <c r="E1035" s="237"/>
      <c r="F1035" s="238">
        <v>528743</v>
      </c>
      <c r="G1035" s="238">
        <v>172931</v>
      </c>
      <c r="H1035" s="232" t="s">
        <v>172</v>
      </c>
      <c r="J1035" s="226"/>
      <c r="K1035" s="238">
        <v>0</v>
      </c>
      <c r="L1035" s="238">
        <v>9</v>
      </c>
      <c r="M1035" s="238">
        <v>9</v>
      </c>
      <c r="N1035" s="238">
        <v>44</v>
      </c>
      <c r="O1035" s="238">
        <v>44</v>
      </c>
      <c r="P1035" s="238" t="s">
        <v>318</v>
      </c>
      <c r="Q1035" s="242" t="s">
        <v>2738</v>
      </c>
      <c r="R1035" s="243" t="s">
        <v>2739</v>
      </c>
      <c r="T1035" s="226"/>
      <c r="U1035" s="238"/>
      <c r="V1035" s="238" t="s">
        <v>321</v>
      </c>
      <c r="W1035" s="226"/>
      <c r="X1035" s="238" t="s">
        <v>322</v>
      </c>
      <c r="Y1035" s="238" t="s">
        <v>323</v>
      </c>
      <c r="Z1035" s="238" t="s">
        <v>323</v>
      </c>
      <c r="AA1035" s="238" t="s">
        <v>324</v>
      </c>
      <c r="AB1035" s="244">
        <v>0</v>
      </c>
      <c r="AD1035" s="238"/>
      <c r="AE1035" s="226"/>
      <c r="AF1035" s="238" t="s">
        <v>57</v>
      </c>
      <c r="AG1035" s="238" t="s">
        <v>470</v>
      </c>
      <c r="AH1035" s="238" t="s">
        <v>2768</v>
      </c>
      <c r="AI1035" s="238"/>
      <c r="AJ1035" s="239">
        <v>0</v>
      </c>
      <c r="AK1035" s="239">
        <v>0</v>
      </c>
      <c r="AL1035" s="239">
        <v>0</v>
      </c>
      <c r="AM1035" s="239">
        <v>0</v>
      </c>
      <c r="AN1035" s="239">
        <v>0</v>
      </c>
      <c r="AO1035" s="239">
        <v>0</v>
      </c>
      <c r="AP1035" s="239">
        <v>0</v>
      </c>
      <c r="AQ1035" s="239">
        <v>0</v>
      </c>
      <c r="AR1035" s="239">
        <v>0</v>
      </c>
      <c r="AS1035" s="239">
        <v>0</v>
      </c>
      <c r="AT1035" s="239">
        <v>9</v>
      </c>
      <c r="AU1035" s="239">
        <v>0</v>
      </c>
      <c r="AV1035" s="239">
        <v>0</v>
      </c>
      <c r="AW1035" s="239">
        <v>0</v>
      </c>
      <c r="AX1035" s="239">
        <v>0</v>
      </c>
      <c r="AY1035" s="239">
        <v>0</v>
      </c>
      <c r="AZ1035" s="239">
        <v>0</v>
      </c>
      <c r="BA1035" s="239">
        <v>9</v>
      </c>
      <c r="BB1035" s="239">
        <v>0</v>
      </c>
      <c r="BC1035" s="239">
        <v>0</v>
      </c>
      <c r="BD1035" s="239">
        <v>0</v>
      </c>
      <c r="BE1035" s="239">
        <v>0</v>
      </c>
      <c r="BF1035" s="239">
        <v>0</v>
      </c>
      <c r="BG1035" s="239">
        <v>0</v>
      </c>
      <c r="BH1035" s="239">
        <v>0</v>
      </c>
      <c r="BI1035" s="239">
        <v>0</v>
      </c>
      <c r="BJ1035" s="239">
        <v>0</v>
      </c>
      <c r="BK1035" s="239">
        <v>0</v>
      </c>
      <c r="BL1035" s="239">
        <v>0</v>
      </c>
      <c r="BM1035" s="239">
        <v>0</v>
      </c>
      <c r="BN1035" s="239">
        <v>0</v>
      </c>
      <c r="BO1035" s="239">
        <v>0</v>
      </c>
      <c r="BP1035" s="238"/>
      <c r="BQ1035" s="238"/>
      <c r="BR1035" s="237" t="s">
        <v>334</v>
      </c>
      <c r="BS1035" s="238">
        <v>19</v>
      </c>
      <c r="BY1035" s="239">
        <f>M1035/16</f>
        <v>0.5625</v>
      </c>
      <c r="BZ1035" s="239">
        <f>M1035/16</f>
        <v>0.5625</v>
      </c>
      <c r="CA1035" s="239">
        <f>M1035/16</f>
        <v>0.5625</v>
      </c>
      <c r="CB1035" s="239">
        <f>M1035/16</f>
        <v>0.5625</v>
      </c>
      <c r="CC1035" s="239">
        <f>M1035/16</f>
        <v>0.5625</v>
      </c>
      <c r="CD1035" s="239">
        <f>M1035/16</f>
        <v>0.5625</v>
      </c>
      <c r="CE1035" s="239">
        <f>M1035/16</f>
        <v>0.5625</v>
      </c>
      <c r="CF1035" s="239">
        <f>M1035/16</f>
        <v>0.5625</v>
      </c>
      <c r="CG1035" s="239">
        <f>M1035/16</f>
        <v>0.5625</v>
      </c>
      <c r="CH1035" s="239">
        <f>M1035/16</f>
        <v>0.5625</v>
      </c>
      <c r="CI1035" s="239">
        <f>M1035/16</f>
        <v>0.5625</v>
      </c>
      <c r="CJ1035" s="239">
        <f>M1035/16</f>
        <v>0.5625</v>
      </c>
      <c r="CK1035" s="239">
        <f>M1035/16</f>
        <v>0.5625</v>
      </c>
      <c r="CL1035" s="239">
        <f>M1035/16</f>
        <v>0.5625</v>
      </c>
      <c r="CM1035" s="239">
        <f>M1035/16</f>
        <v>0.5625</v>
      </c>
      <c r="CN1035" s="238">
        <f t="shared" si="122"/>
        <v>0.5625</v>
      </c>
      <c r="CO1035" s="238">
        <f t="shared" si="123"/>
        <v>3.375</v>
      </c>
    </row>
    <row r="1036" spans="1:93" ht="13.95" customHeight="1" x14ac:dyDescent="0.2">
      <c r="A1036" s="238">
        <v>6910</v>
      </c>
      <c r="B1036" s="241" t="s">
        <v>2736</v>
      </c>
      <c r="C1036" s="238"/>
      <c r="D1036" s="237" t="s">
        <v>2767</v>
      </c>
      <c r="E1036" s="237"/>
      <c r="F1036" s="238">
        <v>528743</v>
      </c>
      <c r="G1036" s="238">
        <v>172931</v>
      </c>
      <c r="H1036" s="232" t="s">
        <v>172</v>
      </c>
      <c r="J1036" s="226"/>
      <c r="K1036" s="238">
        <v>0</v>
      </c>
      <c r="L1036" s="238">
        <v>6</v>
      </c>
      <c r="M1036" s="238">
        <v>6</v>
      </c>
      <c r="N1036" s="238">
        <v>44</v>
      </c>
      <c r="O1036" s="238">
        <v>44</v>
      </c>
      <c r="P1036" s="238" t="s">
        <v>318</v>
      </c>
      <c r="Q1036" s="242" t="s">
        <v>2738</v>
      </c>
      <c r="R1036" s="243" t="s">
        <v>2739</v>
      </c>
      <c r="T1036" s="226"/>
      <c r="U1036" s="238"/>
      <c r="V1036" s="238" t="s">
        <v>321</v>
      </c>
      <c r="W1036" s="226"/>
      <c r="X1036" s="238" t="s">
        <v>322</v>
      </c>
      <c r="Y1036" s="238" t="s">
        <v>323</v>
      </c>
      <c r="Z1036" s="238" t="s">
        <v>323</v>
      </c>
      <c r="AA1036" s="238" t="s">
        <v>324</v>
      </c>
      <c r="AB1036" s="244">
        <v>0</v>
      </c>
      <c r="AD1036" s="238"/>
      <c r="AE1036" s="226"/>
      <c r="AF1036" s="238" t="s">
        <v>56</v>
      </c>
      <c r="AG1036" s="238" t="s">
        <v>1355</v>
      </c>
      <c r="AH1036" s="238" t="s">
        <v>2768</v>
      </c>
      <c r="AI1036" s="238"/>
      <c r="AJ1036" s="239">
        <v>0</v>
      </c>
      <c r="AK1036" s="239">
        <v>0</v>
      </c>
      <c r="AL1036" s="239">
        <v>0</v>
      </c>
      <c r="AM1036" s="239">
        <v>0</v>
      </c>
      <c r="AN1036" s="239">
        <v>0</v>
      </c>
      <c r="AO1036" s="239">
        <v>0</v>
      </c>
      <c r="AP1036" s="239">
        <v>0</v>
      </c>
      <c r="AQ1036" s="239">
        <v>0</v>
      </c>
      <c r="AR1036" s="239">
        <v>0</v>
      </c>
      <c r="AS1036" s="239">
        <v>0</v>
      </c>
      <c r="AT1036" s="239">
        <v>6</v>
      </c>
      <c r="AU1036" s="239">
        <v>0</v>
      </c>
      <c r="AV1036" s="239">
        <v>0</v>
      </c>
      <c r="AW1036" s="239">
        <v>0</v>
      </c>
      <c r="AX1036" s="239">
        <v>0</v>
      </c>
      <c r="AY1036" s="239">
        <v>0</v>
      </c>
      <c r="AZ1036" s="239">
        <v>0</v>
      </c>
      <c r="BA1036" s="239">
        <v>6</v>
      </c>
      <c r="BB1036" s="239">
        <v>0</v>
      </c>
      <c r="BC1036" s="239">
        <v>0</v>
      </c>
      <c r="BD1036" s="239">
        <v>0</v>
      </c>
      <c r="BE1036" s="239">
        <v>0</v>
      </c>
      <c r="BF1036" s="239">
        <v>0</v>
      </c>
      <c r="BG1036" s="239">
        <v>0</v>
      </c>
      <c r="BH1036" s="239">
        <v>0</v>
      </c>
      <c r="BI1036" s="239">
        <v>0</v>
      </c>
      <c r="BJ1036" s="239">
        <v>0</v>
      </c>
      <c r="BK1036" s="239">
        <v>0</v>
      </c>
      <c r="BL1036" s="239">
        <v>0</v>
      </c>
      <c r="BM1036" s="239">
        <v>0</v>
      </c>
      <c r="BN1036" s="239">
        <v>0</v>
      </c>
      <c r="BO1036" s="239">
        <v>0</v>
      </c>
      <c r="BP1036" s="238"/>
      <c r="BQ1036" s="238"/>
      <c r="BR1036" s="237" t="s">
        <v>334</v>
      </c>
      <c r="BS1036" s="238">
        <v>19</v>
      </c>
      <c r="BY1036" s="239">
        <f>M1036/16</f>
        <v>0.375</v>
      </c>
      <c r="BZ1036" s="239">
        <f>M1036/16</f>
        <v>0.375</v>
      </c>
      <c r="CA1036" s="239">
        <f>M1036/16</f>
        <v>0.375</v>
      </c>
      <c r="CB1036" s="239">
        <f>M1036/16</f>
        <v>0.375</v>
      </c>
      <c r="CC1036" s="239">
        <f>M1036/16</f>
        <v>0.375</v>
      </c>
      <c r="CD1036" s="239">
        <f>M1036/16</f>
        <v>0.375</v>
      </c>
      <c r="CE1036" s="239">
        <f>M1036/16</f>
        <v>0.375</v>
      </c>
      <c r="CF1036" s="239">
        <f>M1036/16</f>
        <v>0.375</v>
      </c>
      <c r="CG1036" s="239">
        <f>M1036/16</f>
        <v>0.375</v>
      </c>
      <c r="CH1036" s="239">
        <f>M1036/16</f>
        <v>0.375</v>
      </c>
      <c r="CI1036" s="239">
        <f>M1036/16</f>
        <v>0.375</v>
      </c>
      <c r="CJ1036" s="239">
        <f>M1036/16</f>
        <v>0.375</v>
      </c>
      <c r="CK1036" s="239">
        <f>M1036/16</f>
        <v>0.375</v>
      </c>
      <c r="CL1036" s="239">
        <f>M1036/16</f>
        <v>0.375</v>
      </c>
      <c r="CM1036" s="239">
        <f>M1036/16</f>
        <v>0.375</v>
      </c>
      <c r="CN1036" s="238">
        <f t="shared" si="122"/>
        <v>0.375</v>
      </c>
      <c r="CO1036" s="238">
        <f t="shared" si="123"/>
        <v>2.25</v>
      </c>
    </row>
    <row r="1037" spans="1:93" ht="13.95" customHeight="1" x14ac:dyDescent="0.2">
      <c r="A1037" s="238">
        <v>7575</v>
      </c>
      <c r="B1037" s="241" t="s">
        <v>2736</v>
      </c>
      <c r="C1037" s="238"/>
      <c r="D1037" s="237" t="s">
        <v>2769</v>
      </c>
      <c r="E1037" s="237"/>
      <c r="F1037" s="238">
        <v>529080.52989999903</v>
      </c>
      <c r="G1037" s="238">
        <v>177186.61449999901</v>
      </c>
      <c r="H1037" s="232" t="s">
        <v>171</v>
      </c>
      <c r="J1037" s="226"/>
      <c r="K1037" s="238">
        <v>0</v>
      </c>
      <c r="L1037" s="238">
        <v>143</v>
      </c>
      <c r="M1037" s="238">
        <v>143</v>
      </c>
      <c r="N1037" s="238">
        <v>168</v>
      </c>
      <c r="O1037" s="238">
        <v>168</v>
      </c>
      <c r="P1037" s="238" t="s">
        <v>318</v>
      </c>
      <c r="Q1037" s="242" t="s">
        <v>2738</v>
      </c>
      <c r="R1037" s="243" t="s">
        <v>2739</v>
      </c>
      <c r="T1037" s="226"/>
      <c r="U1037" s="238"/>
      <c r="V1037" s="238" t="s">
        <v>321</v>
      </c>
      <c r="W1037" s="226"/>
      <c r="X1037" s="238" t="s">
        <v>322</v>
      </c>
      <c r="Y1037" s="238" t="s">
        <v>323</v>
      </c>
      <c r="Z1037" s="238" t="s">
        <v>323</v>
      </c>
      <c r="AA1037" s="238" t="s">
        <v>324</v>
      </c>
      <c r="AB1037" s="244">
        <v>0</v>
      </c>
      <c r="AD1037" s="238"/>
      <c r="AE1037" s="226"/>
      <c r="AF1037" s="224" t="s">
        <v>77</v>
      </c>
      <c r="AG1037" s="238" t="s">
        <v>350</v>
      </c>
      <c r="AH1037" s="238" t="s">
        <v>2770</v>
      </c>
      <c r="AI1037" s="238"/>
      <c r="AJ1037" s="239">
        <v>0</v>
      </c>
      <c r="AK1037" s="239">
        <v>0</v>
      </c>
      <c r="AL1037" s="239">
        <v>0</v>
      </c>
      <c r="AM1037" s="239">
        <v>0</v>
      </c>
      <c r="AN1037" s="239">
        <v>0</v>
      </c>
      <c r="AO1037" s="239">
        <v>0</v>
      </c>
      <c r="AP1037" s="239">
        <v>0</v>
      </c>
      <c r="AQ1037" s="239">
        <v>0</v>
      </c>
      <c r="AR1037" s="239">
        <v>0</v>
      </c>
      <c r="AS1037" s="239">
        <v>0</v>
      </c>
      <c r="AT1037" s="239">
        <v>143</v>
      </c>
      <c r="AU1037" s="239">
        <v>0</v>
      </c>
      <c r="AV1037" s="239">
        <v>0</v>
      </c>
      <c r="AW1037" s="239">
        <v>0</v>
      </c>
      <c r="AX1037" s="239">
        <v>0</v>
      </c>
      <c r="AY1037" s="239">
        <v>0</v>
      </c>
      <c r="AZ1037" s="239">
        <v>0</v>
      </c>
      <c r="BA1037" s="239">
        <v>143</v>
      </c>
      <c r="BB1037" s="239">
        <v>0</v>
      </c>
      <c r="BC1037" s="239">
        <v>0</v>
      </c>
      <c r="BD1037" s="239">
        <v>0</v>
      </c>
      <c r="BE1037" s="239">
        <v>0</v>
      </c>
      <c r="BF1037" s="239">
        <v>0</v>
      </c>
      <c r="BG1037" s="239">
        <v>0</v>
      </c>
      <c r="BH1037" s="239">
        <v>0</v>
      </c>
      <c r="BI1037" s="239">
        <v>0</v>
      </c>
      <c r="BJ1037" s="239">
        <v>0</v>
      </c>
      <c r="BK1037" s="239">
        <v>0</v>
      </c>
      <c r="BL1037" s="239">
        <v>0</v>
      </c>
      <c r="BM1037" s="239">
        <v>0</v>
      </c>
      <c r="BN1037" s="239">
        <v>0</v>
      </c>
      <c r="BO1037" s="239">
        <v>0</v>
      </c>
      <c r="BP1037" s="238"/>
      <c r="BQ1037" s="234" t="s">
        <v>318</v>
      </c>
      <c r="BR1037" s="237" t="s">
        <v>151</v>
      </c>
      <c r="BS1037" s="238">
        <v>20</v>
      </c>
      <c r="BX1037" s="239">
        <f>M1037/5</f>
        <v>28.6</v>
      </c>
      <c r="BY1037" s="239">
        <f>M1037/5</f>
        <v>28.6</v>
      </c>
      <c r="BZ1037" s="239">
        <f>M1037/5</f>
        <v>28.6</v>
      </c>
      <c r="CA1037" s="239">
        <f>M1037/5</f>
        <v>28.6</v>
      </c>
      <c r="CB1037" s="239">
        <f>M1037/5</f>
        <v>28.6</v>
      </c>
      <c r="CN1037" s="238">
        <f t="shared" si="122"/>
        <v>57.2</v>
      </c>
      <c r="CO1037" s="238">
        <f t="shared" si="123"/>
        <v>143</v>
      </c>
    </row>
    <row r="1038" spans="1:93" ht="13.95" customHeight="1" x14ac:dyDescent="0.2">
      <c r="A1038" s="238">
        <v>7575</v>
      </c>
      <c r="B1038" s="241" t="s">
        <v>2736</v>
      </c>
      <c r="C1038" s="238"/>
      <c r="D1038" s="237" t="s">
        <v>2769</v>
      </c>
      <c r="E1038" s="237"/>
      <c r="F1038" s="238">
        <v>529080.52989999903</v>
      </c>
      <c r="G1038" s="238">
        <v>177186.61449999901</v>
      </c>
      <c r="H1038" s="232" t="s">
        <v>171</v>
      </c>
      <c r="J1038" s="226"/>
      <c r="K1038" s="238">
        <v>0</v>
      </c>
      <c r="L1038" s="238">
        <v>15</v>
      </c>
      <c r="M1038" s="238">
        <v>15</v>
      </c>
      <c r="N1038" s="238">
        <v>168</v>
      </c>
      <c r="O1038" s="238">
        <v>168</v>
      </c>
      <c r="P1038" s="238" t="s">
        <v>318</v>
      </c>
      <c r="Q1038" s="242" t="s">
        <v>2738</v>
      </c>
      <c r="R1038" s="243" t="s">
        <v>2739</v>
      </c>
      <c r="T1038" s="226"/>
      <c r="U1038" s="238"/>
      <c r="V1038" s="238" t="s">
        <v>321</v>
      </c>
      <c r="W1038" s="226"/>
      <c r="X1038" s="238" t="s">
        <v>322</v>
      </c>
      <c r="Y1038" s="238" t="s">
        <v>323</v>
      </c>
      <c r="Z1038" s="238" t="s">
        <v>323</v>
      </c>
      <c r="AA1038" s="238" t="s">
        <v>324</v>
      </c>
      <c r="AB1038" s="244">
        <v>0</v>
      </c>
      <c r="AD1038" s="238"/>
      <c r="AE1038" s="226"/>
      <c r="AF1038" s="238" t="s">
        <v>57</v>
      </c>
      <c r="AG1038" s="238" t="s">
        <v>470</v>
      </c>
      <c r="AH1038" s="238" t="s">
        <v>2770</v>
      </c>
      <c r="AI1038" s="238"/>
      <c r="AJ1038" s="239">
        <v>0</v>
      </c>
      <c r="AK1038" s="239">
        <v>0</v>
      </c>
      <c r="AL1038" s="239">
        <v>0</v>
      </c>
      <c r="AM1038" s="239">
        <v>0</v>
      </c>
      <c r="AN1038" s="239">
        <v>0</v>
      </c>
      <c r="AO1038" s="239">
        <v>0</v>
      </c>
      <c r="AP1038" s="239">
        <v>0</v>
      </c>
      <c r="AQ1038" s="239">
        <v>0</v>
      </c>
      <c r="AR1038" s="239">
        <v>0</v>
      </c>
      <c r="AS1038" s="239">
        <v>0</v>
      </c>
      <c r="AT1038" s="239">
        <v>15</v>
      </c>
      <c r="AU1038" s="239">
        <v>0</v>
      </c>
      <c r="AV1038" s="239">
        <v>0</v>
      </c>
      <c r="AW1038" s="239">
        <v>0</v>
      </c>
      <c r="AX1038" s="239">
        <v>0</v>
      </c>
      <c r="AY1038" s="239">
        <v>0</v>
      </c>
      <c r="AZ1038" s="239">
        <v>0</v>
      </c>
      <c r="BA1038" s="239">
        <v>15</v>
      </c>
      <c r="BB1038" s="239">
        <v>0</v>
      </c>
      <c r="BC1038" s="239">
        <v>0</v>
      </c>
      <c r="BD1038" s="239">
        <v>0</v>
      </c>
      <c r="BE1038" s="239">
        <v>0</v>
      </c>
      <c r="BF1038" s="239">
        <v>0</v>
      </c>
      <c r="BG1038" s="239">
        <v>0</v>
      </c>
      <c r="BH1038" s="239">
        <v>0</v>
      </c>
      <c r="BI1038" s="239">
        <v>0</v>
      </c>
      <c r="BJ1038" s="239">
        <v>0</v>
      </c>
      <c r="BK1038" s="239">
        <v>0</v>
      </c>
      <c r="BL1038" s="239">
        <v>0</v>
      </c>
      <c r="BM1038" s="239">
        <v>0</v>
      </c>
      <c r="BN1038" s="239">
        <v>0</v>
      </c>
      <c r="BO1038" s="239">
        <v>0</v>
      </c>
      <c r="BP1038" s="238"/>
      <c r="BQ1038" s="234" t="s">
        <v>318</v>
      </c>
      <c r="BR1038" s="237" t="s">
        <v>151</v>
      </c>
      <c r="BS1038" s="238">
        <v>20</v>
      </c>
      <c r="BX1038" s="239">
        <f>M1038/5</f>
        <v>3</v>
      </c>
      <c r="BY1038" s="239">
        <f>M1038/5</f>
        <v>3</v>
      </c>
      <c r="BZ1038" s="239">
        <f>M1038/5</f>
        <v>3</v>
      </c>
      <c r="CA1038" s="239">
        <f>M1038/5</f>
        <v>3</v>
      </c>
      <c r="CB1038" s="239">
        <f>M1038/5</f>
        <v>3</v>
      </c>
      <c r="CN1038" s="238">
        <f t="shared" si="122"/>
        <v>6</v>
      </c>
      <c r="CO1038" s="238">
        <f t="shared" si="123"/>
        <v>15</v>
      </c>
    </row>
    <row r="1039" spans="1:93" ht="13.95" customHeight="1" x14ac:dyDescent="0.2">
      <c r="A1039" s="238">
        <v>7575</v>
      </c>
      <c r="B1039" s="241" t="s">
        <v>2736</v>
      </c>
      <c r="C1039" s="238"/>
      <c r="D1039" s="237" t="s">
        <v>2769</v>
      </c>
      <c r="E1039" s="237"/>
      <c r="F1039" s="238">
        <v>529080.52989999903</v>
      </c>
      <c r="G1039" s="238">
        <v>177186.61449999901</v>
      </c>
      <c r="H1039" s="232" t="s">
        <v>171</v>
      </c>
      <c r="J1039" s="226"/>
      <c r="K1039" s="238">
        <v>0</v>
      </c>
      <c r="L1039" s="238">
        <v>10</v>
      </c>
      <c r="M1039" s="238">
        <v>10</v>
      </c>
      <c r="N1039" s="238">
        <v>168</v>
      </c>
      <c r="O1039" s="238">
        <v>168</v>
      </c>
      <c r="P1039" s="238" t="s">
        <v>318</v>
      </c>
      <c r="Q1039" s="242" t="s">
        <v>2738</v>
      </c>
      <c r="R1039" s="243" t="s">
        <v>2739</v>
      </c>
      <c r="T1039" s="226"/>
      <c r="U1039" s="238"/>
      <c r="V1039" s="238" t="s">
        <v>321</v>
      </c>
      <c r="W1039" s="226"/>
      <c r="X1039" s="238" t="s">
        <v>322</v>
      </c>
      <c r="Y1039" s="238" t="s">
        <v>323</v>
      </c>
      <c r="Z1039" s="238" t="s">
        <v>323</v>
      </c>
      <c r="AA1039" s="238" t="s">
        <v>324</v>
      </c>
      <c r="AB1039" s="244">
        <v>0</v>
      </c>
      <c r="AD1039" s="238"/>
      <c r="AE1039" s="226"/>
      <c r="AF1039" s="238" t="s">
        <v>56</v>
      </c>
      <c r="AG1039" s="238" t="s">
        <v>1355</v>
      </c>
      <c r="AH1039" s="238" t="s">
        <v>2770</v>
      </c>
      <c r="AI1039" s="238"/>
      <c r="AJ1039" s="239">
        <v>0</v>
      </c>
      <c r="AK1039" s="239">
        <v>0</v>
      </c>
      <c r="AL1039" s="239">
        <v>0</v>
      </c>
      <c r="AM1039" s="239">
        <v>0</v>
      </c>
      <c r="AN1039" s="239">
        <v>0</v>
      </c>
      <c r="AO1039" s="239">
        <v>0</v>
      </c>
      <c r="AP1039" s="239">
        <v>0</v>
      </c>
      <c r="AQ1039" s="239">
        <v>0</v>
      </c>
      <c r="AR1039" s="239">
        <v>0</v>
      </c>
      <c r="AS1039" s="239">
        <v>0</v>
      </c>
      <c r="AT1039" s="239">
        <v>10</v>
      </c>
      <c r="AU1039" s="239">
        <v>0</v>
      </c>
      <c r="AV1039" s="239">
        <v>0</v>
      </c>
      <c r="AW1039" s="239">
        <v>0</v>
      </c>
      <c r="AX1039" s="239">
        <v>0</v>
      </c>
      <c r="AY1039" s="239">
        <v>0</v>
      </c>
      <c r="AZ1039" s="239">
        <v>0</v>
      </c>
      <c r="BA1039" s="239">
        <v>10</v>
      </c>
      <c r="BB1039" s="239">
        <v>0</v>
      </c>
      <c r="BC1039" s="239">
        <v>0</v>
      </c>
      <c r="BD1039" s="239">
        <v>0</v>
      </c>
      <c r="BE1039" s="239">
        <v>0</v>
      </c>
      <c r="BF1039" s="239">
        <v>0</v>
      </c>
      <c r="BG1039" s="239">
        <v>0</v>
      </c>
      <c r="BH1039" s="239">
        <v>0</v>
      </c>
      <c r="BI1039" s="239">
        <v>0</v>
      </c>
      <c r="BJ1039" s="239">
        <v>0</v>
      </c>
      <c r="BK1039" s="239">
        <v>0</v>
      </c>
      <c r="BL1039" s="239">
        <v>0</v>
      </c>
      <c r="BM1039" s="239">
        <v>0</v>
      </c>
      <c r="BN1039" s="239">
        <v>0</v>
      </c>
      <c r="BO1039" s="239">
        <v>0</v>
      </c>
      <c r="BP1039" s="238"/>
      <c r="BQ1039" s="234" t="s">
        <v>318</v>
      </c>
      <c r="BR1039" s="237" t="s">
        <v>151</v>
      </c>
      <c r="BS1039" s="238">
        <v>20</v>
      </c>
      <c r="BX1039" s="239">
        <f>M1039/5</f>
        <v>2</v>
      </c>
      <c r="BY1039" s="239">
        <f>M1039/5</f>
        <v>2</v>
      </c>
      <c r="BZ1039" s="239">
        <f>M1039/5</f>
        <v>2</v>
      </c>
      <c r="CA1039" s="239">
        <f>M1039/5</f>
        <v>2</v>
      </c>
      <c r="CB1039" s="239">
        <f>M1039/5</f>
        <v>2</v>
      </c>
      <c r="CN1039" s="238">
        <f t="shared" si="122"/>
        <v>4</v>
      </c>
      <c r="CO1039" s="238">
        <f t="shared" si="123"/>
        <v>10</v>
      </c>
    </row>
    <row r="1040" spans="1:93" ht="13.95" customHeight="1" x14ac:dyDescent="0.2">
      <c r="A1040" s="238">
        <v>4437</v>
      </c>
      <c r="B1040" s="241" t="s">
        <v>2736</v>
      </c>
      <c r="C1040" s="238"/>
      <c r="D1040" s="237" t="s">
        <v>2771</v>
      </c>
      <c r="E1040" s="237"/>
      <c r="F1040" s="238">
        <v>527446.42059999902</v>
      </c>
      <c r="G1040" s="238">
        <v>176521.567799999</v>
      </c>
      <c r="H1040" s="232" t="s">
        <v>174</v>
      </c>
      <c r="J1040" s="226"/>
      <c r="K1040" s="238">
        <v>0</v>
      </c>
      <c r="L1040" s="238">
        <v>5</v>
      </c>
      <c r="M1040" s="238">
        <v>5</v>
      </c>
      <c r="N1040" s="238">
        <v>5</v>
      </c>
      <c r="O1040" s="238">
        <v>5</v>
      </c>
      <c r="P1040" s="238"/>
      <c r="Q1040" s="242" t="s">
        <v>2738</v>
      </c>
      <c r="R1040" s="238" t="s">
        <v>2739</v>
      </c>
      <c r="T1040" s="226"/>
      <c r="U1040" s="238"/>
      <c r="V1040" s="238" t="s">
        <v>321</v>
      </c>
      <c r="W1040" s="226"/>
      <c r="X1040" s="238" t="s">
        <v>322</v>
      </c>
      <c r="Y1040" s="238" t="s">
        <v>323</v>
      </c>
      <c r="Z1040" s="238" t="s">
        <v>324</v>
      </c>
      <c r="AA1040" s="238" t="s">
        <v>349</v>
      </c>
      <c r="AB1040" s="244">
        <v>0</v>
      </c>
      <c r="AD1040" s="238"/>
      <c r="AE1040" s="226"/>
      <c r="AF1040" s="224" t="s">
        <v>77</v>
      </c>
      <c r="AG1040" s="238" t="s">
        <v>350</v>
      </c>
      <c r="AH1040" s="238" t="s">
        <v>2772</v>
      </c>
      <c r="AI1040" s="238"/>
      <c r="AJ1040" s="239">
        <v>0</v>
      </c>
      <c r="AK1040" s="239">
        <v>0</v>
      </c>
      <c r="AL1040" s="239">
        <v>0</v>
      </c>
      <c r="AM1040" s="239">
        <v>0</v>
      </c>
      <c r="AN1040" s="239">
        <v>0</v>
      </c>
      <c r="AO1040" s="239">
        <v>0</v>
      </c>
      <c r="AP1040" s="239">
        <v>0</v>
      </c>
      <c r="AQ1040" s="239">
        <v>0</v>
      </c>
      <c r="AR1040" s="239">
        <v>0</v>
      </c>
      <c r="AS1040" s="239">
        <v>0</v>
      </c>
      <c r="AT1040" s="239">
        <v>5</v>
      </c>
      <c r="AU1040" s="239">
        <v>0</v>
      </c>
      <c r="AV1040" s="239">
        <v>0</v>
      </c>
      <c r="AW1040" s="239">
        <v>0</v>
      </c>
      <c r="AX1040" s="239">
        <v>0</v>
      </c>
      <c r="AY1040" s="239">
        <v>0</v>
      </c>
      <c r="AZ1040" s="239">
        <v>0</v>
      </c>
      <c r="BA1040" s="239">
        <v>5</v>
      </c>
      <c r="BB1040" s="239">
        <v>0</v>
      </c>
      <c r="BC1040" s="239">
        <v>0</v>
      </c>
      <c r="BD1040" s="239">
        <v>0</v>
      </c>
      <c r="BE1040" s="239">
        <v>0</v>
      </c>
      <c r="BF1040" s="239">
        <v>0</v>
      </c>
      <c r="BG1040" s="239">
        <v>0</v>
      </c>
      <c r="BH1040" s="239">
        <v>0</v>
      </c>
      <c r="BI1040" s="239">
        <v>0</v>
      </c>
      <c r="BJ1040" s="239">
        <v>0</v>
      </c>
      <c r="BK1040" s="239">
        <v>0</v>
      </c>
      <c r="BL1040" s="239">
        <v>0</v>
      </c>
      <c r="BM1040" s="239">
        <v>0</v>
      </c>
      <c r="BN1040" s="239">
        <v>0</v>
      </c>
      <c r="BO1040" s="239">
        <v>0</v>
      </c>
      <c r="BP1040" s="238"/>
      <c r="BQ1040" s="238"/>
      <c r="BR1040" s="237" t="s">
        <v>334</v>
      </c>
      <c r="BS1040" s="238">
        <v>19</v>
      </c>
      <c r="BX1040" s="239">
        <f>M1040/10</f>
        <v>0.5</v>
      </c>
      <c r="BY1040" s="239">
        <f>M1040/10</f>
        <v>0.5</v>
      </c>
      <c r="BZ1040" s="239">
        <f>M1040/10</f>
        <v>0.5</v>
      </c>
      <c r="CA1040" s="239">
        <f>M1040/10</f>
        <v>0.5</v>
      </c>
      <c r="CB1040" s="239">
        <f>M1040/10</f>
        <v>0.5</v>
      </c>
      <c r="CC1040" s="239">
        <f>M1040/10</f>
        <v>0.5</v>
      </c>
      <c r="CD1040" s="239">
        <f>M1040/10</f>
        <v>0.5</v>
      </c>
      <c r="CE1040" s="239">
        <f>M1040/10</f>
        <v>0.5</v>
      </c>
      <c r="CF1040" s="239">
        <f>M1040/10</f>
        <v>0.5</v>
      </c>
      <c r="CG1040" s="239">
        <f>M1040/10</f>
        <v>0.5</v>
      </c>
      <c r="CN1040" s="238">
        <f t="shared" si="122"/>
        <v>1</v>
      </c>
      <c r="CO1040" s="238">
        <f t="shared" si="123"/>
        <v>3.5</v>
      </c>
    </row>
    <row r="1041" spans="1:93" ht="13.95" customHeight="1" x14ac:dyDescent="0.2">
      <c r="A1041" s="238">
        <v>4472</v>
      </c>
      <c r="B1041" s="241" t="s">
        <v>2736</v>
      </c>
      <c r="C1041" s="238"/>
      <c r="D1041" s="237" t="s">
        <v>2773</v>
      </c>
      <c r="E1041" s="237"/>
      <c r="F1041" s="238">
        <v>529267</v>
      </c>
      <c r="G1041" s="238">
        <v>177387</v>
      </c>
      <c r="H1041" s="232" t="s">
        <v>168</v>
      </c>
      <c r="J1041" s="226"/>
      <c r="K1041" s="238">
        <v>0</v>
      </c>
      <c r="L1041" s="238">
        <v>32</v>
      </c>
      <c r="M1041" s="238">
        <v>32</v>
      </c>
      <c r="N1041" s="238">
        <v>37</v>
      </c>
      <c r="O1041" s="238">
        <v>37</v>
      </c>
      <c r="P1041" s="238" t="s">
        <v>318</v>
      </c>
      <c r="Q1041" s="242" t="s">
        <v>2738</v>
      </c>
      <c r="R1041" s="243" t="s">
        <v>2739</v>
      </c>
      <c r="T1041" s="226"/>
      <c r="U1041" s="238"/>
      <c r="V1041" s="238" t="s">
        <v>321</v>
      </c>
      <c r="W1041" s="226"/>
      <c r="X1041" s="238" t="s">
        <v>322</v>
      </c>
      <c r="Y1041" s="238" t="s">
        <v>323</v>
      </c>
      <c r="Z1041" s="238" t="s">
        <v>323</v>
      </c>
      <c r="AA1041" s="238" t="s">
        <v>324</v>
      </c>
      <c r="AB1041" s="244">
        <v>0</v>
      </c>
      <c r="AD1041" s="238"/>
      <c r="AE1041" s="226"/>
      <c r="AF1041" s="224" t="s">
        <v>77</v>
      </c>
      <c r="AG1041" s="238" t="s">
        <v>350</v>
      </c>
      <c r="AH1041" s="238" t="s">
        <v>2774</v>
      </c>
      <c r="AI1041" s="238"/>
      <c r="AJ1041" s="239">
        <v>0</v>
      </c>
      <c r="AK1041" s="239">
        <v>0</v>
      </c>
      <c r="AL1041" s="239">
        <v>0</v>
      </c>
      <c r="AM1041" s="239">
        <v>0</v>
      </c>
      <c r="AN1041" s="239">
        <v>0</v>
      </c>
      <c r="AO1041" s="239">
        <v>0</v>
      </c>
      <c r="AP1041" s="239">
        <v>0</v>
      </c>
      <c r="AQ1041" s="239">
        <v>0</v>
      </c>
      <c r="AR1041" s="239">
        <v>0</v>
      </c>
      <c r="AS1041" s="239">
        <v>0</v>
      </c>
      <c r="AT1041" s="239">
        <v>32</v>
      </c>
      <c r="AU1041" s="239">
        <v>0</v>
      </c>
      <c r="AV1041" s="239">
        <v>0</v>
      </c>
      <c r="AW1041" s="239">
        <v>0</v>
      </c>
      <c r="AX1041" s="239">
        <v>0</v>
      </c>
      <c r="AY1041" s="239">
        <v>0</v>
      </c>
      <c r="AZ1041" s="239">
        <v>0</v>
      </c>
      <c r="BA1041" s="239">
        <v>32</v>
      </c>
      <c r="BB1041" s="239">
        <v>0</v>
      </c>
      <c r="BC1041" s="239">
        <v>0</v>
      </c>
      <c r="BD1041" s="239">
        <v>0</v>
      </c>
      <c r="BE1041" s="239">
        <v>0</v>
      </c>
      <c r="BF1041" s="239">
        <v>0</v>
      </c>
      <c r="BG1041" s="239">
        <v>0</v>
      </c>
      <c r="BH1041" s="239">
        <v>0</v>
      </c>
      <c r="BI1041" s="239">
        <v>0</v>
      </c>
      <c r="BJ1041" s="239">
        <v>0</v>
      </c>
      <c r="BK1041" s="239">
        <v>0</v>
      </c>
      <c r="BL1041" s="239">
        <v>0</v>
      </c>
      <c r="BM1041" s="239">
        <v>0</v>
      </c>
      <c r="BN1041" s="239">
        <v>0</v>
      </c>
      <c r="BO1041" s="239">
        <v>0</v>
      </c>
      <c r="BP1041" s="238"/>
      <c r="BQ1041" s="234" t="s">
        <v>318</v>
      </c>
      <c r="BR1041" s="237" t="s">
        <v>151</v>
      </c>
      <c r="BS1041" s="238">
        <v>20</v>
      </c>
      <c r="BY1041" s="239">
        <f t="shared" ref="BY1041:BY1046" si="124">M1041</f>
        <v>32</v>
      </c>
      <c r="CN1041" s="238">
        <f t="shared" si="122"/>
        <v>32</v>
      </c>
      <c r="CO1041" s="238">
        <f t="shared" si="123"/>
        <v>32</v>
      </c>
    </row>
    <row r="1042" spans="1:93" ht="13.95" customHeight="1" x14ac:dyDescent="0.2">
      <c r="A1042" s="238">
        <v>4472</v>
      </c>
      <c r="B1042" s="241" t="s">
        <v>2736</v>
      </c>
      <c r="C1042" s="238"/>
      <c r="D1042" s="237" t="s">
        <v>2773</v>
      </c>
      <c r="E1042" s="237"/>
      <c r="F1042" s="238">
        <v>529267</v>
      </c>
      <c r="G1042" s="238">
        <v>177387</v>
      </c>
      <c r="H1042" s="232" t="s">
        <v>168</v>
      </c>
      <c r="J1042" s="226"/>
      <c r="K1042" s="238">
        <v>0</v>
      </c>
      <c r="L1042" s="238">
        <v>3</v>
      </c>
      <c r="M1042" s="238">
        <v>3</v>
      </c>
      <c r="N1042" s="238">
        <v>37</v>
      </c>
      <c r="O1042" s="238">
        <v>37</v>
      </c>
      <c r="P1042" s="238" t="s">
        <v>318</v>
      </c>
      <c r="Q1042" s="242" t="s">
        <v>2738</v>
      </c>
      <c r="R1042" s="243" t="s">
        <v>2739</v>
      </c>
      <c r="T1042" s="226"/>
      <c r="U1042" s="238"/>
      <c r="V1042" s="238" t="s">
        <v>321</v>
      </c>
      <c r="W1042" s="226"/>
      <c r="X1042" s="238" t="s">
        <v>322</v>
      </c>
      <c r="Y1042" s="238" t="s">
        <v>323</v>
      </c>
      <c r="Z1042" s="238" t="s">
        <v>323</v>
      </c>
      <c r="AA1042" s="238" t="s">
        <v>324</v>
      </c>
      <c r="AB1042" s="244">
        <v>0</v>
      </c>
      <c r="AD1042" s="238"/>
      <c r="AE1042" s="226"/>
      <c r="AF1042" s="238" t="s">
        <v>57</v>
      </c>
      <c r="AG1042" s="238" t="s">
        <v>470</v>
      </c>
      <c r="AH1042" s="238" t="s">
        <v>2774</v>
      </c>
      <c r="AI1042" s="238"/>
      <c r="AJ1042" s="239">
        <v>0</v>
      </c>
      <c r="AK1042" s="239">
        <v>0</v>
      </c>
      <c r="AL1042" s="239">
        <v>0</v>
      </c>
      <c r="AM1042" s="239">
        <v>0</v>
      </c>
      <c r="AN1042" s="239">
        <v>0</v>
      </c>
      <c r="AO1042" s="239">
        <v>0</v>
      </c>
      <c r="AP1042" s="239">
        <v>0</v>
      </c>
      <c r="AQ1042" s="239">
        <v>0</v>
      </c>
      <c r="AR1042" s="239">
        <v>0</v>
      </c>
      <c r="AS1042" s="239">
        <v>0</v>
      </c>
      <c r="AT1042" s="239">
        <v>3</v>
      </c>
      <c r="AU1042" s="239">
        <v>0</v>
      </c>
      <c r="AV1042" s="239">
        <v>0</v>
      </c>
      <c r="AW1042" s="239">
        <v>0</v>
      </c>
      <c r="AX1042" s="239">
        <v>0</v>
      </c>
      <c r="AY1042" s="239">
        <v>0</v>
      </c>
      <c r="AZ1042" s="239">
        <v>0</v>
      </c>
      <c r="BA1042" s="239">
        <v>3</v>
      </c>
      <c r="BB1042" s="239">
        <v>0</v>
      </c>
      <c r="BC1042" s="239">
        <v>0</v>
      </c>
      <c r="BD1042" s="239">
        <v>0</v>
      </c>
      <c r="BE1042" s="239">
        <v>0</v>
      </c>
      <c r="BF1042" s="239">
        <v>0</v>
      </c>
      <c r="BG1042" s="239">
        <v>0</v>
      </c>
      <c r="BH1042" s="239">
        <v>0</v>
      </c>
      <c r="BI1042" s="239">
        <v>0</v>
      </c>
      <c r="BJ1042" s="239">
        <v>0</v>
      </c>
      <c r="BK1042" s="239">
        <v>0</v>
      </c>
      <c r="BL1042" s="239">
        <v>0</v>
      </c>
      <c r="BM1042" s="239">
        <v>0</v>
      </c>
      <c r="BN1042" s="239">
        <v>0</v>
      </c>
      <c r="BO1042" s="239">
        <v>0</v>
      </c>
      <c r="BP1042" s="238"/>
      <c r="BQ1042" s="234" t="s">
        <v>318</v>
      </c>
      <c r="BR1042" s="237" t="s">
        <v>151</v>
      </c>
      <c r="BS1042" s="238">
        <v>20</v>
      </c>
      <c r="BY1042" s="239">
        <f t="shared" si="124"/>
        <v>3</v>
      </c>
      <c r="CN1042" s="238">
        <f t="shared" si="122"/>
        <v>3</v>
      </c>
      <c r="CO1042" s="238">
        <f t="shared" si="123"/>
        <v>3</v>
      </c>
    </row>
    <row r="1043" spans="1:93" ht="13.95" customHeight="1" x14ac:dyDescent="0.2">
      <c r="A1043" s="238">
        <v>4472</v>
      </c>
      <c r="B1043" s="241" t="s">
        <v>2736</v>
      </c>
      <c r="C1043" s="238"/>
      <c r="D1043" s="237" t="s">
        <v>2773</v>
      </c>
      <c r="E1043" s="237"/>
      <c r="F1043" s="238">
        <v>529267</v>
      </c>
      <c r="G1043" s="238">
        <v>177387</v>
      </c>
      <c r="H1043" s="232" t="s">
        <v>168</v>
      </c>
      <c r="J1043" s="226"/>
      <c r="K1043" s="238">
        <v>0</v>
      </c>
      <c r="L1043" s="238">
        <v>2</v>
      </c>
      <c r="M1043" s="238">
        <v>2</v>
      </c>
      <c r="N1043" s="238">
        <v>37</v>
      </c>
      <c r="O1043" s="238">
        <v>37</v>
      </c>
      <c r="P1043" s="238" t="s">
        <v>318</v>
      </c>
      <c r="Q1043" s="242" t="s">
        <v>2738</v>
      </c>
      <c r="R1043" s="243" t="s">
        <v>2739</v>
      </c>
      <c r="T1043" s="226"/>
      <c r="U1043" s="238"/>
      <c r="V1043" s="238" t="s">
        <v>321</v>
      </c>
      <c r="W1043" s="226"/>
      <c r="X1043" s="238" t="s">
        <v>322</v>
      </c>
      <c r="Y1043" s="238" t="s">
        <v>323</v>
      </c>
      <c r="Z1043" s="238" t="s">
        <v>323</v>
      </c>
      <c r="AA1043" s="238" t="s">
        <v>324</v>
      </c>
      <c r="AB1043" s="244">
        <v>0</v>
      </c>
      <c r="AD1043" s="238"/>
      <c r="AE1043" s="226"/>
      <c r="AF1043" s="238" t="s">
        <v>56</v>
      </c>
      <c r="AG1043" s="238" t="s">
        <v>1355</v>
      </c>
      <c r="AH1043" s="238" t="s">
        <v>2774</v>
      </c>
      <c r="AI1043" s="238"/>
      <c r="AJ1043" s="239">
        <v>0</v>
      </c>
      <c r="AK1043" s="239">
        <v>0</v>
      </c>
      <c r="AL1043" s="239">
        <v>0</v>
      </c>
      <c r="AM1043" s="239">
        <v>0</v>
      </c>
      <c r="AN1043" s="239">
        <v>0</v>
      </c>
      <c r="AO1043" s="239">
        <v>0</v>
      </c>
      <c r="AP1043" s="239">
        <v>0</v>
      </c>
      <c r="AQ1043" s="239">
        <v>0</v>
      </c>
      <c r="AR1043" s="239">
        <v>0</v>
      </c>
      <c r="AS1043" s="239">
        <v>0</v>
      </c>
      <c r="AT1043" s="239">
        <v>2</v>
      </c>
      <c r="AU1043" s="239">
        <v>0</v>
      </c>
      <c r="AV1043" s="239">
        <v>0</v>
      </c>
      <c r="AW1043" s="239">
        <v>0</v>
      </c>
      <c r="AX1043" s="239">
        <v>0</v>
      </c>
      <c r="AY1043" s="239">
        <v>0</v>
      </c>
      <c r="AZ1043" s="239">
        <v>0</v>
      </c>
      <c r="BA1043" s="239">
        <v>2</v>
      </c>
      <c r="BB1043" s="239">
        <v>0</v>
      </c>
      <c r="BC1043" s="239">
        <v>0</v>
      </c>
      <c r="BD1043" s="239">
        <v>0</v>
      </c>
      <c r="BE1043" s="239">
        <v>0</v>
      </c>
      <c r="BF1043" s="239">
        <v>0</v>
      </c>
      <c r="BG1043" s="239">
        <v>0</v>
      </c>
      <c r="BH1043" s="239">
        <v>0</v>
      </c>
      <c r="BI1043" s="239">
        <v>0</v>
      </c>
      <c r="BJ1043" s="239">
        <v>0</v>
      </c>
      <c r="BK1043" s="239">
        <v>0</v>
      </c>
      <c r="BL1043" s="239">
        <v>0</v>
      </c>
      <c r="BM1043" s="239">
        <v>0</v>
      </c>
      <c r="BN1043" s="239">
        <v>0</v>
      </c>
      <c r="BO1043" s="239">
        <v>0</v>
      </c>
      <c r="BP1043" s="238"/>
      <c r="BQ1043" s="234" t="s">
        <v>318</v>
      </c>
      <c r="BR1043" s="237" t="s">
        <v>151</v>
      </c>
      <c r="BS1043" s="238">
        <v>20</v>
      </c>
      <c r="BY1043" s="239">
        <f t="shared" si="124"/>
        <v>2</v>
      </c>
      <c r="CN1043" s="238">
        <f t="shared" si="122"/>
        <v>2</v>
      </c>
      <c r="CO1043" s="238">
        <f t="shared" si="123"/>
        <v>2</v>
      </c>
    </row>
    <row r="1044" spans="1:93" ht="13.95" customHeight="1" x14ac:dyDescent="0.2">
      <c r="A1044" s="238">
        <v>6877</v>
      </c>
      <c r="B1044" s="241" t="s">
        <v>2736</v>
      </c>
      <c r="C1044" s="238"/>
      <c r="D1044" s="237" t="s">
        <v>2775</v>
      </c>
      <c r="E1044" s="237"/>
      <c r="F1044" s="238">
        <v>529311</v>
      </c>
      <c r="G1044" s="238">
        <v>177427</v>
      </c>
      <c r="H1044" s="232" t="s">
        <v>168</v>
      </c>
      <c r="J1044" s="226"/>
      <c r="K1044" s="238">
        <v>0</v>
      </c>
      <c r="L1044" s="238">
        <v>131</v>
      </c>
      <c r="M1044" s="238">
        <v>131</v>
      </c>
      <c r="N1044" s="238">
        <v>154</v>
      </c>
      <c r="O1044" s="238">
        <v>154</v>
      </c>
      <c r="P1044" s="238" t="s">
        <v>318</v>
      </c>
      <c r="Q1044" s="242" t="s">
        <v>2738</v>
      </c>
      <c r="R1044" s="243" t="s">
        <v>2739</v>
      </c>
      <c r="T1044" s="226"/>
      <c r="U1044" s="238"/>
      <c r="V1044" s="238" t="s">
        <v>321</v>
      </c>
      <c r="W1044" s="226"/>
      <c r="X1044" s="238" t="s">
        <v>322</v>
      </c>
      <c r="Y1044" s="238" t="s">
        <v>323</v>
      </c>
      <c r="Z1044" s="238" t="s">
        <v>323</v>
      </c>
      <c r="AA1044" s="238" t="s">
        <v>324</v>
      </c>
      <c r="AB1044" s="244">
        <v>0</v>
      </c>
      <c r="AD1044" s="238"/>
      <c r="AE1044" s="226"/>
      <c r="AF1044" s="224" t="s">
        <v>77</v>
      </c>
      <c r="AG1044" s="238" t="s">
        <v>350</v>
      </c>
      <c r="AH1044" s="238" t="s">
        <v>2776</v>
      </c>
      <c r="AI1044" s="238"/>
      <c r="AJ1044" s="239">
        <v>0</v>
      </c>
      <c r="AK1044" s="239">
        <v>0</v>
      </c>
      <c r="AL1044" s="239">
        <v>0</v>
      </c>
      <c r="AM1044" s="239">
        <v>0</v>
      </c>
      <c r="AN1044" s="239">
        <v>0</v>
      </c>
      <c r="AO1044" s="239">
        <v>0</v>
      </c>
      <c r="AP1044" s="239">
        <v>0</v>
      </c>
      <c r="AQ1044" s="239">
        <v>0</v>
      </c>
      <c r="AR1044" s="239">
        <v>0</v>
      </c>
      <c r="AS1044" s="239">
        <v>0</v>
      </c>
      <c r="AT1044" s="239">
        <v>131</v>
      </c>
      <c r="AU1044" s="239">
        <v>0</v>
      </c>
      <c r="AV1044" s="239">
        <v>0</v>
      </c>
      <c r="AW1044" s="239">
        <v>0</v>
      </c>
      <c r="AX1044" s="239">
        <v>0</v>
      </c>
      <c r="AY1044" s="239">
        <v>0</v>
      </c>
      <c r="AZ1044" s="239">
        <v>0</v>
      </c>
      <c r="BA1044" s="239">
        <v>131</v>
      </c>
      <c r="BB1044" s="239">
        <v>0</v>
      </c>
      <c r="BC1044" s="239">
        <v>0</v>
      </c>
      <c r="BD1044" s="239">
        <v>0</v>
      </c>
      <c r="BE1044" s="239">
        <v>0</v>
      </c>
      <c r="BF1044" s="239">
        <v>0</v>
      </c>
      <c r="BG1044" s="239">
        <v>0</v>
      </c>
      <c r="BH1044" s="239">
        <v>0</v>
      </c>
      <c r="BI1044" s="239">
        <v>0</v>
      </c>
      <c r="BJ1044" s="239">
        <v>0</v>
      </c>
      <c r="BK1044" s="239">
        <v>0</v>
      </c>
      <c r="BL1044" s="239">
        <v>0</v>
      </c>
      <c r="BM1044" s="239">
        <v>0</v>
      </c>
      <c r="BN1044" s="239">
        <v>0</v>
      </c>
      <c r="BO1044" s="239">
        <v>0</v>
      </c>
      <c r="BP1044" s="238"/>
      <c r="BQ1044" s="234" t="s">
        <v>318</v>
      </c>
      <c r="BR1044" s="237" t="s">
        <v>151</v>
      </c>
      <c r="BS1044" s="238">
        <v>20</v>
      </c>
      <c r="BY1044" s="239">
        <f t="shared" si="124"/>
        <v>131</v>
      </c>
      <c r="CN1044" s="238">
        <f t="shared" si="122"/>
        <v>131</v>
      </c>
      <c r="CO1044" s="238">
        <f t="shared" si="123"/>
        <v>131</v>
      </c>
    </row>
    <row r="1045" spans="1:93" ht="13.95" customHeight="1" x14ac:dyDescent="0.2">
      <c r="A1045" s="238">
        <v>6877</v>
      </c>
      <c r="B1045" s="241" t="s">
        <v>2736</v>
      </c>
      <c r="C1045" s="238"/>
      <c r="D1045" s="237" t="s">
        <v>2775</v>
      </c>
      <c r="E1045" s="237"/>
      <c r="F1045" s="238">
        <v>529311</v>
      </c>
      <c r="G1045" s="238">
        <v>177427</v>
      </c>
      <c r="H1045" s="232" t="s">
        <v>168</v>
      </c>
      <c r="J1045" s="226"/>
      <c r="K1045" s="238">
        <v>0</v>
      </c>
      <c r="L1045" s="238">
        <v>14</v>
      </c>
      <c r="M1045" s="238">
        <v>14</v>
      </c>
      <c r="N1045" s="238">
        <v>154</v>
      </c>
      <c r="O1045" s="238">
        <v>154</v>
      </c>
      <c r="P1045" s="238" t="s">
        <v>318</v>
      </c>
      <c r="Q1045" s="242" t="s">
        <v>2738</v>
      </c>
      <c r="R1045" s="243" t="s">
        <v>2739</v>
      </c>
      <c r="T1045" s="226"/>
      <c r="U1045" s="238"/>
      <c r="V1045" s="238" t="s">
        <v>321</v>
      </c>
      <c r="W1045" s="226"/>
      <c r="X1045" s="238" t="s">
        <v>322</v>
      </c>
      <c r="Y1045" s="238" t="s">
        <v>323</v>
      </c>
      <c r="Z1045" s="238" t="s">
        <v>323</v>
      </c>
      <c r="AA1045" s="238" t="s">
        <v>324</v>
      </c>
      <c r="AB1045" s="244">
        <v>0</v>
      </c>
      <c r="AD1045" s="238"/>
      <c r="AE1045" s="226"/>
      <c r="AF1045" s="238" t="s">
        <v>57</v>
      </c>
      <c r="AG1045" s="238" t="s">
        <v>470</v>
      </c>
      <c r="AH1045" s="238" t="s">
        <v>2776</v>
      </c>
      <c r="AI1045" s="238"/>
      <c r="AJ1045" s="239">
        <v>0</v>
      </c>
      <c r="AK1045" s="239">
        <v>0</v>
      </c>
      <c r="AL1045" s="239">
        <v>0</v>
      </c>
      <c r="AM1045" s="239">
        <v>0</v>
      </c>
      <c r="AN1045" s="239">
        <v>0</v>
      </c>
      <c r="AO1045" s="239">
        <v>0</v>
      </c>
      <c r="AP1045" s="239">
        <v>0</v>
      </c>
      <c r="AQ1045" s="239">
        <v>0</v>
      </c>
      <c r="AR1045" s="239">
        <v>0</v>
      </c>
      <c r="AS1045" s="239">
        <v>0</v>
      </c>
      <c r="AT1045" s="239">
        <v>14</v>
      </c>
      <c r="AU1045" s="239">
        <v>0</v>
      </c>
      <c r="AV1045" s="239">
        <v>0</v>
      </c>
      <c r="AW1045" s="239">
        <v>0</v>
      </c>
      <c r="AX1045" s="239">
        <v>0</v>
      </c>
      <c r="AY1045" s="239">
        <v>0</v>
      </c>
      <c r="AZ1045" s="239">
        <v>0</v>
      </c>
      <c r="BA1045" s="239">
        <v>14</v>
      </c>
      <c r="BB1045" s="239">
        <v>0</v>
      </c>
      <c r="BC1045" s="239">
        <v>0</v>
      </c>
      <c r="BD1045" s="239">
        <v>0</v>
      </c>
      <c r="BE1045" s="239">
        <v>0</v>
      </c>
      <c r="BF1045" s="239">
        <v>0</v>
      </c>
      <c r="BG1045" s="239">
        <v>0</v>
      </c>
      <c r="BH1045" s="239">
        <v>0</v>
      </c>
      <c r="BI1045" s="239">
        <v>0</v>
      </c>
      <c r="BJ1045" s="239">
        <v>0</v>
      </c>
      <c r="BK1045" s="239">
        <v>0</v>
      </c>
      <c r="BL1045" s="239">
        <v>0</v>
      </c>
      <c r="BM1045" s="239">
        <v>0</v>
      </c>
      <c r="BN1045" s="239">
        <v>0</v>
      </c>
      <c r="BO1045" s="239">
        <v>0</v>
      </c>
      <c r="BP1045" s="238"/>
      <c r="BQ1045" s="234" t="s">
        <v>318</v>
      </c>
      <c r="BR1045" s="237" t="s">
        <v>151</v>
      </c>
      <c r="BS1045" s="238">
        <v>20</v>
      </c>
      <c r="BY1045" s="239">
        <f t="shared" si="124"/>
        <v>14</v>
      </c>
      <c r="CN1045" s="238">
        <f t="shared" si="122"/>
        <v>14</v>
      </c>
      <c r="CO1045" s="238">
        <f t="shared" si="123"/>
        <v>14</v>
      </c>
    </row>
    <row r="1046" spans="1:93" ht="13.95" customHeight="1" x14ac:dyDescent="0.2">
      <c r="A1046" s="238">
        <v>6877</v>
      </c>
      <c r="B1046" s="241" t="s">
        <v>2736</v>
      </c>
      <c r="C1046" s="238"/>
      <c r="D1046" s="237" t="s">
        <v>2775</v>
      </c>
      <c r="E1046" s="237"/>
      <c r="F1046" s="238">
        <v>529311</v>
      </c>
      <c r="G1046" s="238">
        <v>177427</v>
      </c>
      <c r="H1046" s="232" t="s">
        <v>168</v>
      </c>
      <c r="J1046" s="226"/>
      <c r="K1046" s="238">
        <v>0</v>
      </c>
      <c r="L1046" s="238">
        <v>9</v>
      </c>
      <c r="M1046" s="238">
        <v>9</v>
      </c>
      <c r="N1046" s="238">
        <v>154</v>
      </c>
      <c r="O1046" s="238">
        <v>154</v>
      </c>
      <c r="P1046" s="238" t="s">
        <v>318</v>
      </c>
      <c r="Q1046" s="242" t="s">
        <v>2738</v>
      </c>
      <c r="R1046" s="243" t="s">
        <v>2739</v>
      </c>
      <c r="T1046" s="226"/>
      <c r="U1046" s="238"/>
      <c r="V1046" s="238" t="s">
        <v>321</v>
      </c>
      <c r="W1046" s="226"/>
      <c r="X1046" s="238" t="s">
        <v>322</v>
      </c>
      <c r="Y1046" s="238" t="s">
        <v>323</v>
      </c>
      <c r="Z1046" s="238" t="s">
        <v>323</v>
      </c>
      <c r="AA1046" s="238" t="s">
        <v>324</v>
      </c>
      <c r="AB1046" s="244">
        <v>0</v>
      </c>
      <c r="AD1046" s="238"/>
      <c r="AE1046" s="226"/>
      <c r="AF1046" s="238" t="s">
        <v>56</v>
      </c>
      <c r="AG1046" s="238" t="s">
        <v>1355</v>
      </c>
      <c r="AH1046" s="238" t="s">
        <v>2776</v>
      </c>
      <c r="AI1046" s="238"/>
      <c r="AJ1046" s="239">
        <v>0</v>
      </c>
      <c r="AK1046" s="239">
        <v>0</v>
      </c>
      <c r="AL1046" s="239">
        <v>0</v>
      </c>
      <c r="AM1046" s="239">
        <v>0</v>
      </c>
      <c r="AN1046" s="239">
        <v>0</v>
      </c>
      <c r="AO1046" s="239">
        <v>0</v>
      </c>
      <c r="AP1046" s="239">
        <v>0</v>
      </c>
      <c r="AQ1046" s="239">
        <v>0</v>
      </c>
      <c r="AR1046" s="239">
        <v>0</v>
      </c>
      <c r="AS1046" s="239">
        <v>0</v>
      </c>
      <c r="AT1046" s="239">
        <v>9</v>
      </c>
      <c r="AU1046" s="239">
        <v>0</v>
      </c>
      <c r="AV1046" s="239">
        <v>0</v>
      </c>
      <c r="AW1046" s="239">
        <v>0</v>
      </c>
      <c r="AX1046" s="239">
        <v>0</v>
      </c>
      <c r="AY1046" s="239">
        <v>0</v>
      </c>
      <c r="AZ1046" s="239">
        <v>0</v>
      </c>
      <c r="BA1046" s="239">
        <v>9</v>
      </c>
      <c r="BB1046" s="239">
        <v>0</v>
      </c>
      <c r="BC1046" s="239">
        <v>0</v>
      </c>
      <c r="BD1046" s="239">
        <v>0</v>
      </c>
      <c r="BE1046" s="239">
        <v>0</v>
      </c>
      <c r="BF1046" s="239">
        <v>0</v>
      </c>
      <c r="BG1046" s="239">
        <v>0</v>
      </c>
      <c r="BH1046" s="239">
        <v>0</v>
      </c>
      <c r="BI1046" s="239">
        <v>0</v>
      </c>
      <c r="BJ1046" s="239">
        <v>0</v>
      </c>
      <c r="BK1046" s="239">
        <v>0</v>
      </c>
      <c r="BL1046" s="239">
        <v>0</v>
      </c>
      <c r="BM1046" s="239">
        <v>0</v>
      </c>
      <c r="BN1046" s="239">
        <v>0</v>
      </c>
      <c r="BO1046" s="239">
        <v>0</v>
      </c>
      <c r="BP1046" s="238"/>
      <c r="BQ1046" s="234" t="s">
        <v>318</v>
      </c>
      <c r="BR1046" s="237" t="s">
        <v>151</v>
      </c>
      <c r="BS1046" s="238">
        <v>20</v>
      </c>
      <c r="BY1046" s="239">
        <f t="shared" si="124"/>
        <v>9</v>
      </c>
      <c r="CN1046" s="238">
        <f t="shared" si="122"/>
        <v>9</v>
      </c>
      <c r="CO1046" s="238">
        <f t="shared" si="123"/>
        <v>9</v>
      </c>
    </row>
    <row r="1047" spans="1:93" ht="13.95" customHeight="1" x14ac:dyDescent="0.2">
      <c r="A1047" s="238">
        <v>4510</v>
      </c>
      <c r="B1047" s="241" t="s">
        <v>2736</v>
      </c>
      <c r="C1047" s="238"/>
      <c r="D1047" s="237" t="s">
        <v>2777</v>
      </c>
      <c r="E1047" s="237"/>
      <c r="F1047" s="238">
        <v>529218</v>
      </c>
      <c r="G1047" s="238">
        <v>177561</v>
      </c>
      <c r="H1047" s="232" t="s">
        <v>168</v>
      </c>
      <c r="J1047" s="226"/>
      <c r="K1047" s="238">
        <v>0</v>
      </c>
      <c r="L1047" s="238">
        <v>10</v>
      </c>
      <c r="M1047" s="238">
        <v>10</v>
      </c>
      <c r="N1047" s="238">
        <v>12</v>
      </c>
      <c r="O1047" s="238">
        <v>12</v>
      </c>
      <c r="P1047" s="238" t="s">
        <v>318</v>
      </c>
      <c r="Q1047" s="242" t="s">
        <v>2738</v>
      </c>
      <c r="R1047" s="243" t="s">
        <v>2739</v>
      </c>
      <c r="T1047" s="226"/>
      <c r="U1047" s="238"/>
      <c r="V1047" s="238" t="s">
        <v>321</v>
      </c>
      <c r="W1047" s="226"/>
      <c r="X1047" s="238" t="s">
        <v>322</v>
      </c>
      <c r="Y1047" s="238" t="s">
        <v>338</v>
      </c>
      <c r="Z1047" s="238" t="s">
        <v>323</v>
      </c>
      <c r="AA1047" s="238" t="s">
        <v>324</v>
      </c>
      <c r="AB1047" s="244">
        <v>0</v>
      </c>
      <c r="AD1047" s="238"/>
      <c r="AE1047" s="226"/>
      <c r="AF1047" s="224" t="s">
        <v>77</v>
      </c>
      <c r="AG1047" s="238" t="s">
        <v>350</v>
      </c>
      <c r="AH1047" s="238" t="s">
        <v>2778</v>
      </c>
      <c r="AI1047" s="238"/>
      <c r="AJ1047" s="239">
        <v>0</v>
      </c>
      <c r="AK1047" s="239">
        <v>0</v>
      </c>
      <c r="AL1047" s="239">
        <v>0</v>
      </c>
      <c r="AM1047" s="239">
        <v>0</v>
      </c>
      <c r="AN1047" s="239">
        <v>0</v>
      </c>
      <c r="AO1047" s="239">
        <v>0</v>
      </c>
      <c r="AP1047" s="239">
        <v>0</v>
      </c>
      <c r="AQ1047" s="239">
        <v>0</v>
      </c>
      <c r="AR1047" s="239">
        <v>0</v>
      </c>
      <c r="AS1047" s="239">
        <v>0</v>
      </c>
      <c r="AT1047" s="239">
        <v>10</v>
      </c>
      <c r="AU1047" s="239">
        <v>0</v>
      </c>
      <c r="AV1047" s="239">
        <v>0</v>
      </c>
      <c r="AW1047" s="239">
        <v>0</v>
      </c>
      <c r="AX1047" s="239">
        <v>0</v>
      </c>
      <c r="AY1047" s="239">
        <v>0</v>
      </c>
      <c r="AZ1047" s="239">
        <v>0</v>
      </c>
      <c r="BA1047" s="239">
        <v>10</v>
      </c>
      <c r="BB1047" s="239">
        <v>0</v>
      </c>
      <c r="BC1047" s="239">
        <v>0</v>
      </c>
      <c r="BD1047" s="239">
        <v>0</v>
      </c>
      <c r="BE1047" s="239">
        <v>0</v>
      </c>
      <c r="BF1047" s="239">
        <v>0</v>
      </c>
      <c r="BG1047" s="239">
        <v>0</v>
      </c>
      <c r="BH1047" s="239">
        <v>0</v>
      </c>
      <c r="BI1047" s="239">
        <v>0</v>
      </c>
      <c r="BJ1047" s="239">
        <v>0</v>
      </c>
      <c r="BK1047" s="239">
        <v>0</v>
      </c>
      <c r="BL1047" s="239">
        <v>0</v>
      </c>
      <c r="BM1047" s="239">
        <v>0</v>
      </c>
      <c r="BN1047" s="239">
        <v>0</v>
      </c>
      <c r="BO1047" s="239">
        <v>0</v>
      </c>
      <c r="BP1047" s="238"/>
      <c r="BQ1047" s="234" t="s">
        <v>318</v>
      </c>
      <c r="BR1047" s="237" t="s">
        <v>151</v>
      </c>
      <c r="BS1047" s="238">
        <v>20</v>
      </c>
      <c r="BX1047" s="239">
        <f>M1047</f>
        <v>10</v>
      </c>
      <c r="CN1047" s="238">
        <f t="shared" si="122"/>
        <v>10</v>
      </c>
      <c r="CO1047" s="238">
        <f t="shared" si="123"/>
        <v>10</v>
      </c>
    </row>
    <row r="1048" spans="1:93" ht="13.95" customHeight="1" x14ac:dyDescent="0.2">
      <c r="A1048" s="238">
        <v>4510</v>
      </c>
      <c r="B1048" s="241" t="s">
        <v>2736</v>
      </c>
      <c r="C1048" s="238"/>
      <c r="D1048" s="237" t="s">
        <v>2777</v>
      </c>
      <c r="E1048" s="237"/>
      <c r="F1048" s="238">
        <v>529218</v>
      </c>
      <c r="G1048" s="238">
        <v>177561</v>
      </c>
      <c r="H1048" s="232" t="s">
        <v>168</v>
      </c>
      <c r="J1048" s="226"/>
      <c r="K1048" s="238">
        <v>0</v>
      </c>
      <c r="L1048" s="238">
        <v>1</v>
      </c>
      <c r="M1048" s="238">
        <v>1</v>
      </c>
      <c r="N1048" s="238">
        <v>12</v>
      </c>
      <c r="O1048" s="238">
        <v>12</v>
      </c>
      <c r="P1048" s="238" t="s">
        <v>318</v>
      </c>
      <c r="Q1048" s="242" t="s">
        <v>2738</v>
      </c>
      <c r="R1048" s="243" t="s">
        <v>2739</v>
      </c>
      <c r="T1048" s="226"/>
      <c r="U1048" s="238"/>
      <c r="V1048" s="238" t="s">
        <v>321</v>
      </c>
      <c r="W1048" s="226"/>
      <c r="X1048" s="238" t="s">
        <v>322</v>
      </c>
      <c r="Y1048" s="238" t="s">
        <v>338</v>
      </c>
      <c r="Z1048" s="238" t="s">
        <v>323</v>
      </c>
      <c r="AA1048" s="238" t="s">
        <v>324</v>
      </c>
      <c r="AB1048" s="244">
        <v>0</v>
      </c>
      <c r="AD1048" s="238"/>
      <c r="AE1048" s="226"/>
      <c r="AF1048" s="238" t="s">
        <v>56</v>
      </c>
      <c r="AG1048" s="238" t="s">
        <v>1355</v>
      </c>
      <c r="AH1048" s="238" t="s">
        <v>2778</v>
      </c>
      <c r="AI1048" s="238"/>
      <c r="AJ1048" s="239">
        <v>0</v>
      </c>
      <c r="AK1048" s="239">
        <v>0</v>
      </c>
      <c r="AL1048" s="239">
        <v>0</v>
      </c>
      <c r="AM1048" s="239">
        <v>0</v>
      </c>
      <c r="AN1048" s="239">
        <v>0</v>
      </c>
      <c r="AO1048" s="239">
        <v>0</v>
      </c>
      <c r="AP1048" s="239">
        <v>0</v>
      </c>
      <c r="AQ1048" s="239">
        <v>0</v>
      </c>
      <c r="AR1048" s="239">
        <v>0</v>
      </c>
      <c r="AS1048" s="239">
        <v>0</v>
      </c>
      <c r="AT1048" s="239">
        <v>1</v>
      </c>
      <c r="AU1048" s="239">
        <v>0</v>
      </c>
      <c r="AV1048" s="239">
        <v>0</v>
      </c>
      <c r="AW1048" s="239">
        <v>0</v>
      </c>
      <c r="AX1048" s="239">
        <v>0</v>
      </c>
      <c r="AY1048" s="239">
        <v>0</v>
      </c>
      <c r="AZ1048" s="239">
        <v>0</v>
      </c>
      <c r="BA1048" s="239">
        <v>1</v>
      </c>
      <c r="BB1048" s="239">
        <v>0</v>
      </c>
      <c r="BC1048" s="239">
        <v>0</v>
      </c>
      <c r="BD1048" s="239">
        <v>0</v>
      </c>
      <c r="BE1048" s="239">
        <v>0</v>
      </c>
      <c r="BF1048" s="239">
        <v>0</v>
      </c>
      <c r="BG1048" s="239">
        <v>0</v>
      </c>
      <c r="BH1048" s="239">
        <v>0</v>
      </c>
      <c r="BI1048" s="239">
        <v>0</v>
      </c>
      <c r="BJ1048" s="239">
        <v>0</v>
      </c>
      <c r="BK1048" s="239">
        <v>0</v>
      </c>
      <c r="BL1048" s="239">
        <v>0</v>
      </c>
      <c r="BM1048" s="239">
        <v>0</v>
      </c>
      <c r="BN1048" s="239">
        <v>0</v>
      </c>
      <c r="BO1048" s="239">
        <v>0</v>
      </c>
      <c r="BP1048" s="238"/>
      <c r="BQ1048" s="234" t="s">
        <v>318</v>
      </c>
      <c r="BR1048" s="237" t="s">
        <v>151</v>
      </c>
      <c r="BS1048" s="238">
        <v>20</v>
      </c>
      <c r="BX1048" s="239">
        <f>M1048</f>
        <v>1</v>
      </c>
      <c r="CN1048" s="238">
        <f t="shared" si="122"/>
        <v>1</v>
      </c>
      <c r="CO1048" s="238">
        <f t="shared" si="123"/>
        <v>1</v>
      </c>
    </row>
    <row r="1049" spans="1:93" ht="13.95" customHeight="1" x14ac:dyDescent="0.2">
      <c r="A1049" s="238">
        <v>4510</v>
      </c>
      <c r="B1049" s="241" t="s">
        <v>2736</v>
      </c>
      <c r="C1049" s="238"/>
      <c r="D1049" s="237" t="s">
        <v>2777</v>
      </c>
      <c r="E1049" s="237"/>
      <c r="F1049" s="238">
        <v>529218</v>
      </c>
      <c r="G1049" s="238">
        <v>177561</v>
      </c>
      <c r="H1049" s="232" t="s">
        <v>168</v>
      </c>
      <c r="J1049" s="226"/>
      <c r="K1049" s="238">
        <v>0</v>
      </c>
      <c r="L1049" s="238">
        <v>1</v>
      </c>
      <c r="M1049" s="238">
        <v>1</v>
      </c>
      <c r="N1049" s="238">
        <v>12</v>
      </c>
      <c r="O1049" s="238">
        <v>12</v>
      </c>
      <c r="P1049" s="238" t="s">
        <v>318</v>
      </c>
      <c r="Q1049" s="242" t="s">
        <v>2738</v>
      </c>
      <c r="R1049" s="243" t="s">
        <v>2739</v>
      </c>
      <c r="T1049" s="226"/>
      <c r="U1049" s="238"/>
      <c r="V1049" s="238" t="s">
        <v>321</v>
      </c>
      <c r="W1049" s="226"/>
      <c r="X1049" s="238" t="s">
        <v>322</v>
      </c>
      <c r="Y1049" s="238" t="s">
        <v>338</v>
      </c>
      <c r="Z1049" s="238" t="s">
        <v>323</v>
      </c>
      <c r="AA1049" s="238" t="s">
        <v>324</v>
      </c>
      <c r="AB1049" s="244">
        <v>0</v>
      </c>
      <c r="AD1049" s="238"/>
      <c r="AE1049" s="226"/>
      <c r="AF1049" s="238" t="s">
        <v>57</v>
      </c>
      <c r="AG1049" s="238" t="s">
        <v>470</v>
      </c>
      <c r="AH1049" s="238" t="s">
        <v>2778</v>
      </c>
      <c r="AI1049" s="238"/>
      <c r="AJ1049" s="239">
        <v>0</v>
      </c>
      <c r="AK1049" s="239">
        <v>0</v>
      </c>
      <c r="AL1049" s="239">
        <v>0</v>
      </c>
      <c r="AM1049" s="239">
        <v>0</v>
      </c>
      <c r="AN1049" s="239">
        <v>0</v>
      </c>
      <c r="AO1049" s="239">
        <v>0</v>
      </c>
      <c r="AP1049" s="239">
        <v>0</v>
      </c>
      <c r="AQ1049" s="239">
        <v>0</v>
      </c>
      <c r="AR1049" s="239">
        <v>0</v>
      </c>
      <c r="AS1049" s="239">
        <v>0</v>
      </c>
      <c r="AT1049" s="239">
        <v>1</v>
      </c>
      <c r="AU1049" s="239">
        <v>0</v>
      </c>
      <c r="AV1049" s="239">
        <v>0</v>
      </c>
      <c r="AW1049" s="239">
        <v>0</v>
      </c>
      <c r="AX1049" s="239">
        <v>0</v>
      </c>
      <c r="AY1049" s="239">
        <v>0</v>
      </c>
      <c r="AZ1049" s="239">
        <v>0</v>
      </c>
      <c r="BA1049" s="239">
        <v>1</v>
      </c>
      <c r="BB1049" s="239">
        <v>0</v>
      </c>
      <c r="BC1049" s="239">
        <v>0</v>
      </c>
      <c r="BD1049" s="239">
        <v>0</v>
      </c>
      <c r="BE1049" s="239">
        <v>0</v>
      </c>
      <c r="BF1049" s="239">
        <v>0</v>
      </c>
      <c r="BG1049" s="239">
        <v>0</v>
      </c>
      <c r="BH1049" s="239">
        <v>0</v>
      </c>
      <c r="BI1049" s="239">
        <v>0</v>
      </c>
      <c r="BJ1049" s="239">
        <v>0</v>
      </c>
      <c r="BK1049" s="239">
        <v>0</v>
      </c>
      <c r="BL1049" s="239">
        <v>0</v>
      </c>
      <c r="BM1049" s="239">
        <v>0</v>
      </c>
      <c r="BN1049" s="239">
        <v>0</v>
      </c>
      <c r="BO1049" s="239">
        <v>0</v>
      </c>
      <c r="BP1049" s="238"/>
      <c r="BQ1049" s="234" t="s">
        <v>318</v>
      </c>
      <c r="BR1049" s="237" t="s">
        <v>151</v>
      </c>
      <c r="BS1049" s="238">
        <v>20</v>
      </c>
      <c r="BX1049" s="239">
        <f>M1049</f>
        <v>1</v>
      </c>
      <c r="CN1049" s="238">
        <f t="shared" si="122"/>
        <v>1</v>
      </c>
      <c r="CO1049" s="238">
        <f t="shared" si="123"/>
        <v>1</v>
      </c>
    </row>
    <row r="1050" spans="1:93" ht="13.95" customHeight="1" x14ac:dyDescent="0.2">
      <c r="A1050" s="238">
        <v>6904</v>
      </c>
      <c r="B1050" s="241" t="s">
        <v>2736</v>
      </c>
      <c r="C1050" s="238"/>
      <c r="D1050" s="237" t="s">
        <v>2779</v>
      </c>
      <c r="E1050" s="237"/>
      <c r="F1050" s="238">
        <v>525354</v>
      </c>
      <c r="G1050" s="238">
        <v>174734</v>
      </c>
      <c r="H1050" s="232" t="s">
        <v>181</v>
      </c>
      <c r="J1050" s="226"/>
      <c r="K1050" s="238">
        <v>0</v>
      </c>
      <c r="L1050" s="238">
        <v>8</v>
      </c>
      <c r="M1050" s="238">
        <v>8</v>
      </c>
      <c r="N1050" s="238">
        <v>11</v>
      </c>
      <c r="O1050" s="238">
        <v>11</v>
      </c>
      <c r="P1050" s="238" t="s">
        <v>318</v>
      </c>
      <c r="Q1050" s="242" t="s">
        <v>2738</v>
      </c>
      <c r="R1050" s="243" t="s">
        <v>2739</v>
      </c>
      <c r="T1050" s="226"/>
      <c r="U1050" s="238"/>
      <c r="V1050" s="238" t="s">
        <v>321</v>
      </c>
      <c r="W1050" s="226"/>
      <c r="X1050" s="238" t="s">
        <v>322</v>
      </c>
      <c r="Y1050" s="238" t="s">
        <v>323</v>
      </c>
      <c r="Z1050" s="238" t="s">
        <v>323</v>
      </c>
      <c r="AA1050" s="238" t="s">
        <v>324</v>
      </c>
      <c r="AB1050" s="244">
        <v>0</v>
      </c>
      <c r="AD1050" s="238"/>
      <c r="AE1050" s="226"/>
      <c r="AF1050" s="224" t="s">
        <v>77</v>
      </c>
      <c r="AG1050" s="238" t="s">
        <v>350</v>
      </c>
      <c r="AH1050" s="238" t="s">
        <v>2780</v>
      </c>
      <c r="AI1050" s="238"/>
      <c r="AJ1050" s="239">
        <v>0</v>
      </c>
      <c r="AK1050" s="239">
        <v>0</v>
      </c>
      <c r="AL1050" s="239">
        <v>0</v>
      </c>
      <c r="AM1050" s="239">
        <v>0</v>
      </c>
      <c r="AN1050" s="239">
        <v>0</v>
      </c>
      <c r="AO1050" s="239">
        <v>0</v>
      </c>
      <c r="AP1050" s="239">
        <v>0</v>
      </c>
      <c r="AQ1050" s="239">
        <v>0</v>
      </c>
      <c r="AR1050" s="239">
        <v>0</v>
      </c>
      <c r="AS1050" s="239">
        <v>0</v>
      </c>
      <c r="AT1050" s="239">
        <v>8</v>
      </c>
      <c r="AU1050" s="239">
        <v>0</v>
      </c>
      <c r="AV1050" s="239">
        <v>0</v>
      </c>
      <c r="AW1050" s="239">
        <v>0</v>
      </c>
      <c r="AX1050" s="239">
        <v>0</v>
      </c>
      <c r="AY1050" s="239">
        <v>0</v>
      </c>
      <c r="AZ1050" s="239">
        <v>0</v>
      </c>
      <c r="BA1050" s="239">
        <v>8</v>
      </c>
      <c r="BB1050" s="239">
        <v>0</v>
      </c>
      <c r="BC1050" s="239">
        <v>0</v>
      </c>
      <c r="BD1050" s="239">
        <v>0</v>
      </c>
      <c r="BE1050" s="239">
        <v>0</v>
      </c>
      <c r="BF1050" s="239">
        <v>0</v>
      </c>
      <c r="BG1050" s="239">
        <v>0</v>
      </c>
      <c r="BH1050" s="239">
        <v>0</v>
      </c>
      <c r="BI1050" s="239">
        <v>0</v>
      </c>
      <c r="BJ1050" s="239">
        <v>0</v>
      </c>
      <c r="BK1050" s="239">
        <v>0</v>
      </c>
      <c r="BL1050" s="239">
        <v>0</v>
      </c>
      <c r="BM1050" s="239">
        <v>0</v>
      </c>
      <c r="BN1050" s="239">
        <v>0</v>
      </c>
      <c r="BO1050" s="239">
        <v>0</v>
      </c>
      <c r="BP1050" s="234" t="s">
        <v>145</v>
      </c>
      <c r="BQ1050" s="238"/>
      <c r="BR1050" s="237" t="s">
        <v>327</v>
      </c>
      <c r="BS1050" s="238">
        <v>19</v>
      </c>
      <c r="BY1050" s="239">
        <f>M1050/5</f>
        <v>1.6</v>
      </c>
      <c r="BZ1050" s="239">
        <f>M1050/5</f>
        <v>1.6</v>
      </c>
      <c r="CA1050" s="239">
        <f>M1050/5</f>
        <v>1.6</v>
      </c>
      <c r="CB1050" s="239">
        <f>M1050/5</f>
        <v>1.6</v>
      </c>
      <c r="CC1050" s="239">
        <f>M1050/5</f>
        <v>1.6</v>
      </c>
      <c r="CN1050" s="238">
        <f t="shared" si="122"/>
        <v>1.6</v>
      </c>
      <c r="CO1050" s="238">
        <f t="shared" si="123"/>
        <v>8</v>
      </c>
    </row>
    <row r="1051" spans="1:93" ht="13.95" customHeight="1" x14ac:dyDescent="0.2">
      <c r="A1051" s="238">
        <v>6904</v>
      </c>
      <c r="B1051" s="241" t="s">
        <v>2736</v>
      </c>
      <c r="C1051" s="238"/>
      <c r="D1051" s="237" t="s">
        <v>2779</v>
      </c>
      <c r="E1051" s="237"/>
      <c r="F1051" s="238">
        <v>525354</v>
      </c>
      <c r="G1051" s="238">
        <v>174734</v>
      </c>
      <c r="H1051" s="232" t="s">
        <v>181</v>
      </c>
      <c r="J1051" s="226"/>
      <c r="K1051" s="238">
        <v>0</v>
      </c>
      <c r="L1051" s="238">
        <v>2</v>
      </c>
      <c r="M1051" s="238">
        <v>2</v>
      </c>
      <c r="N1051" s="238">
        <v>11</v>
      </c>
      <c r="O1051" s="238">
        <v>11</v>
      </c>
      <c r="P1051" s="238" t="s">
        <v>318</v>
      </c>
      <c r="Q1051" s="242" t="s">
        <v>2738</v>
      </c>
      <c r="R1051" s="243" t="s">
        <v>2739</v>
      </c>
      <c r="T1051" s="226"/>
      <c r="U1051" s="238"/>
      <c r="V1051" s="238" t="s">
        <v>321</v>
      </c>
      <c r="W1051" s="226"/>
      <c r="X1051" s="238" t="s">
        <v>322</v>
      </c>
      <c r="Y1051" s="238" t="s">
        <v>323</v>
      </c>
      <c r="Z1051" s="238" t="s">
        <v>323</v>
      </c>
      <c r="AA1051" s="238" t="s">
        <v>324</v>
      </c>
      <c r="AB1051" s="244">
        <v>0</v>
      </c>
      <c r="AD1051" s="238"/>
      <c r="AE1051" s="226"/>
      <c r="AF1051" s="238" t="s">
        <v>57</v>
      </c>
      <c r="AG1051" s="238" t="s">
        <v>470</v>
      </c>
      <c r="AH1051" s="238" t="s">
        <v>2780</v>
      </c>
      <c r="AI1051" s="238"/>
      <c r="AJ1051" s="239">
        <v>0</v>
      </c>
      <c r="AK1051" s="239">
        <v>0</v>
      </c>
      <c r="AL1051" s="239">
        <v>0</v>
      </c>
      <c r="AM1051" s="239">
        <v>0</v>
      </c>
      <c r="AN1051" s="239">
        <v>0</v>
      </c>
      <c r="AO1051" s="239">
        <v>0</v>
      </c>
      <c r="AP1051" s="239">
        <v>0</v>
      </c>
      <c r="AQ1051" s="239">
        <v>0</v>
      </c>
      <c r="AR1051" s="239">
        <v>0</v>
      </c>
      <c r="AS1051" s="239">
        <v>0</v>
      </c>
      <c r="AT1051" s="239">
        <v>2</v>
      </c>
      <c r="AU1051" s="239">
        <v>0</v>
      </c>
      <c r="AV1051" s="239">
        <v>0</v>
      </c>
      <c r="AW1051" s="239">
        <v>0</v>
      </c>
      <c r="AX1051" s="239">
        <v>0</v>
      </c>
      <c r="AY1051" s="239">
        <v>0</v>
      </c>
      <c r="AZ1051" s="239">
        <v>0</v>
      </c>
      <c r="BA1051" s="239">
        <v>2</v>
      </c>
      <c r="BB1051" s="239">
        <v>0</v>
      </c>
      <c r="BC1051" s="239">
        <v>0</v>
      </c>
      <c r="BD1051" s="239">
        <v>0</v>
      </c>
      <c r="BE1051" s="239">
        <v>0</v>
      </c>
      <c r="BF1051" s="239">
        <v>0</v>
      </c>
      <c r="BG1051" s="239">
        <v>0</v>
      </c>
      <c r="BH1051" s="239">
        <v>0</v>
      </c>
      <c r="BI1051" s="239">
        <v>0</v>
      </c>
      <c r="BJ1051" s="239">
        <v>0</v>
      </c>
      <c r="BK1051" s="239">
        <v>0</v>
      </c>
      <c r="BL1051" s="239">
        <v>0</v>
      </c>
      <c r="BM1051" s="239">
        <v>0</v>
      </c>
      <c r="BN1051" s="239">
        <v>0</v>
      </c>
      <c r="BO1051" s="239">
        <v>0</v>
      </c>
      <c r="BP1051" s="234" t="s">
        <v>145</v>
      </c>
      <c r="BQ1051" s="238"/>
      <c r="BR1051" s="237" t="s">
        <v>327</v>
      </c>
      <c r="BS1051" s="238">
        <v>19</v>
      </c>
      <c r="BY1051" s="239">
        <f>M1051/5</f>
        <v>0.4</v>
      </c>
      <c r="BZ1051" s="239">
        <f>M1051/5</f>
        <v>0.4</v>
      </c>
      <c r="CA1051" s="239">
        <f>M1051/5</f>
        <v>0.4</v>
      </c>
      <c r="CB1051" s="239">
        <f>M1051/5</f>
        <v>0.4</v>
      </c>
      <c r="CC1051" s="239">
        <f>M1051/5</f>
        <v>0.4</v>
      </c>
      <c r="CN1051" s="238">
        <f t="shared" si="122"/>
        <v>0.4</v>
      </c>
      <c r="CO1051" s="238">
        <f t="shared" si="123"/>
        <v>2</v>
      </c>
    </row>
    <row r="1052" spans="1:93" ht="13.95" customHeight="1" x14ac:dyDescent="0.2">
      <c r="A1052" s="238">
        <v>6904</v>
      </c>
      <c r="B1052" s="241" t="s">
        <v>2736</v>
      </c>
      <c r="C1052" s="238"/>
      <c r="D1052" s="237" t="s">
        <v>2779</v>
      </c>
      <c r="E1052" s="237"/>
      <c r="F1052" s="238">
        <v>525354</v>
      </c>
      <c r="G1052" s="238">
        <v>174734</v>
      </c>
      <c r="H1052" s="232" t="s">
        <v>181</v>
      </c>
      <c r="J1052" s="226"/>
      <c r="K1052" s="238">
        <v>0</v>
      </c>
      <c r="L1052" s="238">
        <v>1</v>
      </c>
      <c r="M1052" s="238">
        <v>1</v>
      </c>
      <c r="N1052" s="238">
        <v>11</v>
      </c>
      <c r="O1052" s="238">
        <v>11</v>
      </c>
      <c r="P1052" s="238" t="s">
        <v>318</v>
      </c>
      <c r="Q1052" s="242" t="s">
        <v>2738</v>
      </c>
      <c r="R1052" s="243" t="s">
        <v>2739</v>
      </c>
      <c r="T1052" s="226"/>
      <c r="U1052" s="238"/>
      <c r="V1052" s="238" t="s">
        <v>321</v>
      </c>
      <c r="W1052" s="226"/>
      <c r="X1052" s="238" t="s">
        <v>322</v>
      </c>
      <c r="Y1052" s="238" t="s">
        <v>323</v>
      </c>
      <c r="Z1052" s="238" t="s">
        <v>323</v>
      </c>
      <c r="AA1052" s="238" t="s">
        <v>324</v>
      </c>
      <c r="AB1052" s="244">
        <v>0</v>
      </c>
      <c r="AD1052" s="238"/>
      <c r="AE1052" s="226"/>
      <c r="AF1052" s="238" t="s">
        <v>56</v>
      </c>
      <c r="AG1052" s="238" t="s">
        <v>1355</v>
      </c>
      <c r="AH1052" s="238" t="s">
        <v>2780</v>
      </c>
      <c r="AI1052" s="238"/>
      <c r="AJ1052" s="239">
        <v>0</v>
      </c>
      <c r="AK1052" s="239">
        <v>0</v>
      </c>
      <c r="AL1052" s="239">
        <v>0</v>
      </c>
      <c r="AM1052" s="239">
        <v>0</v>
      </c>
      <c r="AN1052" s="239">
        <v>0</v>
      </c>
      <c r="AO1052" s="239">
        <v>0</v>
      </c>
      <c r="AP1052" s="239">
        <v>0</v>
      </c>
      <c r="AQ1052" s="239">
        <v>0</v>
      </c>
      <c r="AR1052" s="239">
        <v>0</v>
      </c>
      <c r="AS1052" s="239">
        <v>0</v>
      </c>
      <c r="AT1052" s="239">
        <v>1</v>
      </c>
      <c r="AU1052" s="239">
        <v>0</v>
      </c>
      <c r="AV1052" s="239">
        <v>0</v>
      </c>
      <c r="AW1052" s="239">
        <v>0</v>
      </c>
      <c r="AX1052" s="239">
        <v>0</v>
      </c>
      <c r="AY1052" s="239">
        <v>0</v>
      </c>
      <c r="AZ1052" s="239">
        <v>0</v>
      </c>
      <c r="BA1052" s="239">
        <v>1</v>
      </c>
      <c r="BB1052" s="239">
        <v>0</v>
      </c>
      <c r="BC1052" s="239">
        <v>0</v>
      </c>
      <c r="BD1052" s="239">
        <v>0</v>
      </c>
      <c r="BE1052" s="239">
        <v>0</v>
      </c>
      <c r="BF1052" s="239">
        <v>0</v>
      </c>
      <c r="BG1052" s="239">
        <v>0</v>
      </c>
      <c r="BH1052" s="239">
        <v>0</v>
      </c>
      <c r="BI1052" s="239">
        <v>0</v>
      </c>
      <c r="BJ1052" s="239">
        <v>0</v>
      </c>
      <c r="BK1052" s="239">
        <v>0</v>
      </c>
      <c r="BL1052" s="239">
        <v>0</v>
      </c>
      <c r="BM1052" s="239">
        <v>0</v>
      </c>
      <c r="BN1052" s="239">
        <v>0</v>
      </c>
      <c r="BO1052" s="239">
        <v>0</v>
      </c>
      <c r="BP1052" s="234" t="s">
        <v>145</v>
      </c>
      <c r="BQ1052" s="238"/>
      <c r="BR1052" s="237" t="s">
        <v>327</v>
      </c>
      <c r="BS1052" s="238">
        <v>19</v>
      </c>
      <c r="BY1052" s="239">
        <f>M1052/5</f>
        <v>0.2</v>
      </c>
      <c r="BZ1052" s="239">
        <f>M1052/5</f>
        <v>0.2</v>
      </c>
      <c r="CA1052" s="239">
        <f>M1052/5</f>
        <v>0.2</v>
      </c>
      <c r="CB1052" s="239">
        <f>M1052/5</f>
        <v>0.2</v>
      </c>
      <c r="CC1052" s="239">
        <f>M1052/5</f>
        <v>0.2</v>
      </c>
      <c r="CN1052" s="238">
        <f t="shared" si="122"/>
        <v>0.2</v>
      </c>
      <c r="CO1052" s="238">
        <f t="shared" si="123"/>
        <v>1</v>
      </c>
    </row>
    <row r="1053" spans="1:93" ht="13.95" customHeight="1" x14ac:dyDescent="0.2">
      <c r="A1053" s="238">
        <v>7573</v>
      </c>
      <c r="B1053" s="241" t="s">
        <v>2736</v>
      </c>
      <c r="C1053" s="238"/>
      <c r="D1053" s="237" t="s">
        <v>2781</v>
      </c>
      <c r="E1053" s="237"/>
      <c r="F1053" s="238">
        <v>527299.08160000003</v>
      </c>
      <c r="G1053" s="238">
        <v>175481.82680000001</v>
      </c>
      <c r="H1053" s="232" t="s">
        <v>165</v>
      </c>
      <c r="J1053" s="226"/>
      <c r="K1053" s="238">
        <v>0</v>
      </c>
      <c r="L1053" s="238">
        <v>136</v>
      </c>
      <c r="M1053" s="238">
        <v>136</v>
      </c>
      <c r="N1053" s="238">
        <v>202</v>
      </c>
      <c r="O1053" s="238">
        <v>202</v>
      </c>
      <c r="P1053" s="238" t="s">
        <v>318</v>
      </c>
      <c r="Q1053" s="242" t="s">
        <v>2738</v>
      </c>
      <c r="R1053" s="243" t="s">
        <v>2739</v>
      </c>
      <c r="T1053" s="226"/>
      <c r="U1053" s="238"/>
      <c r="V1053" s="238" t="s">
        <v>321</v>
      </c>
      <c r="W1053" s="226"/>
      <c r="X1053" s="238" t="s">
        <v>322</v>
      </c>
      <c r="Y1053" s="238" t="s">
        <v>323</v>
      </c>
      <c r="Z1053" s="238" t="s">
        <v>323</v>
      </c>
      <c r="AA1053" s="238" t="s">
        <v>324</v>
      </c>
      <c r="AB1053" s="244">
        <v>0</v>
      </c>
      <c r="AD1053" s="238"/>
      <c r="AE1053" s="226"/>
      <c r="AF1053" s="224" t="s">
        <v>77</v>
      </c>
      <c r="AG1053" s="238" t="s">
        <v>350</v>
      </c>
      <c r="AH1053" s="238" t="s">
        <v>2782</v>
      </c>
      <c r="AI1053" s="238"/>
      <c r="AJ1053" s="239">
        <v>0</v>
      </c>
      <c r="AK1053" s="239">
        <v>0</v>
      </c>
      <c r="AL1053" s="239">
        <v>0</v>
      </c>
      <c r="AM1053" s="239">
        <v>0</v>
      </c>
      <c r="AN1053" s="239">
        <v>0</v>
      </c>
      <c r="AO1053" s="239">
        <v>0</v>
      </c>
      <c r="AP1053" s="239">
        <v>0</v>
      </c>
      <c r="AQ1053" s="239">
        <v>0</v>
      </c>
      <c r="AR1053" s="239">
        <v>0</v>
      </c>
      <c r="AS1053" s="239">
        <v>0</v>
      </c>
      <c r="AT1053" s="239">
        <v>136</v>
      </c>
      <c r="AU1053" s="239">
        <v>0</v>
      </c>
      <c r="AV1053" s="239">
        <v>0</v>
      </c>
      <c r="AW1053" s="239">
        <v>0</v>
      </c>
      <c r="AX1053" s="239">
        <v>0</v>
      </c>
      <c r="AY1053" s="239">
        <v>0</v>
      </c>
      <c r="AZ1053" s="239">
        <v>0</v>
      </c>
      <c r="BA1053" s="239">
        <v>136</v>
      </c>
      <c r="BB1053" s="239">
        <v>0</v>
      </c>
      <c r="BC1053" s="239">
        <v>0</v>
      </c>
      <c r="BD1053" s="239">
        <v>0</v>
      </c>
      <c r="BE1053" s="239">
        <v>0</v>
      </c>
      <c r="BF1053" s="239">
        <v>0</v>
      </c>
      <c r="BG1053" s="239">
        <v>0</v>
      </c>
      <c r="BH1053" s="239">
        <v>0</v>
      </c>
      <c r="BI1053" s="239">
        <v>0</v>
      </c>
      <c r="BJ1053" s="239">
        <v>0</v>
      </c>
      <c r="BK1053" s="239">
        <v>0</v>
      </c>
      <c r="BL1053" s="239">
        <v>0</v>
      </c>
      <c r="BM1053" s="239">
        <v>0</v>
      </c>
      <c r="BN1053" s="239">
        <v>0</v>
      </c>
      <c r="BO1053" s="239">
        <v>0</v>
      </c>
      <c r="BP1053" s="234" t="s">
        <v>142</v>
      </c>
      <c r="BQ1053" s="238"/>
      <c r="BR1053" s="237" t="s">
        <v>150</v>
      </c>
      <c r="BS1053" s="238">
        <v>19</v>
      </c>
      <c r="BY1053" s="239">
        <f>M1053/10</f>
        <v>13.6</v>
      </c>
      <c r="BZ1053" s="239">
        <f>M1053/10</f>
        <v>13.6</v>
      </c>
      <c r="CA1053" s="239">
        <f>M1053/10</f>
        <v>13.6</v>
      </c>
      <c r="CB1053" s="239">
        <f>M1053/10</f>
        <v>13.6</v>
      </c>
      <c r="CC1053" s="239">
        <f>M1053/10</f>
        <v>13.6</v>
      </c>
      <c r="CD1053" s="239">
        <f>M1053/10</f>
        <v>13.6</v>
      </c>
      <c r="CE1053" s="239">
        <f>M1053/10</f>
        <v>13.6</v>
      </c>
      <c r="CF1053" s="239">
        <f>M1053/10</f>
        <v>13.6</v>
      </c>
      <c r="CG1053" s="239">
        <f>M1053/10</f>
        <v>13.6</v>
      </c>
      <c r="CH1053" s="239">
        <f>M1053/10</f>
        <v>13.6</v>
      </c>
      <c r="CN1053" s="238">
        <f t="shared" si="122"/>
        <v>13.6</v>
      </c>
      <c r="CO1053" s="238">
        <f t="shared" si="123"/>
        <v>81.599999999999994</v>
      </c>
    </row>
    <row r="1054" spans="1:93" ht="13.95" customHeight="1" x14ac:dyDescent="0.2">
      <c r="A1054" s="238">
        <v>7573</v>
      </c>
      <c r="B1054" s="241" t="s">
        <v>2736</v>
      </c>
      <c r="C1054" s="238"/>
      <c r="D1054" s="237" t="s">
        <v>2781</v>
      </c>
      <c r="E1054" s="237"/>
      <c r="F1054" s="238">
        <v>527299.08160000003</v>
      </c>
      <c r="G1054" s="238">
        <v>175481.82680000001</v>
      </c>
      <c r="H1054" s="232" t="s">
        <v>165</v>
      </c>
      <c r="J1054" s="226"/>
      <c r="K1054" s="238">
        <v>0</v>
      </c>
      <c r="L1054" s="238">
        <v>40</v>
      </c>
      <c r="M1054" s="238">
        <v>40</v>
      </c>
      <c r="N1054" s="238">
        <v>202</v>
      </c>
      <c r="O1054" s="238">
        <v>202</v>
      </c>
      <c r="P1054" s="238" t="s">
        <v>318</v>
      </c>
      <c r="Q1054" s="242" t="s">
        <v>2738</v>
      </c>
      <c r="R1054" s="243" t="s">
        <v>2739</v>
      </c>
      <c r="T1054" s="226"/>
      <c r="U1054" s="238"/>
      <c r="V1054" s="238" t="s">
        <v>321</v>
      </c>
      <c r="W1054" s="226"/>
      <c r="X1054" s="238" t="s">
        <v>322</v>
      </c>
      <c r="Y1054" s="238" t="s">
        <v>323</v>
      </c>
      <c r="Z1054" s="238" t="s">
        <v>323</v>
      </c>
      <c r="AA1054" s="238" t="s">
        <v>324</v>
      </c>
      <c r="AB1054" s="244">
        <v>0</v>
      </c>
      <c r="AD1054" s="238"/>
      <c r="AE1054" s="226"/>
      <c r="AF1054" s="238" t="s">
        <v>57</v>
      </c>
      <c r="AG1054" s="238" t="s">
        <v>470</v>
      </c>
      <c r="AH1054" s="238" t="s">
        <v>2782</v>
      </c>
      <c r="AI1054" s="238"/>
      <c r="AJ1054" s="239">
        <v>0</v>
      </c>
      <c r="AK1054" s="239">
        <v>0</v>
      </c>
      <c r="AL1054" s="239">
        <v>0</v>
      </c>
      <c r="AM1054" s="239">
        <v>0</v>
      </c>
      <c r="AN1054" s="239">
        <v>0</v>
      </c>
      <c r="AO1054" s="239">
        <v>0</v>
      </c>
      <c r="AP1054" s="239">
        <v>0</v>
      </c>
      <c r="AQ1054" s="239">
        <v>0</v>
      </c>
      <c r="AR1054" s="239">
        <v>0</v>
      </c>
      <c r="AS1054" s="239">
        <v>0</v>
      </c>
      <c r="AT1054" s="239">
        <v>40</v>
      </c>
      <c r="AU1054" s="239">
        <v>0</v>
      </c>
      <c r="AV1054" s="239">
        <v>0</v>
      </c>
      <c r="AW1054" s="239">
        <v>0</v>
      </c>
      <c r="AX1054" s="239">
        <v>0</v>
      </c>
      <c r="AY1054" s="239">
        <v>0</v>
      </c>
      <c r="AZ1054" s="239">
        <v>0</v>
      </c>
      <c r="BA1054" s="239">
        <v>40</v>
      </c>
      <c r="BB1054" s="239">
        <v>0</v>
      </c>
      <c r="BC1054" s="239">
        <v>0</v>
      </c>
      <c r="BD1054" s="239">
        <v>0</v>
      </c>
      <c r="BE1054" s="239">
        <v>0</v>
      </c>
      <c r="BF1054" s="239">
        <v>0</v>
      </c>
      <c r="BG1054" s="239">
        <v>0</v>
      </c>
      <c r="BH1054" s="239">
        <v>0</v>
      </c>
      <c r="BI1054" s="239">
        <v>0</v>
      </c>
      <c r="BJ1054" s="239">
        <v>0</v>
      </c>
      <c r="BK1054" s="239">
        <v>0</v>
      </c>
      <c r="BL1054" s="239">
        <v>0</v>
      </c>
      <c r="BM1054" s="239">
        <v>0</v>
      </c>
      <c r="BN1054" s="239">
        <v>0</v>
      </c>
      <c r="BO1054" s="239">
        <v>0</v>
      </c>
      <c r="BP1054" s="234" t="s">
        <v>142</v>
      </c>
      <c r="BQ1054" s="238"/>
      <c r="BR1054" s="237" t="s">
        <v>150</v>
      </c>
      <c r="BS1054" s="238">
        <v>19</v>
      </c>
      <c r="BY1054" s="239">
        <f>M1054/10</f>
        <v>4</v>
      </c>
      <c r="BZ1054" s="239">
        <f>M1054/10</f>
        <v>4</v>
      </c>
      <c r="CA1054" s="239">
        <f>M1054/10</f>
        <v>4</v>
      </c>
      <c r="CB1054" s="239">
        <f>M1054/10</f>
        <v>4</v>
      </c>
      <c r="CC1054" s="239">
        <f>M1054/10</f>
        <v>4</v>
      </c>
      <c r="CD1054" s="239">
        <f>M1054/10</f>
        <v>4</v>
      </c>
      <c r="CE1054" s="239">
        <f>M1054/10</f>
        <v>4</v>
      </c>
      <c r="CF1054" s="239">
        <f>M1054/10</f>
        <v>4</v>
      </c>
      <c r="CG1054" s="239">
        <f>M1054/10</f>
        <v>4</v>
      </c>
      <c r="CH1054" s="239">
        <f>M1054/10</f>
        <v>4</v>
      </c>
      <c r="CN1054" s="238">
        <f t="shared" si="122"/>
        <v>4</v>
      </c>
      <c r="CO1054" s="238">
        <f t="shared" si="123"/>
        <v>24</v>
      </c>
    </row>
    <row r="1055" spans="1:93" ht="13.95" customHeight="1" x14ac:dyDescent="0.2">
      <c r="A1055" s="238">
        <v>7573</v>
      </c>
      <c r="B1055" s="241" t="s">
        <v>2736</v>
      </c>
      <c r="C1055" s="238"/>
      <c r="D1055" s="237" t="s">
        <v>2781</v>
      </c>
      <c r="E1055" s="237"/>
      <c r="F1055" s="238">
        <v>527299.08160000003</v>
      </c>
      <c r="G1055" s="238">
        <v>175481.82680000001</v>
      </c>
      <c r="H1055" s="232" t="s">
        <v>165</v>
      </c>
      <c r="J1055" s="226"/>
      <c r="K1055" s="238">
        <v>0</v>
      </c>
      <c r="L1055" s="238">
        <v>26</v>
      </c>
      <c r="M1055" s="238">
        <v>26</v>
      </c>
      <c r="N1055" s="238">
        <v>202</v>
      </c>
      <c r="O1055" s="238">
        <v>202</v>
      </c>
      <c r="P1055" s="238" t="s">
        <v>318</v>
      </c>
      <c r="Q1055" s="242" t="s">
        <v>2738</v>
      </c>
      <c r="R1055" s="243" t="s">
        <v>2739</v>
      </c>
      <c r="T1055" s="226"/>
      <c r="U1055" s="238"/>
      <c r="V1055" s="238" t="s">
        <v>321</v>
      </c>
      <c r="W1055" s="226"/>
      <c r="X1055" s="238" t="s">
        <v>322</v>
      </c>
      <c r="Y1055" s="238" t="s">
        <v>323</v>
      </c>
      <c r="Z1055" s="238" t="s">
        <v>323</v>
      </c>
      <c r="AA1055" s="238" t="s">
        <v>324</v>
      </c>
      <c r="AB1055" s="244">
        <v>0</v>
      </c>
      <c r="AD1055" s="238"/>
      <c r="AE1055" s="226"/>
      <c r="AF1055" s="238" t="s">
        <v>56</v>
      </c>
      <c r="AG1055" s="238" t="s">
        <v>1355</v>
      </c>
      <c r="AH1055" s="238" t="s">
        <v>2782</v>
      </c>
      <c r="AI1055" s="238"/>
      <c r="AJ1055" s="239">
        <v>0</v>
      </c>
      <c r="AK1055" s="239">
        <v>0</v>
      </c>
      <c r="AL1055" s="239">
        <v>0</v>
      </c>
      <c r="AM1055" s="239">
        <v>0</v>
      </c>
      <c r="AN1055" s="239">
        <v>0</v>
      </c>
      <c r="AO1055" s="239">
        <v>0</v>
      </c>
      <c r="AP1055" s="239">
        <v>0</v>
      </c>
      <c r="AQ1055" s="239">
        <v>0</v>
      </c>
      <c r="AR1055" s="239">
        <v>0</v>
      </c>
      <c r="AS1055" s="239">
        <v>0</v>
      </c>
      <c r="AT1055" s="239">
        <v>26</v>
      </c>
      <c r="AU1055" s="239">
        <v>0</v>
      </c>
      <c r="AV1055" s="239">
        <v>0</v>
      </c>
      <c r="AW1055" s="239">
        <v>0</v>
      </c>
      <c r="AX1055" s="239">
        <v>0</v>
      </c>
      <c r="AY1055" s="239">
        <v>0</v>
      </c>
      <c r="AZ1055" s="239">
        <v>0</v>
      </c>
      <c r="BA1055" s="239">
        <v>26</v>
      </c>
      <c r="BB1055" s="239">
        <v>0</v>
      </c>
      <c r="BC1055" s="239">
        <v>0</v>
      </c>
      <c r="BD1055" s="239">
        <v>0</v>
      </c>
      <c r="BE1055" s="239">
        <v>0</v>
      </c>
      <c r="BF1055" s="239">
        <v>0</v>
      </c>
      <c r="BG1055" s="239">
        <v>0</v>
      </c>
      <c r="BH1055" s="239">
        <v>0</v>
      </c>
      <c r="BI1055" s="239">
        <v>0</v>
      </c>
      <c r="BJ1055" s="239">
        <v>0</v>
      </c>
      <c r="BK1055" s="239">
        <v>0</v>
      </c>
      <c r="BL1055" s="239">
        <v>0</v>
      </c>
      <c r="BM1055" s="239">
        <v>0</v>
      </c>
      <c r="BN1055" s="239">
        <v>0</v>
      </c>
      <c r="BO1055" s="239">
        <v>0</v>
      </c>
      <c r="BP1055" s="234" t="s">
        <v>142</v>
      </c>
      <c r="BQ1055" s="238"/>
      <c r="BR1055" s="237" t="s">
        <v>150</v>
      </c>
      <c r="BS1055" s="238">
        <v>19</v>
      </c>
      <c r="BY1055" s="239">
        <f>M1055/10</f>
        <v>2.6</v>
      </c>
      <c r="BZ1055" s="239">
        <f>M1055/10</f>
        <v>2.6</v>
      </c>
      <c r="CA1055" s="239">
        <f>M1055/10</f>
        <v>2.6</v>
      </c>
      <c r="CB1055" s="239">
        <f>M1055/10</f>
        <v>2.6</v>
      </c>
      <c r="CC1055" s="239">
        <f>M1055/10</f>
        <v>2.6</v>
      </c>
      <c r="CD1055" s="239">
        <f>M1055/10</f>
        <v>2.6</v>
      </c>
      <c r="CE1055" s="239">
        <f>M1055/10</f>
        <v>2.6</v>
      </c>
      <c r="CF1055" s="239">
        <f>M1055/10</f>
        <v>2.6</v>
      </c>
      <c r="CG1055" s="239">
        <f>M1055/10</f>
        <v>2.6</v>
      </c>
      <c r="CH1055" s="239">
        <f>M1055/10</f>
        <v>2.6</v>
      </c>
      <c r="CN1055" s="238">
        <f t="shared" si="122"/>
        <v>2.6</v>
      </c>
      <c r="CO1055" s="238">
        <f t="shared" si="123"/>
        <v>15.6</v>
      </c>
    </row>
    <row r="1056" spans="1:93" ht="13.95" customHeight="1" x14ac:dyDescent="0.2">
      <c r="A1056" s="238">
        <v>58</v>
      </c>
      <c r="B1056" s="241" t="s">
        <v>2736</v>
      </c>
      <c r="C1056" s="238"/>
      <c r="D1056" s="237" t="s">
        <v>2783</v>
      </c>
      <c r="E1056" s="237"/>
      <c r="F1056" s="238">
        <v>528810</v>
      </c>
      <c r="G1056" s="238">
        <v>177019</v>
      </c>
      <c r="H1056" s="232" t="s">
        <v>168</v>
      </c>
      <c r="J1056" s="226"/>
      <c r="K1056" s="238">
        <v>0</v>
      </c>
      <c r="L1056" s="238">
        <v>2</v>
      </c>
      <c r="M1056" s="238">
        <v>2</v>
      </c>
      <c r="N1056" s="238">
        <v>2</v>
      </c>
      <c r="O1056" s="238">
        <v>2</v>
      </c>
      <c r="P1056" s="238"/>
      <c r="Q1056" s="242" t="s">
        <v>2738</v>
      </c>
      <c r="R1056" s="238" t="s">
        <v>2739</v>
      </c>
      <c r="T1056" s="226"/>
      <c r="U1056" s="238"/>
      <c r="V1056" s="238" t="s">
        <v>321</v>
      </c>
      <c r="W1056" s="226"/>
      <c r="X1056" s="238" t="s">
        <v>322</v>
      </c>
      <c r="Y1056" s="238" t="s">
        <v>323</v>
      </c>
      <c r="Z1056" s="238" t="s">
        <v>324</v>
      </c>
      <c r="AA1056" s="238" t="s">
        <v>349</v>
      </c>
      <c r="AB1056" s="244">
        <v>0</v>
      </c>
      <c r="AD1056" s="238"/>
      <c r="AE1056" s="226"/>
      <c r="AF1056" s="224" t="s">
        <v>77</v>
      </c>
      <c r="AG1056" s="238" t="s">
        <v>350</v>
      </c>
      <c r="AH1056" s="238"/>
      <c r="AI1056" s="238"/>
      <c r="AJ1056" s="239">
        <v>0</v>
      </c>
      <c r="AK1056" s="239">
        <v>0</v>
      </c>
      <c r="AL1056" s="239">
        <v>0</v>
      </c>
      <c r="AM1056" s="239">
        <v>0</v>
      </c>
      <c r="AN1056" s="239">
        <v>0</v>
      </c>
      <c r="AO1056" s="239">
        <v>0</v>
      </c>
      <c r="AP1056" s="239">
        <v>0</v>
      </c>
      <c r="AQ1056" s="239">
        <v>0</v>
      </c>
      <c r="AR1056" s="239">
        <v>0</v>
      </c>
      <c r="AS1056" s="239">
        <v>0</v>
      </c>
      <c r="AT1056" s="239">
        <v>2</v>
      </c>
      <c r="AU1056" s="239">
        <v>0</v>
      </c>
      <c r="AV1056" s="239">
        <v>0</v>
      </c>
      <c r="AW1056" s="239">
        <v>0</v>
      </c>
      <c r="AX1056" s="239">
        <v>0</v>
      </c>
      <c r="AY1056" s="239">
        <v>0</v>
      </c>
      <c r="AZ1056" s="239">
        <v>0</v>
      </c>
      <c r="BA1056" s="239">
        <v>2</v>
      </c>
      <c r="BB1056" s="239">
        <v>0</v>
      </c>
      <c r="BC1056" s="239">
        <v>0</v>
      </c>
      <c r="BD1056" s="239">
        <v>0</v>
      </c>
      <c r="BE1056" s="239">
        <v>0</v>
      </c>
      <c r="BF1056" s="239">
        <v>0</v>
      </c>
      <c r="BG1056" s="239">
        <v>0</v>
      </c>
      <c r="BH1056" s="239">
        <v>0</v>
      </c>
      <c r="BI1056" s="239">
        <v>0</v>
      </c>
      <c r="BJ1056" s="239">
        <v>0</v>
      </c>
      <c r="BK1056" s="239">
        <v>0</v>
      </c>
      <c r="BL1056" s="239">
        <v>0</v>
      </c>
      <c r="BM1056" s="239">
        <v>0</v>
      </c>
      <c r="BN1056" s="239">
        <v>0</v>
      </c>
      <c r="BO1056" s="239">
        <v>0</v>
      </c>
      <c r="BP1056" s="238"/>
      <c r="BQ1056" s="234" t="s">
        <v>318</v>
      </c>
      <c r="BR1056" s="237" t="s">
        <v>151</v>
      </c>
      <c r="BS1056" s="238">
        <v>20</v>
      </c>
      <c r="BZ1056" s="239">
        <f>M1056</f>
        <v>2</v>
      </c>
      <c r="CN1056" s="238">
        <f t="shared" si="122"/>
        <v>0</v>
      </c>
      <c r="CO1056" s="238">
        <f t="shared" si="123"/>
        <v>2</v>
      </c>
    </row>
    <row r="1057" spans="1:93" ht="13.95" customHeight="1" x14ac:dyDescent="0.2">
      <c r="A1057" s="238">
        <v>8056</v>
      </c>
      <c r="B1057" s="241" t="s">
        <v>2736</v>
      </c>
      <c r="C1057" s="238"/>
      <c r="D1057" s="237" t="s">
        <v>2784</v>
      </c>
      <c r="E1057" s="237"/>
      <c r="F1057" s="238">
        <v>529149</v>
      </c>
      <c r="G1057" s="238">
        <v>177464</v>
      </c>
      <c r="H1057" s="232" t="s">
        <v>168</v>
      </c>
      <c r="J1057" s="226"/>
      <c r="K1057" s="238">
        <v>0</v>
      </c>
      <c r="L1057" s="238">
        <v>85</v>
      </c>
      <c r="M1057" s="238">
        <v>85</v>
      </c>
      <c r="N1057" s="238">
        <v>100</v>
      </c>
      <c r="O1057" s="238">
        <v>100</v>
      </c>
      <c r="P1057" s="238" t="s">
        <v>318</v>
      </c>
      <c r="Q1057" s="242" t="s">
        <v>2738</v>
      </c>
      <c r="R1057" s="243" t="s">
        <v>2739</v>
      </c>
      <c r="T1057" s="226"/>
      <c r="U1057" s="238"/>
      <c r="V1057" s="238" t="s">
        <v>321</v>
      </c>
      <c r="W1057" s="226"/>
      <c r="X1057" s="238" t="s">
        <v>322</v>
      </c>
      <c r="Y1057" s="238" t="s">
        <v>338</v>
      </c>
      <c r="Z1057" s="238" t="s">
        <v>323</v>
      </c>
      <c r="AA1057" s="238" t="s">
        <v>324</v>
      </c>
      <c r="AB1057" s="244">
        <v>0</v>
      </c>
      <c r="AD1057" s="238"/>
      <c r="AE1057" s="226"/>
      <c r="AF1057" s="224" t="s">
        <v>77</v>
      </c>
      <c r="AG1057" s="238" t="s">
        <v>350</v>
      </c>
      <c r="AH1057" s="238" t="s">
        <v>2785</v>
      </c>
      <c r="AI1057" s="238"/>
      <c r="AJ1057" s="239">
        <v>0</v>
      </c>
      <c r="AK1057" s="239">
        <v>0</v>
      </c>
      <c r="AL1057" s="239">
        <v>0</v>
      </c>
      <c r="AM1057" s="239">
        <v>0</v>
      </c>
      <c r="AN1057" s="239">
        <v>0</v>
      </c>
      <c r="AO1057" s="239">
        <v>0</v>
      </c>
      <c r="AP1057" s="239">
        <v>0</v>
      </c>
      <c r="AQ1057" s="239">
        <v>0</v>
      </c>
      <c r="AR1057" s="239">
        <v>0</v>
      </c>
      <c r="AS1057" s="239">
        <v>0</v>
      </c>
      <c r="AT1057" s="239">
        <v>85</v>
      </c>
      <c r="AU1057" s="239">
        <v>0</v>
      </c>
      <c r="AV1057" s="239">
        <v>0</v>
      </c>
      <c r="AW1057" s="239">
        <v>0</v>
      </c>
      <c r="AX1057" s="239">
        <v>0</v>
      </c>
      <c r="AY1057" s="239">
        <v>0</v>
      </c>
      <c r="AZ1057" s="239">
        <v>0</v>
      </c>
      <c r="BA1057" s="239">
        <v>85</v>
      </c>
      <c r="BB1057" s="239">
        <v>0</v>
      </c>
      <c r="BC1057" s="239">
        <v>0</v>
      </c>
      <c r="BD1057" s="239">
        <v>0</v>
      </c>
      <c r="BE1057" s="239">
        <v>0</v>
      </c>
      <c r="BF1057" s="239">
        <v>0</v>
      </c>
      <c r="BG1057" s="239">
        <v>0</v>
      </c>
      <c r="BH1057" s="239">
        <v>0</v>
      </c>
      <c r="BI1057" s="239">
        <v>0</v>
      </c>
      <c r="BJ1057" s="239">
        <v>0</v>
      </c>
      <c r="BK1057" s="239">
        <v>0</v>
      </c>
      <c r="BL1057" s="239">
        <v>0</v>
      </c>
      <c r="BM1057" s="239">
        <v>0</v>
      </c>
      <c r="BN1057" s="239">
        <v>0</v>
      </c>
      <c r="BO1057" s="239">
        <v>0</v>
      </c>
      <c r="BP1057" s="238"/>
      <c r="BQ1057" s="234" t="s">
        <v>318</v>
      </c>
      <c r="BR1057" s="237" t="s">
        <v>151</v>
      </c>
      <c r="BS1057" s="238">
        <v>20</v>
      </c>
      <c r="BZ1057" s="239">
        <f>M1057/3</f>
        <v>28.333333333333332</v>
      </c>
      <c r="CA1057" s="239">
        <f>M1057/3</f>
        <v>28.333333333333332</v>
      </c>
      <c r="CB1057" s="239">
        <f>M1057/3</f>
        <v>28.333333333333332</v>
      </c>
      <c r="CN1057" s="238">
        <f t="shared" si="122"/>
        <v>0</v>
      </c>
      <c r="CO1057" s="238">
        <f t="shared" si="123"/>
        <v>85</v>
      </c>
    </row>
    <row r="1058" spans="1:93" ht="13.95" customHeight="1" x14ac:dyDescent="0.2">
      <c r="A1058" s="238">
        <v>8056</v>
      </c>
      <c r="B1058" s="241" t="s">
        <v>2736</v>
      </c>
      <c r="C1058" s="238"/>
      <c r="D1058" s="237" t="s">
        <v>2784</v>
      </c>
      <c r="E1058" s="237"/>
      <c r="F1058" s="238">
        <v>529149</v>
      </c>
      <c r="G1058" s="238">
        <v>177464</v>
      </c>
      <c r="H1058" s="232" t="s">
        <v>168</v>
      </c>
      <c r="J1058" s="226"/>
      <c r="K1058" s="238">
        <v>0</v>
      </c>
      <c r="L1058" s="238">
        <v>9</v>
      </c>
      <c r="M1058" s="238">
        <v>9</v>
      </c>
      <c r="N1058" s="238">
        <v>100</v>
      </c>
      <c r="O1058" s="238">
        <v>100</v>
      </c>
      <c r="P1058" s="238" t="s">
        <v>318</v>
      </c>
      <c r="Q1058" s="242" t="s">
        <v>2738</v>
      </c>
      <c r="R1058" s="243" t="s">
        <v>2739</v>
      </c>
      <c r="T1058" s="226"/>
      <c r="U1058" s="238"/>
      <c r="V1058" s="238" t="s">
        <v>321</v>
      </c>
      <c r="W1058" s="226"/>
      <c r="X1058" s="238" t="s">
        <v>322</v>
      </c>
      <c r="Y1058" s="238" t="s">
        <v>338</v>
      </c>
      <c r="Z1058" s="238" t="s">
        <v>323</v>
      </c>
      <c r="AA1058" s="238" t="s">
        <v>324</v>
      </c>
      <c r="AB1058" s="244">
        <v>0</v>
      </c>
      <c r="AD1058" s="238"/>
      <c r="AE1058" s="226"/>
      <c r="AF1058" s="238" t="s">
        <v>57</v>
      </c>
      <c r="AG1058" s="238" t="s">
        <v>470</v>
      </c>
      <c r="AH1058" s="238" t="s">
        <v>2785</v>
      </c>
      <c r="AI1058" s="238"/>
      <c r="AJ1058" s="239">
        <v>0</v>
      </c>
      <c r="AK1058" s="239">
        <v>0</v>
      </c>
      <c r="AL1058" s="239">
        <v>0</v>
      </c>
      <c r="AM1058" s="239">
        <v>0</v>
      </c>
      <c r="AN1058" s="239">
        <v>0</v>
      </c>
      <c r="AO1058" s="239">
        <v>0</v>
      </c>
      <c r="AP1058" s="239">
        <v>0</v>
      </c>
      <c r="AQ1058" s="239">
        <v>0</v>
      </c>
      <c r="AR1058" s="239">
        <v>0</v>
      </c>
      <c r="AS1058" s="239">
        <v>0</v>
      </c>
      <c r="AT1058" s="239">
        <v>9</v>
      </c>
      <c r="AU1058" s="239">
        <v>0</v>
      </c>
      <c r="AV1058" s="239">
        <v>0</v>
      </c>
      <c r="AW1058" s="239">
        <v>0</v>
      </c>
      <c r="AX1058" s="239">
        <v>0</v>
      </c>
      <c r="AY1058" s="239">
        <v>0</v>
      </c>
      <c r="AZ1058" s="239">
        <v>0</v>
      </c>
      <c r="BA1058" s="239">
        <v>9</v>
      </c>
      <c r="BB1058" s="239">
        <v>0</v>
      </c>
      <c r="BC1058" s="239">
        <v>0</v>
      </c>
      <c r="BD1058" s="239">
        <v>0</v>
      </c>
      <c r="BE1058" s="239">
        <v>0</v>
      </c>
      <c r="BF1058" s="239">
        <v>0</v>
      </c>
      <c r="BG1058" s="239">
        <v>0</v>
      </c>
      <c r="BH1058" s="239">
        <v>0</v>
      </c>
      <c r="BI1058" s="239">
        <v>0</v>
      </c>
      <c r="BJ1058" s="239">
        <v>0</v>
      </c>
      <c r="BK1058" s="239">
        <v>0</v>
      </c>
      <c r="BL1058" s="239">
        <v>0</v>
      </c>
      <c r="BM1058" s="239">
        <v>0</v>
      </c>
      <c r="BN1058" s="239">
        <v>0</v>
      </c>
      <c r="BO1058" s="239">
        <v>0</v>
      </c>
      <c r="BP1058" s="238"/>
      <c r="BQ1058" s="234" t="s">
        <v>318</v>
      </c>
      <c r="BR1058" s="237" t="s">
        <v>151</v>
      </c>
      <c r="BS1058" s="238">
        <v>20</v>
      </c>
      <c r="BZ1058" s="239">
        <f>M1058/3</f>
        <v>3</v>
      </c>
      <c r="CA1058" s="239">
        <f>M1058/3</f>
        <v>3</v>
      </c>
      <c r="CB1058" s="239">
        <f>M1058/3</f>
        <v>3</v>
      </c>
      <c r="CN1058" s="238">
        <f t="shared" si="122"/>
        <v>0</v>
      </c>
      <c r="CO1058" s="238">
        <f t="shared" si="123"/>
        <v>9</v>
      </c>
    </row>
    <row r="1059" spans="1:93" ht="13.95" customHeight="1" x14ac:dyDescent="0.2">
      <c r="A1059" s="238">
        <v>8056</v>
      </c>
      <c r="B1059" s="241" t="s">
        <v>2736</v>
      </c>
      <c r="C1059" s="238"/>
      <c r="D1059" s="237" t="s">
        <v>2784</v>
      </c>
      <c r="E1059" s="237"/>
      <c r="F1059" s="238">
        <v>529149</v>
      </c>
      <c r="G1059" s="238">
        <v>177464</v>
      </c>
      <c r="H1059" s="232" t="s">
        <v>168</v>
      </c>
      <c r="J1059" s="226"/>
      <c r="K1059" s="238">
        <v>0</v>
      </c>
      <c r="L1059" s="238">
        <v>6</v>
      </c>
      <c r="M1059" s="238">
        <v>6</v>
      </c>
      <c r="N1059" s="238">
        <v>100</v>
      </c>
      <c r="O1059" s="238">
        <v>100</v>
      </c>
      <c r="P1059" s="238" t="s">
        <v>318</v>
      </c>
      <c r="Q1059" s="242" t="s">
        <v>2738</v>
      </c>
      <c r="R1059" s="243" t="s">
        <v>2739</v>
      </c>
      <c r="T1059" s="226"/>
      <c r="U1059" s="238"/>
      <c r="V1059" s="238" t="s">
        <v>321</v>
      </c>
      <c r="W1059" s="226"/>
      <c r="X1059" s="238" t="s">
        <v>322</v>
      </c>
      <c r="Y1059" s="238" t="s">
        <v>338</v>
      </c>
      <c r="Z1059" s="238" t="s">
        <v>323</v>
      </c>
      <c r="AA1059" s="238" t="s">
        <v>324</v>
      </c>
      <c r="AB1059" s="244">
        <v>0</v>
      </c>
      <c r="AD1059" s="238"/>
      <c r="AE1059" s="226"/>
      <c r="AF1059" s="238" t="s">
        <v>56</v>
      </c>
      <c r="AG1059" s="238" t="s">
        <v>1355</v>
      </c>
      <c r="AH1059" s="238" t="s">
        <v>2785</v>
      </c>
      <c r="AI1059" s="238"/>
      <c r="AJ1059" s="239">
        <v>0</v>
      </c>
      <c r="AK1059" s="239">
        <v>0</v>
      </c>
      <c r="AL1059" s="239">
        <v>0</v>
      </c>
      <c r="AM1059" s="239">
        <v>0</v>
      </c>
      <c r="AN1059" s="239">
        <v>0</v>
      </c>
      <c r="AO1059" s="239">
        <v>0</v>
      </c>
      <c r="AP1059" s="239">
        <v>0</v>
      </c>
      <c r="AQ1059" s="239">
        <v>0</v>
      </c>
      <c r="AR1059" s="239">
        <v>0</v>
      </c>
      <c r="AS1059" s="239">
        <v>0</v>
      </c>
      <c r="AT1059" s="239">
        <v>6</v>
      </c>
      <c r="AU1059" s="239">
        <v>0</v>
      </c>
      <c r="AV1059" s="239">
        <v>0</v>
      </c>
      <c r="AW1059" s="239">
        <v>0</v>
      </c>
      <c r="AX1059" s="239">
        <v>0</v>
      </c>
      <c r="AY1059" s="239">
        <v>0</v>
      </c>
      <c r="AZ1059" s="239">
        <v>0</v>
      </c>
      <c r="BA1059" s="239">
        <v>6</v>
      </c>
      <c r="BB1059" s="239">
        <v>0</v>
      </c>
      <c r="BC1059" s="239">
        <v>0</v>
      </c>
      <c r="BD1059" s="239">
        <v>0</v>
      </c>
      <c r="BE1059" s="239">
        <v>0</v>
      </c>
      <c r="BF1059" s="239">
        <v>0</v>
      </c>
      <c r="BG1059" s="239">
        <v>0</v>
      </c>
      <c r="BH1059" s="239">
        <v>0</v>
      </c>
      <c r="BI1059" s="239">
        <v>0</v>
      </c>
      <c r="BJ1059" s="239">
        <v>0</v>
      </c>
      <c r="BK1059" s="239">
        <v>0</v>
      </c>
      <c r="BL1059" s="239">
        <v>0</v>
      </c>
      <c r="BM1059" s="239">
        <v>0</v>
      </c>
      <c r="BN1059" s="239">
        <v>0</v>
      </c>
      <c r="BO1059" s="239">
        <v>0</v>
      </c>
      <c r="BP1059" s="238"/>
      <c r="BQ1059" s="234" t="s">
        <v>318</v>
      </c>
      <c r="BR1059" s="237" t="s">
        <v>151</v>
      </c>
      <c r="BS1059" s="238">
        <v>20</v>
      </c>
      <c r="BZ1059" s="239">
        <f>M1059/3</f>
        <v>2</v>
      </c>
      <c r="CA1059" s="239">
        <f>M1059/3</f>
        <v>2</v>
      </c>
      <c r="CB1059" s="239">
        <f>M1059/3</f>
        <v>2</v>
      </c>
      <c r="CN1059" s="238">
        <f t="shared" si="122"/>
        <v>0</v>
      </c>
      <c r="CO1059" s="238">
        <f t="shared" si="123"/>
        <v>6</v>
      </c>
    </row>
    <row r="1060" spans="1:93" ht="13.95" customHeight="1" x14ac:dyDescent="0.2">
      <c r="A1060" s="238">
        <v>4509</v>
      </c>
      <c r="B1060" s="241" t="s">
        <v>2736</v>
      </c>
      <c r="C1060" s="238"/>
      <c r="D1060" s="237" t="s">
        <v>2786</v>
      </c>
      <c r="E1060" s="237"/>
      <c r="F1060" s="238">
        <v>529144.33070000005</v>
      </c>
      <c r="G1060" s="238">
        <v>177568.643099999</v>
      </c>
      <c r="H1060" s="232" t="s">
        <v>168</v>
      </c>
      <c r="J1060" s="226"/>
      <c r="K1060" s="238">
        <v>0</v>
      </c>
      <c r="L1060" s="238">
        <v>18</v>
      </c>
      <c r="M1060" s="238">
        <v>18</v>
      </c>
      <c r="N1060" s="238">
        <v>21</v>
      </c>
      <c r="O1060" s="238">
        <v>21</v>
      </c>
      <c r="P1060" s="238" t="s">
        <v>318</v>
      </c>
      <c r="Q1060" s="242" t="s">
        <v>2738</v>
      </c>
      <c r="R1060" s="243" t="s">
        <v>2739</v>
      </c>
      <c r="T1060" s="226"/>
      <c r="U1060" s="238"/>
      <c r="V1060" s="238" t="s">
        <v>321</v>
      </c>
      <c r="W1060" s="226"/>
      <c r="X1060" s="238" t="s">
        <v>322</v>
      </c>
      <c r="Y1060" s="238" t="s">
        <v>323</v>
      </c>
      <c r="Z1060" s="238" t="s">
        <v>323</v>
      </c>
      <c r="AA1060" s="238" t="s">
        <v>324</v>
      </c>
      <c r="AB1060" s="244">
        <v>0</v>
      </c>
      <c r="AD1060" s="238"/>
      <c r="AE1060" s="226"/>
      <c r="AF1060" s="224" t="s">
        <v>77</v>
      </c>
      <c r="AG1060" s="238" t="s">
        <v>350</v>
      </c>
      <c r="AH1060" s="238" t="s">
        <v>2787</v>
      </c>
      <c r="AI1060" s="238"/>
      <c r="AJ1060" s="239">
        <v>0</v>
      </c>
      <c r="AK1060" s="239">
        <v>0</v>
      </c>
      <c r="AL1060" s="239">
        <v>0</v>
      </c>
      <c r="AM1060" s="239">
        <v>0</v>
      </c>
      <c r="AN1060" s="239">
        <v>0</v>
      </c>
      <c r="AO1060" s="239">
        <v>0</v>
      </c>
      <c r="AP1060" s="239">
        <v>0</v>
      </c>
      <c r="AQ1060" s="239">
        <v>0</v>
      </c>
      <c r="AR1060" s="239">
        <v>0</v>
      </c>
      <c r="AS1060" s="239">
        <v>0</v>
      </c>
      <c r="AT1060" s="239">
        <v>18</v>
      </c>
      <c r="AU1060" s="239">
        <v>0</v>
      </c>
      <c r="AV1060" s="239">
        <v>0</v>
      </c>
      <c r="AW1060" s="239">
        <v>0</v>
      </c>
      <c r="AX1060" s="239">
        <v>0</v>
      </c>
      <c r="AY1060" s="239">
        <v>0</v>
      </c>
      <c r="AZ1060" s="239">
        <v>0</v>
      </c>
      <c r="BA1060" s="239">
        <v>18</v>
      </c>
      <c r="BB1060" s="239">
        <v>0</v>
      </c>
      <c r="BC1060" s="239">
        <v>0</v>
      </c>
      <c r="BD1060" s="239">
        <v>0</v>
      </c>
      <c r="BE1060" s="239">
        <v>0</v>
      </c>
      <c r="BF1060" s="239">
        <v>0</v>
      </c>
      <c r="BG1060" s="239">
        <v>0</v>
      </c>
      <c r="BH1060" s="239">
        <v>0</v>
      </c>
      <c r="BI1060" s="239">
        <v>0</v>
      </c>
      <c r="BJ1060" s="239">
        <v>0</v>
      </c>
      <c r="BK1060" s="239">
        <v>0</v>
      </c>
      <c r="BL1060" s="239">
        <v>0</v>
      </c>
      <c r="BM1060" s="239">
        <v>0</v>
      </c>
      <c r="BN1060" s="239">
        <v>0</v>
      </c>
      <c r="BO1060" s="239">
        <v>0</v>
      </c>
      <c r="BP1060" s="238"/>
      <c r="BQ1060" s="234" t="s">
        <v>318</v>
      </c>
      <c r="BR1060" s="237" t="s">
        <v>151</v>
      </c>
      <c r="BS1060" s="238">
        <v>20</v>
      </c>
      <c r="BX1060" s="239">
        <f>M1060/5</f>
        <v>3.6</v>
      </c>
      <c r="BY1060" s="239">
        <f>M1060/5</f>
        <v>3.6</v>
      </c>
      <c r="BZ1060" s="239">
        <f>M1060/5</f>
        <v>3.6</v>
      </c>
      <c r="CA1060" s="239">
        <f>M1060/5</f>
        <v>3.6</v>
      </c>
      <c r="CB1060" s="239">
        <f>M1060/5</f>
        <v>3.6</v>
      </c>
      <c r="CN1060" s="238">
        <f t="shared" si="122"/>
        <v>7.2</v>
      </c>
      <c r="CO1060" s="238">
        <f t="shared" si="123"/>
        <v>18</v>
      </c>
    </row>
    <row r="1061" spans="1:93" ht="13.95" customHeight="1" x14ac:dyDescent="0.2">
      <c r="A1061" s="238">
        <v>4509</v>
      </c>
      <c r="B1061" s="241" t="s">
        <v>2736</v>
      </c>
      <c r="C1061" s="238"/>
      <c r="D1061" s="237" t="s">
        <v>2786</v>
      </c>
      <c r="E1061" s="237"/>
      <c r="F1061" s="238">
        <v>529144.33070000005</v>
      </c>
      <c r="G1061" s="238">
        <v>177568.643099999</v>
      </c>
      <c r="H1061" s="232" t="s">
        <v>168</v>
      </c>
      <c r="J1061" s="226"/>
      <c r="K1061" s="238">
        <v>0</v>
      </c>
      <c r="L1061" s="238">
        <v>2</v>
      </c>
      <c r="M1061" s="238">
        <v>2</v>
      </c>
      <c r="N1061" s="238">
        <v>21</v>
      </c>
      <c r="O1061" s="238">
        <v>21</v>
      </c>
      <c r="P1061" s="238" t="s">
        <v>318</v>
      </c>
      <c r="Q1061" s="242" t="s">
        <v>2738</v>
      </c>
      <c r="R1061" s="243" t="s">
        <v>2739</v>
      </c>
      <c r="T1061" s="226"/>
      <c r="U1061" s="238"/>
      <c r="V1061" s="238" t="s">
        <v>321</v>
      </c>
      <c r="W1061" s="226"/>
      <c r="X1061" s="238" t="s">
        <v>322</v>
      </c>
      <c r="Y1061" s="238" t="s">
        <v>323</v>
      </c>
      <c r="Z1061" s="238" t="s">
        <v>323</v>
      </c>
      <c r="AA1061" s="238" t="s">
        <v>324</v>
      </c>
      <c r="AB1061" s="244">
        <v>0</v>
      </c>
      <c r="AD1061" s="238"/>
      <c r="AE1061" s="226"/>
      <c r="AF1061" s="238" t="s">
        <v>57</v>
      </c>
      <c r="AG1061" s="238" t="s">
        <v>470</v>
      </c>
      <c r="AH1061" s="238" t="s">
        <v>2787</v>
      </c>
      <c r="AI1061" s="238"/>
      <c r="AJ1061" s="239">
        <v>0</v>
      </c>
      <c r="AK1061" s="239">
        <v>0</v>
      </c>
      <c r="AL1061" s="239">
        <v>0</v>
      </c>
      <c r="AM1061" s="239">
        <v>0</v>
      </c>
      <c r="AN1061" s="239">
        <v>0</v>
      </c>
      <c r="AO1061" s="239">
        <v>0</v>
      </c>
      <c r="AP1061" s="239">
        <v>0</v>
      </c>
      <c r="AQ1061" s="239">
        <v>0</v>
      </c>
      <c r="AR1061" s="239">
        <v>0</v>
      </c>
      <c r="AS1061" s="239">
        <v>0</v>
      </c>
      <c r="AT1061" s="239">
        <v>2</v>
      </c>
      <c r="AU1061" s="239">
        <v>0</v>
      </c>
      <c r="AV1061" s="239">
        <v>0</v>
      </c>
      <c r="AW1061" s="239">
        <v>0</v>
      </c>
      <c r="AX1061" s="239">
        <v>0</v>
      </c>
      <c r="AY1061" s="239">
        <v>0</v>
      </c>
      <c r="AZ1061" s="239">
        <v>0</v>
      </c>
      <c r="BA1061" s="239">
        <v>2</v>
      </c>
      <c r="BB1061" s="239">
        <v>0</v>
      </c>
      <c r="BC1061" s="239">
        <v>0</v>
      </c>
      <c r="BD1061" s="239">
        <v>0</v>
      </c>
      <c r="BE1061" s="239">
        <v>0</v>
      </c>
      <c r="BF1061" s="239">
        <v>0</v>
      </c>
      <c r="BG1061" s="239">
        <v>0</v>
      </c>
      <c r="BH1061" s="239">
        <v>0</v>
      </c>
      <c r="BI1061" s="239">
        <v>0</v>
      </c>
      <c r="BJ1061" s="239">
        <v>0</v>
      </c>
      <c r="BK1061" s="239">
        <v>0</v>
      </c>
      <c r="BL1061" s="239">
        <v>0</v>
      </c>
      <c r="BM1061" s="239">
        <v>0</v>
      </c>
      <c r="BN1061" s="239">
        <v>0</v>
      </c>
      <c r="BO1061" s="239">
        <v>0</v>
      </c>
      <c r="BP1061" s="238"/>
      <c r="BQ1061" s="234" t="s">
        <v>318</v>
      </c>
      <c r="BR1061" s="237" t="s">
        <v>151</v>
      </c>
      <c r="BS1061" s="238">
        <v>20</v>
      </c>
      <c r="BX1061" s="239">
        <f>M1061/5</f>
        <v>0.4</v>
      </c>
      <c r="BY1061" s="239">
        <f>M1061/5</f>
        <v>0.4</v>
      </c>
      <c r="BZ1061" s="239">
        <f>M1061/5</f>
        <v>0.4</v>
      </c>
      <c r="CA1061" s="239">
        <f>M1061/5</f>
        <v>0.4</v>
      </c>
      <c r="CB1061" s="239">
        <f>M1061/5</f>
        <v>0.4</v>
      </c>
      <c r="CN1061" s="238">
        <f t="shared" si="122"/>
        <v>0.8</v>
      </c>
      <c r="CO1061" s="238">
        <f t="shared" si="123"/>
        <v>2</v>
      </c>
    </row>
    <row r="1062" spans="1:93" ht="13.95" customHeight="1" x14ac:dyDescent="0.2">
      <c r="A1062" s="238">
        <v>4509</v>
      </c>
      <c r="B1062" s="241" t="s">
        <v>2736</v>
      </c>
      <c r="C1062" s="238"/>
      <c r="D1062" s="237" t="s">
        <v>2786</v>
      </c>
      <c r="E1062" s="237"/>
      <c r="F1062" s="238">
        <v>529144.33070000005</v>
      </c>
      <c r="G1062" s="238">
        <v>177568.643099999</v>
      </c>
      <c r="H1062" s="232" t="s">
        <v>168</v>
      </c>
      <c r="J1062" s="226"/>
      <c r="K1062" s="238">
        <v>0</v>
      </c>
      <c r="L1062" s="238">
        <v>1</v>
      </c>
      <c r="M1062" s="238">
        <v>1</v>
      </c>
      <c r="N1062" s="238">
        <v>21</v>
      </c>
      <c r="O1062" s="238">
        <v>21</v>
      </c>
      <c r="P1062" s="238" t="s">
        <v>318</v>
      </c>
      <c r="Q1062" s="242" t="s">
        <v>2738</v>
      </c>
      <c r="R1062" s="243" t="s">
        <v>2739</v>
      </c>
      <c r="T1062" s="226"/>
      <c r="U1062" s="238"/>
      <c r="V1062" s="238" t="s">
        <v>321</v>
      </c>
      <c r="W1062" s="226"/>
      <c r="X1062" s="238" t="s">
        <v>322</v>
      </c>
      <c r="Y1062" s="238" t="s">
        <v>323</v>
      </c>
      <c r="Z1062" s="238" t="s">
        <v>323</v>
      </c>
      <c r="AA1062" s="238" t="s">
        <v>324</v>
      </c>
      <c r="AB1062" s="244">
        <v>0</v>
      </c>
      <c r="AD1062" s="238"/>
      <c r="AE1062" s="226"/>
      <c r="AF1062" s="238" t="s">
        <v>56</v>
      </c>
      <c r="AG1062" s="238" t="s">
        <v>1355</v>
      </c>
      <c r="AH1062" s="238" t="s">
        <v>2787</v>
      </c>
      <c r="AI1062" s="238"/>
      <c r="AJ1062" s="239">
        <v>0</v>
      </c>
      <c r="AK1062" s="239">
        <v>0</v>
      </c>
      <c r="AL1062" s="239">
        <v>0</v>
      </c>
      <c r="AM1062" s="239">
        <v>0</v>
      </c>
      <c r="AN1062" s="239">
        <v>0</v>
      </c>
      <c r="AO1062" s="239">
        <v>0</v>
      </c>
      <c r="AP1062" s="239">
        <v>0</v>
      </c>
      <c r="AQ1062" s="239">
        <v>0</v>
      </c>
      <c r="AR1062" s="239">
        <v>0</v>
      </c>
      <c r="AS1062" s="239">
        <v>0</v>
      </c>
      <c r="AT1062" s="239">
        <v>1</v>
      </c>
      <c r="AU1062" s="239">
        <v>0</v>
      </c>
      <c r="AV1062" s="239">
        <v>0</v>
      </c>
      <c r="AW1062" s="239">
        <v>0</v>
      </c>
      <c r="AX1062" s="239">
        <v>0</v>
      </c>
      <c r="AY1062" s="239">
        <v>0</v>
      </c>
      <c r="AZ1062" s="239">
        <v>0</v>
      </c>
      <c r="BA1062" s="239">
        <v>1</v>
      </c>
      <c r="BB1062" s="239">
        <v>0</v>
      </c>
      <c r="BC1062" s="239">
        <v>0</v>
      </c>
      <c r="BD1062" s="239">
        <v>0</v>
      </c>
      <c r="BE1062" s="239">
        <v>0</v>
      </c>
      <c r="BF1062" s="239">
        <v>0</v>
      </c>
      <c r="BG1062" s="239">
        <v>0</v>
      </c>
      <c r="BH1062" s="239">
        <v>0</v>
      </c>
      <c r="BI1062" s="239">
        <v>0</v>
      </c>
      <c r="BJ1062" s="239">
        <v>0</v>
      </c>
      <c r="BK1062" s="239">
        <v>0</v>
      </c>
      <c r="BL1062" s="239">
        <v>0</v>
      </c>
      <c r="BM1062" s="239">
        <v>0</v>
      </c>
      <c r="BN1062" s="239">
        <v>0</v>
      </c>
      <c r="BO1062" s="239">
        <v>0</v>
      </c>
      <c r="BP1062" s="238"/>
      <c r="BQ1062" s="234" t="s">
        <v>318</v>
      </c>
      <c r="BR1062" s="237" t="s">
        <v>151</v>
      </c>
      <c r="BS1062" s="238">
        <v>20</v>
      </c>
      <c r="BX1062" s="239">
        <f>M1062/5</f>
        <v>0.2</v>
      </c>
      <c r="BY1062" s="239">
        <f>M1062/5</f>
        <v>0.2</v>
      </c>
      <c r="BZ1062" s="239">
        <f>M1062/5</f>
        <v>0.2</v>
      </c>
      <c r="CA1062" s="239">
        <f>M1062/5</f>
        <v>0.2</v>
      </c>
      <c r="CB1062" s="239">
        <f>M1062/5</f>
        <v>0.2</v>
      </c>
      <c r="CN1062" s="238">
        <f t="shared" si="122"/>
        <v>0.4</v>
      </c>
      <c r="CO1062" s="238">
        <f t="shared" si="123"/>
        <v>1</v>
      </c>
    </row>
    <row r="1063" spans="1:93" ht="13.95" customHeight="1" x14ac:dyDescent="0.2">
      <c r="A1063" s="238">
        <v>6876</v>
      </c>
      <c r="B1063" s="241" t="s">
        <v>2736</v>
      </c>
      <c r="C1063" s="238"/>
      <c r="D1063" s="237" t="s">
        <v>2788</v>
      </c>
      <c r="E1063" s="237"/>
      <c r="F1063" s="238">
        <v>526665</v>
      </c>
      <c r="G1063" s="238">
        <v>176051</v>
      </c>
      <c r="H1063" s="232" t="s">
        <v>174</v>
      </c>
      <c r="J1063" s="226"/>
      <c r="K1063" s="238">
        <v>0</v>
      </c>
      <c r="L1063" s="238">
        <v>188</v>
      </c>
      <c r="M1063" s="238">
        <v>188</v>
      </c>
      <c r="N1063" s="238">
        <v>280</v>
      </c>
      <c r="O1063" s="238">
        <v>280</v>
      </c>
      <c r="P1063" s="238" t="s">
        <v>318</v>
      </c>
      <c r="Q1063" s="242" t="s">
        <v>2738</v>
      </c>
      <c r="R1063" s="243" t="s">
        <v>2739</v>
      </c>
      <c r="T1063" s="226"/>
      <c r="U1063" s="238"/>
      <c r="V1063" s="238" t="s">
        <v>321</v>
      </c>
      <c r="W1063" s="226"/>
      <c r="X1063" s="238" t="s">
        <v>322</v>
      </c>
      <c r="Y1063" s="238" t="s">
        <v>323</v>
      </c>
      <c r="Z1063" s="238" t="s">
        <v>323</v>
      </c>
      <c r="AA1063" s="238" t="s">
        <v>324</v>
      </c>
      <c r="AB1063" s="244">
        <v>0</v>
      </c>
      <c r="AD1063" s="238"/>
      <c r="AE1063" s="226"/>
      <c r="AF1063" s="224" t="s">
        <v>77</v>
      </c>
      <c r="AG1063" s="238" t="s">
        <v>350</v>
      </c>
      <c r="AH1063" s="238" t="s">
        <v>2789</v>
      </c>
      <c r="AI1063" s="238"/>
      <c r="AJ1063" s="239">
        <v>0</v>
      </c>
      <c r="AK1063" s="239">
        <v>0</v>
      </c>
      <c r="AL1063" s="239">
        <v>0</v>
      </c>
      <c r="AM1063" s="239">
        <v>0</v>
      </c>
      <c r="AN1063" s="239">
        <v>0</v>
      </c>
      <c r="AO1063" s="239">
        <v>0</v>
      </c>
      <c r="AP1063" s="239">
        <v>0</v>
      </c>
      <c r="AQ1063" s="239">
        <v>0</v>
      </c>
      <c r="AR1063" s="239">
        <v>0</v>
      </c>
      <c r="AS1063" s="239">
        <v>0</v>
      </c>
      <c r="AT1063" s="239">
        <v>188</v>
      </c>
      <c r="AU1063" s="239">
        <v>0</v>
      </c>
      <c r="AV1063" s="239">
        <v>0</v>
      </c>
      <c r="AW1063" s="239">
        <v>0</v>
      </c>
      <c r="AX1063" s="239">
        <v>0</v>
      </c>
      <c r="AY1063" s="239">
        <v>0</v>
      </c>
      <c r="AZ1063" s="239">
        <v>0</v>
      </c>
      <c r="BA1063" s="239">
        <v>188</v>
      </c>
      <c r="BB1063" s="239">
        <v>0</v>
      </c>
      <c r="BC1063" s="239">
        <v>0</v>
      </c>
      <c r="BD1063" s="239">
        <v>0</v>
      </c>
      <c r="BE1063" s="239">
        <v>0</v>
      </c>
      <c r="BF1063" s="239">
        <v>0</v>
      </c>
      <c r="BG1063" s="239">
        <v>0</v>
      </c>
      <c r="BH1063" s="239">
        <v>0</v>
      </c>
      <c r="BI1063" s="239">
        <v>0</v>
      </c>
      <c r="BJ1063" s="239">
        <v>0</v>
      </c>
      <c r="BK1063" s="239">
        <v>0</v>
      </c>
      <c r="BL1063" s="239">
        <v>0</v>
      </c>
      <c r="BM1063" s="239">
        <v>0</v>
      </c>
      <c r="BN1063" s="239">
        <v>0</v>
      </c>
      <c r="BO1063" s="239">
        <v>0</v>
      </c>
      <c r="BP1063" s="238"/>
      <c r="BQ1063" s="238"/>
      <c r="BR1063" s="237" t="s">
        <v>150</v>
      </c>
      <c r="BS1063" s="238">
        <v>19</v>
      </c>
      <c r="BY1063" s="239">
        <f>M1063/16</f>
        <v>11.75</v>
      </c>
      <c r="BZ1063" s="239">
        <f>M1063/16</f>
        <v>11.75</v>
      </c>
      <c r="CA1063" s="239">
        <f>M1063/16</f>
        <v>11.75</v>
      </c>
      <c r="CB1063" s="239">
        <f>M1063/16</f>
        <v>11.75</v>
      </c>
      <c r="CC1063" s="239">
        <f>M1063/16</f>
        <v>11.75</v>
      </c>
      <c r="CD1063" s="239">
        <f>M1063/16</f>
        <v>11.75</v>
      </c>
      <c r="CE1063" s="239">
        <f>M1063/16</f>
        <v>11.75</v>
      </c>
      <c r="CF1063" s="239">
        <f>M1063/16</f>
        <v>11.75</v>
      </c>
      <c r="CG1063" s="239">
        <f>M1063/16</f>
        <v>11.75</v>
      </c>
      <c r="CH1063" s="239">
        <f>M1063/16</f>
        <v>11.75</v>
      </c>
      <c r="CI1063" s="239">
        <f>M1063/16</f>
        <v>11.75</v>
      </c>
      <c r="CJ1063" s="239">
        <f>M1063/16</f>
        <v>11.75</v>
      </c>
      <c r="CK1063" s="239">
        <f>M1063/16</f>
        <v>11.75</v>
      </c>
      <c r="CL1063" s="239">
        <f>M1063/16</f>
        <v>11.75</v>
      </c>
      <c r="CM1063" s="239">
        <f>M1063/16</f>
        <v>11.75</v>
      </c>
      <c r="CN1063" s="238">
        <f t="shared" si="122"/>
        <v>11.75</v>
      </c>
      <c r="CO1063" s="238">
        <f t="shared" si="123"/>
        <v>70.5</v>
      </c>
    </row>
    <row r="1064" spans="1:93" ht="13.95" customHeight="1" x14ac:dyDescent="0.2">
      <c r="A1064" s="238">
        <v>6876</v>
      </c>
      <c r="B1064" s="241" t="s">
        <v>2736</v>
      </c>
      <c r="C1064" s="238"/>
      <c r="D1064" s="237" t="s">
        <v>2788</v>
      </c>
      <c r="E1064" s="237"/>
      <c r="F1064" s="238">
        <v>526665</v>
      </c>
      <c r="G1064" s="238">
        <v>176051</v>
      </c>
      <c r="H1064" s="232" t="s">
        <v>174</v>
      </c>
      <c r="J1064" s="226"/>
      <c r="K1064" s="238">
        <v>0</v>
      </c>
      <c r="L1064" s="238">
        <v>56</v>
      </c>
      <c r="M1064" s="238">
        <v>56</v>
      </c>
      <c r="N1064" s="238">
        <v>280</v>
      </c>
      <c r="O1064" s="238">
        <v>280</v>
      </c>
      <c r="P1064" s="238" t="s">
        <v>318</v>
      </c>
      <c r="Q1064" s="242" t="s">
        <v>2738</v>
      </c>
      <c r="R1064" s="243" t="s">
        <v>2739</v>
      </c>
      <c r="T1064" s="226"/>
      <c r="U1064" s="238"/>
      <c r="V1064" s="238" t="s">
        <v>321</v>
      </c>
      <c r="W1064" s="226"/>
      <c r="X1064" s="238" t="s">
        <v>322</v>
      </c>
      <c r="Y1064" s="238" t="s">
        <v>323</v>
      </c>
      <c r="Z1064" s="238" t="s">
        <v>323</v>
      </c>
      <c r="AA1064" s="238" t="s">
        <v>324</v>
      </c>
      <c r="AB1064" s="244">
        <v>0</v>
      </c>
      <c r="AD1064" s="238"/>
      <c r="AE1064" s="226"/>
      <c r="AF1064" s="238" t="s">
        <v>57</v>
      </c>
      <c r="AG1064" s="238" t="s">
        <v>470</v>
      </c>
      <c r="AH1064" s="238" t="s">
        <v>2789</v>
      </c>
      <c r="AI1064" s="238"/>
      <c r="AJ1064" s="239">
        <v>0</v>
      </c>
      <c r="AK1064" s="239">
        <v>0</v>
      </c>
      <c r="AL1064" s="239">
        <v>0</v>
      </c>
      <c r="AM1064" s="239">
        <v>0</v>
      </c>
      <c r="AN1064" s="239">
        <v>0</v>
      </c>
      <c r="AO1064" s="239">
        <v>0</v>
      </c>
      <c r="AP1064" s="239">
        <v>0</v>
      </c>
      <c r="AQ1064" s="239">
        <v>0</v>
      </c>
      <c r="AR1064" s="239">
        <v>0</v>
      </c>
      <c r="AS1064" s="239">
        <v>0</v>
      </c>
      <c r="AT1064" s="239">
        <v>56</v>
      </c>
      <c r="AU1064" s="239">
        <v>0</v>
      </c>
      <c r="AV1064" s="239">
        <v>0</v>
      </c>
      <c r="AW1064" s="239">
        <v>0</v>
      </c>
      <c r="AX1064" s="239">
        <v>0</v>
      </c>
      <c r="AY1064" s="239">
        <v>0</v>
      </c>
      <c r="AZ1064" s="239">
        <v>0</v>
      </c>
      <c r="BA1064" s="239">
        <v>56</v>
      </c>
      <c r="BB1064" s="239">
        <v>0</v>
      </c>
      <c r="BC1064" s="239">
        <v>0</v>
      </c>
      <c r="BD1064" s="239">
        <v>0</v>
      </c>
      <c r="BE1064" s="239">
        <v>0</v>
      </c>
      <c r="BF1064" s="239">
        <v>0</v>
      </c>
      <c r="BG1064" s="239">
        <v>0</v>
      </c>
      <c r="BH1064" s="239">
        <v>0</v>
      </c>
      <c r="BI1064" s="239">
        <v>0</v>
      </c>
      <c r="BJ1064" s="239">
        <v>0</v>
      </c>
      <c r="BK1064" s="239">
        <v>0</v>
      </c>
      <c r="BL1064" s="239">
        <v>0</v>
      </c>
      <c r="BM1064" s="239">
        <v>0</v>
      </c>
      <c r="BN1064" s="239">
        <v>0</v>
      </c>
      <c r="BO1064" s="239">
        <v>0</v>
      </c>
      <c r="BP1064" s="238"/>
      <c r="BQ1064" s="238"/>
      <c r="BR1064" s="237" t="s">
        <v>150</v>
      </c>
      <c r="BS1064" s="238">
        <v>19</v>
      </c>
      <c r="BY1064" s="239">
        <f>M1064/16</f>
        <v>3.5</v>
      </c>
      <c r="BZ1064" s="239">
        <f>M1064/16</f>
        <v>3.5</v>
      </c>
      <c r="CA1064" s="239">
        <f>M1064/16</f>
        <v>3.5</v>
      </c>
      <c r="CB1064" s="239">
        <f>M1064/16</f>
        <v>3.5</v>
      </c>
      <c r="CC1064" s="239">
        <f>M1064/16</f>
        <v>3.5</v>
      </c>
      <c r="CD1064" s="239">
        <f>M1064/16</f>
        <v>3.5</v>
      </c>
      <c r="CE1064" s="239">
        <f>M1064/16</f>
        <v>3.5</v>
      </c>
      <c r="CF1064" s="239">
        <f>M1064/16</f>
        <v>3.5</v>
      </c>
      <c r="CG1064" s="239">
        <f>M1064/16</f>
        <v>3.5</v>
      </c>
      <c r="CH1064" s="239">
        <f>M1064/16</f>
        <v>3.5</v>
      </c>
      <c r="CI1064" s="239">
        <f>M1064/16</f>
        <v>3.5</v>
      </c>
      <c r="CJ1064" s="239">
        <f>M1064/16</f>
        <v>3.5</v>
      </c>
      <c r="CK1064" s="239">
        <f>M1064/16</f>
        <v>3.5</v>
      </c>
      <c r="CL1064" s="239">
        <f>M1064/16</f>
        <v>3.5</v>
      </c>
      <c r="CM1064" s="239">
        <f>M1064/16</f>
        <v>3.5</v>
      </c>
      <c r="CN1064" s="238">
        <f t="shared" si="122"/>
        <v>3.5</v>
      </c>
      <c r="CO1064" s="238">
        <f t="shared" si="123"/>
        <v>21</v>
      </c>
    </row>
    <row r="1065" spans="1:93" ht="13.95" customHeight="1" x14ac:dyDescent="0.2">
      <c r="A1065" s="238">
        <v>6876</v>
      </c>
      <c r="B1065" s="241" t="s">
        <v>2736</v>
      </c>
      <c r="C1065" s="238"/>
      <c r="D1065" s="237" t="s">
        <v>2788</v>
      </c>
      <c r="E1065" s="237"/>
      <c r="F1065" s="238">
        <v>526665</v>
      </c>
      <c r="G1065" s="238">
        <v>176051</v>
      </c>
      <c r="H1065" s="232" t="s">
        <v>174</v>
      </c>
      <c r="J1065" s="226"/>
      <c r="K1065" s="238">
        <v>0</v>
      </c>
      <c r="L1065" s="238">
        <v>36</v>
      </c>
      <c r="M1065" s="238">
        <v>36</v>
      </c>
      <c r="N1065" s="238">
        <v>280</v>
      </c>
      <c r="O1065" s="238">
        <v>280</v>
      </c>
      <c r="P1065" s="238" t="s">
        <v>318</v>
      </c>
      <c r="Q1065" s="242" t="s">
        <v>2738</v>
      </c>
      <c r="R1065" s="243" t="s">
        <v>2739</v>
      </c>
      <c r="T1065" s="226"/>
      <c r="U1065" s="238"/>
      <c r="V1065" s="238" t="s">
        <v>321</v>
      </c>
      <c r="W1065" s="226"/>
      <c r="X1065" s="238" t="s">
        <v>322</v>
      </c>
      <c r="Y1065" s="238" t="s">
        <v>323</v>
      </c>
      <c r="Z1065" s="238" t="s">
        <v>323</v>
      </c>
      <c r="AA1065" s="238" t="s">
        <v>324</v>
      </c>
      <c r="AB1065" s="244">
        <v>0</v>
      </c>
      <c r="AD1065" s="238"/>
      <c r="AE1065" s="226"/>
      <c r="AF1065" s="238" t="s">
        <v>56</v>
      </c>
      <c r="AG1065" s="238" t="s">
        <v>1355</v>
      </c>
      <c r="AH1065" s="238" t="s">
        <v>2789</v>
      </c>
      <c r="AI1065" s="238"/>
      <c r="AJ1065" s="239">
        <v>0</v>
      </c>
      <c r="AK1065" s="239">
        <v>0</v>
      </c>
      <c r="AL1065" s="239">
        <v>0</v>
      </c>
      <c r="AM1065" s="239">
        <v>0</v>
      </c>
      <c r="AN1065" s="239">
        <v>0</v>
      </c>
      <c r="AO1065" s="239">
        <v>0</v>
      </c>
      <c r="AP1065" s="239">
        <v>0</v>
      </c>
      <c r="AQ1065" s="239">
        <v>0</v>
      </c>
      <c r="AR1065" s="239">
        <v>0</v>
      </c>
      <c r="AS1065" s="239">
        <v>0</v>
      </c>
      <c r="AT1065" s="239">
        <v>36</v>
      </c>
      <c r="AU1065" s="239">
        <v>0</v>
      </c>
      <c r="AV1065" s="239">
        <v>0</v>
      </c>
      <c r="AW1065" s="239">
        <v>0</v>
      </c>
      <c r="AX1065" s="239">
        <v>0</v>
      </c>
      <c r="AY1065" s="239">
        <v>0</v>
      </c>
      <c r="AZ1065" s="239">
        <v>0</v>
      </c>
      <c r="BA1065" s="239">
        <v>36</v>
      </c>
      <c r="BB1065" s="239">
        <v>0</v>
      </c>
      <c r="BC1065" s="239">
        <v>0</v>
      </c>
      <c r="BD1065" s="239">
        <v>0</v>
      </c>
      <c r="BE1065" s="239">
        <v>0</v>
      </c>
      <c r="BF1065" s="239">
        <v>0</v>
      </c>
      <c r="BG1065" s="239">
        <v>0</v>
      </c>
      <c r="BH1065" s="239">
        <v>0</v>
      </c>
      <c r="BI1065" s="239">
        <v>0</v>
      </c>
      <c r="BJ1065" s="239">
        <v>0</v>
      </c>
      <c r="BK1065" s="239">
        <v>0</v>
      </c>
      <c r="BL1065" s="239">
        <v>0</v>
      </c>
      <c r="BM1065" s="239">
        <v>0</v>
      </c>
      <c r="BN1065" s="239">
        <v>0</v>
      </c>
      <c r="BO1065" s="239">
        <v>0</v>
      </c>
      <c r="BP1065" s="238"/>
      <c r="BQ1065" s="238"/>
      <c r="BR1065" s="237" t="s">
        <v>150</v>
      </c>
      <c r="BS1065" s="238">
        <v>19</v>
      </c>
      <c r="BY1065" s="239">
        <f>M1065/16</f>
        <v>2.25</v>
      </c>
      <c r="BZ1065" s="239">
        <f>M1065/16</f>
        <v>2.25</v>
      </c>
      <c r="CA1065" s="239">
        <f>M1065/16</f>
        <v>2.25</v>
      </c>
      <c r="CB1065" s="239">
        <f>M1065/16</f>
        <v>2.25</v>
      </c>
      <c r="CC1065" s="239">
        <f>M1065/16</f>
        <v>2.25</v>
      </c>
      <c r="CD1065" s="239">
        <f>M1065/16</f>
        <v>2.25</v>
      </c>
      <c r="CE1065" s="239">
        <f>M1065/16</f>
        <v>2.25</v>
      </c>
      <c r="CF1065" s="239">
        <f>M1065/16</f>
        <v>2.25</v>
      </c>
      <c r="CG1065" s="239">
        <f>M1065/16</f>
        <v>2.25</v>
      </c>
      <c r="CH1065" s="239">
        <f>M1065/16</f>
        <v>2.25</v>
      </c>
      <c r="CI1065" s="239">
        <f>M1065/16</f>
        <v>2.25</v>
      </c>
      <c r="CJ1065" s="239">
        <f>M1065/16</f>
        <v>2.25</v>
      </c>
      <c r="CK1065" s="239">
        <f>M1065/16</f>
        <v>2.25</v>
      </c>
      <c r="CL1065" s="239">
        <f>M1065/16</f>
        <v>2.25</v>
      </c>
      <c r="CM1065" s="239">
        <f>M1065/16</f>
        <v>2.25</v>
      </c>
      <c r="CN1065" s="238">
        <f t="shared" si="122"/>
        <v>2.25</v>
      </c>
      <c r="CO1065" s="238">
        <f t="shared" si="123"/>
        <v>13.5</v>
      </c>
    </row>
    <row r="1066" spans="1:93" ht="13.95" customHeight="1" x14ac:dyDescent="0.2">
      <c r="A1066" s="238">
        <v>6895</v>
      </c>
      <c r="B1066" s="241" t="s">
        <v>2736</v>
      </c>
      <c r="C1066" s="238"/>
      <c r="D1066" s="237" t="s">
        <v>2790</v>
      </c>
      <c r="E1066" s="237"/>
      <c r="F1066" s="238">
        <v>525545</v>
      </c>
      <c r="G1066" s="238">
        <v>175231</v>
      </c>
      <c r="H1066" s="232" t="s">
        <v>174</v>
      </c>
      <c r="J1066" s="226"/>
      <c r="K1066" s="238">
        <v>0</v>
      </c>
      <c r="L1066" s="238">
        <v>95</v>
      </c>
      <c r="M1066" s="238">
        <v>95</v>
      </c>
      <c r="N1066" s="238">
        <v>141</v>
      </c>
      <c r="O1066" s="238">
        <v>141</v>
      </c>
      <c r="P1066" s="238" t="s">
        <v>318</v>
      </c>
      <c r="Q1066" s="242" t="s">
        <v>2738</v>
      </c>
      <c r="R1066" s="243" t="s">
        <v>2739</v>
      </c>
      <c r="T1066" s="226"/>
      <c r="U1066" s="238"/>
      <c r="V1066" s="238" t="s">
        <v>321</v>
      </c>
      <c r="W1066" s="226"/>
      <c r="X1066" s="238" t="s">
        <v>322</v>
      </c>
      <c r="Y1066" s="238" t="s">
        <v>323</v>
      </c>
      <c r="Z1066" s="238" t="s">
        <v>323</v>
      </c>
      <c r="AA1066" s="238" t="s">
        <v>324</v>
      </c>
      <c r="AB1066" s="244">
        <v>0</v>
      </c>
      <c r="AD1066" s="238"/>
      <c r="AE1066" s="226"/>
      <c r="AF1066" s="224" t="s">
        <v>77</v>
      </c>
      <c r="AG1066" s="238" t="s">
        <v>350</v>
      </c>
      <c r="AH1066" s="238" t="s">
        <v>2791</v>
      </c>
      <c r="AI1066" s="238"/>
      <c r="AJ1066" s="239">
        <v>0</v>
      </c>
      <c r="AK1066" s="239">
        <v>0</v>
      </c>
      <c r="AL1066" s="239">
        <v>0</v>
      </c>
      <c r="AM1066" s="239">
        <v>0</v>
      </c>
      <c r="AN1066" s="239">
        <v>0</v>
      </c>
      <c r="AO1066" s="239">
        <v>0</v>
      </c>
      <c r="AP1066" s="239">
        <v>0</v>
      </c>
      <c r="AQ1066" s="239">
        <v>0</v>
      </c>
      <c r="AR1066" s="239">
        <v>0</v>
      </c>
      <c r="AS1066" s="239">
        <v>0</v>
      </c>
      <c r="AT1066" s="239">
        <v>95</v>
      </c>
      <c r="AU1066" s="239">
        <v>0</v>
      </c>
      <c r="AV1066" s="239">
        <v>0</v>
      </c>
      <c r="AW1066" s="239">
        <v>0</v>
      </c>
      <c r="AX1066" s="239">
        <v>0</v>
      </c>
      <c r="AY1066" s="239">
        <v>0</v>
      </c>
      <c r="AZ1066" s="239">
        <v>0</v>
      </c>
      <c r="BA1066" s="239">
        <v>95</v>
      </c>
      <c r="BB1066" s="239">
        <v>0</v>
      </c>
      <c r="BC1066" s="239">
        <v>0</v>
      </c>
      <c r="BD1066" s="239">
        <v>0</v>
      </c>
      <c r="BE1066" s="239">
        <v>0</v>
      </c>
      <c r="BF1066" s="239">
        <v>0</v>
      </c>
      <c r="BG1066" s="239">
        <v>0</v>
      </c>
      <c r="BH1066" s="239">
        <v>0</v>
      </c>
      <c r="BI1066" s="239">
        <v>0</v>
      </c>
      <c r="BJ1066" s="239">
        <v>0</v>
      </c>
      <c r="BK1066" s="239">
        <v>0</v>
      </c>
      <c r="BL1066" s="239">
        <v>0</v>
      </c>
      <c r="BM1066" s="239">
        <v>0</v>
      </c>
      <c r="BN1066" s="239">
        <v>0</v>
      </c>
      <c r="BO1066" s="239">
        <v>0</v>
      </c>
      <c r="BP1066" s="238"/>
      <c r="BQ1066" s="238"/>
      <c r="BR1066" s="237" t="s">
        <v>327</v>
      </c>
      <c r="BS1066" s="238">
        <v>19</v>
      </c>
      <c r="CC1066" s="239">
        <f>M1066/12</f>
        <v>7.916666666666667</v>
      </c>
      <c r="CD1066" s="239">
        <f>M1066/12</f>
        <v>7.916666666666667</v>
      </c>
      <c r="CE1066" s="239">
        <f>M1066/12</f>
        <v>7.916666666666667</v>
      </c>
      <c r="CF1066" s="239">
        <f>M1066/12</f>
        <v>7.916666666666667</v>
      </c>
      <c r="CG1066" s="239">
        <f>M1066/12</f>
        <v>7.916666666666667</v>
      </c>
      <c r="CH1066" s="239">
        <f>M1066/12</f>
        <v>7.916666666666667</v>
      </c>
      <c r="CI1066" s="239">
        <f>M1066/12</f>
        <v>7.916666666666667</v>
      </c>
      <c r="CJ1066" s="239">
        <f>M1066/12</f>
        <v>7.916666666666667</v>
      </c>
      <c r="CK1066" s="239">
        <f>M1066/12</f>
        <v>7.916666666666667</v>
      </c>
      <c r="CL1066" s="239">
        <f>M1066/12</f>
        <v>7.916666666666667</v>
      </c>
      <c r="CM1066" s="239">
        <f>M1066/12</f>
        <v>7.916666666666667</v>
      </c>
      <c r="CN1066" s="238">
        <f t="shared" si="122"/>
        <v>0</v>
      </c>
      <c r="CO1066" s="238">
        <f t="shared" si="123"/>
        <v>15.833333333333334</v>
      </c>
    </row>
    <row r="1067" spans="1:93" ht="13.95" customHeight="1" x14ac:dyDescent="0.2">
      <c r="A1067" s="238">
        <v>6895</v>
      </c>
      <c r="B1067" s="241" t="s">
        <v>2736</v>
      </c>
      <c r="C1067" s="238"/>
      <c r="D1067" s="237" t="s">
        <v>2790</v>
      </c>
      <c r="E1067" s="237"/>
      <c r="F1067" s="238">
        <v>525545</v>
      </c>
      <c r="G1067" s="238">
        <v>175231</v>
      </c>
      <c r="H1067" s="232" t="s">
        <v>174</v>
      </c>
      <c r="J1067" s="226"/>
      <c r="K1067" s="238">
        <v>0</v>
      </c>
      <c r="L1067" s="238">
        <v>28</v>
      </c>
      <c r="M1067" s="238">
        <v>28</v>
      </c>
      <c r="N1067" s="238">
        <v>141</v>
      </c>
      <c r="O1067" s="238">
        <v>141</v>
      </c>
      <c r="P1067" s="238" t="s">
        <v>318</v>
      </c>
      <c r="Q1067" s="242" t="s">
        <v>2738</v>
      </c>
      <c r="R1067" s="243" t="s">
        <v>2739</v>
      </c>
      <c r="T1067" s="226"/>
      <c r="U1067" s="238"/>
      <c r="V1067" s="238" t="s">
        <v>321</v>
      </c>
      <c r="W1067" s="226"/>
      <c r="X1067" s="238" t="s">
        <v>322</v>
      </c>
      <c r="Y1067" s="238" t="s">
        <v>323</v>
      </c>
      <c r="Z1067" s="238" t="s">
        <v>323</v>
      </c>
      <c r="AA1067" s="238" t="s">
        <v>324</v>
      </c>
      <c r="AB1067" s="244">
        <v>0</v>
      </c>
      <c r="AD1067" s="238"/>
      <c r="AE1067" s="226"/>
      <c r="AF1067" s="238" t="s">
        <v>57</v>
      </c>
      <c r="AG1067" s="238" t="s">
        <v>470</v>
      </c>
      <c r="AH1067" s="238" t="s">
        <v>2791</v>
      </c>
      <c r="AI1067" s="238"/>
      <c r="AJ1067" s="239">
        <v>0</v>
      </c>
      <c r="AK1067" s="239">
        <v>0</v>
      </c>
      <c r="AL1067" s="239">
        <v>0</v>
      </c>
      <c r="AM1067" s="239">
        <v>0</v>
      </c>
      <c r="AN1067" s="239">
        <v>0</v>
      </c>
      <c r="AO1067" s="239">
        <v>0</v>
      </c>
      <c r="AP1067" s="239">
        <v>0</v>
      </c>
      <c r="AQ1067" s="239">
        <v>0</v>
      </c>
      <c r="AR1067" s="239">
        <v>0</v>
      </c>
      <c r="AS1067" s="239">
        <v>0</v>
      </c>
      <c r="AT1067" s="239">
        <v>28</v>
      </c>
      <c r="AU1067" s="239">
        <v>0</v>
      </c>
      <c r="AV1067" s="239">
        <v>0</v>
      </c>
      <c r="AW1067" s="239">
        <v>0</v>
      </c>
      <c r="AX1067" s="239">
        <v>0</v>
      </c>
      <c r="AY1067" s="239">
        <v>0</v>
      </c>
      <c r="AZ1067" s="239">
        <v>0</v>
      </c>
      <c r="BA1067" s="239">
        <v>28</v>
      </c>
      <c r="BB1067" s="239">
        <v>0</v>
      </c>
      <c r="BC1067" s="239">
        <v>0</v>
      </c>
      <c r="BD1067" s="239">
        <v>0</v>
      </c>
      <c r="BE1067" s="239">
        <v>0</v>
      </c>
      <c r="BF1067" s="239">
        <v>0</v>
      </c>
      <c r="BG1067" s="239">
        <v>0</v>
      </c>
      <c r="BH1067" s="239">
        <v>0</v>
      </c>
      <c r="BI1067" s="239">
        <v>0</v>
      </c>
      <c r="BJ1067" s="239">
        <v>0</v>
      </c>
      <c r="BK1067" s="239">
        <v>0</v>
      </c>
      <c r="BL1067" s="239">
        <v>0</v>
      </c>
      <c r="BM1067" s="239">
        <v>0</v>
      </c>
      <c r="BN1067" s="239">
        <v>0</v>
      </c>
      <c r="BO1067" s="239">
        <v>0</v>
      </c>
      <c r="BP1067" s="238"/>
      <c r="BQ1067" s="238"/>
      <c r="BR1067" s="237" t="s">
        <v>327</v>
      </c>
      <c r="BS1067" s="238">
        <v>19</v>
      </c>
      <c r="CC1067" s="239">
        <f>M1067/12</f>
        <v>2.3333333333333335</v>
      </c>
      <c r="CD1067" s="239">
        <f>M1067/12</f>
        <v>2.3333333333333335</v>
      </c>
      <c r="CE1067" s="239">
        <f>M1067/12</f>
        <v>2.3333333333333335</v>
      </c>
      <c r="CF1067" s="239">
        <f>M1067/12</f>
        <v>2.3333333333333335</v>
      </c>
      <c r="CG1067" s="239">
        <f>M1067/12</f>
        <v>2.3333333333333335</v>
      </c>
      <c r="CH1067" s="239">
        <f>M1067/12</f>
        <v>2.3333333333333335</v>
      </c>
      <c r="CI1067" s="239">
        <f>M1067/12</f>
        <v>2.3333333333333335</v>
      </c>
      <c r="CJ1067" s="239">
        <f>M1067/12</f>
        <v>2.3333333333333335</v>
      </c>
      <c r="CK1067" s="239">
        <f>M1067/12</f>
        <v>2.3333333333333335</v>
      </c>
      <c r="CL1067" s="239">
        <f>M1067/12</f>
        <v>2.3333333333333335</v>
      </c>
      <c r="CM1067" s="239">
        <f>M1067/12</f>
        <v>2.3333333333333335</v>
      </c>
      <c r="CN1067" s="238">
        <f t="shared" si="122"/>
        <v>0</v>
      </c>
      <c r="CO1067" s="238">
        <f t="shared" si="123"/>
        <v>4.666666666666667</v>
      </c>
    </row>
    <row r="1068" spans="1:93" ht="13.95" customHeight="1" x14ac:dyDescent="0.2">
      <c r="A1068" s="238">
        <v>6895</v>
      </c>
      <c r="B1068" s="241" t="s">
        <v>2736</v>
      </c>
      <c r="C1068" s="238"/>
      <c r="D1068" s="237" t="s">
        <v>2790</v>
      </c>
      <c r="E1068" s="237"/>
      <c r="F1068" s="238">
        <v>525545</v>
      </c>
      <c r="G1068" s="238">
        <v>175231</v>
      </c>
      <c r="H1068" s="232" t="s">
        <v>174</v>
      </c>
      <c r="J1068" s="226"/>
      <c r="K1068" s="238">
        <v>0</v>
      </c>
      <c r="L1068" s="238">
        <v>18</v>
      </c>
      <c r="M1068" s="238">
        <v>18</v>
      </c>
      <c r="N1068" s="238">
        <v>141</v>
      </c>
      <c r="O1068" s="238">
        <v>141</v>
      </c>
      <c r="P1068" s="238" t="s">
        <v>318</v>
      </c>
      <c r="Q1068" s="242" t="s">
        <v>2738</v>
      </c>
      <c r="R1068" s="243" t="s">
        <v>2739</v>
      </c>
      <c r="T1068" s="226"/>
      <c r="U1068" s="238"/>
      <c r="V1068" s="238" t="s">
        <v>321</v>
      </c>
      <c r="W1068" s="226"/>
      <c r="X1068" s="238" t="s">
        <v>322</v>
      </c>
      <c r="Y1068" s="238" t="s">
        <v>323</v>
      </c>
      <c r="Z1068" s="238" t="s">
        <v>323</v>
      </c>
      <c r="AA1068" s="238" t="s">
        <v>324</v>
      </c>
      <c r="AB1068" s="244">
        <v>0</v>
      </c>
      <c r="AD1068" s="238"/>
      <c r="AE1068" s="226"/>
      <c r="AF1068" s="238" t="s">
        <v>56</v>
      </c>
      <c r="AG1068" s="238" t="s">
        <v>1355</v>
      </c>
      <c r="AH1068" s="238" t="s">
        <v>2791</v>
      </c>
      <c r="AI1068" s="238"/>
      <c r="AJ1068" s="239">
        <v>0</v>
      </c>
      <c r="AK1068" s="239">
        <v>0</v>
      </c>
      <c r="AL1068" s="239">
        <v>0</v>
      </c>
      <c r="AM1068" s="239">
        <v>0</v>
      </c>
      <c r="AN1068" s="239">
        <v>0</v>
      </c>
      <c r="AO1068" s="239">
        <v>0</v>
      </c>
      <c r="AP1068" s="239">
        <v>0</v>
      </c>
      <c r="AQ1068" s="239">
        <v>0</v>
      </c>
      <c r="AR1068" s="239">
        <v>0</v>
      </c>
      <c r="AS1068" s="239">
        <v>0</v>
      </c>
      <c r="AT1068" s="239">
        <v>18</v>
      </c>
      <c r="AU1068" s="239">
        <v>0</v>
      </c>
      <c r="AV1068" s="239">
        <v>0</v>
      </c>
      <c r="AW1068" s="239">
        <v>0</v>
      </c>
      <c r="AX1068" s="239">
        <v>0</v>
      </c>
      <c r="AY1068" s="239">
        <v>0</v>
      </c>
      <c r="AZ1068" s="239">
        <v>0</v>
      </c>
      <c r="BA1068" s="239">
        <v>18</v>
      </c>
      <c r="BB1068" s="239">
        <v>0</v>
      </c>
      <c r="BC1068" s="239">
        <v>0</v>
      </c>
      <c r="BD1068" s="239">
        <v>0</v>
      </c>
      <c r="BE1068" s="239">
        <v>0</v>
      </c>
      <c r="BF1068" s="239">
        <v>0</v>
      </c>
      <c r="BG1068" s="239">
        <v>0</v>
      </c>
      <c r="BH1068" s="239">
        <v>0</v>
      </c>
      <c r="BI1068" s="239">
        <v>0</v>
      </c>
      <c r="BJ1068" s="239">
        <v>0</v>
      </c>
      <c r="BK1068" s="239">
        <v>0</v>
      </c>
      <c r="BL1068" s="239">
        <v>0</v>
      </c>
      <c r="BM1068" s="239">
        <v>0</v>
      </c>
      <c r="BN1068" s="239">
        <v>0</v>
      </c>
      <c r="BO1068" s="239">
        <v>0</v>
      </c>
      <c r="BP1068" s="238"/>
      <c r="BQ1068" s="238"/>
      <c r="BR1068" s="237" t="s">
        <v>327</v>
      </c>
      <c r="BS1068" s="238">
        <v>19</v>
      </c>
      <c r="CC1068" s="239">
        <f>M1068/12</f>
        <v>1.5</v>
      </c>
      <c r="CD1068" s="239">
        <f>M1068/12</f>
        <v>1.5</v>
      </c>
      <c r="CE1068" s="239">
        <f>M1068/12</f>
        <v>1.5</v>
      </c>
      <c r="CF1068" s="239">
        <f>M1068/12</f>
        <v>1.5</v>
      </c>
      <c r="CG1068" s="239">
        <f>M1068/12</f>
        <v>1.5</v>
      </c>
      <c r="CH1068" s="239">
        <f>M1068/12</f>
        <v>1.5</v>
      </c>
      <c r="CI1068" s="239">
        <f>M1068/12</f>
        <v>1.5</v>
      </c>
      <c r="CJ1068" s="239">
        <f>M1068/12</f>
        <v>1.5</v>
      </c>
      <c r="CK1068" s="239">
        <f>M1068/12</f>
        <v>1.5</v>
      </c>
      <c r="CL1068" s="239">
        <f>M1068/12</f>
        <v>1.5</v>
      </c>
      <c r="CM1068" s="239">
        <f>M1068/12</f>
        <v>1.5</v>
      </c>
      <c r="CN1068" s="238">
        <f t="shared" si="122"/>
        <v>0</v>
      </c>
      <c r="CO1068" s="238">
        <f t="shared" si="123"/>
        <v>3</v>
      </c>
    </row>
    <row r="1069" spans="1:93" ht="13.95" customHeight="1" x14ac:dyDescent="0.2">
      <c r="A1069" s="238">
        <v>6905</v>
      </c>
      <c r="B1069" s="241" t="s">
        <v>2736</v>
      </c>
      <c r="C1069" s="238"/>
      <c r="D1069" s="237" t="s">
        <v>2792</v>
      </c>
      <c r="E1069" s="237"/>
      <c r="F1069" s="238">
        <v>525428</v>
      </c>
      <c r="G1069" s="238">
        <v>174978</v>
      </c>
      <c r="H1069" s="232" t="s">
        <v>181</v>
      </c>
      <c r="J1069" s="226"/>
      <c r="K1069" s="238">
        <v>0</v>
      </c>
      <c r="L1069" s="238">
        <v>115</v>
      </c>
      <c r="M1069" s="238">
        <v>115</v>
      </c>
      <c r="N1069" s="238">
        <v>172</v>
      </c>
      <c r="O1069" s="238">
        <v>172</v>
      </c>
      <c r="P1069" s="238" t="s">
        <v>318</v>
      </c>
      <c r="Q1069" s="242" t="s">
        <v>2738</v>
      </c>
      <c r="R1069" s="243" t="s">
        <v>2739</v>
      </c>
      <c r="T1069" s="226"/>
      <c r="U1069" s="238"/>
      <c r="V1069" s="238" t="s">
        <v>321</v>
      </c>
      <c r="W1069" s="226"/>
      <c r="X1069" s="238" t="s">
        <v>322</v>
      </c>
      <c r="Y1069" s="238" t="s">
        <v>323</v>
      </c>
      <c r="Z1069" s="238" t="s">
        <v>323</v>
      </c>
      <c r="AA1069" s="238" t="s">
        <v>324</v>
      </c>
      <c r="AB1069" s="244">
        <v>0</v>
      </c>
      <c r="AD1069" s="238"/>
      <c r="AE1069" s="226"/>
      <c r="AF1069" s="224" t="s">
        <v>77</v>
      </c>
      <c r="AG1069" s="238" t="s">
        <v>350</v>
      </c>
      <c r="AH1069" s="238" t="s">
        <v>2793</v>
      </c>
      <c r="AI1069" s="238"/>
      <c r="AJ1069" s="239">
        <v>0</v>
      </c>
      <c r="AK1069" s="239">
        <v>0</v>
      </c>
      <c r="AL1069" s="239">
        <v>0</v>
      </c>
      <c r="AM1069" s="239">
        <v>0</v>
      </c>
      <c r="AN1069" s="239">
        <v>0</v>
      </c>
      <c r="AO1069" s="239">
        <v>0</v>
      </c>
      <c r="AP1069" s="239">
        <v>0</v>
      </c>
      <c r="AQ1069" s="239">
        <v>0</v>
      </c>
      <c r="AR1069" s="239">
        <v>0</v>
      </c>
      <c r="AS1069" s="239">
        <v>0</v>
      </c>
      <c r="AT1069" s="239">
        <v>115</v>
      </c>
      <c r="AU1069" s="239">
        <v>0</v>
      </c>
      <c r="AV1069" s="239">
        <v>0</v>
      </c>
      <c r="AW1069" s="239">
        <v>0</v>
      </c>
      <c r="AX1069" s="239">
        <v>0</v>
      </c>
      <c r="AY1069" s="239">
        <v>0</v>
      </c>
      <c r="AZ1069" s="239">
        <v>0</v>
      </c>
      <c r="BA1069" s="239">
        <v>115</v>
      </c>
      <c r="BB1069" s="239">
        <v>0</v>
      </c>
      <c r="BC1069" s="239">
        <v>0</v>
      </c>
      <c r="BD1069" s="239">
        <v>0</v>
      </c>
      <c r="BE1069" s="239">
        <v>0</v>
      </c>
      <c r="BF1069" s="239">
        <v>0</v>
      </c>
      <c r="BG1069" s="239">
        <v>0</v>
      </c>
      <c r="BH1069" s="239">
        <v>0</v>
      </c>
      <c r="BI1069" s="239">
        <v>0</v>
      </c>
      <c r="BJ1069" s="239">
        <v>0</v>
      </c>
      <c r="BK1069" s="239">
        <v>0</v>
      </c>
      <c r="BL1069" s="239">
        <v>0</v>
      </c>
      <c r="BM1069" s="239">
        <v>0</v>
      </c>
      <c r="BN1069" s="239">
        <v>0</v>
      </c>
      <c r="BO1069" s="239">
        <v>0</v>
      </c>
      <c r="BP1069" s="238"/>
      <c r="BQ1069" s="238"/>
      <c r="BR1069" s="237" t="s">
        <v>327</v>
      </c>
      <c r="BS1069" s="238">
        <v>19</v>
      </c>
      <c r="BY1069" s="239">
        <f>M1069/10</f>
        <v>11.5</v>
      </c>
      <c r="BZ1069" s="239">
        <f>M1069/10</f>
        <v>11.5</v>
      </c>
      <c r="CA1069" s="239">
        <f>M1069/10</f>
        <v>11.5</v>
      </c>
      <c r="CB1069" s="239">
        <f>M1069/10</f>
        <v>11.5</v>
      </c>
      <c r="CC1069" s="239">
        <f>M1069/10</f>
        <v>11.5</v>
      </c>
      <c r="CD1069" s="239">
        <f>M1069/10</f>
        <v>11.5</v>
      </c>
      <c r="CE1069" s="239">
        <f>M1069/10</f>
        <v>11.5</v>
      </c>
      <c r="CF1069" s="239">
        <f>M1069/10</f>
        <v>11.5</v>
      </c>
      <c r="CG1069" s="239">
        <f>M1069/10</f>
        <v>11.5</v>
      </c>
      <c r="CH1069" s="239">
        <f>M1069/10</f>
        <v>11.5</v>
      </c>
      <c r="CN1069" s="238">
        <f t="shared" si="122"/>
        <v>11.5</v>
      </c>
      <c r="CO1069" s="238">
        <f t="shared" si="123"/>
        <v>69</v>
      </c>
    </row>
    <row r="1070" spans="1:93" ht="13.95" customHeight="1" x14ac:dyDescent="0.2">
      <c r="A1070" s="238">
        <v>6905</v>
      </c>
      <c r="B1070" s="241" t="s">
        <v>2736</v>
      </c>
      <c r="C1070" s="238"/>
      <c r="D1070" s="237" t="s">
        <v>2792</v>
      </c>
      <c r="E1070" s="237"/>
      <c r="F1070" s="238">
        <v>525428</v>
      </c>
      <c r="G1070" s="238">
        <v>174978</v>
      </c>
      <c r="H1070" s="232" t="s">
        <v>181</v>
      </c>
      <c r="J1070" s="226"/>
      <c r="K1070" s="238">
        <v>0</v>
      </c>
      <c r="L1070" s="238">
        <v>34</v>
      </c>
      <c r="M1070" s="238">
        <v>34</v>
      </c>
      <c r="N1070" s="238">
        <v>172</v>
      </c>
      <c r="O1070" s="238">
        <v>172</v>
      </c>
      <c r="P1070" s="238" t="s">
        <v>318</v>
      </c>
      <c r="Q1070" s="242" t="s">
        <v>2738</v>
      </c>
      <c r="R1070" s="243" t="s">
        <v>2739</v>
      </c>
      <c r="T1070" s="226"/>
      <c r="U1070" s="238"/>
      <c r="V1070" s="238" t="s">
        <v>321</v>
      </c>
      <c r="W1070" s="226"/>
      <c r="X1070" s="238" t="s">
        <v>322</v>
      </c>
      <c r="Y1070" s="238" t="s">
        <v>323</v>
      </c>
      <c r="Z1070" s="238" t="s">
        <v>323</v>
      </c>
      <c r="AA1070" s="238" t="s">
        <v>324</v>
      </c>
      <c r="AB1070" s="244">
        <v>0</v>
      </c>
      <c r="AD1070" s="238"/>
      <c r="AE1070" s="226"/>
      <c r="AF1070" s="238" t="s">
        <v>57</v>
      </c>
      <c r="AG1070" s="238" t="s">
        <v>470</v>
      </c>
      <c r="AH1070" s="238" t="s">
        <v>2793</v>
      </c>
      <c r="AI1070" s="238"/>
      <c r="AJ1070" s="239">
        <v>0</v>
      </c>
      <c r="AK1070" s="239">
        <v>0</v>
      </c>
      <c r="AL1070" s="239">
        <v>0</v>
      </c>
      <c r="AM1070" s="239">
        <v>0</v>
      </c>
      <c r="AN1070" s="239">
        <v>0</v>
      </c>
      <c r="AO1070" s="239">
        <v>0</v>
      </c>
      <c r="AP1070" s="239">
        <v>0</v>
      </c>
      <c r="AQ1070" s="239">
        <v>0</v>
      </c>
      <c r="AR1070" s="239">
        <v>0</v>
      </c>
      <c r="AS1070" s="239">
        <v>0</v>
      </c>
      <c r="AT1070" s="239">
        <v>34</v>
      </c>
      <c r="AU1070" s="239">
        <v>0</v>
      </c>
      <c r="AV1070" s="239">
        <v>0</v>
      </c>
      <c r="AW1070" s="239">
        <v>0</v>
      </c>
      <c r="AX1070" s="239">
        <v>0</v>
      </c>
      <c r="AY1070" s="239">
        <v>0</v>
      </c>
      <c r="AZ1070" s="239">
        <v>0</v>
      </c>
      <c r="BA1070" s="239">
        <v>34</v>
      </c>
      <c r="BB1070" s="239">
        <v>0</v>
      </c>
      <c r="BC1070" s="239">
        <v>0</v>
      </c>
      <c r="BD1070" s="239">
        <v>0</v>
      </c>
      <c r="BE1070" s="239">
        <v>0</v>
      </c>
      <c r="BF1070" s="239">
        <v>0</v>
      </c>
      <c r="BG1070" s="239">
        <v>0</v>
      </c>
      <c r="BH1070" s="239">
        <v>0</v>
      </c>
      <c r="BI1070" s="239">
        <v>0</v>
      </c>
      <c r="BJ1070" s="239">
        <v>0</v>
      </c>
      <c r="BK1070" s="239">
        <v>0</v>
      </c>
      <c r="BL1070" s="239">
        <v>0</v>
      </c>
      <c r="BM1070" s="239">
        <v>0</v>
      </c>
      <c r="BN1070" s="239">
        <v>0</v>
      </c>
      <c r="BO1070" s="239">
        <v>0</v>
      </c>
      <c r="BP1070" s="238"/>
      <c r="BQ1070" s="238"/>
      <c r="BR1070" s="237" t="s">
        <v>327</v>
      </c>
      <c r="BS1070" s="238">
        <v>19</v>
      </c>
      <c r="BY1070" s="239">
        <f>M1070/10</f>
        <v>3.4</v>
      </c>
      <c r="BZ1070" s="239">
        <f>M1070/10</f>
        <v>3.4</v>
      </c>
      <c r="CA1070" s="239">
        <f>M1070/10</f>
        <v>3.4</v>
      </c>
      <c r="CB1070" s="239">
        <f>M1070/10</f>
        <v>3.4</v>
      </c>
      <c r="CC1070" s="239">
        <f>M1070/10</f>
        <v>3.4</v>
      </c>
      <c r="CD1070" s="239">
        <f>M1070/10</f>
        <v>3.4</v>
      </c>
      <c r="CE1070" s="239">
        <f>M1070/10</f>
        <v>3.4</v>
      </c>
      <c r="CF1070" s="239">
        <f>M1070/10</f>
        <v>3.4</v>
      </c>
      <c r="CG1070" s="239">
        <f>M1070/10</f>
        <v>3.4</v>
      </c>
      <c r="CH1070" s="239">
        <f>M1070/10</f>
        <v>3.4</v>
      </c>
      <c r="CN1070" s="238">
        <f t="shared" si="122"/>
        <v>3.4</v>
      </c>
      <c r="CO1070" s="238">
        <f t="shared" si="123"/>
        <v>20.399999999999999</v>
      </c>
    </row>
    <row r="1071" spans="1:93" ht="13.95" customHeight="1" x14ac:dyDescent="0.2">
      <c r="A1071" s="238">
        <v>6905</v>
      </c>
      <c r="B1071" s="241" t="s">
        <v>2736</v>
      </c>
      <c r="C1071" s="238"/>
      <c r="D1071" s="237" t="s">
        <v>2792</v>
      </c>
      <c r="E1071" s="237"/>
      <c r="F1071" s="238">
        <v>525428</v>
      </c>
      <c r="G1071" s="238">
        <v>174978</v>
      </c>
      <c r="H1071" s="232" t="s">
        <v>181</v>
      </c>
      <c r="J1071" s="226"/>
      <c r="K1071" s="238">
        <v>0</v>
      </c>
      <c r="L1071" s="238">
        <v>22</v>
      </c>
      <c r="M1071" s="238">
        <v>22</v>
      </c>
      <c r="N1071" s="238">
        <v>172</v>
      </c>
      <c r="O1071" s="238">
        <v>172</v>
      </c>
      <c r="P1071" s="238" t="s">
        <v>318</v>
      </c>
      <c r="Q1071" s="242" t="s">
        <v>2738</v>
      </c>
      <c r="R1071" s="243" t="s">
        <v>2739</v>
      </c>
      <c r="T1071" s="226"/>
      <c r="U1071" s="238"/>
      <c r="V1071" s="238" t="s">
        <v>321</v>
      </c>
      <c r="W1071" s="226"/>
      <c r="X1071" s="238" t="s">
        <v>322</v>
      </c>
      <c r="Y1071" s="238" t="s">
        <v>323</v>
      </c>
      <c r="Z1071" s="238" t="s">
        <v>323</v>
      </c>
      <c r="AA1071" s="238" t="s">
        <v>324</v>
      </c>
      <c r="AB1071" s="244">
        <v>0</v>
      </c>
      <c r="AD1071" s="238"/>
      <c r="AE1071" s="226"/>
      <c r="AF1071" s="238" t="s">
        <v>56</v>
      </c>
      <c r="AG1071" s="238" t="s">
        <v>1355</v>
      </c>
      <c r="AH1071" s="238" t="s">
        <v>2793</v>
      </c>
      <c r="AI1071" s="238"/>
      <c r="AJ1071" s="239">
        <v>0</v>
      </c>
      <c r="AK1071" s="239">
        <v>0</v>
      </c>
      <c r="AL1071" s="239">
        <v>0</v>
      </c>
      <c r="AM1071" s="239">
        <v>0</v>
      </c>
      <c r="AN1071" s="239">
        <v>0</v>
      </c>
      <c r="AO1071" s="239">
        <v>0</v>
      </c>
      <c r="AP1071" s="239">
        <v>0</v>
      </c>
      <c r="AQ1071" s="239">
        <v>0</v>
      </c>
      <c r="AR1071" s="239">
        <v>0</v>
      </c>
      <c r="AS1071" s="239">
        <v>0</v>
      </c>
      <c r="AT1071" s="239">
        <v>22</v>
      </c>
      <c r="AU1071" s="239">
        <v>0</v>
      </c>
      <c r="AV1071" s="239">
        <v>0</v>
      </c>
      <c r="AW1071" s="239">
        <v>0</v>
      </c>
      <c r="AX1071" s="239">
        <v>0</v>
      </c>
      <c r="AY1071" s="239">
        <v>0</v>
      </c>
      <c r="AZ1071" s="239">
        <v>0</v>
      </c>
      <c r="BA1071" s="239">
        <v>22</v>
      </c>
      <c r="BB1071" s="239">
        <v>0</v>
      </c>
      <c r="BC1071" s="239">
        <v>0</v>
      </c>
      <c r="BD1071" s="239">
        <v>0</v>
      </c>
      <c r="BE1071" s="239">
        <v>0</v>
      </c>
      <c r="BF1071" s="239">
        <v>0</v>
      </c>
      <c r="BG1071" s="239">
        <v>0</v>
      </c>
      <c r="BH1071" s="239">
        <v>0</v>
      </c>
      <c r="BI1071" s="239">
        <v>0</v>
      </c>
      <c r="BJ1071" s="239">
        <v>0</v>
      </c>
      <c r="BK1071" s="239">
        <v>0</v>
      </c>
      <c r="BL1071" s="239">
        <v>0</v>
      </c>
      <c r="BM1071" s="239">
        <v>0</v>
      </c>
      <c r="BN1071" s="239">
        <v>0</v>
      </c>
      <c r="BO1071" s="239">
        <v>0</v>
      </c>
      <c r="BP1071" s="238"/>
      <c r="BQ1071" s="238"/>
      <c r="BR1071" s="237" t="s">
        <v>327</v>
      </c>
      <c r="BS1071" s="238">
        <v>19</v>
      </c>
      <c r="BY1071" s="239">
        <f>M1071/10</f>
        <v>2.2000000000000002</v>
      </c>
      <c r="BZ1071" s="239">
        <f>M1071/10</f>
        <v>2.2000000000000002</v>
      </c>
      <c r="CA1071" s="239">
        <f>M1071/10</f>
        <v>2.2000000000000002</v>
      </c>
      <c r="CB1071" s="239">
        <f>M1071/10</f>
        <v>2.2000000000000002</v>
      </c>
      <c r="CC1071" s="239">
        <f>M1071/10</f>
        <v>2.2000000000000002</v>
      </c>
      <c r="CD1071" s="239">
        <f>M1071/10</f>
        <v>2.2000000000000002</v>
      </c>
      <c r="CE1071" s="239">
        <f>M1071/10</f>
        <v>2.2000000000000002</v>
      </c>
      <c r="CF1071" s="239">
        <f>M1071/10</f>
        <v>2.2000000000000002</v>
      </c>
      <c r="CG1071" s="239">
        <f>M1071/10</f>
        <v>2.2000000000000002</v>
      </c>
      <c r="CH1071" s="239">
        <f>M1071/10</f>
        <v>2.2000000000000002</v>
      </c>
      <c r="CN1071" s="238">
        <f t="shared" si="122"/>
        <v>2.2000000000000002</v>
      </c>
      <c r="CO1071" s="238">
        <f t="shared" si="123"/>
        <v>13.2</v>
      </c>
    </row>
    <row r="1072" spans="1:93" ht="13.95" customHeight="1" x14ac:dyDescent="0.2">
      <c r="A1072" s="238">
        <v>6874</v>
      </c>
      <c r="B1072" s="241" t="s">
        <v>2736</v>
      </c>
      <c r="C1072" s="238"/>
      <c r="D1072" s="237" t="s">
        <v>2794</v>
      </c>
      <c r="E1072" s="237"/>
      <c r="F1072" s="238">
        <v>526442</v>
      </c>
      <c r="G1072" s="238">
        <v>175680</v>
      </c>
      <c r="H1072" s="232" t="s">
        <v>174</v>
      </c>
      <c r="J1072" s="226"/>
      <c r="K1072" s="238">
        <v>0</v>
      </c>
      <c r="L1072" s="238">
        <v>52</v>
      </c>
      <c r="M1072" s="238">
        <v>52</v>
      </c>
      <c r="N1072" s="238">
        <v>77</v>
      </c>
      <c r="O1072" s="238">
        <v>77</v>
      </c>
      <c r="P1072" s="238" t="s">
        <v>318</v>
      </c>
      <c r="Q1072" s="242" t="s">
        <v>2738</v>
      </c>
      <c r="R1072" s="243" t="s">
        <v>2739</v>
      </c>
      <c r="T1072" s="226"/>
      <c r="U1072" s="238"/>
      <c r="V1072" s="238" t="s">
        <v>321</v>
      </c>
      <c r="W1072" s="226"/>
      <c r="X1072" s="238" t="s">
        <v>322</v>
      </c>
      <c r="Y1072" s="238" t="s">
        <v>323</v>
      </c>
      <c r="Z1072" s="238" t="s">
        <v>323</v>
      </c>
      <c r="AA1072" s="238" t="s">
        <v>324</v>
      </c>
      <c r="AB1072" s="244">
        <v>0</v>
      </c>
      <c r="AD1072" s="238"/>
      <c r="AE1072" s="226"/>
      <c r="AF1072" s="224" t="s">
        <v>77</v>
      </c>
      <c r="AG1072" s="238" t="s">
        <v>350</v>
      </c>
      <c r="AH1072" s="238" t="s">
        <v>2795</v>
      </c>
      <c r="AI1072" s="238"/>
      <c r="AJ1072" s="239">
        <v>0</v>
      </c>
      <c r="AK1072" s="239">
        <v>0</v>
      </c>
      <c r="AL1072" s="239">
        <v>0</v>
      </c>
      <c r="AM1072" s="239">
        <v>0</v>
      </c>
      <c r="AN1072" s="239">
        <v>0</v>
      </c>
      <c r="AO1072" s="239">
        <v>0</v>
      </c>
      <c r="AP1072" s="239">
        <v>0</v>
      </c>
      <c r="AQ1072" s="239">
        <v>0</v>
      </c>
      <c r="AR1072" s="239">
        <v>0</v>
      </c>
      <c r="AS1072" s="239">
        <v>0</v>
      </c>
      <c r="AT1072" s="239">
        <v>52</v>
      </c>
      <c r="AU1072" s="239">
        <v>0</v>
      </c>
      <c r="AV1072" s="239">
        <v>0</v>
      </c>
      <c r="AW1072" s="239">
        <v>0</v>
      </c>
      <c r="AX1072" s="239">
        <v>0</v>
      </c>
      <c r="AY1072" s="239">
        <v>0</v>
      </c>
      <c r="AZ1072" s="239">
        <v>0</v>
      </c>
      <c r="BA1072" s="239">
        <v>52</v>
      </c>
      <c r="BB1072" s="239">
        <v>0</v>
      </c>
      <c r="BC1072" s="239">
        <v>0</v>
      </c>
      <c r="BD1072" s="239">
        <v>0</v>
      </c>
      <c r="BE1072" s="239">
        <v>0</v>
      </c>
      <c r="BF1072" s="239">
        <v>0</v>
      </c>
      <c r="BG1072" s="239">
        <v>0</v>
      </c>
      <c r="BH1072" s="239">
        <v>0</v>
      </c>
      <c r="BI1072" s="239">
        <v>0</v>
      </c>
      <c r="BJ1072" s="239">
        <v>0</v>
      </c>
      <c r="BK1072" s="239">
        <v>0</v>
      </c>
      <c r="BL1072" s="239">
        <v>0</v>
      </c>
      <c r="BM1072" s="239">
        <v>0</v>
      </c>
      <c r="BN1072" s="239">
        <v>0</v>
      </c>
      <c r="BO1072" s="239">
        <v>0</v>
      </c>
      <c r="BP1072" s="238"/>
      <c r="BQ1072" s="238"/>
      <c r="BR1072" s="237" t="s">
        <v>481</v>
      </c>
      <c r="BS1072" s="238">
        <v>19</v>
      </c>
      <c r="BY1072" s="239">
        <f>M1072/16</f>
        <v>3.25</v>
      </c>
      <c r="BZ1072" s="239">
        <f>M1072/16</f>
        <v>3.25</v>
      </c>
      <c r="CA1072" s="239">
        <f>M1072/16</f>
        <v>3.25</v>
      </c>
      <c r="CB1072" s="239">
        <f>M1072/16</f>
        <v>3.25</v>
      </c>
      <c r="CC1072" s="239">
        <f>M1072/16</f>
        <v>3.25</v>
      </c>
      <c r="CD1072" s="239">
        <f>M1072/16</f>
        <v>3.25</v>
      </c>
      <c r="CE1072" s="239">
        <f>M1072/16</f>
        <v>3.25</v>
      </c>
      <c r="CF1072" s="239">
        <f>M1072/16</f>
        <v>3.25</v>
      </c>
      <c r="CG1072" s="239">
        <f>M1072/16</f>
        <v>3.25</v>
      </c>
      <c r="CH1072" s="239">
        <f>M1072/16</f>
        <v>3.25</v>
      </c>
      <c r="CI1072" s="239">
        <f>M1072/16</f>
        <v>3.25</v>
      </c>
      <c r="CJ1072" s="239">
        <f>M1072/16</f>
        <v>3.25</v>
      </c>
      <c r="CK1072" s="239">
        <f>M1072/16</f>
        <v>3.25</v>
      </c>
      <c r="CL1072" s="239">
        <f>M1072/16</f>
        <v>3.25</v>
      </c>
      <c r="CM1072" s="239">
        <f>M1072/16</f>
        <v>3.25</v>
      </c>
      <c r="CN1072" s="238">
        <f t="shared" si="122"/>
        <v>3.25</v>
      </c>
      <c r="CO1072" s="238">
        <f t="shared" si="123"/>
        <v>19.5</v>
      </c>
    </row>
    <row r="1073" spans="1:93" ht="13.95" customHeight="1" x14ac:dyDescent="0.2">
      <c r="A1073" s="238">
        <v>6874</v>
      </c>
      <c r="B1073" s="241" t="s">
        <v>2736</v>
      </c>
      <c r="C1073" s="238"/>
      <c r="D1073" s="237" t="s">
        <v>2794</v>
      </c>
      <c r="E1073" s="237"/>
      <c r="F1073" s="238">
        <v>526442</v>
      </c>
      <c r="G1073" s="238">
        <v>175680</v>
      </c>
      <c r="H1073" s="232" t="s">
        <v>174</v>
      </c>
      <c r="J1073" s="226"/>
      <c r="K1073" s="238">
        <v>0</v>
      </c>
      <c r="L1073" s="238">
        <v>15</v>
      </c>
      <c r="M1073" s="238">
        <v>15</v>
      </c>
      <c r="N1073" s="238">
        <v>77</v>
      </c>
      <c r="O1073" s="238">
        <v>77</v>
      </c>
      <c r="P1073" s="238" t="s">
        <v>318</v>
      </c>
      <c r="Q1073" s="242" t="s">
        <v>2738</v>
      </c>
      <c r="R1073" s="243" t="s">
        <v>2739</v>
      </c>
      <c r="T1073" s="226"/>
      <c r="U1073" s="238"/>
      <c r="V1073" s="238" t="s">
        <v>321</v>
      </c>
      <c r="W1073" s="226"/>
      <c r="X1073" s="238" t="s">
        <v>322</v>
      </c>
      <c r="Y1073" s="238" t="s">
        <v>323</v>
      </c>
      <c r="Z1073" s="238" t="s">
        <v>323</v>
      </c>
      <c r="AA1073" s="238" t="s">
        <v>324</v>
      </c>
      <c r="AB1073" s="244">
        <v>0</v>
      </c>
      <c r="AD1073" s="238"/>
      <c r="AE1073" s="226"/>
      <c r="AF1073" s="238" t="s">
        <v>57</v>
      </c>
      <c r="AG1073" s="238" t="s">
        <v>470</v>
      </c>
      <c r="AH1073" s="238" t="s">
        <v>2795</v>
      </c>
      <c r="AI1073" s="238"/>
      <c r="AJ1073" s="239">
        <v>0</v>
      </c>
      <c r="AK1073" s="239">
        <v>0</v>
      </c>
      <c r="AL1073" s="239">
        <v>0</v>
      </c>
      <c r="AM1073" s="239">
        <v>0</v>
      </c>
      <c r="AN1073" s="239">
        <v>0</v>
      </c>
      <c r="AO1073" s="239">
        <v>0</v>
      </c>
      <c r="AP1073" s="239">
        <v>0</v>
      </c>
      <c r="AQ1073" s="239">
        <v>0</v>
      </c>
      <c r="AR1073" s="239">
        <v>0</v>
      </c>
      <c r="AS1073" s="239">
        <v>0</v>
      </c>
      <c r="AT1073" s="239">
        <v>15</v>
      </c>
      <c r="AU1073" s="239">
        <v>0</v>
      </c>
      <c r="AV1073" s="239">
        <v>0</v>
      </c>
      <c r="AW1073" s="239">
        <v>0</v>
      </c>
      <c r="AX1073" s="239">
        <v>0</v>
      </c>
      <c r="AY1073" s="239">
        <v>0</v>
      </c>
      <c r="AZ1073" s="239">
        <v>0</v>
      </c>
      <c r="BA1073" s="239">
        <v>15</v>
      </c>
      <c r="BB1073" s="239">
        <v>0</v>
      </c>
      <c r="BC1073" s="239">
        <v>0</v>
      </c>
      <c r="BD1073" s="239">
        <v>0</v>
      </c>
      <c r="BE1073" s="239">
        <v>0</v>
      </c>
      <c r="BF1073" s="239">
        <v>0</v>
      </c>
      <c r="BG1073" s="239">
        <v>0</v>
      </c>
      <c r="BH1073" s="239">
        <v>0</v>
      </c>
      <c r="BI1073" s="239">
        <v>0</v>
      </c>
      <c r="BJ1073" s="239">
        <v>0</v>
      </c>
      <c r="BK1073" s="239">
        <v>0</v>
      </c>
      <c r="BL1073" s="239">
        <v>0</v>
      </c>
      <c r="BM1073" s="239">
        <v>0</v>
      </c>
      <c r="BN1073" s="239">
        <v>0</v>
      </c>
      <c r="BO1073" s="239">
        <v>0</v>
      </c>
      <c r="BP1073" s="238"/>
      <c r="BQ1073" s="238"/>
      <c r="BR1073" s="237" t="s">
        <v>481</v>
      </c>
      <c r="BS1073" s="238">
        <v>19</v>
      </c>
      <c r="BY1073" s="239">
        <f>M1073/16</f>
        <v>0.9375</v>
      </c>
      <c r="BZ1073" s="239">
        <f>M1073/16</f>
        <v>0.9375</v>
      </c>
      <c r="CA1073" s="239">
        <f>M1073/16</f>
        <v>0.9375</v>
      </c>
      <c r="CB1073" s="239">
        <f>M1073/16</f>
        <v>0.9375</v>
      </c>
      <c r="CC1073" s="239">
        <f>M1073/16</f>
        <v>0.9375</v>
      </c>
      <c r="CD1073" s="239">
        <f>M1073/16</f>
        <v>0.9375</v>
      </c>
      <c r="CE1073" s="239">
        <f>M1073/16</f>
        <v>0.9375</v>
      </c>
      <c r="CF1073" s="239">
        <f>M1073/16</f>
        <v>0.9375</v>
      </c>
      <c r="CG1073" s="239">
        <f>M1073/16</f>
        <v>0.9375</v>
      </c>
      <c r="CH1073" s="239">
        <f>M1073/16</f>
        <v>0.9375</v>
      </c>
      <c r="CI1073" s="239">
        <f>M1073/16</f>
        <v>0.9375</v>
      </c>
      <c r="CJ1073" s="239">
        <f>M1073/16</f>
        <v>0.9375</v>
      </c>
      <c r="CK1073" s="239">
        <f>M1073/16</f>
        <v>0.9375</v>
      </c>
      <c r="CL1073" s="239">
        <f>M1073/16</f>
        <v>0.9375</v>
      </c>
      <c r="CM1073" s="239">
        <f>M1073/16</f>
        <v>0.9375</v>
      </c>
      <c r="CN1073" s="238">
        <f t="shared" si="122"/>
        <v>0.9375</v>
      </c>
      <c r="CO1073" s="238">
        <f t="shared" si="123"/>
        <v>5.625</v>
      </c>
    </row>
    <row r="1074" spans="1:93" ht="13.95" customHeight="1" x14ac:dyDescent="0.2">
      <c r="A1074" s="238">
        <v>6874</v>
      </c>
      <c r="B1074" s="241" t="s">
        <v>2736</v>
      </c>
      <c r="C1074" s="238"/>
      <c r="D1074" s="237" t="s">
        <v>2794</v>
      </c>
      <c r="E1074" s="237"/>
      <c r="F1074" s="238">
        <v>526442</v>
      </c>
      <c r="G1074" s="238">
        <v>175680</v>
      </c>
      <c r="H1074" s="232" t="s">
        <v>174</v>
      </c>
      <c r="J1074" s="226"/>
      <c r="K1074" s="238">
        <v>0</v>
      </c>
      <c r="L1074" s="238">
        <v>10</v>
      </c>
      <c r="M1074" s="238">
        <v>10</v>
      </c>
      <c r="N1074" s="238">
        <v>77</v>
      </c>
      <c r="O1074" s="238">
        <v>77</v>
      </c>
      <c r="P1074" s="238" t="s">
        <v>318</v>
      </c>
      <c r="Q1074" s="242" t="s">
        <v>2738</v>
      </c>
      <c r="R1074" s="243" t="s">
        <v>2739</v>
      </c>
      <c r="T1074" s="226"/>
      <c r="U1074" s="238"/>
      <c r="V1074" s="238" t="s">
        <v>321</v>
      </c>
      <c r="W1074" s="226"/>
      <c r="X1074" s="238" t="s">
        <v>322</v>
      </c>
      <c r="Y1074" s="238" t="s">
        <v>323</v>
      </c>
      <c r="Z1074" s="238" t="s">
        <v>323</v>
      </c>
      <c r="AA1074" s="238" t="s">
        <v>324</v>
      </c>
      <c r="AB1074" s="244">
        <v>0</v>
      </c>
      <c r="AD1074" s="238"/>
      <c r="AE1074" s="226"/>
      <c r="AF1074" s="238" t="s">
        <v>56</v>
      </c>
      <c r="AG1074" s="238" t="s">
        <v>1355</v>
      </c>
      <c r="AH1074" s="238" t="s">
        <v>2795</v>
      </c>
      <c r="AI1074" s="238"/>
      <c r="AJ1074" s="239">
        <v>0</v>
      </c>
      <c r="AK1074" s="239">
        <v>0</v>
      </c>
      <c r="AL1074" s="239">
        <v>0</v>
      </c>
      <c r="AM1074" s="239">
        <v>0</v>
      </c>
      <c r="AN1074" s="239">
        <v>0</v>
      </c>
      <c r="AO1074" s="239">
        <v>0</v>
      </c>
      <c r="AP1074" s="239">
        <v>0</v>
      </c>
      <c r="AQ1074" s="239">
        <v>0</v>
      </c>
      <c r="AR1074" s="239">
        <v>0</v>
      </c>
      <c r="AS1074" s="239">
        <v>0</v>
      </c>
      <c r="AT1074" s="239">
        <v>10</v>
      </c>
      <c r="AU1074" s="239">
        <v>0</v>
      </c>
      <c r="AV1074" s="239">
        <v>0</v>
      </c>
      <c r="AW1074" s="239">
        <v>0</v>
      </c>
      <c r="AX1074" s="239">
        <v>0</v>
      </c>
      <c r="AY1074" s="239">
        <v>0</v>
      </c>
      <c r="AZ1074" s="239">
        <v>0</v>
      </c>
      <c r="BA1074" s="239">
        <v>10</v>
      </c>
      <c r="BB1074" s="239">
        <v>0</v>
      </c>
      <c r="BC1074" s="239">
        <v>0</v>
      </c>
      <c r="BD1074" s="239">
        <v>0</v>
      </c>
      <c r="BE1074" s="239">
        <v>0</v>
      </c>
      <c r="BF1074" s="239">
        <v>0</v>
      </c>
      <c r="BG1074" s="239">
        <v>0</v>
      </c>
      <c r="BH1074" s="239">
        <v>0</v>
      </c>
      <c r="BI1074" s="239">
        <v>0</v>
      </c>
      <c r="BJ1074" s="239">
        <v>0</v>
      </c>
      <c r="BK1074" s="239">
        <v>0</v>
      </c>
      <c r="BL1074" s="239">
        <v>0</v>
      </c>
      <c r="BM1074" s="239">
        <v>0</v>
      </c>
      <c r="BN1074" s="239">
        <v>0</v>
      </c>
      <c r="BO1074" s="239">
        <v>0</v>
      </c>
      <c r="BP1074" s="238"/>
      <c r="BQ1074" s="238"/>
      <c r="BR1074" s="237" t="s">
        <v>481</v>
      </c>
      <c r="BS1074" s="238">
        <v>19</v>
      </c>
      <c r="BY1074" s="239">
        <f>M1074/16</f>
        <v>0.625</v>
      </c>
      <c r="BZ1074" s="239">
        <f>M1074/16</f>
        <v>0.625</v>
      </c>
      <c r="CA1074" s="239">
        <f>M1074/16</f>
        <v>0.625</v>
      </c>
      <c r="CB1074" s="239">
        <f>M1074/16</f>
        <v>0.625</v>
      </c>
      <c r="CC1074" s="239">
        <f>M1074/16</f>
        <v>0.625</v>
      </c>
      <c r="CD1074" s="239">
        <f>M1074/16</f>
        <v>0.625</v>
      </c>
      <c r="CE1074" s="239">
        <f>M1074/16</f>
        <v>0.625</v>
      </c>
      <c r="CF1074" s="239">
        <f>M1074/16</f>
        <v>0.625</v>
      </c>
      <c r="CG1074" s="239">
        <f>M1074/16</f>
        <v>0.625</v>
      </c>
      <c r="CH1074" s="239">
        <f>M1074/16</f>
        <v>0.625</v>
      </c>
      <c r="CI1074" s="239">
        <f>M1074/16</f>
        <v>0.625</v>
      </c>
      <c r="CJ1074" s="239">
        <f>M1074/16</f>
        <v>0.625</v>
      </c>
      <c r="CK1074" s="239">
        <f>M1074/16</f>
        <v>0.625</v>
      </c>
      <c r="CL1074" s="239">
        <f>M1074/16</f>
        <v>0.625</v>
      </c>
      <c r="CM1074" s="239">
        <f>M1074/16</f>
        <v>0.625</v>
      </c>
      <c r="CN1074" s="238">
        <f t="shared" si="122"/>
        <v>0.625</v>
      </c>
      <c r="CO1074" s="238">
        <f t="shared" si="123"/>
        <v>3.75</v>
      </c>
    </row>
    <row r="1075" spans="1:93" ht="13.95" customHeight="1" x14ac:dyDescent="0.2">
      <c r="A1075" s="238">
        <v>6892</v>
      </c>
      <c r="B1075" s="241" t="s">
        <v>2736</v>
      </c>
      <c r="C1075" s="238"/>
      <c r="D1075" s="237" t="s">
        <v>2796</v>
      </c>
      <c r="E1075" s="237"/>
      <c r="F1075" s="238">
        <v>525690</v>
      </c>
      <c r="G1075" s="238">
        <v>174971</v>
      </c>
      <c r="H1075" s="232" t="s">
        <v>181</v>
      </c>
      <c r="J1075" s="226"/>
      <c r="K1075" s="238">
        <v>0</v>
      </c>
      <c r="L1075" s="238">
        <v>310</v>
      </c>
      <c r="M1075" s="238">
        <v>310</v>
      </c>
      <c r="N1075" s="238">
        <v>462</v>
      </c>
      <c r="O1075" s="238">
        <v>462</v>
      </c>
      <c r="P1075" s="238" t="s">
        <v>318</v>
      </c>
      <c r="Q1075" s="242" t="s">
        <v>2738</v>
      </c>
      <c r="R1075" s="243" t="s">
        <v>2739</v>
      </c>
      <c r="T1075" s="226"/>
      <c r="U1075" s="238"/>
      <c r="V1075" s="238" t="s">
        <v>321</v>
      </c>
      <c r="W1075" s="226"/>
      <c r="X1075" s="238" t="s">
        <v>322</v>
      </c>
      <c r="Y1075" s="238" t="s">
        <v>323</v>
      </c>
      <c r="Z1075" s="238" t="s">
        <v>323</v>
      </c>
      <c r="AA1075" s="238" t="s">
        <v>324</v>
      </c>
      <c r="AB1075" s="244">
        <v>0</v>
      </c>
      <c r="AD1075" s="238"/>
      <c r="AE1075" s="226"/>
      <c r="AF1075" s="224" t="s">
        <v>77</v>
      </c>
      <c r="AG1075" s="238" t="s">
        <v>350</v>
      </c>
      <c r="AH1075" s="238" t="s">
        <v>2797</v>
      </c>
      <c r="AI1075" s="238"/>
      <c r="AJ1075" s="239">
        <v>0</v>
      </c>
      <c r="AK1075" s="239">
        <v>0</v>
      </c>
      <c r="AL1075" s="239">
        <v>0</v>
      </c>
      <c r="AM1075" s="239">
        <v>0</v>
      </c>
      <c r="AN1075" s="239">
        <v>0</v>
      </c>
      <c r="AO1075" s="239">
        <v>0</v>
      </c>
      <c r="AP1075" s="239">
        <v>0</v>
      </c>
      <c r="AQ1075" s="239">
        <v>0</v>
      </c>
      <c r="AR1075" s="239">
        <v>0</v>
      </c>
      <c r="AS1075" s="239">
        <v>0</v>
      </c>
      <c r="AT1075" s="239">
        <v>310</v>
      </c>
      <c r="AU1075" s="239">
        <v>0</v>
      </c>
      <c r="AV1075" s="239">
        <v>0</v>
      </c>
      <c r="AW1075" s="239">
        <v>0</v>
      </c>
      <c r="AX1075" s="239">
        <v>0</v>
      </c>
      <c r="AY1075" s="239">
        <v>0</v>
      </c>
      <c r="AZ1075" s="239">
        <v>0</v>
      </c>
      <c r="BA1075" s="239">
        <v>310</v>
      </c>
      <c r="BB1075" s="239">
        <v>0</v>
      </c>
      <c r="BC1075" s="239">
        <v>0</v>
      </c>
      <c r="BD1075" s="239">
        <v>0</v>
      </c>
      <c r="BE1075" s="239">
        <v>0</v>
      </c>
      <c r="BF1075" s="239">
        <v>0</v>
      </c>
      <c r="BG1075" s="239">
        <v>0</v>
      </c>
      <c r="BH1075" s="239">
        <v>0</v>
      </c>
      <c r="BI1075" s="239">
        <v>0</v>
      </c>
      <c r="BJ1075" s="239">
        <v>0</v>
      </c>
      <c r="BK1075" s="239">
        <v>0</v>
      </c>
      <c r="BL1075" s="239">
        <v>0</v>
      </c>
      <c r="BM1075" s="239">
        <v>0</v>
      </c>
      <c r="BN1075" s="239">
        <v>0</v>
      </c>
      <c r="BO1075" s="239">
        <v>0</v>
      </c>
      <c r="BP1075" s="238"/>
      <c r="BQ1075" s="238"/>
      <c r="BR1075" s="237" t="s">
        <v>327</v>
      </c>
      <c r="BS1075" s="238">
        <v>19</v>
      </c>
      <c r="BW1075" s="239">
        <f>M1075/10</f>
        <v>31</v>
      </c>
      <c r="BX1075" s="239">
        <f>M1075/10</f>
        <v>31</v>
      </c>
      <c r="BY1075" s="239">
        <f>M1075/10</f>
        <v>31</v>
      </c>
      <c r="BZ1075" s="239">
        <f>M1075/10</f>
        <v>31</v>
      </c>
      <c r="CA1075" s="239">
        <f>M1075/10</f>
        <v>31</v>
      </c>
      <c r="CB1075" s="239">
        <f>M1075/10</f>
        <v>31</v>
      </c>
      <c r="CC1075" s="239">
        <f>M1075/10</f>
        <v>31</v>
      </c>
      <c r="CD1075" s="239">
        <f>M1075/10</f>
        <v>31</v>
      </c>
      <c r="CE1075" s="239">
        <f>M1075/10</f>
        <v>31</v>
      </c>
      <c r="CF1075" s="239">
        <f>M1075/10</f>
        <v>31</v>
      </c>
      <c r="CN1075" s="238">
        <f t="shared" si="122"/>
        <v>93</v>
      </c>
      <c r="CO1075" s="238">
        <f t="shared" si="123"/>
        <v>248</v>
      </c>
    </row>
    <row r="1076" spans="1:93" ht="13.95" customHeight="1" x14ac:dyDescent="0.2">
      <c r="A1076" s="238">
        <v>6892</v>
      </c>
      <c r="B1076" s="241" t="s">
        <v>2736</v>
      </c>
      <c r="C1076" s="238"/>
      <c r="D1076" s="237" t="s">
        <v>2796</v>
      </c>
      <c r="E1076" s="237"/>
      <c r="F1076" s="238">
        <v>525690</v>
      </c>
      <c r="G1076" s="238">
        <v>174971</v>
      </c>
      <c r="H1076" s="232" t="s">
        <v>181</v>
      </c>
      <c r="J1076" s="226"/>
      <c r="K1076" s="238">
        <v>0</v>
      </c>
      <c r="L1076" s="238">
        <v>92</v>
      </c>
      <c r="M1076" s="238">
        <v>92</v>
      </c>
      <c r="N1076" s="238">
        <v>462</v>
      </c>
      <c r="O1076" s="238">
        <v>462</v>
      </c>
      <c r="P1076" s="238" t="s">
        <v>318</v>
      </c>
      <c r="Q1076" s="242" t="s">
        <v>2738</v>
      </c>
      <c r="R1076" s="243" t="s">
        <v>2739</v>
      </c>
      <c r="T1076" s="226"/>
      <c r="U1076" s="238"/>
      <c r="V1076" s="238" t="s">
        <v>321</v>
      </c>
      <c r="W1076" s="226"/>
      <c r="X1076" s="238" t="s">
        <v>322</v>
      </c>
      <c r="Y1076" s="238" t="s">
        <v>323</v>
      </c>
      <c r="Z1076" s="238" t="s">
        <v>323</v>
      </c>
      <c r="AA1076" s="238" t="s">
        <v>324</v>
      </c>
      <c r="AB1076" s="244">
        <v>0</v>
      </c>
      <c r="AD1076" s="238"/>
      <c r="AE1076" s="226"/>
      <c r="AF1076" s="238" t="s">
        <v>57</v>
      </c>
      <c r="AG1076" s="238" t="s">
        <v>470</v>
      </c>
      <c r="AH1076" s="238" t="s">
        <v>2797</v>
      </c>
      <c r="AI1076" s="238"/>
      <c r="AJ1076" s="239">
        <v>0</v>
      </c>
      <c r="AK1076" s="239">
        <v>0</v>
      </c>
      <c r="AL1076" s="239">
        <v>0</v>
      </c>
      <c r="AM1076" s="239">
        <v>0</v>
      </c>
      <c r="AN1076" s="239">
        <v>0</v>
      </c>
      <c r="AO1076" s="239">
        <v>0</v>
      </c>
      <c r="AP1076" s="239">
        <v>0</v>
      </c>
      <c r="AQ1076" s="239">
        <v>0</v>
      </c>
      <c r="AR1076" s="239">
        <v>0</v>
      </c>
      <c r="AS1076" s="239">
        <v>0</v>
      </c>
      <c r="AT1076" s="239">
        <v>92</v>
      </c>
      <c r="AU1076" s="239">
        <v>0</v>
      </c>
      <c r="AV1076" s="239">
        <v>0</v>
      </c>
      <c r="AW1076" s="239">
        <v>0</v>
      </c>
      <c r="AX1076" s="239">
        <v>0</v>
      </c>
      <c r="AY1076" s="239">
        <v>0</v>
      </c>
      <c r="AZ1076" s="239">
        <v>0</v>
      </c>
      <c r="BA1076" s="239">
        <v>92</v>
      </c>
      <c r="BB1076" s="239">
        <v>0</v>
      </c>
      <c r="BC1076" s="239">
        <v>0</v>
      </c>
      <c r="BD1076" s="239">
        <v>0</v>
      </c>
      <c r="BE1076" s="239">
        <v>0</v>
      </c>
      <c r="BF1076" s="239">
        <v>0</v>
      </c>
      <c r="BG1076" s="239">
        <v>0</v>
      </c>
      <c r="BH1076" s="239">
        <v>0</v>
      </c>
      <c r="BI1076" s="239">
        <v>0</v>
      </c>
      <c r="BJ1076" s="239">
        <v>0</v>
      </c>
      <c r="BK1076" s="239">
        <v>0</v>
      </c>
      <c r="BL1076" s="239">
        <v>0</v>
      </c>
      <c r="BM1076" s="239">
        <v>0</v>
      </c>
      <c r="BN1076" s="239">
        <v>0</v>
      </c>
      <c r="BO1076" s="239">
        <v>0</v>
      </c>
      <c r="BP1076" s="238"/>
      <c r="BQ1076" s="238"/>
      <c r="BR1076" s="237" t="s">
        <v>327</v>
      </c>
      <c r="BS1076" s="238">
        <v>19</v>
      </c>
      <c r="BW1076" s="239">
        <f>M1076/10</f>
        <v>9.1999999999999993</v>
      </c>
      <c r="BX1076" s="239">
        <f>M1076/10</f>
        <v>9.1999999999999993</v>
      </c>
      <c r="BY1076" s="239">
        <f>M1076/10</f>
        <v>9.1999999999999993</v>
      </c>
      <c r="BZ1076" s="239">
        <f>M1076/10</f>
        <v>9.1999999999999993</v>
      </c>
      <c r="CA1076" s="239">
        <f>M1076/10</f>
        <v>9.1999999999999993</v>
      </c>
      <c r="CB1076" s="239">
        <f>M1076/10</f>
        <v>9.1999999999999993</v>
      </c>
      <c r="CC1076" s="239">
        <f>M1076/10</f>
        <v>9.1999999999999993</v>
      </c>
      <c r="CD1076" s="239">
        <f>M1076/10</f>
        <v>9.1999999999999993</v>
      </c>
      <c r="CE1076" s="239">
        <f>M1076/10</f>
        <v>9.1999999999999993</v>
      </c>
      <c r="CF1076" s="239">
        <f>M1076/10</f>
        <v>9.1999999999999993</v>
      </c>
      <c r="CN1076" s="238">
        <f t="shared" si="122"/>
        <v>27.599999999999998</v>
      </c>
      <c r="CO1076" s="238">
        <f t="shared" si="123"/>
        <v>73.600000000000009</v>
      </c>
    </row>
    <row r="1077" spans="1:93" ht="13.95" customHeight="1" x14ac:dyDescent="0.2">
      <c r="A1077" s="238">
        <v>6892</v>
      </c>
      <c r="B1077" s="241" t="s">
        <v>2736</v>
      </c>
      <c r="C1077" s="238"/>
      <c r="D1077" s="237" t="s">
        <v>2796</v>
      </c>
      <c r="E1077" s="237"/>
      <c r="F1077" s="238">
        <v>525690</v>
      </c>
      <c r="G1077" s="238">
        <v>174971</v>
      </c>
      <c r="H1077" s="232" t="s">
        <v>181</v>
      </c>
      <c r="J1077" s="226"/>
      <c r="K1077" s="238">
        <v>0</v>
      </c>
      <c r="L1077" s="238">
        <v>60</v>
      </c>
      <c r="M1077" s="238">
        <v>60</v>
      </c>
      <c r="N1077" s="238">
        <v>462</v>
      </c>
      <c r="O1077" s="238">
        <v>462</v>
      </c>
      <c r="P1077" s="238" t="s">
        <v>318</v>
      </c>
      <c r="Q1077" s="242" t="s">
        <v>2738</v>
      </c>
      <c r="R1077" s="243" t="s">
        <v>2739</v>
      </c>
      <c r="T1077" s="226"/>
      <c r="U1077" s="238"/>
      <c r="V1077" s="238" t="s">
        <v>321</v>
      </c>
      <c r="W1077" s="226"/>
      <c r="X1077" s="238" t="s">
        <v>322</v>
      </c>
      <c r="Y1077" s="238" t="s">
        <v>323</v>
      </c>
      <c r="Z1077" s="238" t="s">
        <v>323</v>
      </c>
      <c r="AA1077" s="238" t="s">
        <v>324</v>
      </c>
      <c r="AB1077" s="244">
        <v>0</v>
      </c>
      <c r="AD1077" s="238"/>
      <c r="AE1077" s="226"/>
      <c r="AF1077" s="238" t="s">
        <v>56</v>
      </c>
      <c r="AG1077" s="238" t="s">
        <v>1355</v>
      </c>
      <c r="AH1077" s="238" t="s">
        <v>2797</v>
      </c>
      <c r="AI1077" s="238"/>
      <c r="AJ1077" s="239">
        <v>0</v>
      </c>
      <c r="AK1077" s="239">
        <v>0</v>
      </c>
      <c r="AL1077" s="239">
        <v>0</v>
      </c>
      <c r="AM1077" s="239">
        <v>0</v>
      </c>
      <c r="AN1077" s="239">
        <v>0</v>
      </c>
      <c r="AO1077" s="239">
        <v>0</v>
      </c>
      <c r="AP1077" s="239">
        <v>0</v>
      </c>
      <c r="AQ1077" s="239">
        <v>0</v>
      </c>
      <c r="AR1077" s="239">
        <v>0</v>
      </c>
      <c r="AS1077" s="239">
        <v>0</v>
      </c>
      <c r="AT1077" s="239">
        <v>60</v>
      </c>
      <c r="AU1077" s="239">
        <v>0</v>
      </c>
      <c r="AV1077" s="239">
        <v>0</v>
      </c>
      <c r="AW1077" s="239">
        <v>0</v>
      </c>
      <c r="AX1077" s="239">
        <v>0</v>
      </c>
      <c r="AY1077" s="239">
        <v>0</v>
      </c>
      <c r="AZ1077" s="239">
        <v>0</v>
      </c>
      <c r="BA1077" s="239">
        <v>60</v>
      </c>
      <c r="BB1077" s="239">
        <v>0</v>
      </c>
      <c r="BC1077" s="239">
        <v>0</v>
      </c>
      <c r="BD1077" s="239">
        <v>0</v>
      </c>
      <c r="BE1077" s="239">
        <v>0</v>
      </c>
      <c r="BF1077" s="239">
        <v>0</v>
      </c>
      <c r="BG1077" s="239">
        <v>0</v>
      </c>
      <c r="BH1077" s="239">
        <v>0</v>
      </c>
      <c r="BI1077" s="239">
        <v>0</v>
      </c>
      <c r="BJ1077" s="239">
        <v>0</v>
      </c>
      <c r="BK1077" s="239">
        <v>0</v>
      </c>
      <c r="BL1077" s="239">
        <v>0</v>
      </c>
      <c r="BM1077" s="239">
        <v>0</v>
      </c>
      <c r="BN1077" s="239">
        <v>0</v>
      </c>
      <c r="BO1077" s="239">
        <v>0</v>
      </c>
      <c r="BP1077" s="238"/>
      <c r="BQ1077" s="238"/>
      <c r="BR1077" s="237" t="s">
        <v>327</v>
      </c>
      <c r="BS1077" s="238">
        <v>19</v>
      </c>
      <c r="BW1077" s="239">
        <f>M1077/10</f>
        <v>6</v>
      </c>
      <c r="BX1077" s="239">
        <f>M1077/10</f>
        <v>6</v>
      </c>
      <c r="BY1077" s="239">
        <f>M1077/10</f>
        <v>6</v>
      </c>
      <c r="BZ1077" s="239">
        <f>M1077/10</f>
        <v>6</v>
      </c>
      <c r="CA1077" s="239">
        <f>M1077/10</f>
        <v>6</v>
      </c>
      <c r="CB1077" s="239">
        <f>M1077/10</f>
        <v>6</v>
      </c>
      <c r="CC1077" s="239">
        <f>M1077/10</f>
        <v>6</v>
      </c>
      <c r="CD1077" s="239">
        <f>M1077/10</f>
        <v>6</v>
      </c>
      <c r="CE1077" s="239">
        <f>M1077/10</f>
        <v>6</v>
      </c>
      <c r="CF1077" s="239">
        <f>M1077/10</f>
        <v>6</v>
      </c>
      <c r="CN1077" s="238">
        <f t="shared" ref="CN1077:CN1140" si="125">SUM(BU1077:BY1077)</f>
        <v>18</v>
      </c>
      <c r="CO1077" s="238">
        <f t="shared" ref="CO1077:CO1140" si="126">SUM(BU1077:CD1077)</f>
        <v>48</v>
      </c>
    </row>
    <row r="1078" spans="1:93" ht="13.95" customHeight="1" x14ac:dyDescent="0.2">
      <c r="A1078" s="238">
        <v>6901</v>
      </c>
      <c r="B1078" s="241" t="s">
        <v>2736</v>
      </c>
      <c r="C1078" s="238"/>
      <c r="D1078" s="237" t="s">
        <v>2798</v>
      </c>
      <c r="E1078" s="237"/>
      <c r="F1078" s="238">
        <v>524170</v>
      </c>
      <c r="G1078" s="238">
        <v>175517</v>
      </c>
      <c r="H1078" s="232" t="s">
        <v>175</v>
      </c>
      <c r="J1078" s="226"/>
      <c r="K1078" s="238">
        <v>0</v>
      </c>
      <c r="L1078" s="238">
        <v>5</v>
      </c>
      <c r="M1078" s="238">
        <v>5</v>
      </c>
      <c r="N1078" s="238">
        <v>5</v>
      </c>
      <c r="O1078" s="238">
        <v>5</v>
      </c>
      <c r="P1078" s="238"/>
      <c r="Q1078" s="242" t="s">
        <v>2738</v>
      </c>
      <c r="R1078" s="238" t="s">
        <v>2739</v>
      </c>
      <c r="T1078" s="226"/>
      <c r="U1078" s="238"/>
      <c r="V1078" s="238" t="s">
        <v>321</v>
      </c>
      <c r="W1078" s="226"/>
      <c r="X1078" s="238" t="s">
        <v>322</v>
      </c>
      <c r="Y1078" s="238" t="s">
        <v>323</v>
      </c>
      <c r="Z1078" s="238" t="s">
        <v>324</v>
      </c>
      <c r="AA1078" s="238" t="s">
        <v>349</v>
      </c>
      <c r="AB1078" s="244">
        <v>0</v>
      </c>
      <c r="AD1078" s="238"/>
      <c r="AE1078" s="226"/>
      <c r="AF1078" s="224" t="s">
        <v>77</v>
      </c>
      <c r="AG1078" s="238" t="s">
        <v>350</v>
      </c>
      <c r="AH1078" s="238" t="s">
        <v>2799</v>
      </c>
      <c r="AI1078" s="238"/>
      <c r="AJ1078" s="239">
        <v>0</v>
      </c>
      <c r="AK1078" s="239">
        <v>0</v>
      </c>
      <c r="AL1078" s="239">
        <v>0</v>
      </c>
      <c r="AM1078" s="239">
        <v>0</v>
      </c>
      <c r="AN1078" s="239">
        <v>0</v>
      </c>
      <c r="AO1078" s="239">
        <v>0</v>
      </c>
      <c r="AP1078" s="239">
        <v>0</v>
      </c>
      <c r="AQ1078" s="239">
        <v>0</v>
      </c>
      <c r="AR1078" s="239">
        <v>0</v>
      </c>
      <c r="AS1078" s="239">
        <v>0</v>
      </c>
      <c r="AT1078" s="239">
        <v>5</v>
      </c>
      <c r="AU1078" s="239">
        <v>0</v>
      </c>
      <c r="AV1078" s="239">
        <v>0</v>
      </c>
      <c r="AW1078" s="239">
        <v>0</v>
      </c>
      <c r="AX1078" s="239">
        <v>0</v>
      </c>
      <c r="AY1078" s="239">
        <v>0</v>
      </c>
      <c r="AZ1078" s="239">
        <v>0</v>
      </c>
      <c r="BA1078" s="239">
        <v>5</v>
      </c>
      <c r="BB1078" s="239">
        <v>0</v>
      </c>
      <c r="BC1078" s="239">
        <v>0</v>
      </c>
      <c r="BD1078" s="239">
        <v>0</v>
      </c>
      <c r="BE1078" s="239">
        <v>0</v>
      </c>
      <c r="BF1078" s="239">
        <v>0</v>
      </c>
      <c r="BG1078" s="239">
        <v>0</v>
      </c>
      <c r="BH1078" s="239">
        <v>0</v>
      </c>
      <c r="BI1078" s="239">
        <v>0</v>
      </c>
      <c r="BJ1078" s="239">
        <v>0</v>
      </c>
      <c r="BK1078" s="239">
        <v>0</v>
      </c>
      <c r="BL1078" s="239">
        <v>0</v>
      </c>
      <c r="BM1078" s="239">
        <v>0</v>
      </c>
      <c r="BN1078" s="239">
        <v>0</v>
      </c>
      <c r="BO1078" s="239">
        <v>0</v>
      </c>
      <c r="BP1078" s="234" t="s">
        <v>143</v>
      </c>
      <c r="BQ1078" s="238"/>
      <c r="BR1078" s="237" t="s">
        <v>152</v>
      </c>
      <c r="BS1078" s="238">
        <v>19</v>
      </c>
      <c r="CC1078" s="239">
        <f>M1078/12</f>
        <v>0.41666666666666669</v>
      </c>
      <c r="CD1078" s="239">
        <f>M1078/12</f>
        <v>0.41666666666666669</v>
      </c>
      <c r="CE1078" s="239">
        <f>M1078/12</f>
        <v>0.41666666666666669</v>
      </c>
      <c r="CF1078" s="239">
        <f>M1078/12</f>
        <v>0.41666666666666669</v>
      </c>
      <c r="CG1078" s="239">
        <f>M1078/12</f>
        <v>0.41666666666666669</v>
      </c>
      <c r="CH1078" s="239">
        <f>M1078/12</f>
        <v>0.41666666666666669</v>
      </c>
      <c r="CI1078" s="239">
        <f>M1078/12</f>
        <v>0.41666666666666669</v>
      </c>
      <c r="CJ1078" s="239">
        <f>M1078/12</f>
        <v>0.41666666666666669</v>
      </c>
      <c r="CK1078" s="239">
        <f>M1078/12</f>
        <v>0.41666666666666669</v>
      </c>
      <c r="CL1078" s="239">
        <f>M1078/12</f>
        <v>0.41666666666666669</v>
      </c>
      <c r="CM1078" s="239">
        <f>M1078/12</f>
        <v>0.41666666666666669</v>
      </c>
      <c r="CN1078" s="238">
        <f t="shared" si="125"/>
        <v>0</v>
      </c>
      <c r="CO1078" s="238">
        <f t="shared" si="126"/>
        <v>0.83333333333333337</v>
      </c>
    </row>
    <row r="1079" spans="1:93" ht="13.95" customHeight="1" x14ac:dyDescent="0.2">
      <c r="A1079" s="238">
        <v>6893</v>
      </c>
      <c r="B1079" s="241" t="s">
        <v>2736</v>
      </c>
      <c r="C1079" s="238"/>
      <c r="D1079" s="237" t="s">
        <v>2800</v>
      </c>
      <c r="E1079" s="237"/>
      <c r="F1079" s="238">
        <v>525561</v>
      </c>
      <c r="G1079" s="238">
        <v>174936</v>
      </c>
      <c r="H1079" s="232" t="s">
        <v>181</v>
      </c>
      <c r="J1079" s="226"/>
      <c r="K1079" s="238">
        <v>0</v>
      </c>
      <c r="L1079" s="238">
        <v>21</v>
      </c>
      <c r="M1079" s="238">
        <v>21</v>
      </c>
      <c r="N1079" s="238">
        <v>31</v>
      </c>
      <c r="O1079" s="238">
        <v>31</v>
      </c>
      <c r="P1079" s="238" t="s">
        <v>318</v>
      </c>
      <c r="Q1079" s="242" t="s">
        <v>2738</v>
      </c>
      <c r="R1079" s="243" t="s">
        <v>2739</v>
      </c>
      <c r="T1079" s="226"/>
      <c r="U1079" s="238"/>
      <c r="V1079" s="238" t="s">
        <v>321</v>
      </c>
      <c r="W1079" s="226"/>
      <c r="X1079" s="238" t="s">
        <v>322</v>
      </c>
      <c r="Y1079" s="238" t="s">
        <v>323</v>
      </c>
      <c r="Z1079" s="238" t="s">
        <v>323</v>
      </c>
      <c r="AA1079" s="238" t="s">
        <v>324</v>
      </c>
      <c r="AB1079" s="244">
        <v>0</v>
      </c>
      <c r="AD1079" s="238"/>
      <c r="AE1079" s="226"/>
      <c r="AF1079" s="224" t="s">
        <v>77</v>
      </c>
      <c r="AG1079" s="238" t="s">
        <v>350</v>
      </c>
      <c r="AH1079" s="238" t="s">
        <v>2801</v>
      </c>
      <c r="AI1079" s="238"/>
      <c r="AJ1079" s="239">
        <v>0</v>
      </c>
      <c r="AK1079" s="239">
        <v>0</v>
      </c>
      <c r="AL1079" s="239">
        <v>0</v>
      </c>
      <c r="AM1079" s="239">
        <v>0</v>
      </c>
      <c r="AN1079" s="239">
        <v>0</v>
      </c>
      <c r="AO1079" s="239">
        <v>0</v>
      </c>
      <c r="AP1079" s="239">
        <v>0</v>
      </c>
      <c r="AQ1079" s="239">
        <v>0</v>
      </c>
      <c r="AR1079" s="239">
        <v>0</v>
      </c>
      <c r="AS1079" s="239">
        <v>0</v>
      </c>
      <c r="AT1079" s="239">
        <v>21</v>
      </c>
      <c r="AU1079" s="239">
        <v>0</v>
      </c>
      <c r="AV1079" s="239">
        <v>0</v>
      </c>
      <c r="AW1079" s="239">
        <v>0</v>
      </c>
      <c r="AX1079" s="239">
        <v>0</v>
      </c>
      <c r="AY1079" s="239">
        <v>0</v>
      </c>
      <c r="AZ1079" s="239">
        <v>0</v>
      </c>
      <c r="BA1079" s="239">
        <v>21</v>
      </c>
      <c r="BB1079" s="239">
        <v>0</v>
      </c>
      <c r="BC1079" s="239">
        <v>0</v>
      </c>
      <c r="BD1079" s="239">
        <v>0</v>
      </c>
      <c r="BE1079" s="239">
        <v>0</v>
      </c>
      <c r="BF1079" s="239">
        <v>0</v>
      </c>
      <c r="BG1079" s="239">
        <v>0</v>
      </c>
      <c r="BH1079" s="239">
        <v>0</v>
      </c>
      <c r="BI1079" s="239">
        <v>0</v>
      </c>
      <c r="BJ1079" s="239">
        <v>0</v>
      </c>
      <c r="BK1079" s="239">
        <v>0</v>
      </c>
      <c r="BL1079" s="239">
        <v>0</v>
      </c>
      <c r="BM1079" s="239">
        <v>0</v>
      </c>
      <c r="BN1079" s="239">
        <v>0</v>
      </c>
      <c r="BO1079" s="239">
        <v>0</v>
      </c>
      <c r="BP1079" s="238"/>
      <c r="BQ1079" s="238"/>
      <c r="BR1079" s="237" t="s">
        <v>327</v>
      </c>
      <c r="BS1079" s="238">
        <v>19</v>
      </c>
      <c r="BY1079" s="239">
        <f>M1079/16</f>
        <v>1.3125</v>
      </c>
      <c r="BZ1079" s="239">
        <f>M1079/16</f>
        <v>1.3125</v>
      </c>
      <c r="CA1079" s="239">
        <f>M1079/16</f>
        <v>1.3125</v>
      </c>
      <c r="CB1079" s="239">
        <f>M1079/16</f>
        <v>1.3125</v>
      </c>
      <c r="CC1079" s="239">
        <f>M1079/16</f>
        <v>1.3125</v>
      </c>
      <c r="CD1079" s="239">
        <f>M1079/16</f>
        <v>1.3125</v>
      </c>
      <c r="CE1079" s="239">
        <f>M1079/16</f>
        <v>1.3125</v>
      </c>
      <c r="CF1079" s="239">
        <f>M1079/16</f>
        <v>1.3125</v>
      </c>
      <c r="CG1079" s="239">
        <f>M1079/16</f>
        <v>1.3125</v>
      </c>
      <c r="CH1079" s="239">
        <f>M1079/16</f>
        <v>1.3125</v>
      </c>
      <c r="CI1079" s="239">
        <f>M1079/16</f>
        <v>1.3125</v>
      </c>
      <c r="CJ1079" s="239">
        <f>M1079/16</f>
        <v>1.3125</v>
      </c>
      <c r="CK1079" s="239">
        <f>M1079/16</f>
        <v>1.3125</v>
      </c>
      <c r="CL1079" s="239">
        <f>M1079/16</f>
        <v>1.3125</v>
      </c>
      <c r="CM1079" s="239">
        <f>M1079/16</f>
        <v>1.3125</v>
      </c>
      <c r="CN1079" s="238">
        <f t="shared" si="125"/>
        <v>1.3125</v>
      </c>
      <c r="CO1079" s="238">
        <f t="shared" si="126"/>
        <v>7.875</v>
      </c>
    </row>
    <row r="1080" spans="1:93" ht="13.95" customHeight="1" x14ac:dyDescent="0.2">
      <c r="A1080" s="238">
        <v>6893</v>
      </c>
      <c r="B1080" s="241" t="s">
        <v>2736</v>
      </c>
      <c r="C1080" s="238"/>
      <c r="D1080" s="237" t="s">
        <v>2800</v>
      </c>
      <c r="E1080" s="237"/>
      <c r="F1080" s="238">
        <v>525561</v>
      </c>
      <c r="G1080" s="238">
        <v>174936</v>
      </c>
      <c r="H1080" s="232" t="s">
        <v>181</v>
      </c>
      <c r="J1080" s="226"/>
      <c r="K1080" s="238">
        <v>0</v>
      </c>
      <c r="L1080" s="238">
        <v>6</v>
      </c>
      <c r="M1080" s="238">
        <v>6</v>
      </c>
      <c r="N1080" s="238">
        <v>31</v>
      </c>
      <c r="O1080" s="238">
        <v>31</v>
      </c>
      <c r="P1080" s="238" t="s">
        <v>318</v>
      </c>
      <c r="Q1080" s="242" t="s">
        <v>2738</v>
      </c>
      <c r="R1080" s="243" t="s">
        <v>2739</v>
      </c>
      <c r="T1080" s="226"/>
      <c r="U1080" s="238"/>
      <c r="V1080" s="238" t="s">
        <v>321</v>
      </c>
      <c r="W1080" s="226"/>
      <c r="X1080" s="238" t="s">
        <v>322</v>
      </c>
      <c r="Y1080" s="238" t="s">
        <v>323</v>
      </c>
      <c r="Z1080" s="238" t="s">
        <v>323</v>
      </c>
      <c r="AA1080" s="238" t="s">
        <v>324</v>
      </c>
      <c r="AB1080" s="244">
        <v>0</v>
      </c>
      <c r="AD1080" s="238"/>
      <c r="AE1080" s="226"/>
      <c r="AF1080" s="238" t="s">
        <v>57</v>
      </c>
      <c r="AG1080" s="238" t="s">
        <v>470</v>
      </c>
      <c r="AH1080" s="238" t="s">
        <v>2801</v>
      </c>
      <c r="AI1080" s="238"/>
      <c r="AJ1080" s="239">
        <v>0</v>
      </c>
      <c r="AK1080" s="239">
        <v>0</v>
      </c>
      <c r="AL1080" s="239">
        <v>0</v>
      </c>
      <c r="AM1080" s="239">
        <v>0</v>
      </c>
      <c r="AN1080" s="239">
        <v>0</v>
      </c>
      <c r="AO1080" s="239">
        <v>0</v>
      </c>
      <c r="AP1080" s="239">
        <v>0</v>
      </c>
      <c r="AQ1080" s="239">
        <v>0</v>
      </c>
      <c r="AR1080" s="239">
        <v>0</v>
      </c>
      <c r="AS1080" s="239">
        <v>0</v>
      </c>
      <c r="AT1080" s="239">
        <v>6</v>
      </c>
      <c r="AU1080" s="239">
        <v>0</v>
      </c>
      <c r="AV1080" s="239">
        <v>0</v>
      </c>
      <c r="AW1080" s="239">
        <v>0</v>
      </c>
      <c r="AX1080" s="239">
        <v>0</v>
      </c>
      <c r="AY1080" s="239">
        <v>0</v>
      </c>
      <c r="AZ1080" s="239">
        <v>0</v>
      </c>
      <c r="BA1080" s="239">
        <v>6</v>
      </c>
      <c r="BB1080" s="239">
        <v>0</v>
      </c>
      <c r="BC1080" s="239">
        <v>0</v>
      </c>
      <c r="BD1080" s="239">
        <v>0</v>
      </c>
      <c r="BE1080" s="239">
        <v>0</v>
      </c>
      <c r="BF1080" s="239">
        <v>0</v>
      </c>
      <c r="BG1080" s="239">
        <v>0</v>
      </c>
      <c r="BH1080" s="239">
        <v>0</v>
      </c>
      <c r="BI1080" s="239">
        <v>0</v>
      </c>
      <c r="BJ1080" s="239">
        <v>0</v>
      </c>
      <c r="BK1080" s="239">
        <v>0</v>
      </c>
      <c r="BL1080" s="239">
        <v>0</v>
      </c>
      <c r="BM1080" s="239">
        <v>0</v>
      </c>
      <c r="BN1080" s="239">
        <v>0</v>
      </c>
      <c r="BO1080" s="239">
        <v>0</v>
      </c>
      <c r="BP1080" s="238"/>
      <c r="BQ1080" s="238"/>
      <c r="BR1080" s="237" t="s">
        <v>327</v>
      </c>
      <c r="BS1080" s="238">
        <v>19</v>
      </c>
      <c r="BY1080" s="239">
        <f>M1080/16</f>
        <v>0.375</v>
      </c>
      <c r="BZ1080" s="239">
        <f>M1080/16</f>
        <v>0.375</v>
      </c>
      <c r="CA1080" s="239">
        <f>M1080/16</f>
        <v>0.375</v>
      </c>
      <c r="CB1080" s="239">
        <f>M1080/16</f>
        <v>0.375</v>
      </c>
      <c r="CC1080" s="239">
        <f>M1080/16</f>
        <v>0.375</v>
      </c>
      <c r="CD1080" s="239">
        <f>M1080/16</f>
        <v>0.375</v>
      </c>
      <c r="CE1080" s="239">
        <f>M1080/16</f>
        <v>0.375</v>
      </c>
      <c r="CF1080" s="239">
        <f>M1080/16</f>
        <v>0.375</v>
      </c>
      <c r="CG1080" s="239">
        <f>M1080/16</f>
        <v>0.375</v>
      </c>
      <c r="CH1080" s="239">
        <f>M1080/16</f>
        <v>0.375</v>
      </c>
      <c r="CI1080" s="239">
        <f>M1080/16</f>
        <v>0.375</v>
      </c>
      <c r="CJ1080" s="239">
        <f>M1080/16</f>
        <v>0.375</v>
      </c>
      <c r="CK1080" s="239">
        <f>M1080/16</f>
        <v>0.375</v>
      </c>
      <c r="CL1080" s="239">
        <f>M1080/16</f>
        <v>0.375</v>
      </c>
      <c r="CM1080" s="239">
        <f>M1080/16</f>
        <v>0.375</v>
      </c>
      <c r="CN1080" s="238">
        <f t="shared" si="125"/>
        <v>0.375</v>
      </c>
      <c r="CO1080" s="238">
        <f t="shared" si="126"/>
        <v>2.25</v>
      </c>
    </row>
    <row r="1081" spans="1:93" ht="13.95" customHeight="1" x14ac:dyDescent="0.2">
      <c r="A1081" s="238">
        <v>6893</v>
      </c>
      <c r="B1081" s="241" t="s">
        <v>2736</v>
      </c>
      <c r="C1081" s="238"/>
      <c r="D1081" s="237" t="s">
        <v>2800</v>
      </c>
      <c r="E1081" s="237"/>
      <c r="F1081" s="238">
        <v>525561</v>
      </c>
      <c r="G1081" s="238">
        <v>174936</v>
      </c>
      <c r="H1081" s="232" t="s">
        <v>181</v>
      </c>
      <c r="J1081" s="226"/>
      <c r="K1081" s="238">
        <v>0</v>
      </c>
      <c r="L1081" s="238">
        <v>4</v>
      </c>
      <c r="M1081" s="238">
        <v>4</v>
      </c>
      <c r="N1081" s="238">
        <v>31</v>
      </c>
      <c r="O1081" s="238">
        <v>31</v>
      </c>
      <c r="P1081" s="238" t="s">
        <v>318</v>
      </c>
      <c r="Q1081" s="242" t="s">
        <v>2738</v>
      </c>
      <c r="R1081" s="243" t="s">
        <v>2739</v>
      </c>
      <c r="T1081" s="226"/>
      <c r="U1081" s="238"/>
      <c r="V1081" s="238" t="s">
        <v>321</v>
      </c>
      <c r="W1081" s="226"/>
      <c r="X1081" s="238" t="s">
        <v>322</v>
      </c>
      <c r="Y1081" s="238" t="s">
        <v>323</v>
      </c>
      <c r="Z1081" s="238" t="s">
        <v>323</v>
      </c>
      <c r="AA1081" s="238" t="s">
        <v>324</v>
      </c>
      <c r="AB1081" s="244">
        <v>0</v>
      </c>
      <c r="AD1081" s="238"/>
      <c r="AE1081" s="226"/>
      <c r="AF1081" s="238" t="s">
        <v>56</v>
      </c>
      <c r="AG1081" s="238" t="s">
        <v>1355</v>
      </c>
      <c r="AH1081" s="238" t="s">
        <v>2801</v>
      </c>
      <c r="AI1081" s="238"/>
      <c r="AJ1081" s="239">
        <v>0</v>
      </c>
      <c r="AK1081" s="239">
        <v>0</v>
      </c>
      <c r="AL1081" s="239">
        <v>0</v>
      </c>
      <c r="AM1081" s="239">
        <v>0</v>
      </c>
      <c r="AN1081" s="239">
        <v>0</v>
      </c>
      <c r="AO1081" s="239">
        <v>0</v>
      </c>
      <c r="AP1081" s="239">
        <v>0</v>
      </c>
      <c r="AQ1081" s="239">
        <v>0</v>
      </c>
      <c r="AR1081" s="239">
        <v>0</v>
      </c>
      <c r="AS1081" s="239">
        <v>0</v>
      </c>
      <c r="AT1081" s="239">
        <v>4</v>
      </c>
      <c r="AU1081" s="239">
        <v>0</v>
      </c>
      <c r="AV1081" s="239">
        <v>0</v>
      </c>
      <c r="AW1081" s="239">
        <v>0</v>
      </c>
      <c r="AX1081" s="239">
        <v>0</v>
      </c>
      <c r="AY1081" s="239">
        <v>0</v>
      </c>
      <c r="AZ1081" s="239">
        <v>0</v>
      </c>
      <c r="BA1081" s="239">
        <v>4</v>
      </c>
      <c r="BB1081" s="239">
        <v>0</v>
      </c>
      <c r="BC1081" s="239">
        <v>0</v>
      </c>
      <c r="BD1081" s="239">
        <v>0</v>
      </c>
      <c r="BE1081" s="239">
        <v>0</v>
      </c>
      <c r="BF1081" s="239">
        <v>0</v>
      </c>
      <c r="BG1081" s="239">
        <v>0</v>
      </c>
      <c r="BH1081" s="239">
        <v>0</v>
      </c>
      <c r="BI1081" s="239">
        <v>0</v>
      </c>
      <c r="BJ1081" s="239">
        <v>0</v>
      </c>
      <c r="BK1081" s="239">
        <v>0</v>
      </c>
      <c r="BL1081" s="239">
        <v>0</v>
      </c>
      <c r="BM1081" s="239">
        <v>0</v>
      </c>
      <c r="BN1081" s="239">
        <v>0</v>
      </c>
      <c r="BO1081" s="239">
        <v>0</v>
      </c>
      <c r="BP1081" s="238"/>
      <c r="BQ1081" s="238"/>
      <c r="BR1081" s="237" t="s">
        <v>327</v>
      </c>
      <c r="BS1081" s="238">
        <v>19</v>
      </c>
      <c r="BY1081" s="239">
        <f>M1081/16</f>
        <v>0.25</v>
      </c>
      <c r="BZ1081" s="239">
        <f>M1081/16</f>
        <v>0.25</v>
      </c>
      <c r="CA1081" s="239">
        <f>M1081/16</f>
        <v>0.25</v>
      </c>
      <c r="CB1081" s="239">
        <f>M1081/16</f>
        <v>0.25</v>
      </c>
      <c r="CC1081" s="239">
        <f>M1081/16</f>
        <v>0.25</v>
      </c>
      <c r="CD1081" s="239">
        <f>M1081/16</f>
        <v>0.25</v>
      </c>
      <c r="CE1081" s="239">
        <f>M1081/16</f>
        <v>0.25</v>
      </c>
      <c r="CF1081" s="239">
        <f>M1081/16</f>
        <v>0.25</v>
      </c>
      <c r="CG1081" s="239">
        <f>M1081/16</f>
        <v>0.25</v>
      </c>
      <c r="CH1081" s="239">
        <f>M1081/16</f>
        <v>0.25</v>
      </c>
      <c r="CI1081" s="239">
        <f>M1081/16</f>
        <v>0.25</v>
      </c>
      <c r="CJ1081" s="239">
        <f>M1081/16</f>
        <v>0.25</v>
      </c>
      <c r="CK1081" s="239">
        <f>M1081/16</f>
        <v>0.25</v>
      </c>
      <c r="CL1081" s="239">
        <f>M1081/16</f>
        <v>0.25</v>
      </c>
      <c r="CM1081" s="239">
        <f>M1081/16</f>
        <v>0.25</v>
      </c>
      <c r="CN1081" s="238">
        <f t="shared" si="125"/>
        <v>0.25</v>
      </c>
      <c r="CO1081" s="238">
        <f t="shared" si="126"/>
        <v>1.5</v>
      </c>
    </row>
    <row r="1082" spans="1:93" ht="13.95" customHeight="1" x14ac:dyDescent="0.2">
      <c r="A1082" s="238">
        <v>7542</v>
      </c>
      <c r="B1082" s="241" t="s">
        <v>2736</v>
      </c>
      <c r="C1082" s="238"/>
      <c r="D1082" s="237" t="s">
        <v>2802</v>
      </c>
      <c r="E1082" s="237"/>
      <c r="F1082" s="238">
        <v>521741</v>
      </c>
      <c r="G1082" s="238">
        <v>172550</v>
      </c>
      <c r="H1082" s="232" t="s">
        <v>170</v>
      </c>
      <c r="J1082" s="226"/>
      <c r="K1082" s="238">
        <v>0</v>
      </c>
      <c r="L1082" s="238">
        <v>2</v>
      </c>
      <c r="M1082" s="238">
        <v>2</v>
      </c>
      <c r="N1082" s="238">
        <v>2</v>
      </c>
      <c r="O1082" s="238">
        <v>2</v>
      </c>
      <c r="P1082" s="238"/>
      <c r="Q1082" s="242" t="s">
        <v>2738</v>
      </c>
      <c r="R1082" s="238" t="s">
        <v>2739</v>
      </c>
      <c r="T1082" s="226"/>
      <c r="U1082" s="238"/>
      <c r="V1082" s="238" t="s">
        <v>321</v>
      </c>
      <c r="W1082" s="226"/>
      <c r="X1082" s="238" t="s">
        <v>322</v>
      </c>
      <c r="Y1082" s="238" t="s">
        <v>323</v>
      </c>
      <c r="Z1082" s="238" t="s">
        <v>324</v>
      </c>
      <c r="AA1082" s="238" t="s">
        <v>349</v>
      </c>
      <c r="AB1082" s="244">
        <v>0</v>
      </c>
      <c r="AD1082" s="238"/>
      <c r="AE1082" s="226"/>
      <c r="AF1082" s="224" t="s">
        <v>77</v>
      </c>
      <c r="AG1082" s="238" t="s">
        <v>350</v>
      </c>
      <c r="AH1082" s="238"/>
      <c r="AI1082" s="238"/>
      <c r="AJ1082" s="239">
        <v>0</v>
      </c>
      <c r="AK1082" s="239">
        <v>0</v>
      </c>
      <c r="AL1082" s="239">
        <v>0</v>
      </c>
      <c r="AM1082" s="239">
        <v>0</v>
      </c>
      <c r="AN1082" s="239">
        <v>0</v>
      </c>
      <c r="AO1082" s="239">
        <v>0</v>
      </c>
      <c r="AP1082" s="239">
        <v>0</v>
      </c>
      <c r="AQ1082" s="239">
        <v>0</v>
      </c>
      <c r="AR1082" s="239">
        <v>0</v>
      </c>
      <c r="AS1082" s="239">
        <v>0</v>
      </c>
      <c r="AT1082" s="239">
        <v>2</v>
      </c>
      <c r="AU1082" s="239">
        <v>0</v>
      </c>
      <c r="AV1082" s="239">
        <v>0</v>
      </c>
      <c r="AW1082" s="239">
        <v>0</v>
      </c>
      <c r="AX1082" s="239">
        <v>0</v>
      </c>
      <c r="AY1082" s="239">
        <v>0</v>
      </c>
      <c r="AZ1082" s="239">
        <v>0</v>
      </c>
      <c r="BA1082" s="239">
        <v>2</v>
      </c>
      <c r="BB1082" s="239">
        <v>0</v>
      </c>
      <c r="BC1082" s="239">
        <v>0</v>
      </c>
      <c r="BD1082" s="239">
        <v>0</v>
      </c>
      <c r="BE1082" s="239">
        <v>0</v>
      </c>
      <c r="BF1082" s="239">
        <v>0</v>
      </c>
      <c r="BG1082" s="239">
        <v>0</v>
      </c>
      <c r="BH1082" s="239">
        <v>0</v>
      </c>
      <c r="BI1082" s="239">
        <v>0</v>
      </c>
      <c r="BJ1082" s="239">
        <v>0</v>
      </c>
      <c r="BK1082" s="239">
        <v>0</v>
      </c>
      <c r="BL1082" s="239">
        <v>0</v>
      </c>
      <c r="BM1082" s="239">
        <v>0</v>
      </c>
      <c r="BN1082" s="239">
        <v>0</v>
      </c>
      <c r="BO1082" s="239">
        <v>0</v>
      </c>
      <c r="BP1082" s="238"/>
      <c r="BQ1082" s="238"/>
      <c r="BR1082" s="237" t="s">
        <v>334</v>
      </c>
      <c r="BS1082" s="238">
        <v>19</v>
      </c>
      <c r="BY1082" s="239">
        <f>M1082</f>
        <v>2</v>
      </c>
      <c r="CN1082" s="238">
        <f t="shared" si="125"/>
        <v>2</v>
      </c>
      <c r="CO1082" s="238">
        <f t="shared" si="126"/>
        <v>2</v>
      </c>
    </row>
    <row r="1083" spans="1:93" ht="13.95" customHeight="1" x14ac:dyDescent="0.2">
      <c r="A1083" s="238">
        <v>4484</v>
      </c>
      <c r="B1083" s="241" t="s">
        <v>2736</v>
      </c>
      <c r="C1083" s="238"/>
      <c r="D1083" s="237" t="s">
        <v>2803</v>
      </c>
      <c r="E1083" s="237"/>
      <c r="F1083" s="238">
        <v>526998.49629999895</v>
      </c>
      <c r="G1083" s="238">
        <v>175370.1955</v>
      </c>
      <c r="H1083" s="232" t="s">
        <v>165</v>
      </c>
      <c r="J1083" s="226"/>
      <c r="K1083" s="238">
        <v>0</v>
      </c>
      <c r="L1083" s="238">
        <v>56</v>
      </c>
      <c r="M1083" s="238">
        <v>56</v>
      </c>
      <c r="N1083" s="238">
        <v>83</v>
      </c>
      <c r="O1083" s="238">
        <v>83</v>
      </c>
      <c r="P1083" s="238" t="s">
        <v>318</v>
      </c>
      <c r="Q1083" s="242" t="s">
        <v>2738</v>
      </c>
      <c r="R1083" s="243" t="s">
        <v>2739</v>
      </c>
      <c r="T1083" s="226"/>
      <c r="U1083" s="238"/>
      <c r="V1083" s="238" t="s">
        <v>321</v>
      </c>
      <c r="W1083" s="226"/>
      <c r="X1083" s="238" t="s">
        <v>322</v>
      </c>
      <c r="Y1083" s="238" t="s">
        <v>323</v>
      </c>
      <c r="Z1083" s="238" t="s">
        <v>323</v>
      </c>
      <c r="AA1083" s="238" t="s">
        <v>324</v>
      </c>
      <c r="AB1083" s="244">
        <v>0</v>
      </c>
      <c r="AD1083" s="238"/>
      <c r="AE1083" s="226"/>
      <c r="AF1083" s="224" t="s">
        <v>77</v>
      </c>
      <c r="AG1083" s="238" t="s">
        <v>350</v>
      </c>
      <c r="AH1083" s="238" t="s">
        <v>2804</v>
      </c>
      <c r="AI1083" s="238"/>
      <c r="AJ1083" s="239">
        <v>0</v>
      </c>
      <c r="AK1083" s="239">
        <v>0</v>
      </c>
      <c r="AL1083" s="239">
        <v>0</v>
      </c>
      <c r="AM1083" s="239">
        <v>0</v>
      </c>
      <c r="AN1083" s="239">
        <v>0</v>
      </c>
      <c r="AO1083" s="239">
        <v>0</v>
      </c>
      <c r="AP1083" s="239">
        <v>0</v>
      </c>
      <c r="AQ1083" s="239">
        <v>0</v>
      </c>
      <c r="AR1083" s="239">
        <v>0</v>
      </c>
      <c r="AS1083" s="239">
        <v>0</v>
      </c>
      <c r="AT1083" s="239">
        <v>56</v>
      </c>
      <c r="AU1083" s="239">
        <v>0</v>
      </c>
      <c r="AV1083" s="239">
        <v>0</v>
      </c>
      <c r="AW1083" s="239">
        <v>0</v>
      </c>
      <c r="AX1083" s="239">
        <v>0</v>
      </c>
      <c r="AY1083" s="239">
        <v>0</v>
      </c>
      <c r="AZ1083" s="239">
        <v>0</v>
      </c>
      <c r="BA1083" s="239">
        <v>56</v>
      </c>
      <c r="BB1083" s="239">
        <v>0</v>
      </c>
      <c r="BC1083" s="239">
        <v>0</v>
      </c>
      <c r="BD1083" s="239">
        <v>0</v>
      </c>
      <c r="BE1083" s="239">
        <v>0</v>
      </c>
      <c r="BF1083" s="239">
        <v>0</v>
      </c>
      <c r="BG1083" s="239">
        <v>0</v>
      </c>
      <c r="BH1083" s="239">
        <v>0</v>
      </c>
      <c r="BI1083" s="239">
        <v>0</v>
      </c>
      <c r="BJ1083" s="239">
        <v>0</v>
      </c>
      <c r="BK1083" s="239">
        <v>0</v>
      </c>
      <c r="BL1083" s="239">
        <v>0</v>
      </c>
      <c r="BM1083" s="239">
        <v>0</v>
      </c>
      <c r="BN1083" s="239">
        <v>0</v>
      </c>
      <c r="BO1083" s="239">
        <v>0</v>
      </c>
      <c r="BP1083" s="238"/>
      <c r="BQ1083" s="238"/>
      <c r="BR1083" s="237" t="s">
        <v>150</v>
      </c>
      <c r="BS1083" s="238">
        <v>19</v>
      </c>
      <c r="CH1083" s="239">
        <f t="shared" ref="CH1083:CH1088" si="127">M1083/7</f>
        <v>8</v>
      </c>
      <c r="CI1083" s="239">
        <f t="shared" ref="CI1083:CI1088" si="128">M1083/7</f>
        <v>8</v>
      </c>
      <c r="CJ1083" s="239">
        <f t="shared" ref="CJ1083:CJ1088" si="129">M1083/7</f>
        <v>8</v>
      </c>
      <c r="CK1083" s="239">
        <f t="shared" ref="CK1083:CK1088" si="130">M1083/7</f>
        <v>8</v>
      </c>
      <c r="CL1083" s="239">
        <f t="shared" ref="CL1083:CL1088" si="131">M1083/7</f>
        <v>8</v>
      </c>
      <c r="CM1083" s="239">
        <f t="shared" ref="CM1083:CM1088" si="132">M1083/7</f>
        <v>8</v>
      </c>
      <c r="CN1083" s="238">
        <f t="shared" si="125"/>
        <v>0</v>
      </c>
      <c r="CO1083" s="238">
        <f t="shared" si="126"/>
        <v>0</v>
      </c>
    </row>
    <row r="1084" spans="1:93" ht="13.95" customHeight="1" x14ac:dyDescent="0.2">
      <c r="A1084" s="238">
        <v>4484</v>
      </c>
      <c r="B1084" s="241" t="s">
        <v>2736</v>
      </c>
      <c r="C1084" s="238"/>
      <c r="D1084" s="237" t="s">
        <v>2803</v>
      </c>
      <c r="E1084" s="237"/>
      <c r="F1084" s="238">
        <v>526998.49629999895</v>
      </c>
      <c r="G1084" s="238">
        <v>175370.1955</v>
      </c>
      <c r="H1084" s="232" t="s">
        <v>165</v>
      </c>
      <c r="J1084" s="226"/>
      <c r="K1084" s="238">
        <v>0</v>
      </c>
      <c r="L1084" s="238">
        <v>17</v>
      </c>
      <c r="M1084" s="238">
        <v>17</v>
      </c>
      <c r="N1084" s="238">
        <v>83</v>
      </c>
      <c r="O1084" s="238">
        <v>83</v>
      </c>
      <c r="P1084" s="238" t="s">
        <v>318</v>
      </c>
      <c r="Q1084" s="242" t="s">
        <v>2738</v>
      </c>
      <c r="R1084" s="243" t="s">
        <v>2739</v>
      </c>
      <c r="T1084" s="226"/>
      <c r="U1084" s="238"/>
      <c r="V1084" s="238" t="s">
        <v>321</v>
      </c>
      <c r="W1084" s="226"/>
      <c r="X1084" s="238" t="s">
        <v>322</v>
      </c>
      <c r="Y1084" s="238" t="s">
        <v>323</v>
      </c>
      <c r="Z1084" s="238" t="s">
        <v>323</v>
      </c>
      <c r="AA1084" s="238" t="s">
        <v>324</v>
      </c>
      <c r="AB1084" s="244">
        <v>0</v>
      </c>
      <c r="AD1084" s="238"/>
      <c r="AE1084" s="226"/>
      <c r="AF1084" s="238" t="s">
        <v>57</v>
      </c>
      <c r="AG1084" s="238" t="s">
        <v>470</v>
      </c>
      <c r="AH1084" s="238" t="s">
        <v>2804</v>
      </c>
      <c r="AI1084" s="238"/>
      <c r="AJ1084" s="239">
        <v>0</v>
      </c>
      <c r="AK1084" s="239">
        <v>0</v>
      </c>
      <c r="AL1084" s="239">
        <v>0</v>
      </c>
      <c r="AM1084" s="239">
        <v>0</v>
      </c>
      <c r="AN1084" s="239">
        <v>0</v>
      </c>
      <c r="AO1084" s="239">
        <v>0</v>
      </c>
      <c r="AP1084" s="239">
        <v>0</v>
      </c>
      <c r="AQ1084" s="239">
        <v>0</v>
      </c>
      <c r="AR1084" s="239">
        <v>0</v>
      </c>
      <c r="AS1084" s="239">
        <v>0</v>
      </c>
      <c r="AT1084" s="239">
        <v>17</v>
      </c>
      <c r="AU1084" s="239">
        <v>0</v>
      </c>
      <c r="AV1084" s="239">
        <v>0</v>
      </c>
      <c r="AW1084" s="239">
        <v>0</v>
      </c>
      <c r="AX1084" s="239">
        <v>0</v>
      </c>
      <c r="AY1084" s="239">
        <v>0</v>
      </c>
      <c r="AZ1084" s="239">
        <v>0</v>
      </c>
      <c r="BA1084" s="239">
        <v>17</v>
      </c>
      <c r="BB1084" s="239">
        <v>0</v>
      </c>
      <c r="BC1084" s="239">
        <v>0</v>
      </c>
      <c r="BD1084" s="239">
        <v>0</v>
      </c>
      <c r="BE1084" s="239">
        <v>0</v>
      </c>
      <c r="BF1084" s="239">
        <v>0</v>
      </c>
      <c r="BG1084" s="239">
        <v>0</v>
      </c>
      <c r="BH1084" s="239">
        <v>0</v>
      </c>
      <c r="BI1084" s="239">
        <v>0</v>
      </c>
      <c r="BJ1084" s="239">
        <v>0</v>
      </c>
      <c r="BK1084" s="239">
        <v>0</v>
      </c>
      <c r="BL1084" s="239">
        <v>0</v>
      </c>
      <c r="BM1084" s="239">
        <v>0</v>
      </c>
      <c r="BN1084" s="239">
        <v>0</v>
      </c>
      <c r="BO1084" s="239">
        <v>0</v>
      </c>
      <c r="BP1084" s="238"/>
      <c r="BQ1084" s="238"/>
      <c r="BR1084" s="237" t="s">
        <v>150</v>
      </c>
      <c r="BS1084" s="238">
        <v>19</v>
      </c>
      <c r="CH1084" s="239">
        <f t="shared" si="127"/>
        <v>2.4285714285714284</v>
      </c>
      <c r="CI1084" s="239">
        <f t="shared" si="128"/>
        <v>2.4285714285714284</v>
      </c>
      <c r="CJ1084" s="239">
        <f t="shared" si="129"/>
        <v>2.4285714285714284</v>
      </c>
      <c r="CK1084" s="239">
        <f t="shared" si="130"/>
        <v>2.4285714285714284</v>
      </c>
      <c r="CL1084" s="239">
        <f t="shared" si="131"/>
        <v>2.4285714285714284</v>
      </c>
      <c r="CM1084" s="239">
        <f t="shared" si="132"/>
        <v>2.4285714285714284</v>
      </c>
      <c r="CN1084" s="238">
        <f t="shared" si="125"/>
        <v>0</v>
      </c>
      <c r="CO1084" s="238">
        <f t="shared" si="126"/>
        <v>0</v>
      </c>
    </row>
    <row r="1085" spans="1:93" ht="13.95" customHeight="1" x14ac:dyDescent="0.2">
      <c r="A1085" s="238">
        <v>4484</v>
      </c>
      <c r="B1085" s="241" t="s">
        <v>2736</v>
      </c>
      <c r="C1085" s="238"/>
      <c r="D1085" s="237" t="s">
        <v>2803</v>
      </c>
      <c r="E1085" s="237"/>
      <c r="F1085" s="238">
        <v>526998.49629999895</v>
      </c>
      <c r="G1085" s="238">
        <v>175370.1955</v>
      </c>
      <c r="H1085" s="232" t="s">
        <v>165</v>
      </c>
      <c r="J1085" s="226"/>
      <c r="K1085" s="238">
        <v>0</v>
      </c>
      <c r="L1085" s="238">
        <v>10</v>
      </c>
      <c r="M1085" s="238">
        <v>10</v>
      </c>
      <c r="N1085" s="238">
        <v>83</v>
      </c>
      <c r="O1085" s="238">
        <v>83</v>
      </c>
      <c r="P1085" s="238" t="s">
        <v>318</v>
      </c>
      <c r="Q1085" s="242" t="s">
        <v>2738</v>
      </c>
      <c r="R1085" s="243" t="s">
        <v>2739</v>
      </c>
      <c r="T1085" s="226"/>
      <c r="U1085" s="238"/>
      <c r="V1085" s="238" t="s">
        <v>321</v>
      </c>
      <c r="W1085" s="226"/>
      <c r="X1085" s="238" t="s">
        <v>322</v>
      </c>
      <c r="Y1085" s="238" t="s">
        <v>323</v>
      </c>
      <c r="Z1085" s="238" t="s">
        <v>323</v>
      </c>
      <c r="AA1085" s="238" t="s">
        <v>324</v>
      </c>
      <c r="AB1085" s="244">
        <v>0</v>
      </c>
      <c r="AD1085" s="238"/>
      <c r="AE1085" s="226"/>
      <c r="AF1085" s="238" t="s">
        <v>56</v>
      </c>
      <c r="AG1085" s="238" t="s">
        <v>1355</v>
      </c>
      <c r="AH1085" s="238" t="s">
        <v>2804</v>
      </c>
      <c r="AI1085" s="238"/>
      <c r="AJ1085" s="239">
        <v>0</v>
      </c>
      <c r="AK1085" s="239">
        <v>0</v>
      </c>
      <c r="AL1085" s="239">
        <v>0</v>
      </c>
      <c r="AM1085" s="239">
        <v>0</v>
      </c>
      <c r="AN1085" s="239">
        <v>0</v>
      </c>
      <c r="AO1085" s="239">
        <v>0</v>
      </c>
      <c r="AP1085" s="239">
        <v>0</v>
      </c>
      <c r="AQ1085" s="239">
        <v>0</v>
      </c>
      <c r="AR1085" s="239">
        <v>0</v>
      </c>
      <c r="AS1085" s="239">
        <v>0</v>
      </c>
      <c r="AT1085" s="239">
        <v>10</v>
      </c>
      <c r="AU1085" s="239">
        <v>0</v>
      </c>
      <c r="AV1085" s="239">
        <v>0</v>
      </c>
      <c r="AW1085" s="239">
        <v>0</v>
      </c>
      <c r="AX1085" s="239">
        <v>0</v>
      </c>
      <c r="AY1085" s="239">
        <v>0</v>
      </c>
      <c r="AZ1085" s="239">
        <v>0</v>
      </c>
      <c r="BA1085" s="239">
        <v>10</v>
      </c>
      <c r="BB1085" s="239">
        <v>0</v>
      </c>
      <c r="BC1085" s="239">
        <v>0</v>
      </c>
      <c r="BD1085" s="239">
        <v>0</v>
      </c>
      <c r="BE1085" s="239">
        <v>0</v>
      </c>
      <c r="BF1085" s="239">
        <v>0</v>
      </c>
      <c r="BG1085" s="239">
        <v>0</v>
      </c>
      <c r="BH1085" s="239">
        <v>0</v>
      </c>
      <c r="BI1085" s="239">
        <v>0</v>
      </c>
      <c r="BJ1085" s="239">
        <v>0</v>
      </c>
      <c r="BK1085" s="239">
        <v>0</v>
      </c>
      <c r="BL1085" s="239">
        <v>0</v>
      </c>
      <c r="BM1085" s="239">
        <v>0</v>
      </c>
      <c r="BN1085" s="239">
        <v>0</v>
      </c>
      <c r="BO1085" s="239">
        <v>0</v>
      </c>
      <c r="BP1085" s="238"/>
      <c r="BQ1085" s="238"/>
      <c r="BR1085" s="237" t="s">
        <v>150</v>
      </c>
      <c r="BS1085" s="238">
        <v>19</v>
      </c>
      <c r="CH1085" s="239">
        <f t="shared" si="127"/>
        <v>1.4285714285714286</v>
      </c>
      <c r="CI1085" s="239">
        <f t="shared" si="128"/>
        <v>1.4285714285714286</v>
      </c>
      <c r="CJ1085" s="239">
        <f t="shared" si="129"/>
        <v>1.4285714285714286</v>
      </c>
      <c r="CK1085" s="239">
        <f t="shared" si="130"/>
        <v>1.4285714285714286</v>
      </c>
      <c r="CL1085" s="239">
        <f t="shared" si="131"/>
        <v>1.4285714285714286</v>
      </c>
      <c r="CM1085" s="239">
        <f t="shared" si="132"/>
        <v>1.4285714285714286</v>
      </c>
      <c r="CN1085" s="238">
        <f t="shared" si="125"/>
        <v>0</v>
      </c>
      <c r="CO1085" s="238">
        <f t="shared" si="126"/>
        <v>0</v>
      </c>
    </row>
    <row r="1086" spans="1:93" ht="13.95" customHeight="1" x14ac:dyDescent="0.2">
      <c r="A1086" s="238">
        <v>6896</v>
      </c>
      <c r="B1086" s="241" t="s">
        <v>2736</v>
      </c>
      <c r="C1086" s="238"/>
      <c r="D1086" s="237" t="s">
        <v>2805</v>
      </c>
      <c r="E1086" s="237"/>
      <c r="F1086" s="238">
        <v>525597</v>
      </c>
      <c r="G1086" s="238">
        <v>175113</v>
      </c>
      <c r="H1086" s="232" t="s">
        <v>174</v>
      </c>
      <c r="J1086" s="226"/>
      <c r="K1086" s="238">
        <v>0</v>
      </c>
      <c r="L1086" s="238">
        <v>24</v>
      </c>
      <c r="M1086" s="238">
        <v>24</v>
      </c>
      <c r="N1086" s="238">
        <v>36</v>
      </c>
      <c r="O1086" s="238">
        <v>36</v>
      </c>
      <c r="P1086" s="238" t="s">
        <v>318</v>
      </c>
      <c r="Q1086" s="242" t="s">
        <v>2738</v>
      </c>
      <c r="R1086" s="243" t="s">
        <v>2739</v>
      </c>
      <c r="T1086" s="226"/>
      <c r="U1086" s="238"/>
      <c r="V1086" s="238" t="s">
        <v>321</v>
      </c>
      <c r="W1086" s="226"/>
      <c r="X1086" s="238" t="s">
        <v>322</v>
      </c>
      <c r="Y1086" s="238" t="s">
        <v>323</v>
      </c>
      <c r="Z1086" s="238" t="s">
        <v>323</v>
      </c>
      <c r="AA1086" s="238" t="s">
        <v>324</v>
      </c>
      <c r="AB1086" s="244">
        <v>0</v>
      </c>
      <c r="AD1086" s="238"/>
      <c r="AE1086" s="226"/>
      <c r="AF1086" s="224" t="s">
        <v>77</v>
      </c>
      <c r="AG1086" s="238" t="s">
        <v>350</v>
      </c>
      <c r="AH1086" s="238" t="s">
        <v>2806</v>
      </c>
      <c r="AI1086" s="238"/>
      <c r="AJ1086" s="239">
        <v>0</v>
      </c>
      <c r="AK1086" s="239">
        <v>0</v>
      </c>
      <c r="AL1086" s="239">
        <v>0</v>
      </c>
      <c r="AM1086" s="239">
        <v>0</v>
      </c>
      <c r="AN1086" s="239">
        <v>0</v>
      </c>
      <c r="AO1086" s="239">
        <v>0</v>
      </c>
      <c r="AP1086" s="239">
        <v>0</v>
      </c>
      <c r="AQ1086" s="239">
        <v>0</v>
      </c>
      <c r="AR1086" s="239">
        <v>0</v>
      </c>
      <c r="AS1086" s="239">
        <v>0</v>
      </c>
      <c r="AT1086" s="239">
        <v>24</v>
      </c>
      <c r="AU1086" s="239">
        <v>0</v>
      </c>
      <c r="AV1086" s="239">
        <v>0</v>
      </c>
      <c r="AW1086" s="239">
        <v>0</v>
      </c>
      <c r="AX1086" s="239">
        <v>0</v>
      </c>
      <c r="AY1086" s="239">
        <v>0</v>
      </c>
      <c r="AZ1086" s="239">
        <v>0</v>
      </c>
      <c r="BA1086" s="239">
        <v>24</v>
      </c>
      <c r="BB1086" s="239">
        <v>0</v>
      </c>
      <c r="BC1086" s="239">
        <v>0</v>
      </c>
      <c r="BD1086" s="239">
        <v>0</v>
      </c>
      <c r="BE1086" s="239">
        <v>0</v>
      </c>
      <c r="BF1086" s="239">
        <v>0</v>
      </c>
      <c r="BG1086" s="239">
        <v>0</v>
      </c>
      <c r="BH1086" s="239">
        <v>0</v>
      </c>
      <c r="BI1086" s="239">
        <v>0</v>
      </c>
      <c r="BJ1086" s="239">
        <v>0</v>
      </c>
      <c r="BK1086" s="239">
        <v>0</v>
      </c>
      <c r="BL1086" s="239">
        <v>0</v>
      </c>
      <c r="BM1086" s="239">
        <v>0</v>
      </c>
      <c r="BN1086" s="239">
        <v>0</v>
      </c>
      <c r="BO1086" s="239">
        <v>0</v>
      </c>
      <c r="BP1086" s="238"/>
      <c r="BQ1086" s="238"/>
      <c r="BR1086" s="237" t="s">
        <v>327</v>
      </c>
      <c r="BS1086" s="238">
        <v>19</v>
      </c>
      <c r="CH1086" s="239">
        <f t="shared" si="127"/>
        <v>3.4285714285714284</v>
      </c>
      <c r="CI1086" s="239">
        <f t="shared" si="128"/>
        <v>3.4285714285714284</v>
      </c>
      <c r="CJ1086" s="239">
        <f t="shared" si="129"/>
        <v>3.4285714285714284</v>
      </c>
      <c r="CK1086" s="239">
        <f t="shared" si="130"/>
        <v>3.4285714285714284</v>
      </c>
      <c r="CL1086" s="239">
        <f t="shared" si="131"/>
        <v>3.4285714285714284</v>
      </c>
      <c r="CM1086" s="239">
        <f t="shared" si="132"/>
        <v>3.4285714285714284</v>
      </c>
      <c r="CN1086" s="238">
        <f t="shared" si="125"/>
        <v>0</v>
      </c>
      <c r="CO1086" s="238">
        <f t="shared" si="126"/>
        <v>0</v>
      </c>
    </row>
    <row r="1087" spans="1:93" ht="13.95" customHeight="1" x14ac:dyDescent="0.2">
      <c r="A1087" s="238">
        <v>6896</v>
      </c>
      <c r="B1087" s="241" t="s">
        <v>2736</v>
      </c>
      <c r="C1087" s="238"/>
      <c r="D1087" s="237" t="s">
        <v>2805</v>
      </c>
      <c r="E1087" s="237"/>
      <c r="F1087" s="238">
        <v>525597</v>
      </c>
      <c r="G1087" s="238">
        <v>175113</v>
      </c>
      <c r="H1087" s="232" t="s">
        <v>174</v>
      </c>
      <c r="J1087" s="226"/>
      <c r="K1087" s="238">
        <v>0</v>
      </c>
      <c r="L1087" s="238">
        <v>7</v>
      </c>
      <c r="M1087" s="238">
        <v>7</v>
      </c>
      <c r="N1087" s="238">
        <v>36</v>
      </c>
      <c r="O1087" s="238">
        <v>36</v>
      </c>
      <c r="P1087" s="238" t="s">
        <v>318</v>
      </c>
      <c r="Q1087" s="242" t="s">
        <v>2738</v>
      </c>
      <c r="R1087" s="243" t="s">
        <v>2739</v>
      </c>
      <c r="T1087" s="226"/>
      <c r="U1087" s="238"/>
      <c r="V1087" s="238" t="s">
        <v>321</v>
      </c>
      <c r="W1087" s="226"/>
      <c r="X1087" s="238" t="s">
        <v>322</v>
      </c>
      <c r="Y1087" s="238" t="s">
        <v>323</v>
      </c>
      <c r="Z1087" s="238" t="s">
        <v>323</v>
      </c>
      <c r="AA1087" s="238" t="s">
        <v>324</v>
      </c>
      <c r="AB1087" s="244">
        <v>0</v>
      </c>
      <c r="AD1087" s="238"/>
      <c r="AE1087" s="226"/>
      <c r="AF1087" s="238" t="s">
        <v>57</v>
      </c>
      <c r="AG1087" s="238" t="s">
        <v>470</v>
      </c>
      <c r="AH1087" s="238" t="s">
        <v>2806</v>
      </c>
      <c r="AI1087" s="238"/>
      <c r="AJ1087" s="239">
        <v>0</v>
      </c>
      <c r="AK1087" s="239">
        <v>0</v>
      </c>
      <c r="AL1087" s="239">
        <v>0</v>
      </c>
      <c r="AM1087" s="239">
        <v>0</v>
      </c>
      <c r="AN1087" s="239">
        <v>0</v>
      </c>
      <c r="AO1087" s="239">
        <v>0</v>
      </c>
      <c r="AP1087" s="239">
        <v>0</v>
      </c>
      <c r="AQ1087" s="239">
        <v>0</v>
      </c>
      <c r="AR1087" s="239">
        <v>0</v>
      </c>
      <c r="AS1087" s="239">
        <v>0</v>
      </c>
      <c r="AT1087" s="239">
        <v>7</v>
      </c>
      <c r="AU1087" s="239">
        <v>0</v>
      </c>
      <c r="AV1087" s="239">
        <v>0</v>
      </c>
      <c r="AW1087" s="239">
        <v>0</v>
      </c>
      <c r="AX1087" s="239">
        <v>0</v>
      </c>
      <c r="AY1087" s="239">
        <v>0</v>
      </c>
      <c r="AZ1087" s="239">
        <v>0</v>
      </c>
      <c r="BA1087" s="239">
        <v>7</v>
      </c>
      <c r="BB1087" s="239">
        <v>0</v>
      </c>
      <c r="BC1087" s="239">
        <v>0</v>
      </c>
      <c r="BD1087" s="239">
        <v>0</v>
      </c>
      <c r="BE1087" s="239">
        <v>0</v>
      </c>
      <c r="BF1087" s="239">
        <v>0</v>
      </c>
      <c r="BG1087" s="239">
        <v>0</v>
      </c>
      <c r="BH1087" s="239">
        <v>0</v>
      </c>
      <c r="BI1087" s="239">
        <v>0</v>
      </c>
      <c r="BJ1087" s="239">
        <v>0</v>
      </c>
      <c r="BK1087" s="239">
        <v>0</v>
      </c>
      <c r="BL1087" s="239">
        <v>0</v>
      </c>
      <c r="BM1087" s="239">
        <v>0</v>
      </c>
      <c r="BN1087" s="239">
        <v>0</v>
      </c>
      <c r="BO1087" s="239">
        <v>0</v>
      </c>
      <c r="BP1087" s="238"/>
      <c r="BQ1087" s="238"/>
      <c r="BR1087" s="237" t="s">
        <v>327</v>
      </c>
      <c r="BS1087" s="238">
        <v>19</v>
      </c>
      <c r="CH1087" s="239">
        <f t="shared" si="127"/>
        <v>1</v>
      </c>
      <c r="CI1087" s="239">
        <f t="shared" si="128"/>
        <v>1</v>
      </c>
      <c r="CJ1087" s="239">
        <f t="shared" si="129"/>
        <v>1</v>
      </c>
      <c r="CK1087" s="239">
        <f t="shared" si="130"/>
        <v>1</v>
      </c>
      <c r="CL1087" s="239">
        <f t="shared" si="131"/>
        <v>1</v>
      </c>
      <c r="CM1087" s="239">
        <f t="shared" si="132"/>
        <v>1</v>
      </c>
      <c r="CN1087" s="238">
        <f t="shared" si="125"/>
        <v>0</v>
      </c>
      <c r="CO1087" s="238">
        <f t="shared" si="126"/>
        <v>0</v>
      </c>
    </row>
    <row r="1088" spans="1:93" ht="13.95" customHeight="1" x14ac:dyDescent="0.2">
      <c r="A1088" s="238">
        <v>6896</v>
      </c>
      <c r="B1088" s="241" t="s">
        <v>2736</v>
      </c>
      <c r="C1088" s="238"/>
      <c r="D1088" s="237" t="s">
        <v>2805</v>
      </c>
      <c r="E1088" s="237"/>
      <c r="F1088" s="238">
        <v>525597</v>
      </c>
      <c r="G1088" s="238">
        <v>175113</v>
      </c>
      <c r="H1088" s="232" t="s">
        <v>174</v>
      </c>
      <c r="J1088" s="226"/>
      <c r="K1088" s="238">
        <v>0</v>
      </c>
      <c r="L1088" s="238">
        <v>5</v>
      </c>
      <c r="M1088" s="238">
        <v>5</v>
      </c>
      <c r="N1088" s="238">
        <v>36</v>
      </c>
      <c r="O1088" s="238">
        <v>36</v>
      </c>
      <c r="P1088" s="238" t="s">
        <v>318</v>
      </c>
      <c r="Q1088" s="242" t="s">
        <v>2738</v>
      </c>
      <c r="R1088" s="243" t="s">
        <v>2739</v>
      </c>
      <c r="T1088" s="226"/>
      <c r="U1088" s="238"/>
      <c r="V1088" s="238" t="s">
        <v>321</v>
      </c>
      <c r="W1088" s="226"/>
      <c r="X1088" s="238" t="s">
        <v>322</v>
      </c>
      <c r="Y1088" s="238" t="s">
        <v>323</v>
      </c>
      <c r="Z1088" s="238" t="s">
        <v>323</v>
      </c>
      <c r="AA1088" s="238" t="s">
        <v>324</v>
      </c>
      <c r="AB1088" s="244">
        <v>0</v>
      </c>
      <c r="AD1088" s="238"/>
      <c r="AE1088" s="226"/>
      <c r="AF1088" s="238" t="s">
        <v>56</v>
      </c>
      <c r="AG1088" s="238" t="s">
        <v>1355</v>
      </c>
      <c r="AH1088" s="238" t="s">
        <v>2806</v>
      </c>
      <c r="AI1088" s="238"/>
      <c r="AJ1088" s="239">
        <v>0</v>
      </c>
      <c r="AK1088" s="239">
        <v>0</v>
      </c>
      <c r="AL1088" s="239">
        <v>0</v>
      </c>
      <c r="AM1088" s="239">
        <v>0</v>
      </c>
      <c r="AN1088" s="239">
        <v>0</v>
      </c>
      <c r="AO1088" s="239">
        <v>0</v>
      </c>
      <c r="AP1088" s="239">
        <v>0</v>
      </c>
      <c r="AQ1088" s="239">
        <v>0</v>
      </c>
      <c r="AR1088" s="239">
        <v>0</v>
      </c>
      <c r="AS1088" s="239">
        <v>0</v>
      </c>
      <c r="AT1088" s="239">
        <v>5</v>
      </c>
      <c r="AU1088" s="239">
        <v>0</v>
      </c>
      <c r="AV1088" s="239">
        <v>0</v>
      </c>
      <c r="AW1088" s="239">
        <v>0</v>
      </c>
      <c r="AX1088" s="239">
        <v>0</v>
      </c>
      <c r="AY1088" s="239">
        <v>0</v>
      </c>
      <c r="AZ1088" s="239">
        <v>0</v>
      </c>
      <c r="BA1088" s="239">
        <v>5</v>
      </c>
      <c r="BB1088" s="239">
        <v>0</v>
      </c>
      <c r="BC1088" s="239">
        <v>0</v>
      </c>
      <c r="BD1088" s="239">
        <v>0</v>
      </c>
      <c r="BE1088" s="239">
        <v>0</v>
      </c>
      <c r="BF1088" s="239">
        <v>0</v>
      </c>
      <c r="BG1088" s="239">
        <v>0</v>
      </c>
      <c r="BH1088" s="239">
        <v>0</v>
      </c>
      <c r="BI1088" s="239">
        <v>0</v>
      </c>
      <c r="BJ1088" s="239">
        <v>0</v>
      </c>
      <c r="BK1088" s="239">
        <v>0</v>
      </c>
      <c r="BL1088" s="239">
        <v>0</v>
      </c>
      <c r="BM1088" s="239">
        <v>0</v>
      </c>
      <c r="BN1088" s="239">
        <v>0</v>
      </c>
      <c r="BO1088" s="239">
        <v>0</v>
      </c>
      <c r="BP1088" s="238"/>
      <c r="BQ1088" s="238"/>
      <c r="BR1088" s="237" t="s">
        <v>327</v>
      </c>
      <c r="BS1088" s="238">
        <v>19</v>
      </c>
      <c r="CH1088" s="239">
        <f t="shared" si="127"/>
        <v>0.7142857142857143</v>
      </c>
      <c r="CI1088" s="239">
        <f t="shared" si="128"/>
        <v>0.7142857142857143</v>
      </c>
      <c r="CJ1088" s="239">
        <f t="shared" si="129"/>
        <v>0.7142857142857143</v>
      </c>
      <c r="CK1088" s="239">
        <f t="shared" si="130"/>
        <v>0.7142857142857143</v>
      </c>
      <c r="CL1088" s="239">
        <f t="shared" si="131"/>
        <v>0.7142857142857143</v>
      </c>
      <c r="CM1088" s="239">
        <f t="shared" si="132"/>
        <v>0.7142857142857143</v>
      </c>
      <c r="CN1088" s="238">
        <f t="shared" si="125"/>
        <v>0</v>
      </c>
      <c r="CO1088" s="238">
        <f t="shared" si="126"/>
        <v>0</v>
      </c>
    </row>
    <row r="1089" spans="1:93" ht="13.95" customHeight="1" x14ac:dyDescent="0.2">
      <c r="A1089" s="238">
        <v>7540</v>
      </c>
      <c r="B1089" s="241" t="s">
        <v>2736</v>
      </c>
      <c r="C1089" s="238"/>
      <c r="D1089" s="237" t="s">
        <v>2807</v>
      </c>
      <c r="E1089" s="237"/>
      <c r="F1089" s="238">
        <v>524772</v>
      </c>
      <c r="G1089" s="238">
        <v>175005</v>
      </c>
      <c r="H1089" s="232" t="s">
        <v>175</v>
      </c>
      <c r="J1089" s="226"/>
      <c r="K1089" s="238">
        <v>0</v>
      </c>
      <c r="L1089" s="238">
        <v>9</v>
      </c>
      <c r="M1089" s="238">
        <v>9</v>
      </c>
      <c r="N1089" s="238">
        <v>9</v>
      </c>
      <c r="O1089" s="238">
        <v>9</v>
      </c>
      <c r="P1089" s="238"/>
      <c r="Q1089" s="242" t="s">
        <v>2738</v>
      </c>
      <c r="R1089" s="238" t="s">
        <v>2739</v>
      </c>
      <c r="T1089" s="226"/>
      <c r="U1089" s="238"/>
      <c r="V1089" s="238" t="s">
        <v>321</v>
      </c>
      <c r="W1089" s="226"/>
      <c r="X1089" s="238" t="s">
        <v>322</v>
      </c>
      <c r="Y1089" s="238" t="s">
        <v>323</v>
      </c>
      <c r="Z1089" s="238" t="s">
        <v>324</v>
      </c>
      <c r="AA1089" s="238" t="s">
        <v>349</v>
      </c>
      <c r="AB1089" s="244">
        <v>0</v>
      </c>
      <c r="AD1089" s="238"/>
      <c r="AE1089" s="226"/>
      <c r="AF1089" s="224" t="s">
        <v>77</v>
      </c>
      <c r="AG1089" s="238" t="s">
        <v>350</v>
      </c>
      <c r="AH1089" s="238"/>
      <c r="AI1089" s="238"/>
      <c r="AJ1089" s="239">
        <v>0</v>
      </c>
      <c r="AK1089" s="239">
        <v>0</v>
      </c>
      <c r="AL1089" s="239">
        <v>0</v>
      </c>
      <c r="AM1089" s="239">
        <v>0</v>
      </c>
      <c r="AN1089" s="239">
        <v>0</v>
      </c>
      <c r="AO1089" s="239">
        <v>0</v>
      </c>
      <c r="AP1089" s="239">
        <v>0</v>
      </c>
      <c r="AQ1089" s="239">
        <v>0</v>
      </c>
      <c r="AR1089" s="239">
        <v>0</v>
      </c>
      <c r="AS1089" s="239">
        <v>0</v>
      </c>
      <c r="AT1089" s="239">
        <v>9</v>
      </c>
      <c r="AU1089" s="239">
        <v>0</v>
      </c>
      <c r="AV1089" s="239">
        <v>0</v>
      </c>
      <c r="AW1089" s="239">
        <v>0</v>
      </c>
      <c r="AX1089" s="239">
        <v>0</v>
      </c>
      <c r="AY1089" s="239">
        <v>0</v>
      </c>
      <c r="AZ1089" s="239">
        <v>0</v>
      </c>
      <c r="BA1089" s="239">
        <v>9</v>
      </c>
      <c r="BB1089" s="239">
        <v>0</v>
      </c>
      <c r="BC1089" s="239">
        <v>0</v>
      </c>
      <c r="BD1089" s="239">
        <v>0</v>
      </c>
      <c r="BE1089" s="239">
        <v>0</v>
      </c>
      <c r="BF1089" s="239">
        <v>0</v>
      </c>
      <c r="BG1089" s="239">
        <v>0</v>
      </c>
      <c r="BH1089" s="239">
        <v>0</v>
      </c>
      <c r="BI1089" s="239">
        <v>0</v>
      </c>
      <c r="BJ1089" s="239">
        <v>0</v>
      </c>
      <c r="BK1089" s="239">
        <v>0</v>
      </c>
      <c r="BL1089" s="239">
        <v>0</v>
      </c>
      <c r="BM1089" s="239">
        <v>0</v>
      </c>
      <c r="BN1089" s="239">
        <v>0</v>
      </c>
      <c r="BO1089" s="239">
        <v>0</v>
      </c>
      <c r="BP1089" s="238"/>
      <c r="BQ1089" s="238"/>
      <c r="BR1089" s="237" t="s">
        <v>334</v>
      </c>
      <c r="BS1089" s="238">
        <v>19</v>
      </c>
      <c r="BY1089" s="239">
        <f>M1089</f>
        <v>9</v>
      </c>
      <c r="CN1089" s="238">
        <f t="shared" si="125"/>
        <v>9</v>
      </c>
      <c r="CO1089" s="238">
        <f t="shared" si="126"/>
        <v>9</v>
      </c>
    </row>
    <row r="1090" spans="1:93" ht="13.95" customHeight="1" x14ac:dyDescent="0.2">
      <c r="A1090" s="238">
        <v>6864</v>
      </c>
      <c r="B1090" s="241" t="s">
        <v>2736</v>
      </c>
      <c r="C1090" s="238"/>
      <c r="D1090" s="237" t="s">
        <v>2808</v>
      </c>
      <c r="E1090" s="237"/>
      <c r="F1090" s="238">
        <v>527562</v>
      </c>
      <c r="G1090" s="238">
        <v>171554</v>
      </c>
      <c r="H1090" s="232" t="s">
        <v>177</v>
      </c>
      <c r="J1090" s="226"/>
      <c r="K1090" s="238">
        <v>0</v>
      </c>
      <c r="L1090" s="238">
        <v>36</v>
      </c>
      <c r="M1090" s="238">
        <v>36</v>
      </c>
      <c r="N1090" s="238">
        <v>54</v>
      </c>
      <c r="O1090" s="238">
        <v>54</v>
      </c>
      <c r="P1090" s="238" t="s">
        <v>318</v>
      </c>
      <c r="Q1090" s="242" t="s">
        <v>2738</v>
      </c>
      <c r="R1090" s="243" t="s">
        <v>2739</v>
      </c>
      <c r="T1090" s="226"/>
      <c r="U1090" s="238"/>
      <c r="V1090" s="238" t="s">
        <v>321</v>
      </c>
      <c r="W1090" s="226"/>
      <c r="X1090" s="238" t="s">
        <v>322</v>
      </c>
      <c r="Y1090" s="238" t="s">
        <v>323</v>
      </c>
      <c r="Z1090" s="238" t="s">
        <v>323</v>
      </c>
      <c r="AA1090" s="238" t="s">
        <v>324</v>
      </c>
      <c r="AB1090" s="244">
        <v>0</v>
      </c>
      <c r="AD1090" s="238"/>
      <c r="AE1090" s="226"/>
      <c r="AF1090" s="224" t="s">
        <v>77</v>
      </c>
      <c r="AG1090" s="238" t="s">
        <v>350</v>
      </c>
      <c r="AH1090" s="238" t="s">
        <v>2809</v>
      </c>
      <c r="AI1090" s="238"/>
      <c r="AJ1090" s="239">
        <v>0</v>
      </c>
      <c r="AK1090" s="239">
        <v>0</v>
      </c>
      <c r="AL1090" s="239">
        <v>0</v>
      </c>
      <c r="AM1090" s="239">
        <v>0</v>
      </c>
      <c r="AN1090" s="239">
        <v>0</v>
      </c>
      <c r="AO1090" s="239">
        <v>0</v>
      </c>
      <c r="AP1090" s="239">
        <v>0</v>
      </c>
      <c r="AQ1090" s="239">
        <v>0</v>
      </c>
      <c r="AR1090" s="239">
        <v>0</v>
      </c>
      <c r="AS1090" s="239">
        <v>0</v>
      </c>
      <c r="AT1090" s="239">
        <v>36</v>
      </c>
      <c r="AU1090" s="239">
        <v>0</v>
      </c>
      <c r="AV1090" s="239">
        <v>0</v>
      </c>
      <c r="AW1090" s="239">
        <v>0</v>
      </c>
      <c r="AX1090" s="239">
        <v>0</v>
      </c>
      <c r="AY1090" s="239">
        <v>0</v>
      </c>
      <c r="AZ1090" s="239">
        <v>0</v>
      </c>
      <c r="BA1090" s="239">
        <v>36</v>
      </c>
      <c r="BB1090" s="239">
        <v>0</v>
      </c>
      <c r="BC1090" s="239">
        <v>0</v>
      </c>
      <c r="BD1090" s="239">
        <v>0</v>
      </c>
      <c r="BE1090" s="239">
        <v>0</v>
      </c>
      <c r="BF1090" s="239">
        <v>0</v>
      </c>
      <c r="BG1090" s="239">
        <v>0</v>
      </c>
      <c r="BH1090" s="239">
        <v>0</v>
      </c>
      <c r="BI1090" s="239">
        <v>0</v>
      </c>
      <c r="BJ1090" s="239">
        <v>0</v>
      </c>
      <c r="BK1090" s="239">
        <v>0</v>
      </c>
      <c r="BL1090" s="239">
        <v>0</v>
      </c>
      <c r="BM1090" s="239">
        <v>0</v>
      </c>
      <c r="BN1090" s="239">
        <v>0</v>
      </c>
      <c r="BO1090" s="239">
        <v>0</v>
      </c>
      <c r="BP1090" s="234" t="s">
        <v>144</v>
      </c>
      <c r="BQ1090" s="238"/>
      <c r="BR1090" s="237" t="s">
        <v>144</v>
      </c>
      <c r="BS1090" s="238">
        <v>19</v>
      </c>
      <c r="CC1090" s="239">
        <f t="shared" ref="CC1090:CC1095" si="133">M1090/12</f>
        <v>3</v>
      </c>
      <c r="CD1090" s="239">
        <f t="shared" ref="CD1090:CD1095" si="134">M1090/12</f>
        <v>3</v>
      </c>
      <c r="CE1090" s="239">
        <f t="shared" ref="CE1090:CE1095" si="135">M1090/12</f>
        <v>3</v>
      </c>
      <c r="CF1090" s="239">
        <f t="shared" ref="CF1090:CF1095" si="136">M1090/12</f>
        <v>3</v>
      </c>
      <c r="CG1090" s="239">
        <f t="shared" ref="CG1090:CG1095" si="137">M1090/12</f>
        <v>3</v>
      </c>
      <c r="CH1090" s="239">
        <f t="shared" ref="CH1090:CH1095" si="138">M1090/12</f>
        <v>3</v>
      </c>
      <c r="CI1090" s="239">
        <f t="shared" ref="CI1090:CI1095" si="139">M1090/12</f>
        <v>3</v>
      </c>
      <c r="CJ1090" s="239">
        <f t="shared" ref="CJ1090:CJ1095" si="140">M1090/12</f>
        <v>3</v>
      </c>
      <c r="CK1090" s="239">
        <f t="shared" ref="CK1090:CK1095" si="141">M1090/12</f>
        <v>3</v>
      </c>
      <c r="CL1090" s="239">
        <f t="shared" ref="CL1090:CL1095" si="142">M1090/12</f>
        <v>3</v>
      </c>
      <c r="CM1090" s="239">
        <f t="shared" ref="CM1090:CM1095" si="143">M1090/12</f>
        <v>3</v>
      </c>
      <c r="CN1090" s="238">
        <f t="shared" si="125"/>
        <v>0</v>
      </c>
      <c r="CO1090" s="238">
        <f t="shared" si="126"/>
        <v>6</v>
      </c>
    </row>
    <row r="1091" spans="1:93" ht="13.95" customHeight="1" x14ac:dyDescent="0.2">
      <c r="A1091" s="238">
        <v>6864</v>
      </c>
      <c r="B1091" s="241" t="s">
        <v>2736</v>
      </c>
      <c r="C1091" s="238"/>
      <c r="D1091" s="237" t="s">
        <v>2808</v>
      </c>
      <c r="E1091" s="237"/>
      <c r="F1091" s="238">
        <v>527562</v>
      </c>
      <c r="G1091" s="238">
        <v>171554</v>
      </c>
      <c r="H1091" s="232" t="s">
        <v>177</v>
      </c>
      <c r="J1091" s="226"/>
      <c r="K1091" s="238">
        <v>0</v>
      </c>
      <c r="L1091" s="238">
        <v>11</v>
      </c>
      <c r="M1091" s="238">
        <v>11</v>
      </c>
      <c r="N1091" s="238">
        <v>54</v>
      </c>
      <c r="O1091" s="238">
        <v>54</v>
      </c>
      <c r="P1091" s="238" t="s">
        <v>318</v>
      </c>
      <c r="Q1091" s="242" t="s">
        <v>2738</v>
      </c>
      <c r="R1091" s="243" t="s">
        <v>2739</v>
      </c>
      <c r="T1091" s="226"/>
      <c r="U1091" s="238"/>
      <c r="V1091" s="238" t="s">
        <v>321</v>
      </c>
      <c r="W1091" s="226"/>
      <c r="X1091" s="238" t="s">
        <v>322</v>
      </c>
      <c r="Y1091" s="238" t="s">
        <v>323</v>
      </c>
      <c r="Z1091" s="238" t="s">
        <v>323</v>
      </c>
      <c r="AA1091" s="238" t="s">
        <v>324</v>
      </c>
      <c r="AB1091" s="244">
        <v>0</v>
      </c>
      <c r="AD1091" s="238"/>
      <c r="AE1091" s="226"/>
      <c r="AF1091" s="238" t="s">
        <v>57</v>
      </c>
      <c r="AG1091" s="238" t="s">
        <v>470</v>
      </c>
      <c r="AH1091" s="238" t="s">
        <v>2809</v>
      </c>
      <c r="AI1091" s="238"/>
      <c r="AJ1091" s="239">
        <v>0</v>
      </c>
      <c r="AK1091" s="239">
        <v>0</v>
      </c>
      <c r="AL1091" s="239">
        <v>0</v>
      </c>
      <c r="AM1091" s="239">
        <v>0</v>
      </c>
      <c r="AN1091" s="239">
        <v>0</v>
      </c>
      <c r="AO1091" s="239">
        <v>0</v>
      </c>
      <c r="AP1091" s="239">
        <v>0</v>
      </c>
      <c r="AQ1091" s="239">
        <v>0</v>
      </c>
      <c r="AR1091" s="239">
        <v>0</v>
      </c>
      <c r="AS1091" s="239">
        <v>0</v>
      </c>
      <c r="AT1091" s="239">
        <v>11</v>
      </c>
      <c r="AU1091" s="239">
        <v>0</v>
      </c>
      <c r="AV1091" s="239">
        <v>0</v>
      </c>
      <c r="AW1091" s="239">
        <v>0</v>
      </c>
      <c r="AX1091" s="239">
        <v>0</v>
      </c>
      <c r="AY1091" s="239">
        <v>0</v>
      </c>
      <c r="AZ1091" s="239">
        <v>0</v>
      </c>
      <c r="BA1091" s="239">
        <v>11</v>
      </c>
      <c r="BB1091" s="239">
        <v>0</v>
      </c>
      <c r="BC1091" s="239">
        <v>0</v>
      </c>
      <c r="BD1091" s="239">
        <v>0</v>
      </c>
      <c r="BE1091" s="239">
        <v>0</v>
      </c>
      <c r="BF1091" s="239">
        <v>0</v>
      </c>
      <c r="BG1091" s="239">
        <v>0</v>
      </c>
      <c r="BH1091" s="239">
        <v>0</v>
      </c>
      <c r="BI1091" s="239">
        <v>0</v>
      </c>
      <c r="BJ1091" s="239">
        <v>0</v>
      </c>
      <c r="BK1091" s="239">
        <v>0</v>
      </c>
      <c r="BL1091" s="239">
        <v>0</v>
      </c>
      <c r="BM1091" s="239">
        <v>0</v>
      </c>
      <c r="BN1091" s="239">
        <v>0</v>
      </c>
      <c r="BO1091" s="239">
        <v>0</v>
      </c>
      <c r="BP1091" s="234" t="s">
        <v>144</v>
      </c>
      <c r="BQ1091" s="238"/>
      <c r="BR1091" s="237" t="s">
        <v>144</v>
      </c>
      <c r="BS1091" s="238">
        <v>19</v>
      </c>
      <c r="CC1091" s="239">
        <f t="shared" si="133"/>
        <v>0.91666666666666663</v>
      </c>
      <c r="CD1091" s="239">
        <f t="shared" si="134"/>
        <v>0.91666666666666663</v>
      </c>
      <c r="CE1091" s="239">
        <f t="shared" si="135"/>
        <v>0.91666666666666663</v>
      </c>
      <c r="CF1091" s="239">
        <f t="shared" si="136"/>
        <v>0.91666666666666663</v>
      </c>
      <c r="CG1091" s="239">
        <f t="shared" si="137"/>
        <v>0.91666666666666663</v>
      </c>
      <c r="CH1091" s="239">
        <f t="shared" si="138"/>
        <v>0.91666666666666663</v>
      </c>
      <c r="CI1091" s="239">
        <f t="shared" si="139"/>
        <v>0.91666666666666663</v>
      </c>
      <c r="CJ1091" s="239">
        <f t="shared" si="140"/>
        <v>0.91666666666666663</v>
      </c>
      <c r="CK1091" s="239">
        <f t="shared" si="141"/>
        <v>0.91666666666666663</v>
      </c>
      <c r="CL1091" s="239">
        <f t="shared" si="142"/>
        <v>0.91666666666666663</v>
      </c>
      <c r="CM1091" s="239">
        <f t="shared" si="143"/>
        <v>0.91666666666666663</v>
      </c>
      <c r="CN1091" s="238">
        <f t="shared" si="125"/>
        <v>0</v>
      </c>
      <c r="CO1091" s="238">
        <f t="shared" si="126"/>
        <v>1.8333333333333333</v>
      </c>
    </row>
    <row r="1092" spans="1:93" ht="13.95" customHeight="1" x14ac:dyDescent="0.2">
      <c r="A1092" s="238">
        <v>6864</v>
      </c>
      <c r="B1092" s="241" t="s">
        <v>2736</v>
      </c>
      <c r="C1092" s="238"/>
      <c r="D1092" s="237" t="s">
        <v>2808</v>
      </c>
      <c r="E1092" s="237"/>
      <c r="F1092" s="238">
        <v>527562</v>
      </c>
      <c r="G1092" s="238">
        <v>171554</v>
      </c>
      <c r="H1092" s="232" t="s">
        <v>177</v>
      </c>
      <c r="J1092" s="226"/>
      <c r="K1092" s="238">
        <v>0</v>
      </c>
      <c r="L1092" s="238">
        <v>7</v>
      </c>
      <c r="M1092" s="238">
        <v>7</v>
      </c>
      <c r="N1092" s="238">
        <v>54</v>
      </c>
      <c r="O1092" s="238">
        <v>54</v>
      </c>
      <c r="P1092" s="238" t="s">
        <v>318</v>
      </c>
      <c r="Q1092" s="242" t="s">
        <v>2738</v>
      </c>
      <c r="R1092" s="243" t="s">
        <v>2739</v>
      </c>
      <c r="T1092" s="226"/>
      <c r="U1092" s="238"/>
      <c r="V1092" s="238" t="s">
        <v>321</v>
      </c>
      <c r="W1092" s="226"/>
      <c r="X1092" s="238" t="s">
        <v>322</v>
      </c>
      <c r="Y1092" s="238" t="s">
        <v>323</v>
      </c>
      <c r="Z1092" s="238" t="s">
        <v>323</v>
      </c>
      <c r="AA1092" s="238" t="s">
        <v>324</v>
      </c>
      <c r="AB1092" s="244">
        <v>0</v>
      </c>
      <c r="AD1092" s="238"/>
      <c r="AE1092" s="226"/>
      <c r="AF1092" s="238" t="s">
        <v>56</v>
      </c>
      <c r="AG1092" s="238" t="s">
        <v>1355</v>
      </c>
      <c r="AH1092" s="238" t="s">
        <v>2809</v>
      </c>
      <c r="AI1092" s="238"/>
      <c r="AJ1092" s="239">
        <v>0</v>
      </c>
      <c r="AK1092" s="239">
        <v>0</v>
      </c>
      <c r="AL1092" s="239">
        <v>0</v>
      </c>
      <c r="AM1092" s="239">
        <v>0</v>
      </c>
      <c r="AN1092" s="239">
        <v>0</v>
      </c>
      <c r="AO1092" s="239">
        <v>0</v>
      </c>
      <c r="AP1092" s="239">
        <v>0</v>
      </c>
      <c r="AQ1092" s="239">
        <v>0</v>
      </c>
      <c r="AR1092" s="239">
        <v>0</v>
      </c>
      <c r="AS1092" s="239">
        <v>0</v>
      </c>
      <c r="AT1092" s="239">
        <v>7</v>
      </c>
      <c r="AU1092" s="239">
        <v>0</v>
      </c>
      <c r="AV1092" s="239">
        <v>0</v>
      </c>
      <c r="AW1092" s="239">
        <v>0</v>
      </c>
      <c r="AX1092" s="239">
        <v>0</v>
      </c>
      <c r="AY1092" s="239">
        <v>0</v>
      </c>
      <c r="AZ1092" s="239">
        <v>0</v>
      </c>
      <c r="BA1092" s="239">
        <v>7</v>
      </c>
      <c r="BB1092" s="239">
        <v>0</v>
      </c>
      <c r="BC1092" s="239">
        <v>0</v>
      </c>
      <c r="BD1092" s="239">
        <v>0</v>
      </c>
      <c r="BE1092" s="239">
        <v>0</v>
      </c>
      <c r="BF1092" s="239">
        <v>0</v>
      </c>
      <c r="BG1092" s="239">
        <v>0</v>
      </c>
      <c r="BH1092" s="239">
        <v>0</v>
      </c>
      <c r="BI1092" s="239">
        <v>0</v>
      </c>
      <c r="BJ1092" s="239">
        <v>0</v>
      </c>
      <c r="BK1092" s="239">
        <v>0</v>
      </c>
      <c r="BL1092" s="239">
        <v>0</v>
      </c>
      <c r="BM1092" s="239">
        <v>0</v>
      </c>
      <c r="BN1092" s="239">
        <v>0</v>
      </c>
      <c r="BO1092" s="239">
        <v>0</v>
      </c>
      <c r="BP1092" s="234" t="s">
        <v>144</v>
      </c>
      <c r="BQ1092" s="238"/>
      <c r="BR1092" s="237" t="s">
        <v>144</v>
      </c>
      <c r="BS1092" s="238">
        <v>19</v>
      </c>
      <c r="CC1092" s="239">
        <f t="shared" si="133"/>
        <v>0.58333333333333337</v>
      </c>
      <c r="CD1092" s="239">
        <f t="shared" si="134"/>
        <v>0.58333333333333337</v>
      </c>
      <c r="CE1092" s="239">
        <f t="shared" si="135"/>
        <v>0.58333333333333337</v>
      </c>
      <c r="CF1092" s="239">
        <f t="shared" si="136"/>
        <v>0.58333333333333337</v>
      </c>
      <c r="CG1092" s="239">
        <f t="shared" si="137"/>
        <v>0.58333333333333337</v>
      </c>
      <c r="CH1092" s="239">
        <f t="shared" si="138"/>
        <v>0.58333333333333337</v>
      </c>
      <c r="CI1092" s="239">
        <f t="shared" si="139"/>
        <v>0.58333333333333337</v>
      </c>
      <c r="CJ1092" s="239">
        <f t="shared" si="140"/>
        <v>0.58333333333333337</v>
      </c>
      <c r="CK1092" s="239">
        <f t="shared" si="141"/>
        <v>0.58333333333333337</v>
      </c>
      <c r="CL1092" s="239">
        <f t="shared" si="142"/>
        <v>0.58333333333333337</v>
      </c>
      <c r="CM1092" s="239">
        <f t="shared" si="143"/>
        <v>0.58333333333333337</v>
      </c>
      <c r="CN1092" s="238">
        <f t="shared" si="125"/>
        <v>0</v>
      </c>
      <c r="CO1092" s="238">
        <f t="shared" si="126"/>
        <v>1.1666666666666667</v>
      </c>
    </row>
    <row r="1093" spans="1:93" ht="13.95" customHeight="1" x14ac:dyDescent="0.2">
      <c r="A1093" s="238">
        <v>3523</v>
      </c>
      <c r="B1093" s="241" t="s">
        <v>2736</v>
      </c>
      <c r="C1093" s="238"/>
      <c r="D1093" s="237" t="s">
        <v>2810</v>
      </c>
      <c r="E1093" s="237"/>
      <c r="F1093" s="238">
        <v>526043</v>
      </c>
      <c r="G1093" s="238">
        <v>175254</v>
      </c>
      <c r="H1093" s="232" t="s">
        <v>174</v>
      </c>
      <c r="J1093" s="226"/>
      <c r="K1093" s="238">
        <v>0</v>
      </c>
      <c r="L1093" s="238">
        <v>7</v>
      </c>
      <c r="M1093" s="238">
        <v>7</v>
      </c>
      <c r="N1093" s="238">
        <v>10</v>
      </c>
      <c r="O1093" s="238">
        <v>10</v>
      </c>
      <c r="P1093" s="238" t="s">
        <v>318</v>
      </c>
      <c r="Q1093" s="242" t="s">
        <v>2738</v>
      </c>
      <c r="R1093" s="243" t="s">
        <v>2739</v>
      </c>
      <c r="T1093" s="226"/>
      <c r="U1093" s="238"/>
      <c r="V1093" s="238" t="s">
        <v>321</v>
      </c>
      <c r="W1093" s="226"/>
      <c r="X1093" s="238" t="s">
        <v>322</v>
      </c>
      <c r="Y1093" s="238" t="s">
        <v>323</v>
      </c>
      <c r="Z1093" s="238" t="s">
        <v>323</v>
      </c>
      <c r="AA1093" s="238" t="s">
        <v>324</v>
      </c>
      <c r="AB1093" s="244">
        <v>0</v>
      </c>
      <c r="AD1093" s="238"/>
      <c r="AE1093" s="226"/>
      <c r="AF1093" s="224" t="s">
        <v>77</v>
      </c>
      <c r="AG1093" s="238" t="s">
        <v>350</v>
      </c>
      <c r="AH1093" s="238" t="s">
        <v>2811</v>
      </c>
      <c r="AI1093" s="238"/>
      <c r="AJ1093" s="239">
        <v>0</v>
      </c>
      <c r="AK1093" s="239">
        <v>0</v>
      </c>
      <c r="AL1093" s="239">
        <v>0</v>
      </c>
      <c r="AM1093" s="239">
        <v>0</v>
      </c>
      <c r="AN1093" s="239">
        <v>0</v>
      </c>
      <c r="AO1093" s="239">
        <v>0</v>
      </c>
      <c r="AP1093" s="239">
        <v>0</v>
      </c>
      <c r="AQ1093" s="239">
        <v>0</v>
      </c>
      <c r="AR1093" s="239">
        <v>0</v>
      </c>
      <c r="AS1093" s="239">
        <v>0</v>
      </c>
      <c r="AT1093" s="239">
        <v>7</v>
      </c>
      <c r="AU1093" s="239">
        <v>0</v>
      </c>
      <c r="AV1093" s="239">
        <v>0</v>
      </c>
      <c r="AW1093" s="239">
        <v>0</v>
      </c>
      <c r="AX1093" s="239">
        <v>0</v>
      </c>
      <c r="AY1093" s="239">
        <v>0</v>
      </c>
      <c r="AZ1093" s="239">
        <v>0</v>
      </c>
      <c r="BA1093" s="239">
        <v>7</v>
      </c>
      <c r="BB1093" s="239">
        <v>0</v>
      </c>
      <c r="BC1093" s="239">
        <v>0</v>
      </c>
      <c r="BD1093" s="239">
        <v>0</v>
      </c>
      <c r="BE1093" s="239">
        <v>0</v>
      </c>
      <c r="BF1093" s="239">
        <v>0</v>
      </c>
      <c r="BG1093" s="239">
        <v>0</v>
      </c>
      <c r="BH1093" s="239">
        <v>0</v>
      </c>
      <c r="BI1093" s="239">
        <v>0</v>
      </c>
      <c r="BJ1093" s="239">
        <v>0</v>
      </c>
      <c r="BK1093" s="239">
        <v>0</v>
      </c>
      <c r="BL1093" s="239">
        <v>0</v>
      </c>
      <c r="BM1093" s="239">
        <v>0</v>
      </c>
      <c r="BN1093" s="239">
        <v>0</v>
      </c>
      <c r="BO1093" s="239">
        <v>0</v>
      </c>
      <c r="BP1093" s="238"/>
      <c r="BQ1093" s="238"/>
      <c r="BR1093" s="237" t="s">
        <v>327</v>
      </c>
      <c r="BS1093" s="238">
        <v>19</v>
      </c>
      <c r="CC1093" s="239">
        <f t="shared" si="133"/>
        <v>0.58333333333333337</v>
      </c>
      <c r="CD1093" s="239">
        <f t="shared" si="134"/>
        <v>0.58333333333333337</v>
      </c>
      <c r="CE1093" s="239">
        <f t="shared" si="135"/>
        <v>0.58333333333333337</v>
      </c>
      <c r="CF1093" s="239">
        <f t="shared" si="136"/>
        <v>0.58333333333333337</v>
      </c>
      <c r="CG1093" s="239">
        <f t="shared" si="137"/>
        <v>0.58333333333333337</v>
      </c>
      <c r="CH1093" s="239">
        <f t="shared" si="138"/>
        <v>0.58333333333333337</v>
      </c>
      <c r="CI1093" s="239">
        <f t="shared" si="139"/>
        <v>0.58333333333333337</v>
      </c>
      <c r="CJ1093" s="239">
        <f t="shared" si="140"/>
        <v>0.58333333333333337</v>
      </c>
      <c r="CK1093" s="239">
        <f t="shared" si="141"/>
        <v>0.58333333333333337</v>
      </c>
      <c r="CL1093" s="239">
        <f t="shared" si="142"/>
        <v>0.58333333333333337</v>
      </c>
      <c r="CM1093" s="239">
        <f t="shared" si="143"/>
        <v>0.58333333333333337</v>
      </c>
      <c r="CN1093" s="238">
        <f t="shared" si="125"/>
        <v>0</v>
      </c>
      <c r="CO1093" s="238">
        <f t="shared" si="126"/>
        <v>1.1666666666666667</v>
      </c>
    </row>
    <row r="1094" spans="1:93" ht="13.95" customHeight="1" x14ac:dyDescent="0.2">
      <c r="A1094" s="238">
        <v>3523</v>
      </c>
      <c r="B1094" s="241" t="s">
        <v>2736</v>
      </c>
      <c r="C1094" s="238"/>
      <c r="D1094" s="237" t="s">
        <v>2810</v>
      </c>
      <c r="E1094" s="237"/>
      <c r="F1094" s="238">
        <v>526043</v>
      </c>
      <c r="G1094" s="238">
        <v>175254</v>
      </c>
      <c r="H1094" s="232" t="s">
        <v>174</v>
      </c>
      <c r="J1094" s="226"/>
      <c r="K1094" s="238">
        <v>0</v>
      </c>
      <c r="L1094" s="238">
        <v>2</v>
      </c>
      <c r="M1094" s="238">
        <v>2</v>
      </c>
      <c r="N1094" s="238">
        <v>10</v>
      </c>
      <c r="O1094" s="238">
        <v>10</v>
      </c>
      <c r="P1094" s="238" t="s">
        <v>318</v>
      </c>
      <c r="Q1094" s="242" t="s">
        <v>2738</v>
      </c>
      <c r="R1094" s="243" t="s">
        <v>2739</v>
      </c>
      <c r="T1094" s="226"/>
      <c r="U1094" s="238"/>
      <c r="V1094" s="238" t="s">
        <v>321</v>
      </c>
      <c r="W1094" s="226"/>
      <c r="X1094" s="238" t="s">
        <v>322</v>
      </c>
      <c r="Y1094" s="238" t="s">
        <v>323</v>
      </c>
      <c r="Z1094" s="238" t="s">
        <v>323</v>
      </c>
      <c r="AA1094" s="238" t="s">
        <v>324</v>
      </c>
      <c r="AB1094" s="244">
        <v>0</v>
      </c>
      <c r="AD1094" s="238"/>
      <c r="AE1094" s="226"/>
      <c r="AF1094" s="238" t="s">
        <v>57</v>
      </c>
      <c r="AG1094" s="238" t="s">
        <v>470</v>
      </c>
      <c r="AH1094" s="238" t="s">
        <v>2811</v>
      </c>
      <c r="AI1094" s="238"/>
      <c r="AJ1094" s="239">
        <v>0</v>
      </c>
      <c r="AK1094" s="239">
        <v>0</v>
      </c>
      <c r="AL1094" s="239">
        <v>0</v>
      </c>
      <c r="AM1094" s="239">
        <v>0</v>
      </c>
      <c r="AN1094" s="239">
        <v>0</v>
      </c>
      <c r="AO1094" s="239">
        <v>0</v>
      </c>
      <c r="AP1094" s="239">
        <v>0</v>
      </c>
      <c r="AQ1094" s="239">
        <v>0</v>
      </c>
      <c r="AR1094" s="239">
        <v>0</v>
      </c>
      <c r="AS1094" s="239">
        <v>0</v>
      </c>
      <c r="AT1094" s="239">
        <v>2</v>
      </c>
      <c r="AU1094" s="239">
        <v>0</v>
      </c>
      <c r="AV1094" s="239">
        <v>0</v>
      </c>
      <c r="AW1094" s="239">
        <v>0</v>
      </c>
      <c r="AX1094" s="239">
        <v>0</v>
      </c>
      <c r="AY1094" s="239">
        <v>0</v>
      </c>
      <c r="AZ1094" s="239">
        <v>0</v>
      </c>
      <c r="BA1094" s="239">
        <v>2</v>
      </c>
      <c r="BB1094" s="239">
        <v>0</v>
      </c>
      <c r="BC1094" s="239">
        <v>0</v>
      </c>
      <c r="BD1094" s="239">
        <v>0</v>
      </c>
      <c r="BE1094" s="239">
        <v>0</v>
      </c>
      <c r="BF1094" s="239">
        <v>0</v>
      </c>
      <c r="BG1094" s="239">
        <v>0</v>
      </c>
      <c r="BH1094" s="239">
        <v>0</v>
      </c>
      <c r="BI1094" s="239">
        <v>0</v>
      </c>
      <c r="BJ1094" s="239">
        <v>0</v>
      </c>
      <c r="BK1094" s="239">
        <v>0</v>
      </c>
      <c r="BL1094" s="239">
        <v>0</v>
      </c>
      <c r="BM1094" s="239">
        <v>0</v>
      </c>
      <c r="BN1094" s="239">
        <v>0</v>
      </c>
      <c r="BO1094" s="239">
        <v>0</v>
      </c>
      <c r="BP1094" s="238"/>
      <c r="BQ1094" s="238"/>
      <c r="BR1094" s="237" t="s">
        <v>327</v>
      </c>
      <c r="BS1094" s="238">
        <v>19</v>
      </c>
      <c r="CC1094" s="239">
        <f t="shared" si="133"/>
        <v>0.16666666666666666</v>
      </c>
      <c r="CD1094" s="239">
        <f t="shared" si="134"/>
        <v>0.16666666666666666</v>
      </c>
      <c r="CE1094" s="239">
        <f t="shared" si="135"/>
        <v>0.16666666666666666</v>
      </c>
      <c r="CF1094" s="239">
        <f t="shared" si="136"/>
        <v>0.16666666666666666</v>
      </c>
      <c r="CG1094" s="239">
        <f t="shared" si="137"/>
        <v>0.16666666666666666</v>
      </c>
      <c r="CH1094" s="239">
        <f t="shared" si="138"/>
        <v>0.16666666666666666</v>
      </c>
      <c r="CI1094" s="239">
        <f t="shared" si="139"/>
        <v>0.16666666666666666</v>
      </c>
      <c r="CJ1094" s="239">
        <f t="shared" si="140"/>
        <v>0.16666666666666666</v>
      </c>
      <c r="CK1094" s="239">
        <f t="shared" si="141"/>
        <v>0.16666666666666666</v>
      </c>
      <c r="CL1094" s="239">
        <f t="shared" si="142"/>
        <v>0.16666666666666666</v>
      </c>
      <c r="CM1094" s="239">
        <f t="shared" si="143"/>
        <v>0.16666666666666666</v>
      </c>
      <c r="CN1094" s="238">
        <f t="shared" si="125"/>
        <v>0</v>
      </c>
      <c r="CO1094" s="238">
        <f t="shared" si="126"/>
        <v>0.33333333333333331</v>
      </c>
    </row>
    <row r="1095" spans="1:93" ht="13.95" customHeight="1" x14ac:dyDescent="0.2">
      <c r="A1095" s="238">
        <v>3523</v>
      </c>
      <c r="B1095" s="241" t="s">
        <v>2736</v>
      </c>
      <c r="C1095" s="238"/>
      <c r="D1095" s="237" t="s">
        <v>2810</v>
      </c>
      <c r="E1095" s="237"/>
      <c r="F1095" s="238">
        <v>526043</v>
      </c>
      <c r="G1095" s="238">
        <v>175254</v>
      </c>
      <c r="H1095" s="232" t="s">
        <v>174</v>
      </c>
      <c r="J1095" s="226"/>
      <c r="K1095" s="238">
        <v>0</v>
      </c>
      <c r="L1095" s="238">
        <v>1</v>
      </c>
      <c r="M1095" s="238">
        <v>1</v>
      </c>
      <c r="N1095" s="238">
        <v>10</v>
      </c>
      <c r="O1095" s="238">
        <v>10</v>
      </c>
      <c r="P1095" s="238" t="s">
        <v>318</v>
      </c>
      <c r="Q1095" s="242" t="s">
        <v>2738</v>
      </c>
      <c r="R1095" s="243" t="s">
        <v>2739</v>
      </c>
      <c r="T1095" s="226"/>
      <c r="U1095" s="238"/>
      <c r="V1095" s="238" t="s">
        <v>321</v>
      </c>
      <c r="W1095" s="226"/>
      <c r="X1095" s="238" t="s">
        <v>322</v>
      </c>
      <c r="Y1095" s="238" t="s">
        <v>323</v>
      </c>
      <c r="Z1095" s="238" t="s">
        <v>323</v>
      </c>
      <c r="AA1095" s="238" t="s">
        <v>324</v>
      </c>
      <c r="AB1095" s="244">
        <v>0</v>
      </c>
      <c r="AD1095" s="238"/>
      <c r="AE1095" s="226"/>
      <c r="AF1095" s="238" t="s">
        <v>56</v>
      </c>
      <c r="AG1095" s="238" t="s">
        <v>1355</v>
      </c>
      <c r="AH1095" s="238" t="s">
        <v>2811</v>
      </c>
      <c r="AI1095" s="238"/>
      <c r="AJ1095" s="239">
        <v>0</v>
      </c>
      <c r="AK1095" s="239">
        <v>0</v>
      </c>
      <c r="AL1095" s="239">
        <v>0</v>
      </c>
      <c r="AM1095" s="239">
        <v>0</v>
      </c>
      <c r="AN1095" s="239">
        <v>0</v>
      </c>
      <c r="AO1095" s="239">
        <v>0</v>
      </c>
      <c r="AP1095" s="239">
        <v>0</v>
      </c>
      <c r="AQ1095" s="239">
        <v>0</v>
      </c>
      <c r="AR1095" s="239">
        <v>0</v>
      </c>
      <c r="AS1095" s="239">
        <v>0</v>
      </c>
      <c r="AT1095" s="239">
        <v>1</v>
      </c>
      <c r="AU1095" s="239">
        <v>0</v>
      </c>
      <c r="AV1095" s="239">
        <v>0</v>
      </c>
      <c r="AW1095" s="239">
        <v>0</v>
      </c>
      <c r="AX1095" s="239">
        <v>0</v>
      </c>
      <c r="AY1095" s="239">
        <v>0</v>
      </c>
      <c r="AZ1095" s="239">
        <v>0</v>
      </c>
      <c r="BA1095" s="239">
        <v>1</v>
      </c>
      <c r="BB1095" s="239">
        <v>0</v>
      </c>
      <c r="BC1095" s="239">
        <v>0</v>
      </c>
      <c r="BD1095" s="239">
        <v>0</v>
      </c>
      <c r="BE1095" s="239">
        <v>0</v>
      </c>
      <c r="BF1095" s="239">
        <v>0</v>
      </c>
      <c r="BG1095" s="239">
        <v>0</v>
      </c>
      <c r="BH1095" s="239">
        <v>0</v>
      </c>
      <c r="BI1095" s="239">
        <v>0</v>
      </c>
      <c r="BJ1095" s="239">
        <v>0</v>
      </c>
      <c r="BK1095" s="239">
        <v>0</v>
      </c>
      <c r="BL1095" s="239">
        <v>0</v>
      </c>
      <c r="BM1095" s="239">
        <v>0</v>
      </c>
      <c r="BN1095" s="239">
        <v>0</v>
      </c>
      <c r="BO1095" s="239">
        <v>0</v>
      </c>
      <c r="BP1095" s="238"/>
      <c r="BQ1095" s="238"/>
      <c r="BR1095" s="237" t="s">
        <v>327</v>
      </c>
      <c r="BS1095" s="238">
        <v>19</v>
      </c>
      <c r="CC1095" s="239">
        <f t="shared" si="133"/>
        <v>8.3333333333333329E-2</v>
      </c>
      <c r="CD1095" s="239">
        <f t="shared" si="134"/>
        <v>8.3333333333333329E-2</v>
      </c>
      <c r="CE1095" s="239">
        <f t="shared" si="135"/>
        <v>8.3333333333333329E-2</v>
      </c>
      <c r="CF1095" s="239">
        <f t="shared" si="136"/>
        <v>8.3333333333333329E-2</v>
      </c>
      <c r="CG1095" s="239">
        <f t="shared" si="137"/>
        <v>8.3333333333333329E-2</v>
      </c>
      <c r="CH1095" s="239">
        <f t="shared" si="138"/>
        <v>8.3333333333333329E-2</v>
      </c>
      <c r="CI1095" s="239">
        <f t="shared" si="139"/>
        <v>8.3333333333333329E-2</v>
      </c>
      <c r="CJ1095" s="239">
        <f t="shared" si="140"/>
        <v>8.3333333333333329E-2</v>
      </c>
      <c r="CK1095" s="239">
        <f t="shared" si="141"/>
        <v>8.3333333333333329E-2</v>
      </c>
      <c r="CL1095" s="239">
        <f t="shared" si="142"/>
        <v>8.3333333333333329E-2</v>
      </c>
      <c r="CM1095" s="239">
        <f t="shared" si="143"/>
        <v>8.3333333333333329E-2</v>
      </c>
      <c r="CN1095" s="238">
        <f t="shared" si="125"/>
        <v>0</v>
      </c>
      <c r="CO1095" s="238">
        <f t="shared" si="126"/>
        <v>0.16666666666666666</v>
      </c>
    </row>
    <row r="1096" spans="1:93" ht="13.95" customHeight="1" x14ac:dyDescent="0.2">
      <c r="A1096" s="238">
        <v>3955</v>
      </c>
      <c r="B1096" s="241" t="s">
        <v>2736</v>
      </c>
      <c r="C1096" s="238"/>
      <c r="D1096" s="237" t="s">
        <v>2812</v>
      </c>
      <c r="E1096" s="237"/>
      <c r="F1096" s="238">
        <v>526045</v>
      </c>
      <c r="G1096" s="238">
        <v>175348</v>
      </c>
      <c r="H1096" s="232" t="s">
        <v>174</v>
      </c>
      <c r="J1096" s="226"/>
      <c r="K1096" s="238">
        <v>0</v>
      </c>
      <c r="L1096" s="238">
        <v>128</v>
      </c>
      <c r="M1096" s="238">
        <v>128</v>
      </c>
      <c r="N1096" s="238">
        <v>191</v>
      </c>
      <c r="O1096" s="238">
        <v>191</v>
      </c>
      <c r="P1096" s="238" t="s">
        <v>318</v>
      </c>
      <c r="Q1096" s="242" t="s">
        <v>2738</v>
      </c>
      <c r="R1096" s="243" t="s">
        <v>2739</v>
      </c>
      <c r="T1096" s="226"/>
      <c r="U1096" s="238"/>
      <c r="V1096" s="238" t="s">
        <v>321</v>
      </c>
      <c r="W1096" s="226"/>
      <c r="X1096" s="238" t="s">
        <v>322</v>
      </c>
      <c r="Y1096" s="238" t="s">
        <v>323</v>
      </c>
      <c r="Z1096" s="238" t="s">
        <v>323</v>
      </c>
      <c r="AA1096" s="238" t="s">
        <v>324</v>
      </c>
      <c r="AB1096" s="244">
        <v>0</v>
      </c>
      <c r="AD1096" s="238"/>
      <c r="AE1096" s="226"/>
      <c r="AF1096" s="224" t="s">
        <v>77</v>
      </c>
      <c r="AG1096" s="238" t="s">
        <v>350</v>
      </c>
      <c r="AH1096" s="238" t="s">
        <v>2813</v>
      </c>
      <c r="AI1096" s="238"/>
      <c r="AJ1096" s="239">
        <v>0</v>
      </c>
      <c r="AK1096" s="239">
        <v>0</v>
      </c>
      <c r="AL1096" s="239">
        <v>0</v>
      </c>
      <c r="AM1096" s="239">
        <v>0</v>
      </c>
      <c r="AN1096" s="239">
        <v>0</v>
      </c>
      <c r="AO1096" s="239">
        <v>0</v>
      </c>
      <c r="AP1096" s="239">
        <v>0</v>
      </c>
      <c r="AQ1096" s="239">
        <v>0</v>
      </c>
      <c r="AR1096" s="239">
        <v>0</v>
      </c>
      <c r="AS1096" s="239">
        <v>0</v>
      </c>
      <c r="AT1096" s="239">
        <v>128</v>
      </c>
      <c r="AU1096" s="239">
        <v>0</v>
      </c>
      <c r="AV1096" s="239">
        <v>0</v>
      </c>
      <c r="AW1096" s="239">
        <v>0</v>
      </c>
      <c r="AX1096" s="239">
        <v>0</v>
      </c>
      <c r="AY1096" s="239">
        <v>0</v>
      </c>
      <c r="AZ1096" s="239">
        <v>0</v>
      </c>
      <c r="BA1096" s="239">
        <v>128</v>
      </c>
      <c r="BB1096" s="239">
        <v>0</v>
      </c>
      <c r="BC1096" s="239">
        <v>0</v>
      </c>
      <c r="BD1096" s="239">
        <v>0</v>
      </c>
      <c r="BE1096" s="239">
        <v>0</v>
      </c>
      <c r="BF1096" s="239">
        <v>0</v>
      </c>
      <c r="BG1096" s="239">
        <v>0</v>
      </c>
      <c r="BH1096" s="239">
        <v>0</v>
      </c>
      <c r="BI1096" s="239">
        <v>0</v>
      </c>
      <c r="BJ1096" s="239">
        <v>0</v>
      </c>
      <c r="BK1096" s="239">
        <v>0</v>
      </c>
      <c r="BL1096" s="239">
        <v>0</v>
      </c>
      <c r="BM1096" s="239">
        <v>0</v>
      </c>
      <c r="BN1096" s="239">
        <v>0</v>
      </c>
      <c r="BO1096" s="239">
        <v>0</v>
      </c>
      <c r="BP1096" s="238"/>
      <c r="BQ1096" s="238"/>
      <c r="BR1096" s="237" t="s">
        <v>327</v>
      </c>
      <c r="BS1096" s="238">
        <v>19</v>
      </c>
      <c r="BY1096" s="239">
        <f>M1096/16</f>
        <v>8</v>
      </c>
      <c r="BZ1096" s="239">
        <f>M1096/16</f>
        <v>8</v>
      </c>
      <c r="CA1096" s="239">
        <f>M1096/16</f>
        <v>8</v>
      </c>
      <c r="CB1096" s="239">
        <f>M1096/16</f>
        <v>8</v>
      </c>
      <c r="CC1096" s="239">
        <f>M1096/16</f>
        <v>8</v>
      </c>
      <c r="CD1096" s="239">
        <f>M1096/16</f>
        <v>8</v>
      </c>
      <c r="CE1096" s="239">
        <f>M1096/16</f>
        <v>8</v>
      </c>
      <c r="CF1096" s="239">
        <f>M1096/16</f>
        <v>8</v>
      </c>
      <c r="CG1096" s="239">
        <f>M1096/16</f>
        <v>8</v>
      </c>
      <c r="CH1096" s="239">
        <f>M1096/16</f>
        <v>8</v>
      </c>
      <c r="CI1096" s="239">
        <f>M1096/16</f>
        <v>8</v>
      </c>
      <c r="CJ1096" s="239">
        <f>M1096/16</f>
        <v>8</v>
      </c>
      <c r="CK1096" s="239">
        <f>M1096/16</f>
        <v>8</v>
      </c>
      <c r="CL1096" s="239">
        <f>M1096/16</f>
        <v>8</v>
      </c>
      <c r="CM1096" s="239">
        <f>M1096/16</f>
        <v>8</v>
      </c>
      <c r="CN1096" s="238">
        <f t="shared" si="125"/>
        <v>8</v>
      </c>
      <c r="CO1096" s="238">
        <f t="shared" si="126"/>
        <v>48</v>
      </c>
    </row>
    <row r="1097" spans="1:93" ht="13.95" customHeight="1" x14ac:dyDescent="0.2">
      <c r="A1097" s="238">
        <v>3955</v>
      </c>
      <c r="B1097" s="241" t="s">
        <v>2736</v>
      </c>
      <c r="C1097" s="238"/>
      <c r="D1097" s="237" t="s">
        <v>2812</v>
      </c>
      <c r="E1097" s="237"/>
      <c r="F1097" s="238">
        <v>526045</v>
      </c>
      <c r="G1097" s="238">
        <v>175348</v>
      </c>
      <c r="H1097" s="232" t="s">
        <v>174</v>
      </c>
      <c r="J1097" s="226"/>
      <c r="K1097" s="238">
        <v>0</v>
      </c>
      <c r="L1097" s="238">
        <v>38</v>
      </c>
      <c r="M1097" s="238">
        <v>38</v>
      </c>
      <c r="N1097" s="238">
        <v>191</v>
      </c>
      <c r="O1097" s="238">
        <v>191</v>
      </c>
      <c r="P1097" s="238" t="s">
        <v>318</v>
      </c>
      <c r="Q1097" s="242" t="s">
        <v>2738</v>
      </c>
      <c r="R1097" s="243" t="s">
        <v>2739</v>
      </c>
      <c r="T1097" s="226"/>
      <c r="U1097" s="238"/>
      <c r="V1097" s="238" t="s">
        <v>321</v>
      </c>
      <c r="W1097" s="226"/>
      <c r="X1097" s="238" t="s">
        <v>322</v>
      </c>
      <c r="Y1097" s="238" t="s">
        <v>323</v>
      </c>
      <c r="Z1097" s="238" t="s">
        <v>323</v>
      </c>
      <c r="AA1097" s="238" t="s">
        <v>324</v>
      </c>
      <c r="AB1097" s="244">
        <v>0</v>
      </c>
      <c r="AD1097" s="238"/>
      <c r="AE1097" s="226"/>
      <c r="AF1097" s="238" t="s">
        <v>57</v>
      </c>
      <c r="AG1097" s="238" t="s">
        <v>470</v>
      </c>
      <c r="AH1097" s="238" t="s">
        <v>2813</v>
      </c>
      <c r="AI1097" s="238"/>
      <c r="AJ1097" s="239">
        <v>0</v>
      </c>
      <c r="AK1097" s="239">
        <v>0</v>
      </c>
      <c r="AL1097" s="239">
        <v>0</v>
      </c>
      <c r="AM1097" s="239">
        <v>0</v>
      </c>
      <c r="AN1097" s="239">
        <v>0</v>
      </c>
      <c r="AO1097" s="239">
        <v>0</v>
      </c>
      <c r="AP1097" s="239">
        <v>0</v>
      </c>
      <c r="AQ1097" s="239">
        <v>0</v>
      </c>
      <c r="AR1097" s="239">
        <v>0</v>
      </c>
      <c r="AS1097" s="239">
        <v>0</v>
      </c>
      <c r="AT1097" s="239">
        <v>38</v>
      </c>
      <c r="AU1097" s="239">
        <v>0</v>
      </c>
      <c r="AV1097" s="239">
        <v>0</v>
      </c>
      <c r="AW1097" s="239">
        <v>0</v>
      </c>
      <c r="AX1097" s="239">
        <v>0</v>
      </c>
      <c r="AY1097" s="239">
        <v>0</v>
      </c>
      <c r="AZ1097" s="239">
        <v>0</v>
      </c>
      <c r="BA1097" s="239">
        <v>38</v>
      </c>
      <c r="BB1097" s="239">
        <v>0</v>
      </c>
      <c r="BC1097" s="239">
        <v>0</v>
      </c>
      <c r="BD1097" s="239">
        <v>0</v>
      </c>
      <c r="BE1097" s="239">
        <v>0</v>
      </c>
      <c r="BF1097" s="239">
        <v>0</v>
      </c>
      <c r="BG1097" s="239">
        <v>0</v>
      </c>
      <c r="BH1097" s="239">
        <v>0</v>
      </c>
      <c r="BI1097" s="239">
        <v>0</v>
      </c>
      <c r="BJ1097" s="239">
        <v>0</v>
      </c>
      <c r="BK1097" s="239">
        <v>0</v>
      </c>
      <c r="BL1097" s="239">
        <v>0</v>
      </c>
      <c r="BM1097" s="239">
        <v>0</v>
      </c>
      <c r="BN1097" s="239">
        <v>0</v>
      </c>
      <c r="BO1097" s="239">
        <v>0</v>
      </c>
      <c r="BP1097" s="238"/>
      <c r="BQ1097" s="238"/>
      <c r="BR1097" s="237" t="s">
        <v>327</v>
      </c>
      <c r="BS1097" s="238">
        <v>19</v>
      </c>
      <c r="BY1097" s="239">
        <f>M1097/16</f>
        <v>2.375</v>
      </c>
      <c r="BZ1097" s="239">
        <f>M1097/16</f>
        <v>2.375</v>
      </c>
      <c r="CA1097" s="239">
        <f>M1097/16</f>
        <v>2.375</v>
      </c>
      <c r="CB1097" s="239">
        <f>M1097/16</f>
        <v>2.375</v>
      </c>
      <c r="CC1097" s="239">
        <f>M1097/16</f>
        <v>2.375</v>
      </c>
      <c r="CD1097" s="239">
        <f>M1097/16</f>
        <v>2.375</v>
      </c>
      <c r="CE1097" s="239">
        <f>M1097/16</f>
        <v>2.375</v>
      </c>
      <c r="CF1097" s="239">
        <f>M1097/16</f>
        <v>2.375</v>
      </c>
      <c r="CG1097" s="239">
        <f>M1097/16</f>
        <v>2.375</v>
      </c>
      <c r="CH1097" s="239">
        <f>M1097/16</f>
        <v>2.375</v>
      </c>
      <c r="CI1097" s="239">
        <f>M1097/16</f>
        <v>2.375</v>
      </c>
      <c r="CJ1097" s="239">
        <f>M1097/16</f>
        <v>2.375</v>
      </c>
      <c r="CK1097" s="239">
        <f>M1097/16</f>
        <v>2.375</v>
      </c>
      <c r="CL1097" s="239">
        <f>M1097/16</f>
        <v>2.375</v>
      </c>
      <c r="CM1097" s="239">
        <f>M1097/16</f>
        <v>2.375</v>
      </c>
      <c r="CN1097" s="238">
        <f t="shared" si="125"/>
        <v>2.375</v>
      </c>
      <c r="CO1097" s="238">
        <f t="shared" si="126"/>
        <v>14.25</v>
      </c>
    </row>
    <row r="1098" spans="1:93" ht="13.95" customHeight="1" x14ac:dyDescent="0.2">
      <c r="A1098" s="238">
        <v>3955</v>
      </c>
      <c r="B1098" s="241" t="s">
        <v>2736</v>
      </c>
      <c r="C1098" s="238"/>
      <c r="D1098" s="237" t="s">
        <v>2812</v>
      </c>
      <c r="E1098" s="237"/>
      <c r="F1098" s="238">
        <v>526045</v>
      </c>
      <c r="G1098" s="238">
        <v>175348</v>
      </c>
      <c r="H1098" s="232" t="s">
        <v>174</v>
      </c>
      <c r="J1098" s="226"/>
      <c r="K1098" s="238">
        <v>0</v>
      </c>
      <c r="L1098" s="238">
        <v>25</v>
      </c>
      <c r="M1098" s="238">
        <v>25</v>
      </c>
      <c r="N1098" s="238">
        <v>191</v>
      </c>
      <c r="O1098" s="238">
        <v>191</v>
      </c>
      <c r="P1098" s="238" t="s">
        <v>318</v>
      </c>
      <c r="Q1098" s="242" t="s">
        <v>2738</v>
      </c>
      <c r="R1098" s="243" t="s">
        <v>2739</v>
      </c>
      <c r="T1098" s="226"/>
      <c r="U1098" s="238"/>
      <c r="V1098" s="238" t="s">
        <v>321</v>
      </c>
      <c r="W1098" s="226"/>
      <c r="X1098" s="238" t="s">
        <v>322</v>
      </c>
      <c r="Y1098" s="238" t="s">
        <v>323</v>
      </c>
      <c r="Z1098" s="238" t="s">
        <v>323</v>
      </c>
      <c r="AA1098" s="238" t="s">
        <v>324</v>
      </c>
      <c r="AB1098" s="244">
        <v>0</v>
      </c>
      <c r="AD1098" s="238"/>
      <c r="AE1098" s="226"/>
      <c r="AF1098" s="238" t="s">
        <v>56</v>
      </c>
      <c r="AG1098" s="238" t="s">
        <v>1355</v>
      </c>
      <c r="AH1098" s="238" t="s">
        <v>2813</v>
      </c>
      <c r="AI1098" s="238"/>
      <c r="AJ1098" s="239">
        <v>0</v>
      </c>
      <c r="AK1098" s="239">
        <v>0</v>
      </c>
      <c r="AL1098" s="239">
        <v>0</v>
      </c>
      <c r="AM1098" s="239">
        <v>0</v>
      </c>
      <c r="AN1098" s="239">
        <v>0</v>
      </c>
      <c r="AO1098" s="239">
        <v>0</v>
      </c>
      <c r="AP1098" s="239">
        <v>0</v>
      </c>
      <c r="AQ1098" s="239">
        <v>0</v>
      </c>
      <c r="AR1098" s="239">
        <v>0</v>
      </c>
      <c r="AS1098" s="239">
        <v>0</v>
      </c>
      <c r="AT1098" s="239">
        <v>25</v>
      </c>
      <c r="AU1098" s="239">
        <v>0</v>
      </c>
      <c r="AV1098" s="239">
        <v>0</v>
      </c>
      <c r="AW1098" s="239">
        <v>0</v>
      </c>
      <c r="AX1098" s="239">
        <v>0</v>
      </c>
      <c r="AY1098" s="239">
        <v>0</v>
      </c>
      <c r="AZ1098" s="239">
        <v>0</v>
      </c>
      <c r="BA1098" s="239">
        <v>25</v>
      </c>
      <c r="BB1098" s="239">
        <v>0</v>
      </c>
      <c r="BC1098" s="239">
        <v>0</v>
      </c>
      <c r="BD1098" s="239">
        <v>0</v>
      </c>
      <c r="BE1098" s="239">
        <v>0</v>
      </c>
      <c r="BF1098" s="239">
        <v>0</v>
      </c>
      <c r="BG1098" s="239">
        <v>0</v>
      </c>
      <c r="BH1098" s="239">
        <v>0</v>
      </c>
      <c r="BI1098" s="239">
        <v>0</v>
      </c>
      <c r="BJ1098" s="239">
        <v>0</v>
      </c>
      <c r="BK1098" s="239">
        <v>0</v>
      </c>
      <c r="BL1098" s="239">
        <v>0</v>
      </c>
      <c r="BM1098" s="239">
        <v>0</v>
      </c>
      <c r="BN1098" s="239">
        <v>0</v>
      </c>
      <c r="BO1098" s="239">
        <v>0</v>
      </c>
      <c r="BP1098" s="238"/>
      <c r="BQ1098" s="238"/>
      <c r="BR1098" s="237" t="s">
        <v>327</v>
      </c>
      <c r="BS1098" s="238">
        <v>19</v>
      </c>
      <c r="BY1098" s="239">
        <f>M1098/16</f>
        <v>1.5625</v>
      </c>
      <c r="BZ1098" s="239">
        <f>M1098/16</f>
        <v>1.5625</v>
      </c>
      <c r="CA1098" s="239">
        <f>M1098/16</f>
        <v>1.5625</v>
      </c>
      <c r="CB1098" s="239">
        <f>M1098/16</f>
        <v>1.5625</v>
      </c>
      <c r="CC1098" s="239">
        <f>M1098/16</f>
        <v>1.5625</v>
      </c>
      <c r="CD1098" s="239">
        <f>M1098/16</f>
        <v>1.5625</v>
      </c>
      <c r="CE1098" s="239">
        <f>M1098/16</f>
        <v>1.5625</v>
      </c>
      <c r="CF1098" s="239">
        <f>M1098/16</f>
        <v>1.5625</v>
      </c>
      <c r="CG1098" s="239">
        <f>M1098/16</f>
        <v>1.5625</v>
      </c>
      <c r="CH1098" s="239">
        <f>M1098/16</f>
        <v>1.5625</v>
      </c>
      <c r="CI1098" s="239">
        <f>M1098/16</f>
        <v>1.5625</v>
      </c>
      <c r="CJ1098" s="239">
        <f>M1098/16</f>
        <v>1.5625</v>
      </c>
      <c r="CK1098" s="239">
        <f>M1098/16</f>
        <v>1.5625</v>
      </c>
      <c r="CL1098" s="239">
        <f>M1098/16</f>
        <v>1.5625</v>
      </c>
      <c r="CM1098" s="239">
        <f>M1098/16</f>
        <v>1.5625</v>
      </c>
      <c r="CN1098" s="238">
        <f t="shared" si="125"/>
        <v>1.5625</v>
      </c>
      <c r="CO1098" s="238">
        <f t="shared" si="126"/>
        <v>9.375</v>
      </c>
    </row>
    <row r="1099" spans="1:93" ht="13.95" customHeight="1" x14ac:dyDescent="0.2">
      <c r="A1099" s="238">
        <v>6890</v>
      </c>
      <c r="B1099" s="241" t="s">
        <v>2736</v>
      </c>
      <c r="C1099" s="238"/>
      <c r="D1099" s="237" t="s">
        <v>2814</v>
      </c>
      <c r="E1099" s="237"/>
      <c r="F1099" s="238">
        <v>529517</v>
      </c>
      <c r="G1099" s="238">
        <v>177263</v>
      </c>
      <c r="H1099" s="232" t="s">
        <v>168</v>
      </c>
      <c r="J1099" s="226"/>
      <c r="K1099" s="238">
        <v>0</v>
      </c>
      <c r="L1099" s="238">
        <v>156</v>
      </c>
      <c r="M1099" s="238">
        <v>156</v>
      </c>
      <c r="N1099" s="238">
        <v>184</v>
      </c>
      <c r="O1099" s="238">
        <v>184</v>
      </c>
      <c r="P1099" s="238" t="s">
        <v>318</v>
      </c>
      <c r="Q1099" s="242" t="s">
        <v>2738</v>
      </c>
      <c r="R1099" s="243" t="s">
        <v>2739</v>
      </c>
      <c r="T1099" s="226"/>
      <c r="U1099" s="238"/>
      <c r="V1099" s="238" t="s">
        <v>321</v>
      </c>
      <c r="W1099" s="226"/>
      <c r="X1099" s="238" t="s">
        <v>322</v>
      </c>
      <c r="Y1099" s="238" t="s">
        <v>323</v>
      </c>
      <c r="Z1099" s="238" t="s">
        <v>323</v>
      </c>
      <c r="AA1099" s="238" t="s">
        <v>324</v>
      </c>
      <c r="AB1099" s="244">
        <v>0</v>
      </c>
      <c r="AD1099" s="238"/>
      <c r="AE1099" s="226"/>
      <c r="AF1099" s="224" t="s">
        <v>77</v>
      </c>
      <c r="AG1099" s="238" t="s">
        <v>350</v>
      </c>
      <c r="AH1099" s="238" t="s">
        <v>2815</v>
      </c>
      <c r="AI1099" s="238"/>
      <c r="AJ1099" s="239">
        <v>0</v>
      </c>
      <c r="AK1099" s="239">
        <v>0</v>
      </c>
      <c r="AL1099" s="239">
        <v>0</v>
      </c>
      <c r="AM1099" s="239">
        <v>0</v>
      </c>
      <c r="AN1099" s="239">
        <v>0</v>
      </c>
      <c r="AO1099" s="239">
        <v>0</v>
      </c>
      <c r="AP1099" s="239">
        <v>0</v>
      </c>
      <c r="AQ1099" s="239">
        <v>0</v>
      </c>
      <c r="AR1099" s="239">
        <v>0</v>
      </c>
      <c r="AS1099" s="239">
        <v>0</v>
      </c>
      <c r="AT1099" s="239">
        <v>156</v>
      </c>
      <c r="AU1099" s="239">
        <v>0</v>
      </c>
      <c r="AV1099" s="239">
        <v>0</v>
      </c>
      <c r="AW1099" s="239">
        <v>0</v>
      </c>
      <c r="AX1099" s="239">
        <v>0</v>
      </c>
      <c r="AY1099" s="239">
        <v>0</v>
      </c>
      <c r="AZ1099" s="239">
        <v>0</v>
      </c>
      <c r="BA1099" s="239">
        <v>156</v>
      </c>
      <c r="BB1099" s="239">
        <v>0</v>
      </c>
      <c r="BC1099" s="239">
        <v>0</v>
      </c>
      <c r="BD1099" s="239">
        <v>0</v>
      </c>
      <c r="BE1099" s="239">
        <v>0</v>
      </c>
      <c r="BF1099" s="239">
        <v>0</v>
      </c>
      <c r="BG1099" s="239">
        <v>0</v>
      </c>
      <c r="BH1099" s="239">
        <v>0</v>
      </c>
      <c r="BI1099" s="239">
        <v>0</v>
      </c>
      <c r="BJ1099" s="239">
        <v>0</v>
      </c>
      <c r="BK1099" s="239">
        <v>0</v>
      </c>
      <c r="BL1099" s="239">
        <v>0</v>
      </c>
      <c r="BM1099" s="239">
        <v>0</v>
      </c>
      <c r="BN1099" s="239">
        <v>0</v>
      </c>
      <c r="BO1099" s="239">
        <v>0</v>
      </c>
      <c r="BP1099" s="238"/>
      <c r="BQ1099" s="234" t="s">
        <v>318</v>
      </c>
      <c r="BR1099" s="237" t="s">
        <v>151</v>
      </c>
      <c r="BS1099" s="238">
        <v>20</v>
      </c>
      <c r="BY1099" s="239">
        <f>M1099</f>
        <v>156</v>
      </c>
      <c r="CN1099" s="238">
        <f t="shared" si="125"/>
        <v>156</v>
      </c>
      <c r="CO1099" s="238">
        <f t="shared" si="126"/>
        <v>156</v>
      </c>
    </row>
    <row r="1100" spans="1:93" ht="13.95" customHeight="1" x14ac:dyDescent="0.2">
      <c r="A1100" s="238">
        <v>6890</v>
      </c>
      <c r="B1100" s="241" t="s">
        <v>2736</v>
      </c>
      <c r="C1100" s="238"/>
      <c r="D1100" s="237" t="s">
        <v>2814</v>
      </c>
      <c r="E1100" s="237"/>
      <c r="F1100" s="238">
        <v>529517</v>
      </c>
      <c r="G1100" s="238">
        <v>177263</v>
      </c>
      <c r="H1100" s="232" t="s">
        <v>168</v>
      </c>
      <c r="J1100" s="226"/>
      <c r="K1100" s="238">
        <v>0</v>
      </c>
      <c r="L1100" s="238">
        <v>17</v>
      </c>
      <c r="M1100" s="238">
        <v>17</v>
      </c>
      <c r="N1100" s="238">
        <v>184</v>
      </c>
      <c r="O1100" s="238">
        <v>184</v>
      </c>
      <c r="P1100" s="238" t="s">
        <v>318</v>
      </c>
      <c r="Q1100" s="242" t="s">
        <v>2738</v>
      </c>
      <c r="R1100" s="243" t="s">
        <v>2739</v>
      </c>
      <c r="T1100" s="226"/>
      <c r="U1100" s="238"/>
      <c r="V1100" s="238" t="s">
        <v>321</v>
      </c>
      <c r="W1100" s="226"/>
      <c r="X1100" s="238" t="s">
        <v>322</v>
      </c>
      <c r="Y1100" s="238" t="s">
        <v>323</v>
      </c>
      <c r="Z1100" s="238" t="s">
        <v>323</v>
      </c>
      <c r="AA1100" s="238" t="s">
        <v>324</v>
      </c>
      <c r="AB1100" s="244">
        <v>0</v>
      </c>
      <c r="AD1100" s="238"/>
      <c r="AE1100" s="226"/>
      <c r="AF1100" s="238" t="s">
        <v>57</v>
      </c>
      <c r="AG1100" s="238" t="s">
        <v>470</v>
      </c>
      <c r="AH1100" s="238" t="s">
        <v>2815</v>
      </c>
      <c r="AI1100" s="238"/>
      <c r="AJ1100" s="239">
        <v>0</v>
      </c>
      <c r="AK1100" s="239">
        <v>0</v>
      </c>
      <c r="AL1100" s="239">
        <v>0</v>
      </c>
      <c r="AM1100" s="239">
        <v>0</v>
      </c>
      <c r="AN1100" s="239">
        <v>0</v>
      </c>
      <c r="AO1100" s="239">
        <v>0</v>
      </c>
      <c r="AP1100" s="239">
        <v>0</v>
      </c>
      <c r="AQ1100" s="239">
        <v>0</v>
      </c>
      <c r="AR1100" s="239">
        <v>0</v>
      </c>
      <c r="AS1100" s="239">
        <v>0</v>
      </c>
      <c r="AT1100" s="239">
        <v>17</v>
      </c>
      <c r="AU1100" s="239">
        <v>0</v>
      </c>
      <c r="AV1100" s="239">
        <v>0</v>
      </c>
      <c r="AW1100" s="239">
        <v>0</v>
      </c>
      <c r="AX1100" s="239">
        <v>0</v>
      </c>
      <c r="AY1100" s="239">
        <v>0</v>
      </c>
      <c r="AZ1100" s="239">
        <v>0</v>
      </c>
      <c r="BA1100" s="239">
        <v>17</v>
      </c>
      <c r="BB1100" s="239">
        <v>0</v>
      </c>
      <c r="BC1100" s="239">
        <v>0</v>
      </c>
      <c r="BD1100" s="239">
        <v>0</v>
      </c>
      <c r="BE1100" s="239">
        <v>0</v>
      </c>
      <c r="BF1100" s="239">
        <v>0</v>
      </c>
      <c r="BG1100" s="239">
        <v>0</v>
      </c>
      <c r="BH1100" s="239">
        <v>0</v>
      </c>
      <c r="BI1100" s="239">
        <v>0</v>
      </c>
      <c r="BJ1100" s="239">
        <v>0</v>
      </c>
      <c r="BK1100" s="239">
        <v>0</v>
      </c>
      <c r="BL1100" s="239">
        <v>0</v>
      </c>
      <c r="BM1100" s="239">
        <v>0</v>
      </c>
      <c r="BN1100" s="239">
        <v>0</v>
      </c>
      <c r="BO1100" s="239">
        <v>0</v>
      </c>
      <c r="BP1100" s="238"/>
      <c r="BQ1100" s="234" t="s">
        <v>318</v>
      </c>
      <c r="BR1100" s="237" t="s">
        <v>151</v>
      </c>
      <c r="BS1100" s="238">
        <v>20</v>
      </c>
      <c r="BY1100" s="239">
        <f>M1100</f>
        <v>17</v>
      </c>
      <c r="CN1100" s="238">
        <f t="shared" si="125"/>
        <v>17</v>
      </c>
      <c r="CO1100" s="238">
        <f t="shared" si="126"/>
        <v>17</v>
      </c>
    </row>
    <row r="1101" spans="1:93" ht="13.95" customHeight="1" x14ac:dyDescent="0.2">
      <c r="A1101" s="238">
        <v>6890</v>
      </c>
      <c r="B1101" s="241" t="s">
        <v>2736</v>
      </c>
      <c r="C1101" s="238"/>
      <c r="D1101" s="237" t="s">
        <v>2814</v>
      </c>
      <c r="E1101" s="237"/>
      <c r="F1101" s="238">
        <v>529517</v>
      </c>
      <c r="G1101" s="238">
        <v>177263</v>
      </c>
      <c r="H1101" s="232" t="s">
        <v>168</v>
      </c>
      <c r="J1101" s="226"/>
      <c r="K1101" s="238">
        <v>0</v>
      </c>
      <c r="L1101" s="238">
        <v>11</v>
      </c>
      <c r="M1101" s="238">
        <v>11</v>
      </c>
      <c r="N1101" s="238">
        <v>184</v>
      </c>
      <c r="O1101" s="238">
        <v>184</v>
      </c>
      <c r="P1101" s="238" t="s">
        <v>318</v>
      </c>
      <c r="Q1101" s="242" t="s">
        <v>2738</v>
      </c>
      <c r="R1101" s="243" t="s">
        <v>2739</v>
      </c>
      <c r="T1101" s="226"/>
      <c r="U1101" s="238"/>
      <c r="V1101" s="238" t="s">
        <v>321</v>
      </c>
      <c r="W1101" s="226"/>
      <c r="X1101" s="238" t="s">
        <v>322</v>
      </c>
      <c r="Y1101" s="238" t="s">
        <v>323</v>
      </c>
      <c r="Z1101" s="238" t="s">
        <v>323</v>
      </c>
      <c r="AA1101" s="238" t="s">
        <v>324</v>
      </c>
      <c r="AB1101" s="244">
        <v>0</v>
      </c>
      <c r="AD1101" s="238"/>
      <c r="AE1101" s="226"/>
      <c r="AF1101" s="238" t="s">
        <v>56</v>
      </c>
      <c r="AG1101" s="238" t="s">
        <v>1355</v>
      </c>
      <c r="AH1101" s="238" t="s">
        <v>2815</v>
      </c>
      <c r="AI1101" s="238"/>
      <c r="AJ1101" s="239">
        <v>0</v>
      </c>
      <c r="AK1101" s="239">
        <v>0</v>
      </c>
      <c r="AL1101" s="239">
        <v>0</v>
      </c>
      <c r="AM1101" s="239">
        <v>0</v>
      </c>
      <c r="AN1101" s="239">
        <v>0</v>
      </c>
      <c r="AO1101" s="239">
        <v>0</v>
      </c>
      <c r="AP1101" s="239">
        <v>0</v>
      </c>
      <c r="AQ1101" s="239">
        <v>0</v>
      </c>
      <c r="AR1101" s="239">
        <v>0</v>
      </c>
      <c r="AS1101" s="239">
        <v>0</v>
      </c>
      <c r="AT1101" s="239">
        <v>11</v>
      </c>
      <c r="AU1101" s="239">
        <v>0</v>
      </c>
      <c r="AV1101" s="239">
        <v>0</v>
      </c>
      <c r="AW1101" s="239">
        <v>0</v>
      </c>
      <c r="AX1101" s="239">
        <v>0</v>
      </c>
      <c r="AY1101" s="239">
        <v>0</v>
      </c>
      <c r="AZ1101" s="239">
        <v>0</v>
      </c>
      <c r="BA1101" s="239">
        <v>11</v>
      </c>
      <c r="BB1101" s="239">
        <v>0</v>
      </c>
      <c r="BC1101" s="239">
        <v>0</v>
      </c>
      <c r="BD1101" s="239">
        <v>0</v>
      </c>
      <c r="BE1101" s="239">
        <v>0</v>
      </c>
      <c r="BF1101" s="239">
        <v>0</v>
      </c>
      <c r="BG1101" s="239">
        <v>0</v>
      </c>
      <c r="BH1101" s="239">
        <v>0</v>
      </c>
      <c r="BI1101" s="239">
        <v>0</v>
      </c>
      <c r="BJ1101" s="239">
        <v>0</v>
      </c>
      <c r="BK1101" s="239">
        <v>0</v>
      </c>
      <c r="BL1101" s="239">
        <v>0</v>
      </c>
      <c r="BM1101" s="239">
        <v>0</v>
      </c>
      <c r="BN1101" s="239">
        <v>0</v>
      </c>
      <c r="BO1101" s="239">
        <v>0</v>
      </c>
      <c r="BP1101" s="238"/>
      <c r="BQ1101" s="234" t="s">
        <v>318</v>
      </c>
      <c r="BR1101" s="237" t="s">
        <v>151</v>
      </c>
      <c r="BS1101" s="238">
        <v>20</v>
      </c>
      <c r="BY1101" s="239">
        <f>M1101</f>
        <v>11</v>
      </c>
      <c r="CN1101" s="238">
        <f t="shared" si="125"/>
        <v>11</v>
      </c>
      <c r="CO1101" s="238">
        <f t="shared" si="126"/>
        <v>11</v>
      </c>
    </row>
    <row r="1102" spans="1:93" ht="13.95" customHeight="1" x14ac:dyDescent="0.2">
      <c r="A1102" s="238">
        <v>7574</v>
      </c>
      <c r="B1102" s="241" t="s">
        <v>2736</v>
      </c>
      <c r="C1102" s="238"/>
      <c r="D1102" s="237" t="s">
        <v>2816</v>
      </c>
      <c r="E1102" s="237"/>
      <c r="F1102" s="238">
        <v>529574.49120000005</v>
      </c>
      <c r="G1102" s="238">
        <v>177639.5822</v>
      </c>
      <c r="H1102" s="232" t="s">
        <v>168</v>
      </c>
      <c r="J1102" s="226"/>
      <c r="K1102" s="238">
        <v>0</v>
      </c>
      <c r="L1102" s="238">
        <v>1</v>
      </c>
      <c r="M1102" s="238">
        <v>1</v>
      </c>
      <c r="N1102" s="238">
        <v>1</v>
      </c>
      <c r="O1102" s="238">
        <v>1</v>
      </c>
      <c r="P1102" s="238"/>
      <c r="Q1102" s="242" t="s">
        <v>2738</v>
      </c>
      <c r="R1102" s="238" t="s">
        <v>2739</v>
      </c>
      <c r="T1102" s="226"/>
      <c r="U1102" s="238"/>
      <c r="V1102" s="238" t="s">
        <v>321</v>
      </c>
      <c r="W1102" s="226"/>
      <c r="X1102" s="238" t="s">
        <v>322</v>
      </c>
      <c r="Y1102" s="238" t="s">
        <v>323</v>
      </c>
      <c r="Z1102" s="238" t="s">
        <v>324</v>
      </c>
      <c r="AA1102" s="238" t="s">
        <v>349</v>
      </c>
      <c r="AB1102" s="244">
        <v>0</v>
      </c>
      <c r="AD1102" s="238"/>
      <c r="AE1102" s="226"/>
      <c r="AF1102" s="224" t="s">
        <v>77</v>
      </c>
      <c r="AG1102" s="238" t="s">
        <v>350</v>
      </c>
      <c r="AH1102" s="238" t="s">
        <v>2817</v>
      </c>
      <c r="AI1102" s="238"/>
      <c r="AJ1102" s="239">
        <v>0</v>
      </c>
      <c r="AK1102" s="239">
        <v>0</v>
      </c>
      <c r="AL1102" s="239">
        <v>0</v>
      </c>
      <c r="AM1102" s="239">
        <v>0</v>
      </c>
      <c r="AN1102" s="239">
        <v>0</v>
      </c>
      <c r="AO1102" s="239">
        <v>0</v>
      </c>
      <c r="AP1102" s="239">
        <v>0</v>
      </c>
      <c r="AQ1102" s="239">
        <v>0</v>
      </c>
      <c r="AR1102" s="239">
        <v>0</v>
      </c>
      <c r="AS1102" s="239">
        <v>0</v>
      </c>
      <c r="AT1102" s="239">
        <v>1</v>
      </c>
      <c r="AU1102" s="239">
        <v>0</v>
      </c>
      <c r="AV1102" s="239">
        <v>0</v>
      </c>
      <c r="AW1102" s="239">
        <v>0</v>
      </c>
      <c r="AX1102" s="239">
        <v>0</v>
      </c>
      <c r="AY1102" s="239">
        <v>0</v>
      </c>
      <c r="AZ1102" s="239">
        <v>0</v>
      </c>
      <c r="BA1102" s="239">
        <v>1</v>
      </c>
      <c r="BB1102" s="239">
        <v>0</v>
      </c>
      <c r="BC1102" s="239">
        <v>0</v>
      </c>
      <c r="BD1102" s="239">
        <v>0</v>
      </c>
      <c r="BE1102" s="239">
        <v>0</v>
      </c>
      <c r="BF1102" s="239">
        <v>0</v>
      </c>
      <c r="BG1102" s="239">
        <v>0</v>
      </c>
      <c r="BH1102" s="239">
        <v>0</v>
      </c>
      <c r="BI1102" s="239">
        <v>0</v>
      </c>
      <c r="BJ1102" s="239">
        <v>0</v>
      </c>
      <c r="BK1102" s="239">
        <v>0</v>
      </c>
      <c r="BL1102" s="239">
        <v>0</v>
      </c>
      <c r="BM1102" s="239">
        <v>0</v>
      </c>
      <c r="BN1102" s="239">
        <v>0</v>
      </c>
      <c r="BO1102" s="239">
        <v>0</v>
      </c>
      <c r="BP1102" s="238"/>
      <c r="BQ1102" s="234" t="s">
        <v>318</v>
      </c>
      <c r="BR1102" s="237" t="s">
        <v>151</v>
      </c>
      <c r="BS1102" s="238">
        <v>20</v>
      </c>
      <c r="CH1102" s="239">
        <f>M1102/7</f>
        <v>0.14285714285714285</v>
      </c>
      <c r="CI1102" s="239">
        <f>M1102/7</f>
        <v>0.14285714285714285</v>
      </c>
      <c r="CJ1102" s="239">
        <f>M1102/7</f>
        <v>0.14285714285714285</v>
      </c>
      <c r="CK1102" s="239">
        <f>M1102/7</f>
        <v>0.14285714285714285</v>
      </c>
      <c r="CL1102" s="239">
        <f>M1102/7</f>
        <v>0.14285714285714285</v>
      </c>
      <c r="CM1102" s="239">
        <f>M1102/7</f>
        <v>0.14285714285714285</v>
      </c>
      <c r="CN1102" s="238">
        <f t="shared" si="125"/>
        <v>0</v>
      </c>
      <c r="CO1102" s="238">
        <f t="shared" si="126"/>
        <v>0</v>
      </c>
    </row>
    <row r="1103" spans="1:93" ht="13.95" customHeight="1" x14ac:dyDescent="0.2">
      <c r="A1103" s="238">
        <v>7581</v>
      </c>
      <c r="B1103" s="241" t="s">
        <v>2736</v>
      </c>
      <c r="C1103" s="238"/>
      <c r="D1103" s="237" t="s">
        <v>2818</v>
      </c>
      <c r="E1103" s="237"/>
      <c r="F1103" s="238">
        <v>521612.7733</v>
      </c>
      <c r="G1103" s="238">
        <v>173961.022399999</v>
      </c>
      <c r="H1103" s="232" t="s">
        <v>170</v>
      </c>
      <c r="J1103" s="226"/>
      <c r="K1103" s="238">
        <v>0</v>
      </c>
      <c r="L1103" s="238">
        <v>87</v>
      </c>
      <c r="M1103" s="238">
        <v>87</v>
      </c>
      <c r="N1103" s="238">
        <v>130</v>
      </c>
      <c r="O1103" s="238">
        <v>130</v>
      </c>
      <c r="P1103" s="238" t="s">
        <v>318</v>
      </c>
      <c r="Q1103" s="242" t="s">
        <v>2738</v>
      </c>
      <c r="R1103" s="243" t="s">
        <v>2739</v>
      </c>
      <c r="T1103" s="226"/>
      <c r="U1103" s="238"/>
      <c r="V1103" s="238" t="s">
        <v>321</v>
      </c>
      <c r="W1103" s="226"/>
      <c r="X1103" s="238" t="s">
        <v>322</v>
      </c>
      <c r="Y1103" s="238" t="s">
        <v>323</v>
      </c>
      <c r="Z1103" s="238" t="s">
        <v>323</v>
      </c>
      <c r="AA1103" s="238" t="s">
        <v>324</v>
      </c>
      <c r="AB1103" s="244">
        <v>0</v>
      </c>
      <c r="AD1103" s="238"/>
      <c r="AE1103" s="226"/>
      <c r="AF1103" s="224" t="s">
        <v>77</v>
      </c>
      <c r="AG1103" s="238" t="s">
        <v>350</v>
      </c>
      <c r="AH1103" s="238" t="s">
        <v>2819</v>
      </c>
      <c r="AI1103" s="238"/>
      <c r="AJ1103" s="239">
        <v>0</v>
      </c>
      <c r="AK1103" s="239">
        <v>0</v>
      </c>
      <c r="AL1103" s="239">
        <v>0</v>
      </c>
      <c r="AM1103" s="239">
        <v>0</v>
      </c>
      <c r="AN1103" s="239">
        <v>0</v>
      </c>
      <c r="AO1103" s="239">
        <v>0</v>
      </c>
      <c r="AP1103" s="239">
        <v>0</v>
      </c>
      <c r="AQ1103" s="239">
        <v>0</v>
      </c>
      <c r="AR1103" s="239">
        <v>0</v>
      </c>
      <c r="AS1103" s="239">
        <v>0</v>
      </c>
      <c r="AT1103" s="239">
        <v>87</v>
      </c>
      <c r="AU1103" s="239">
        <v>0</v>
      </c>
      <c r="AV1103" s="239">
        <v>0</v>
      </c>
      <c r="AW1103" s="239">
        <v>0</v>
      </c>
      <c r="AX1103" s="239">
        <v>0</v>
      </c>
      <c r="AY1103" s="239">
        <v>0</v>
      </c>
      <c r="AZ1103" s="239">
        <v>0</v>
      </c>
      <c r="BA1103" s="239">
        <v>87</v>
      </c>
      <c r="BB1103" s="239">
        <v>0</v>
      </c>
      <c r="BC1103" s="239">
        <v>0</v>
      </c>
      <c r="BD1103" s="239">
        <v>0</v>
      </c>
      <c r="BE1103" s="239">
        <v>0</v>
      </c>
      <c r="BF1103" s="239">
        <v>0</v>
      </c>
      <c r="BG1103" s="239">
        <v>0</v>
      </c>
      <c r="BH1103" s="239">
        <v>0</v>
      </c>
      <c r="BI1103" s="239">
        <v>0</v>
      </c>
      <c r="BJ1103" s="239">
        <v>0</v>
      </c>
      <c r="BK1103" s="239">
        <v>0</v>
      </c>
      <c r="BL1103" s="239">
        <v>0</v>
      </c>
      <c r="BM1103" s="239">
        <v>0</v>
      </c>
      <c r="BN1103" s="239">
        <v>0</v>
      </c>
      <c r="BO1103" s="239">
        <v>0</v>
      </c>
      <c r="BP1103" s="238"/>
      <c r="BQ1103" s="238"/>
      <c r="BR1103" s="237" t="s">
        <v>153</v>
      </c>
      <c r="BS1103" s="238">
        <v>19</v>
      </c>
      <c r="BX1103" s="239">
        <f>M1103/17</f>
        <v>5.117647058823529</v>
      </c>
      <c r="BY1103" s="239">
        <f>M1103/17</f>
        <v>5.117647058823529</v>
      </c>
      <c r="BZ1103" s="239">
        <f>M1103/17</f>
        <v>5.117647058823529</v>
      </c>
      <c r="CA1103" s="239">
        <f>M1103/17</f>
        <v>5.117647058823529</v>
      </c>
      <c r="CB1103" s="239">
        <f>M1103/17</f>
        <v>5.117647058823529</v>
      </c>
      <c r="CC1103" s="239">
        <f>M1103/17</f>
        <v>5.117647058823529</v>
      </c>
      <c r="CD1103" s="239">
        <f>M1103/17</f>
        <v>5.117647058823529</v>
      </c>
      <c r="CE1103" s="239">
        <f>M1103/17</f>
        <v>5.117647058823529</v>
      </c>
      <c r="CF1103" s="239">
        <f>M1103/17</f>
        <v>5.117647058823529</v>
      </c>
      <c r="CG1103" s="239">
        <f>M1103/17</f>
        <v>5.117647058823529</v>
      </c>
      <c r="CH1103" s="239">
        <f>M1103/17</f>
        <v>5.117647058823529</v>
      </c>
      <c r="CI1103" s="239">
        <f>M1103/17</f>
        <v>5.117647058823529</v>
      </c>
      <c r="CJ1103" s="239">
        <f>M1103/17</f>
        <v>5.117647058823529</v>
      </c>
      <c r="CK1103" s="239">
        <f>M1103/17</f>
        <v>5.117647058823529</v>
      </c>
      <c r="CL1103" s="239">
        <f>M1103/17</f>
        <v>5.117647058823529</v>
      </c>
      <c r="CM1103" s="239">
        <f>M1103/17</f>
        <v>5.117647058823529</v>
      </c>
      <c r="CN1103" s="238">
        <f t="shared" si="125"/>
        <v>10.235294117647058</v>
      </c>
      <c r="CO1103" s="238">
        <f t="shared" si="126"/>
        <v>35.823529411764703</v>
      </c>
    </row>
    <row r="1104" spans="1:93" ht="13.95" customHeight="1" x14ac:dyDescent="0.2">
      <c r="A1104" s="238">
        <v>7581</v>
      </c>
      <c r="B1104" s="241" t="s">
        <v>2736</v>
      </c>
      <c r="C1104" s="238"/>
      <c r="D1104" s="237" t="s">
        <v>2818</v>
      </c>
      <c r="E1104" s="237"/>
      <c r="F1104" s="238">
        <v>521612.7733</v>
      </c>
      <c r="G1104" s="238">
        <v>173961.022399999</v>
      </c>
      <c r="H1104" s="232" t="s">
        <v>170</v>
      </c>
      <c r="J1104" s="226"/>
      <c r="K1104" s="238">
        <v>0</v>
      </c>
      <c r="L1104" s="238">
        <v>26</v>
      </c>
      <c r="M1104" s="238">
        <v>26</v>
      </c>
      <c r="N1104" s="238">
        <v>130</v>
      </c>
      <c r="O1104" s="238">
        <v>130</v>
      </c>
      <c r="P1104" s="238" t="s">
        <v>318</v>
      </c>
      <c r="Q1104" s="242" t="s">
        <v>2738</v>
      </c>
      <c r="R1104" s="243" t="s">
        <v>2739</v>
      </c>
      <c r="T1104" s="226"/>
      <c r="U1104" s="238"/>
      <c r="V1104" s="238" t="s">
        <v>321</v>
      </c>
      <c r="W1104" s="226"/>
      <c r="X1104" s="238" t="s">
        <v>322</v>
      </c>
      <c r="Y1104" s="238" t="s">
        <v>323</v>
      </c>
      <c r="Z1104" s="238" t="s">
        <v>323</v>
      </c>
      <c r="AA1104" s="238" t="s">
        <v>324</v>
      </c>
      <c r="AB1104" s="244">
        <v>0</v>
      </c>
      <c r="AD1104" s="238"/>
      <c r="AE1104" s="226"/>
      <c r="AF1104" s="238" t="s">
        <v>57</v>
      </c>
      <c r="AG1104" s="238" t="s">
        <v>470</v>
      </c>
      <c r="AH1104" s="238" t="s">
        <v>2819</v>
      </c>
      <c r="AI1104" s="238"/>
      <c r="AJ1104" s="239">
        <v>0</v>
      </c>
      <c r="AK1104" s="239">
        <v>0</v>
      </c>
      <c r="AL1104" s="239">
        <v>0</v>
      </c>
      <c r="AM1104" s="239">
        <v>0</v>
      </c>
      <c r="AN1104" s="239">
        <v>0</v>
      </c>
      <c r="AO1104" s="239">
        <v>0</v>
      </c>
      <c r="AP1104" s="239">
        <v>0</v>
      </c>
      <c r="AQ1104" s="239">
        <v>0</v>
      </c>
      <c r="AR1104" s="239">
        <v>0</v>
      </c>
      <c r="AS1104" s="239">
        <v>0</v>
      </c>
      <c r="AT1104" s="239">
        <v>26</v>
      </c>
      <c r="AU1104" s="239">
        <v>0</v>
      </c>
      <c r="AV1104" s="239">
        <v>0</v>
      </c>
      <c r="AW1104" s="239">
        <v>0</v>
      </c>
      <c r="AX1104" s="239">
        <v>0</v>
      </c>
      <c r="AY1104" s="239">
        <v>0</v>
      </c>
      <c r="AZ1104" s="239">
        <v>0</v>
      </c>
      <c r="BA1104" s="239">
        <v>26</v>
      </c>
      <c r="BB1104" s="239">
        <v>0</v>
      </c>
      <c r="BC1104" s="239">
        <v>0</v>
      </c>
      <c r="BD1104" s="239">
        <v>0</v>
      </c>
      <c r="BE1104" s="239">
        <v>0</v>
      </c>
      <c r="BF1104" s="239">
        <v>0</v>
      </c>
      <c r="BG1104" s="239">
        <v>0</v>
      </c>
      <c r="BH1104" s="239">
        <v>0</v>
      </c>
      <c r="BI1104" s="239">
        <v>0</v>
      </c>
      <c r="BJ1104" s="239">
        <v>0</v>
      </c>
      <c r="BK1104" s="239">
        <v>0</v>
      </c>
      <c r="BL1104" s="239">
        <v>0</v>
      </c>
      <c r="BM1104" s="239">
        <v>0</v>
      </c>
      <c r="BN1104" s="239">
        <v>0</v>
      </c>
      <c r="BO1104" s="239">
        <v>0</v>
      </c>
      <c r="BP1104" s="238"/>
      <c r="BQ1104" s="238"/>
      <c r="BR1104" s="237" t="s">
        <v>153</v>
      </c>
      <c r="BS1104" s="238">
        <v>19</v>
      </c>
      <c r="BX1104" s="239">
        <f>M1104/17</f>
        <v>1.5294117647058822</v>
      </c>
      <c r="BY1104" s="239">
        <f>M1104/17</f>
        <v>1.5294117647058822</v>
      </c>
      <c r="BZ1104" s="239">
        <f>M1104/17</f>
        <v>1.5294117647058822</v>
      </c>
      <c r="CA1104" s="239">
        <f>M1104/17</f>
        <v>1.5294117647058822</v>
      </c>
      <c r="CB1104" s="239">
        <f>M1104/17</f>
        <v>1.5294117647058822</v>
      </c>
      <c r="CC1104" s="239">
        <f>M1104/17</f>
        <v>1.5294117647058822</v>
      </c>
      <c r="CD1104" s="239">
        <f>M1104/17</f>
        <v>1.5294117647058822</v>
      </c>
      <c r="CE1104" s="239">
        <f>M1104/17</f>
        <v>1.5294117647058822</v>
      </c>
      <c r="CF1104" s="239">
        <f>M1104/17</f>
        <v>1.5294117647058822</v>
      </c>
      <c r="CG1104" s="239">
        <f>M1104/17</f>
        <v>1.5294117647058822</v>
      </c>
      <c r="CH1104" s="239">
        <f>M1104/17</f>
        <v>1.5294117647058822</v>
      </c>
      <c r="CI1104" s="239">
        <f>M1104/17</f>
        <v>1.5294117647058822</v>
      </c>
      <c r="CJ1104" s="239">
        <f>M1104/17</f>
        <v>1.5294117647058822</v>
      </c>
      <c r="CK1104" s="239">
        <f>M1104/17</f>
        <v>1.5294117647058822</v>
      </c>
      <c r="CL1104" s="239">
        <f>M1104/17</f>
        <v>1.5294117647058822</v>
      </c>
      <c r="CM1104" s="239">
        <f>M1104/17</f>
        <v>1.5294117647058822</v>
      </c>
      <c r="CN1104" s="238">
        <f t="shared" si="125"/>
        <v>3.0588235294117645</v>
      </c>
      <c r="CO1104" s="238">
        <f t="shared" si="126"/>
        <v>10.705882352941176</v>
      </c>
    </row>
    <row r="1105" spans="1:93" ht="13.95" customHeight="1" x14ac:dyDescent="0.2">
      <c r="A1105" s="238">
        <v>7581</v>
      </c>
      <c r="B1105" s="241" t="s">
        <v>2736</v>
      </c>
      <c r="C1105" s="238"/>
      <c r="D1105" s="237" t="s">
        <v>2818</v>
      </c>
      <c r="E1105" s="237"/>
      <c r="F1105" s="238">
        <v>521612.7733</v>
      </c>
      <c r="G1105" s="238">
        <v>173961.022399999</v>
      </c>
      <c r="H1105" s="232" t="s">
        <v>170</v>
      </c>
      <c r="J1105" s="226"/>
      <c r="K1105" s="238">
        <v>0</v>
      </c>
      <c r="L1105" s="238">
        <v>17</v>
      </c>
      <c r="M1105" s="238">
        <v>17</v>
      </c>
      <c r="N1105" s="238">
        <v>130</v>
      </c>
      <c r="O1105" s="238">
        <v>130</v>
      </c>
      <c r="P1105" s="238" t="s">
        <v>318</v>
      </c>
      <c r="Q1105" s="242" t="s">
        <v>2738</v>
      </c>
      <c r="R1105" s="243" t="s">
        <v>2739</v>
      </c>
      <c r="T1105" s="226"/>
      <c r="U1105" s="238"/>
      <c r="V1105" s="238" t="s">
        <v>321</v>
      </c>
      <c r="W1105" s="226"/>
      <c r="X1105" s="238" t="s">
        <v>322</v>
      </c>
      <c r="Y1105" s="238" t="s">
        <v>323</v>
      </c>
      <c r="Z1105" s="238" t="s">
        <v>323</v>
      </c>
      <c r="AA1105" s="238" t="s">
        <v>324</v>
      </c>
      <c r="AB1105" s="244">
        <v>0</v>
      </c>
      <c r="AD1105" s="238"/>
      <c r="AE1105" s="226"/>
      <c r="AF1105" s="238" t="s">
        <v>56</v>
      </c>
      <c r="AG1105" s="238" t="s">
        <v>1355</v>
      </c>
      <c r="AH1105" s="238" t="s">
        <v>2819</v>
      </c>
      <c r="AI1105" s="238"/>
      <c r="AJ1105" s="239">
        <v>0</v>
      </c>
      <c r="AK1105" s="239">
        <v>0</v>
      </c>
      <c r="AL1105" s="239">
        <v>0</v>
      </c>
      <c r="AM1105" s="239">
        <v>0</v>
      </c>
      <c r="AN1105" s="239">
        <v>0</v>
      </c>
      <c r="AO1105" s="239">
        <v>0</v>
      </c>
      <c r="AP1105" s="239">
        <v>0</v>
      </c>
      <c r="AQ1105" s="239">
        <v>0</v>
      </c>
      <c r="AR1105" s="239">
        <v>0</v>
      </c>
      <c r="AS1105" s="239">
        <v>0</v>
      </c>
      <c r="AT1105" s="239">
        <v>17</v>
      </c>
      <c r="AU1105" s="239">
        <v>0</v>
      </c>
      <c r="AV1105" s="239">
        <v>0</v>
      </c>
      <c r="AW1105" s="239">
        <v>0</v>
      </c>
      <c r="AX1105" s="239">
        <v>0</v>
      </c>
      <c r="AY1105" s="239">
        <v>0</v>
      </c>
      <c r="AZ1105" s="239">
        <v>0</v>
      </c>
      <c r="BA1105" s="239">
        <v>17</v>
      </c>
      <c r="BB1105" s="239">
        <v>0</v>
      </c>
      <c r="BC1105" s="239">
        <v>0</v>
      </c>
      <c r="BD1105" s="239">
        <v>0</v>
      </c>
      <c r="BE1105" s="239">
        <v>0</v>
      </c>
      <c r="BF1105" s="239">
        <v>0</v>
      </c>
      <c r="BG1105" s="239">
        <v>0</v>
      </c>
      <c r="BH1105" s="239">
        <v>0</v>
      </c>
      <c r="BI1105" s="239">
        <v>0</v>
      </c>
      <c r="BJ1105" s="239">
        <v>0</v>
      </c>
      <c r="BK1105" s="239">
        <v>0</v>
      </c>
      <c r="BL1105" s="239">
        <v>0</v>
      </c>
      <c r="BM1105" s="239">
        <v>0</v>
      </c>
      <c r="BN1105" s="239">
        <v>0</v>
      </c>
      <c r="BO1105" s="239">
        <v>0</v>
      </c>
      <c r="BP1105" s="238"/>
      <c r="BQ1105" s="238"/>
      <c r="BR1105" s="237" t="s">
        <v>153</v>
      </c>
      <c r="BS1105" s="238">
        <v>19</v>
      </c>
      <c r="BX1105" s="239">
        <f>M1105/17</f>
        <v>1</v>
      </c>
      <c r="BY1105" s="239">
        <f>M1105/17</f>
        <v>1</v>
      </c>
      <c r="BZ1105" s="239">
        <f>M1105/17</f>
        <v>1</v>
      </c>
      <c r="CA1105" s="239">
        <f>M1105/17</f>
        <v>1</v>
      </c>
      <c r="CB1105" s="239">
        <f>M1105/17</f>
        <v>1</v>
      </c>
      <c r="CC1105" s="239">
        <f>M1105/17</f>
        <v>1</v>
      </c>
      <c r="CD1105" s="239">
        <f>M1105/17</f>
        <v>1</v>
      </c>
      <c r="CE1105" s="239">
        <f>M1105/17</f>
        <v>1</v>
      </c>
      <c r="CF1105" s="239">
        <f>M1105/17</f>
        <v>1</v>
      </c>
      <c r="CG1105" s="239">
        <f>M1105/17</f>
        <v>1</v>
      </c>
      <c r="CH1105" s="239">
        <f>M1105/17</f>
        <v>1</v>
      </c>
      <c r="CI1105" s="239">
        <f>M1105/17</f>
        <v>1</v>
      </c>
      <c r="CJ1105" s="239">
        <f>M1105/17</f>
        <v>1</v>
      </c>
      <c r="CK1105" s="239">
        <f>M1105/17</f>
        <v>1</v>
      </c>
      <c r="CL1105" s="239">
        <f>M1105/17</f>
        <v>1</v>
      </c>
      <c r="CM1105" s="239">
        <f>M1105/17</f>
        <v>1</v>
      </c>
      <c r="CN1105" s="238">
        <f t="shared" si="125"/>
        <v>2</v>
      </c>
      <c r="CO1105" s="238">
        <f t="shared" si="126"/>
        <v>7</v>
      </c>
    </row>
    <row r="1106" spans="1:93" ht="13.95" customHeight="1" x14ac:dyDescent="0.2">
      <c r="A1106" s="238">
        <v>6906</v>
      </c>
      <c r="B1106" s="241" t="s">
        <v>2736</v>
      </c>
      <c r="C1106" s="238"/>
      <c r="D1106" s="237" t="s">
        <v>2820</v>
      </c>
      <c r="E1106" s="237"/>
      <c r="F1106" s="238">
        <v>525504</v>
      </c>
      <c r="G1106" s="238">
        <v>174901</v>
      </c>
      <c r="H1106" s="232" t="s">
        <v>181</v>
      </c>
      <c r="J1106" s="226"/>
      <c r="K1106" s="238">
        <v>0</v>
      </c>
      <c r="L1106" s="238">
        <v>7</v>
      </c>
      <c r="M1106" s="238">
        <v>7</v>
      </c>
      <c r="N1106" s="238">
        <v>7</v>
      </c>
      <c r="O1106" s="238">
        <v>7</v>
      </c>
      <c r="P1106" s="238"/>
      <c r="Q1106" s="242" t="s">
        <v>2738</v>
      </c>
      <c r="R1106" s="238" t="s">
        <v>2739</v>
      </c>
      <c r="T1106" s="226"/>
      <c r="U1106" s="238"/>
      <c r="V1106" s="238" t="s">
        <v>321</v>
      </c>
      <c r="W1106" s="226"/>
      <c r="X1106" s="238" t="s">
        <v>322</v>
      </c>
      <c r="Y1106" s="238" t="s">
        <v>323</v>
      </c>
      <c r="Z1106" s="238" t="s">
        <v>324</v>
      </c>
      <c r="AA1106" s="238" t="s">
        <v>349</v>
      </c>
      <c r="AB1106" s="244">
        <v>0</v>
      </c>
      <c r="AD1106" s="238"/>
      <c r="AE1106" s="226"/>
      <c r="AF1106" s="224" t="s">
        <v>77</v>
      </c>
      <c r="AG1106" s="238" t="s">
        <v>350</v>
      </c>
      <c r="AH1106" s="238" t="s">
        <v>2821</v>
      </c>
      <c r="AI1106" s="238"/>
      <c r="AJ1106" s="239">
        <v>0</v>
      </c>
      <c r="AK1106" s="239">
        <v>0</v>
      </c>
      <c r="AL1106" s="239">
        <v>0</v>
      </c>
      <c r="AM1106" s="239">
        <v>0</v>
      </c>
      <c r="AN1106" s="239">
        <v>0</v>
      </c>
      <c r="AO1106" s="239">
        <v>0</v>
      </c>
      <c r="AP1106" s="239">
        <v>0</v>
      </c>
      <c r="AQ1106" s="239">
        <v>0</v>
      </c>
      <c r="AR1106" s="239">
        <v>0</v>
      </c>
      <c r="AS1106" s="239">
        <v>0</v>
      </c>
      <c r="AT1106" s="239">
        <v>7</v>
      </c>
      <c r="AU1106" s="239">
        <v>0</v>
      </c>
      <c r="AV1106" s="239">
        <v>0</v>
      </c>
      <c r="AW1106" s="239">
        <v>0</v>
      </c>
      <c r="AX1106" s="239">
        <v>0</v>
      </c>
      <c r="AY1106" s="239">
        <v>0</v>
      </c>
      <c r="AZ1106" s="239">
        <v>0</v>
      </c>
      <c r="BA1106" s="239">
        <v>7</v>
      </c>
      <c r="BB1106" s="239">
        <v>0</v>
      </c>
      <c r="BC1106" s="239">
        <v>0</v>
      </c>
      <c r="BD1106" s="239">
        <v>0</v>
      </c>
      <c r="BE1106" s="239">
        <v>0</v>
      </c>
      <c r="BF1106" s="239">
        <v>0</v>
      </c>
      <c r="BG1106" s="239">
        <v>0</v>
      </c>
      <c r="BH1106" s="239">
        <v>0</v>
      </c>
      <c r="BI1106" s="239">
        <v>0</v>
      </c>
      <c r="BJ1106" s="239">
        <v>0</v>
      </c>
      <c r="BK1106" s="239">
        <v>0</v>
      </c>
      <c r="BL1106" s="239">
        <v>0</v>
      </c>
      <c r="BM1106" s="239">
        <v>0</v>
      </c>
      <c r="BN1106" s="239">
        <v>0</v>
      </c>
      <c r="BO1106" s="239">
        <v>0</v>
      </c>
      <c r="BP1106" s="238"/>
      <c r="BQ1106" s="238"/>
      <c r="BR1106" s="237" t="s">
        <v>327</v>
      </c>
      <c r="BS1106" s="238">
        <v>19</v>
      </c>
      <c r="BY1106" s="239">
        <f>M1106/10</f>
        <v>0.7</v>
      </c>
      <c r="BZ1106" s="239">
        <f>M1106/10</f>
        <v>0.7</v>
      </c>
      <c r="CA1106" s="239">
        <f>M1106/10</f>
        <v>0.7</v>
      </c>
      <c r="CB1106" s="239">
        <f>M1106/10</f>
        <v>0.7</v>
      </c>
      <c r="CC1106" s="239">
        <f>M1106/10</f>
        <v>0.7</v>
      </c>
      <c r="CD1106" s="239">
        <f>M1106/10</f>
        <v>0.7</v>
      </c>
      <c r="CE1106" s="239">
        <f>M1106/10</f>
        <v>0.7</v>
      </c>
      <c r="CF1106" s="239">
        <f>M1106/10</f>
        <v>0.7</v>
      </c>
      <c r="CG1106" s="239">
        <f>M1106/10</f>
        <v>0.7</v>
      </c>
      <c r="CH1106" s="239">
        <f>M1106/10</f>
        <v>0.7</v>
      </c>
      <c r="CN1106" s="238">
        <f t="shared" si="125"/>
        <v>0.7</v>
      </c>
      <c r="CO1106" s="238">
        <f t="shared" si="126"/>
        <v>4.2</v>
      </c>
    </row>
    <row r="1107" spans="1:93" ht="13.95" customHeight="1" x14ac:dyDescent="0.2">
      <c r="A1107" s="238">
        <v>7535</v>
      </c>
      <c r="B1107" s="241" t="s">
        <v>2736</v>
      </c>
      <c r="C1107" s="238"/>
      <c r="D1107" s="237" t="s">
        <v>2822</v>
      </c>
      <c r="E1107" s="237"/>
      <c r="F1107" s="238">
        <v>529321</v>
      </c>
      <c r="G1107" s="238">
        <v>176863</v>
      </c>
      <c r="H1107" s="232" t="s">
        <v>171</v>
      </c>
      <c r="J1107" s="226"/>
      <c r="K1107" s="238">
        <v>0</v>
      </c>
      <c r="L1107" s="238">
        <v>56</v>
      </c>
      <c r="M1107" s="238">
        <v>56</v>
      </c>
      <c r="N1107" s="238">
        <v>66</v>
      </c>
      <c r="O1107" s="238">
        <v>66</v>
      </c>
      <c r="P1107" s="238" t="s">
        <v>318</v>
      </c>
      <c r="Q1107" s="242" t="s">
        <v>2738</v>
      </c>
      <c r="R1107" s="243" t="s">
        <v>2739</v>
      </c>
      <c r="T1107" s="226"/>
      <c r="U1107" s="238"/>
      <c r="V1107" s="238" t="s">
        <v>321</v>
      </c>
      <c r="W1107" s="226"/>
      <c r="X1107" s="238" t="s">
        <v>322</v>
      </c>
      <c r="Y1107" s="238" t="s">
        <v>323</v>
      </c>
      <c r="Z1107" s="238" t="s">
        <v>323</v>
      </c>
      <c r="AA1107" s="238" t="s">
        <v>324</v>
      </c>
      <c r="AB1107" s="244">
        <v>0</v>
      </c>
      <c r="AD1107" s="238"/>
      <c r="AE1107" s="226"/>
      <c r="AF1107" s="224" t="s">
        <v>77</v>
      </c>
      <c r="AG1107" s="238" t="s">
        <v>350</v>
      </c>
      <c r="AH1107" s="238"/>
      <c r="AI1107" s="238"/>
      <c r="AJ1107" s="239">
        <v>0</v>
      </c>
      <c r="AK1107" s="239">
        <v>0</v>
      </c>
      <c r="AL1107" s="239">
        <v>0</v>
      </c>
      <c r="AM1107" s="239">
        <v>0</v>
      </c>
      <c r="AN1107" s="239">
        <v>0</v>
      </c>
      <c r="AO1107" s="239">
        <v>0</v>
      </c>
      <c r="AP1107" s="239">
        <v>0</v>
      </c>
      <c r="AQ1107" s="239">
        <v>0</v>
      </c>
      <c r="AR1107" s="239">
        <v>0</v>
      </c>
      <c r="AS1107" s="239">
        <v>0</v>
      </c>
      <c r="AT1107" s="239">
        <v>56</v>
      </c>
      <c r="AU1107" s="239">
        <v>0</v>
      </c>
      <c r="AV1107" s="239">
        <v>0</v>
      </c>
      <c r="AW1107" s="239">
        <v>0</v>
      </c>
      <c r="AX1107" s="239">
        <v>0</v>
      </c>
      <c r="AY1107" s="239">
        <v>0</v>
      </c>
      <c r="AZ1107" s="239">
        <v>0</v>
      </c>
      <c r="BA1107" s="239">
        <v>56</v>
      </c>
      <c r="BB1107" s="239">
        <v>0</v>
      </c>
      <c r="BC1107" s="239">
        <v>0</v>
      </c>
      <c r="BD1107" s="239">
        <v>0</v>
      </c>
      <c r="BE1107" s="239">
        <v>0</v>
      </c>
      <c r="BF1107" s="239">
        <v>0</v>
      </c>
      <c r="BG1107" s="239">
        <v>0</v>
      </c>
      <c r="BH1107" s="239">
        <v>0</v>
      </c>
      <c r="BI1107" s="239">
        <v>0</v>
      </c>
      <c r="BJ1107" s="239">
        <v>0</v>
      </c>
      <c r="BK1107" s="239">
        <v>0</v>
      </c>
      <c r="BL1107" s="239">
        <v>0</v>
      </c>
      <c r="BM1107" s="239">
        <v>0</v>
      </c>
      <c r="BN1107" s="239">
        <v>0</v>
      </c>
      <c r="BO1107" s="239">
        <v>0</v>
      </c>
      <c r="BP1107" s="238"/>
      <c r="BQ1107" s="234" t="s">
        <v>318</v>
      </c>
      <c r="BR1107" s="237" t="s">
        <v>151</v>
      </c>
      <c r="BS1107" s="238">
        <v>20</v>
      </c>
      <c r="BZ1107" s="239">
        <f>M1107</f>
        <v>56</v>
      </c>
      <c r="CN1107" s="238">
        <f t="shared" si="125"/>
        <v>0</v>
      </c>
      <c r="CO1107" s="238">
        <f t="shared" si="126"/>
        <v>56</v>
      </c>
    </row>
    <row r="1108" spans="1:93" ht="13.95" customHeight="1" x14ac:dyDescent="0.2">
      <c r="A1108" s="238">
        <v>7535</v>
      </c>
      <c r="B1108" s="241" t="s">
        <v>2736</v>
      </c>
      <c r="C1108" s="238"/>
      <c r="D1108" s="237" t="s">
        <v>2822</v>
      </c>
      <c r="E1108" s="237"/>
      <c r="F1108" s="238">
        <v>529321</v>
      </c>
      <c r="G1108" s="238">
        <v>176863</v>
      </c>
      <c r="H1108" s="232" t="s">
        <v>171</v>
      </c>
      <c r="J1108" s="226"/>
      <c r="K1108" s="238">
        <v>0</v>
      </c>
      <c r="L1108" s="238">
        <v>6</v>
      </c>
      <c r="M1108" s="238">
        <v>6</v>
      </c>
      <c r="N1108" s="238">
        <v>66</v>
      </c>
      <c r="O1108" s="238">
        <v>66</v>
      </c>
      <c r="P1108" s="238" t="s">
        <v>318</v>
      </c>
      <c r="Q1108" s="242" t="s">
        <v>2738</v>
      </c>
      <c r="R1108" s="243" t="s">
        <v>2739</v>
      </c>
      <c r="T1108" s="226"/>
      <c r="U1108" s="238"/>
      <c r="V1108" s="238" t="s">
        <v>321</v>
      </c>
      <c r="W1108" s="226"/>
      <c r="X1108" s="238" t="s">
        <v>322</v>
      </c>
      <c r="Y1108" s="238" t="s">
        <v>323</v>
      </c>
      <c r="Z1108" s="238" t="s">
        <v>323</v>
      </c>
      <c r="AA1108" s="238" t="s">
        <v>324</v>
      </c>
      <c r="AB1108" s="244">
        <v>0</v>
      </c>
      <c r="AD1108" s="238"/>
      <c r="AE1108" s="226"/>
      <c r="AF1108" s="238" t="s">
        <v>57</v>
      </c>
      <c r="AG1108" s="238" t="s">
        <v>470</v>
      </c>
      <c r="AH1108" s="238"/>
      <c r="AI1108" s="238"/>
      <c r="AJ1108" s="239">
        <v>0</v>
      </c>
      <c r="AK1108" s="239">
        <v>0</v>
      </c>
      <c r="AL1108" s="239">
        <v>0</v>
      </c>
      <c r="AM1108" s="239">
        <v>0</v>
      </c>
      <c r="AN1108" s="239">
        <v>0</v>
      </c>
      <c r="AO1108" s="239">
        <v>0</v>
      </c>
      <c r="AP1108" s="239">
        <v>0</v>
      </c>
      <c r="AQ1108" s="239">
        <v>0</v>
      </c>
      <c r="AR1108" s="239">
        <v>0</v>
      </c>
      <c r="AS1108" s="239">
        <v>0</v>
      </c>
      <c r="AT1108" s="239">
        <v>6</v>
      </c>
      <c r="AU1108" s="239">
        <v>0</v>
      </c>
      <c r="AV1108" s="239">
        <v>0</v>
      </c>
      <c r="AW1108" s="239">
        <v>0</v>
      </c>
      <c r="AX1108" s="239">
        <v>0</v>
      </c>
      <c r="AY1108" s="239">
        <v>0</v>
      </c>
      <c r="AZ1108" s="239">
        <v>0</v>
      </c>
      <c r="BA1108" s="239">
        <v>6</v>
      </c>
      <c r="BB1108" s="239">
        <v>0</v>
      </c>
      <c r="BC1108" s="239">
        <v>0</v>
      </c>
      <c r="BD1108" s="239">
        <v>0</v>
      </c>
      <c r="BE1108" s="239">
        <v>0</v>
      </c>
      <c r="BF1108" s="239">
        <v>0</v>
      </c>
      <c r="BG1108" s="239">
        <v>0</v>
      </c>
      <c r="BH1108" s="239">
        <v>0</v>
      </c>
      <c r="BI1108" s="239">
        <v>0</v>
      </c>
      <c r="BJ1108" s="239">
        <v>0</v>
      </c>
      <c r="BK1108" s="239">
        <v>0</v>
      </c>
      <c r="BL1108" s="239">
        <v>0</v>
      </c>
      <c r="BM1108" s="239">
        <v>0</v>
      </c>
      <c r="BN1108" s="239">
        <v>0</v>
      </c>
      <c r="BO1108" s="239">
        <v>0</v>
      </c>
      <c r="BP1108" s="238"/>
      <c r="BQ1108" s="234" t="s">
        <v>318</v>
      </c>
      <c r="BR1108" s="237" t="s">
        <v>151</v>
      </c>
      <c r="BS1108" s="238">
        <v>20</v>
      </c>
      <c r="BZ1108" s="239">
        <f>M1108</f>
        <v>6</v>
      </c>
      <c r="CN1108" s="238">
        <f t="shared" si="125"/>
        <v>0</v>
      </c>
      <c r="CO1108" s="238">
        <f t="shared" si="126"/>
        <v>6</v>
      </c>
    </row>
    <row r="1109" spans="1:93" ht="13.95" customHeight="1" x14ac:dyDescent="0.2">
      <c r="A1109" s="238">
        <v>7535</v>
      </c>
      <c r="B1109" s="241" t="s">
        <v>2736</v>
      </c>
      <c r="C1109" s="238"/>
      <c r="D1109" s="237" t="s">
        <v>2822</v>
      </c>
      <c r="E1109" s="237"/>
      <c r="F1109" s="238">
        <v>529321</v>
      </c>
      <c r="G1109" s="238">
        <v>176863</v>
      </c>
      <c r="H1109" s="232" t="s">
        <v>171</v>
      </c>
      <c r="J1109" s="226"/>
      <c r="K1109" s="238">
        <v>0</v>
      </c>
      <c r="L1109" s="238">
        <v>4</v>
      </c>
      <c r="M1109" s="238">
        <v>4</v>
      </c>
      <c r="N1109" s="238">
        <v>66</v>
      </c>
      <c r="O1109" s="238">
        <v>66</v>
      </c>
      <c r="P1109" s="238" t="s">
        <v>318</v>
      </c>
      <c r="Q1109" s="242" t="s">
        <v>2738</v>
      </c>
      <c r="R1109" s="243" t="s">
        <v>2739</v>
      </c>
      <c r="T1109" s="226"/>
      <c r="U1109" s="238"/>
      <c r="V1109" s="238" t="s">
        <v>321</v>
      </c>
      <c r="W1109" s="226"/>
      <c r="X1109" s="238" t="s">
        <v>322</v>
      </c>
      <c r="Y1109" s="238" t="s">
        <v>323</v>
      </c>
      <c r="Z1109" s="238" t="s">
        <v>323</v>
      </c>
      <c r="AA1109" s="238" t="s">
        <v>324</v>
      </c>
      <c r="AB1109" s="244">
        <v>0</v>
      </c>
      <c r="AD1109" s="238"/>
      <c r="AE1109" s="226"/>
      <c r="AF1109" s="238" t="s">
        <v>56</v>
      </c>
      <c r="AG1109" s="238" t="s">
        <v>1355</v>
      </c>
      <c r="AH1109" s="238"/>
      <c r="AI1109" s="238"/>
      <c r="AJ1109" s="239">
        <v>0</v>
      </c>
      <c r="AK1109" s="239">
        <v>0</v>
      </c>
      <c r="AL1109" s="239">
        <v>0</v>
      </c>
      <c r="AM1109" s="239">
        <v>0</v>
      </c>
      <c r="AN1109" s="239">
        <v>0</v>
      </c>
      <c r="AO1109" s="239">
        <v>0</v>
      </c>
      <c r="AP1109" s="239">
        <v>0</v>
      </c>
      <c r="AQ1109" s="239">
        <v>0</v>
      </c>
      <c r="AR1109" s="239">
        <v>0</v>
      </c>
      <c r="AS1109" s="239">
        <v>0</v>
      </c>
      <c r="AT1109" s="239">
        <v>4</v>
      </c>
      <c r="AU1109" s="239">
        <v>0</v>
      </c>
      <c r="AV1109" s="239">
        <v>0</v>
      </c>
      <c r="AW1109" s="239">
        <v>0</v>
      </c>
      <c r="AX1109" s="239">
        <v>0</v>
      </c>
      <c r="AY1109" s="239">
        <v>0</v>
      </c>
      <c r="AZ1109" s="239">
        <v>0</v>
      </c>
      <c r="BA1109" s="239">
        <v>4</v>
      </c>
      <c r="BB1109" s="239">
        <v>0</v>
      </c>
      <c r="BC1109" s="239">
        <v>0</v>
      </c>
      <c r="BD1109" s="239">
        <v>0</v>
      </c>
      <c r="BE1109" s="239">
        <v>0</v>
      </c>
      <c r="BF1109" s="239">
        <v>0</v>
      </c>
      <c r="BG1109" s="239">
        <v>0</v>
      </c>
      <c r="BH1109" s="239">
        <v>0</v>
      </c>
      <c r="BI1109" s="239">
        <v>0</v>
      </c>
      <c r="BJ1109" s="239">
        <v>0</v>
      </c>
      <c r="BK1109" s="239">
        <v>0</v>
      </c>
      <c r="BL1109" s="239">
        <v>0</v>
      </c>
      <c r="BM1109" s="239">
        <v>0</v>
      </c>
      <c r="BN1109" s="239">
        <v>0</v>
      </c>
      <c r="BO1109" s="239">
        <v>0</v>
      </c>
      <c r="BP1109" s="238"/>
      <c r="BQ1109" s="234" t="s">
        <v>318</v>
      </c>
      <c r="BR1109" s="237" t="s">
        <v>151</v>
      </c>
      <c r="BS1109" s="238">
        <v>20</v>
      </c>
      <c r="BZ1109" s="239">
        <f>M1109</f>
        <v>4</v>
      </c>
      <c r="CN1109" s="238">
        <f t="shared" si="125"/>
        <v>0</v>
      </c>
      <c r="CO1109" s="238">
        <f t="shared" si="126"/>
        <v>4</v>
      </c>
    </row>
    <row r="1110" spans="1:93" ht="13.95" customHeight="1" x14ac:dyDescent="0.2">
      <c r="A1110" s="238">
        <v>4508</v>
      </c>
      <c r="B1110" s="241" t="s">
        <v>2736</v>
      </c>
      <c r="C1110" s="238"/>
      <c r="D1110" s="237" t="s">
        <v>2823</v>
      </c>
      <c r="E1110" s="237"/>
      <c r="F1110" s="238">
        <v>526001.90130000003</v>
      </c>
      <c r="G1110" s="238">
        <v>175434.07680000001</v>
      </c>
      <c r="H1110" s="232" t="s">
        <v>174</v>
      </c>
      <c r="J1110" s="226"/>
      <c r="K1110" s="238">
        <v>0</v>
      </c>
      <c r="L1110" s="238">
        <v>2</v>
      </c>
      <c r="M1110" s="238">
        <v>2</v>
      </c>
      <c r="N1110" s="238">
        <v>2</v>
      </c>
      <c r="O1110" s="238">
        <v>2</v>
      </c>
      <c r="P1110" s="238"/>
      <c r="Q1110" s="242" t="s">
        <v>2738</v>
      </c>
      <c r="R1110" s="238" t="s">
        <v>2739</v>
      </c>
      <c r="T1110" s="226"/>
      <c r="U1110" s="238"/>
      <c r="V1110" s="238" t="s">
        <v>321</v>
      </c>
      <c r="W1110" s="226"/>
      <c r="X1110" s="238" t="s">
        <v>322</v>
      </c>
      <c r="Y1110" s="238" t="s">
        <v>323</v>
      </c>
      <c r="Z1110" s="238" t="s">
        <v>324</v>
      </c>
      <c r="AA1110" s="238" t="s">
        <v>349</v>
      </c>
      <c r="AB1110" s="244">
        <v>0</v>
      </c>
      <c r="AD1110" s="238"/>
      <c r="AE1110" s="226"/>
      <c r="AF1110" s="224" t="s">
        <v>77</v>
      </c>
      <c r="AG1110" s="238" t="s">
        <v>350</v>
      </c>
      <c r="AH1110" s="238" t="s">
        <v>2824</v>
      </c>
      <c r="AI1110" s="238"/>
      <c r="AJ1110" s="239">
        <v>0</v>
      </c>
      <c r="AK1110" s="239">
        <v>0</v>
      </c>
      <c r="AL1110" s="239">
        <v>0</v>
      </c>
      <c r="AM1110" s="239">
        <v>0</v>
      </c>
      <c r="AN1110" s="239">
        <v>0</v>
      </c>
      <c r="AO1110" s="239">
        <v>0</v>
      </c>
      <c r="AP1110" s="239">
        <v>0</v>
      </c>
      <c r="AQ1110" s="239">
        <v>0</v>
      </c>
      <c r="AR1110" s="239">
        <v>0</v>
      </c>
      <c r="AS1110" s="239">
        <v>0</v>
      </c>
      <c r="AT1110" s="239">
        <v>2</v>
      </c>
      <c r="AU1110" s="239">
        <v>0</v>
      </c>
      <c r="AV1110" s="239">
        <v>0</v>
      </c>
      <c r="AW1110" s="239">
        <v>0</v>
      </c>
      <c r="AX1110" s="239">
        <v>0</v>
      </c>
      <c r="AY1110" s="239">
        <v>0</v>
      </c>
      <c r="AZ1110" s="239">
        <v>0</v>
      </c>
      <c r="BA1110" s="239">
        <v>2</v>
      </c>
      <c r="BB1110" s="239">
        <v>0</v>
      </c>
      <c r="BC1110" s="239">
        <v>0</v>
      </c>
      <c r="BD1110" s="239">
        <v>0</v>
      </c>
      <c r="BE1110" s="239">
        <v>0</v>
      </c>
      <c r="BF1110" s="239">
        <v>0</v>
      </c>
      <c r="BG1110" s="239">
        <v>0</v>
      </c>
      <c r="BH1110" s="239">
        <v>0</v>
      </c>
      <c r="BI1110" s="239">
        <v>0</v>
      </c>
      <c r="BJ1110" s="239">
        <v>0</v>
      </c>
      <c r="BK1110" s="239">
        <v>0</v>
      </c>
      <c r="BL1110" s="239">
        <v>0</v>
      </c>
      <c r="BM1110" s="239">
        <v>0</v>
      </c>
      <c r="BN1110" s="239">
        <v>0</v>
      </c>
      <c r="BO1110" s="239">
        <v>0</v>
      </c>
      <c r="BP1110" s="238"/>
      <c r="BQ1110" s="238"/>
      <c r="BR1110" s="237" t="s">
        <v>327</v>
      </c>
      <c r="BS1110" s="238">
        <v>19</v>
      </c>
      <c r="CM1110" s="239">
        <f>M1110</f>
        <v>2</v>
      </c>
      <c r="CN1110" s="238">
        <f t="shared" si="125"/>
        <v>0</v>
      </c>
      <c r="CO1110" s="238">
        <f t="shared" si="126"/>
        <v>0</v>
      </c>
    </row>
    <row r="1111" spans="1:93" ht="13.95" customHeight="1" x14ac:dyDescent="0.2">
      <c r="A1111" s="238">
        <v>6902</v>
      </c>
      <c r="B1111" s="241" t="s">
        <v>2736</v>
      </c>
      <c r="C1111" s="238"/>
      <c r="D1111" s="237" t="s">
        <v>2825</v>
      </c>
      <c r="E1111" s="237"/>
      <c r="F1111" s="238">
        <v>524118</v>
      </c>
      <c r="G1111" s="238">
        <v>175366</v>
      </c>
      <c r="H1111" s="232" t="s">
        <v>175</v>
      </c>
      <c r="J1111" s="226"/>
      <c r="K1111" s="238">
        <v>0</v>
      </c>
      <c r="L1111" s="238">
        <v>1</v>
      </c>
      <c r="M1111" s="238">
        <v>1</v>
      </c>
      <c r="N1111" s="238">
        <v>1</v>
      </c>
      <c r="O1111" s="238">
        <v>1</v>
      </c>
      <c r="P1111" s="238"/>
      <c r="Q1111" s="242" t="s">
        <v>2738</v>
      </c>
      <c r="R1111" s="238" t="s">
        <v>2739</v>
      </c>
      <c r="T1111" s="226"/>
      <c r="U1111" s="238"/>
      <c r="V1111" s="238" t="s">
        <v>321</v>
      </c>
      <c r="W1111" s="226"/>
      <c r="X1111" s="238" t="s">
        <v>322</v>
      </c>
      <c r="Y1111" s="238" t="s">
        <v>323</v>
      </c>
      <c r="Z1111" s="238" t="s">
        <v>324</v>
      </c>
      <c r="AA1111" s="238" t="s">
        <v>349</v>
      </c>
      <c r="AB1111" s="244">
        <v>0</v>
      </c>
      <c r="AD1111" s="238"/>
      <c r="AE1111" s="226"/>
      <c r="AF1111" s="224" t="s">
        <v>77</v>
      </c>
      <c r="AG1111" s="238" t="s">
        <v>350</v>
      </c>
      <c r="AH1111" s="238" t="s">
        <v>2826</v>
      </c>
      <c r="AI1111" s="238"/>
      <c r="AJ1111" s="239">
        <v>0</v>
      </c>
      <c r="AK1111" s="239">
        <v>0</v>
      </c>
      <c r="AL1111" s="239">
        <v>0</v>
      </c>
      <c r="AM1111" s="239">
        <v>0</v>
      </c>
      <c r="AN1111" s="239">
        <v>0</v>
      </c>
      <c r="AO1111" s="239">
        <v>0</v>
      </c>
      <c r="AP1111" s="239">
        <v>0</v>
      </c>
      <c r="AQ1111" s="239">
        <v>0</v>
      </c>
      <c r="AR1111" s="239">
        <v>0</v>
      </c>
      <c r="AS1111" s="239">
        <v>0</v>
      </c>
      <c r="AT1111" s="239">
        <v>1</v>
      </c>
      <c r="AU1111" s="239">
        <v>0</v>
      </c>
      <c r="AV1111" s="239">
        <v>0</v>
      </c>
      <c r="AW1111" s="239">
        <v>0</v>
      </c>
      <c r="AX1111" s="239">
        <v>0</v>
      </c>
      <c r="AY1111" s="239">
        <v>0</v>
      </c>
      <c r="AZ1111" s="239">
        <v>0</v>
      </c>
      <c r="BA1111" s="239">
        <v>1</v>
      </c>
      <c r="BB1111" s="239">
        <v>0</v>
      </c>
      <c r="BC1111" s="239">
        <v>0</v>
      </c>
      <c r="BD1111" s="239">
        <v>0</v>
      </c>
      <c r="BE1111" s="239">
        <v>0</v>
      </c>
      <c r="BF1111" s="239">
        <v>0</v>
      </c>
      <c r="BG1111" s="239">
        <v>0</v>
      </c>
      <c r="BH1111" s="239">
        <v>0</v>
      </c>
      <c r="BI1111" s="239">
        <v>0</v>
      </c>
      <c r="BJ1111" s="239">
        <v>0</v>
      </c>
      <c r="BK1111" s="239">
        <v>0</v>
      </c>
      <c r="BL1111" s="239">
        <v>0</v>
      </c>
      <c r="BM1111" s="239">
        <v>0</v>
      </c>
      <c r="BN1111" s="239">
        <v>0</v>
      </c>
      <c r="BO1111" s="239">
        <v>0</v>
      </c>
      <c r="BP1111" s="234" t="s">
        <v>143</v>
      </c>
      <c r="BQ1111" s="238"/>
      <c r="BR1111" s="237" t="s">
        <v>152</v>
      </c>
      <c r="BS1111" s="238">
        <v>19</v>
      </c>
      <c r="BY1111" s="239">
        <f>M1111/16</f>
        <v>6.25E-2</v>
      </c>
      <c r="BZ1111" s="239">
        <f>M1111/16</f>
        <v>6.25E-2</v>
      </c>
      <c r="CA1111" s="239">
        <f>M1111/16</f>
        <v>6.25E-2</v>
      </c>
      <c r="CB1111" s="239">
        <f>M1111/16</f>
        <v>6.25E-2</v>
      </c>
      <c r="CC1111" s="239">
        <f>M1111/16</f>
        <v>6.25E-2</v>
      </c>
      <c r="CD1111" s="239">
        <f>M1111/16</f>
        <v>6.25E-2</v>
      </c>
      <c r="CE1111" s="239">
        <f>M1111/16</f>
        <v>6.25E-2</v>
      </c>
      <c r="CF1111" s="239">
        <f>M1111/16</f>
        <v>6.25E-2</v>
      </c>
      <c r="CG1111" s="239">
        <f>M1111/16</f>
        <v>6.25E-2</v>
      </c>
      <c r="CH1111" s="239">
        <f>M1111/16</f>
        <v>6.25E-2</v>
      </c>
      <c r="CI1111" s="239">
        <f>M1111/16</f>
        <v>6.25E-2</v>
      </c>
      <c r="CJ1111" s="239">
        <f>M1111/16</f>
        <v>6.25E-2</v>
      </c>
      <c r="CK1111" s="239">
        <f>M1111/16</f>
        <v>6.25E-2</v>
      </c>
      <c r="CL1111" s="239">
        <f>M1111/16</f>
        <v>6.25E-2</v>
      </c>
      <c r="CM1111" s="239">
        <f>M1111/16</f>
        <v>6.25E-2</v>
      </c>
      <c r="CN1111" s="238">
        <f t="shared" si="125"/>
        <v>6.25E-2</v>
      </c>
      <c r="CO1111" s="238">
        <f t="shared" si="126"/>
        <v>0.375</v>
      </c>
    </row>
    <row r="1112" spans="1:93" ht="13.95" customHeight="1" x14ac:dyDescent="0.2">
      <c r="A1112" s="238">
        <v>7582</v>
      </c>
      <c r="B1112" s="241" t="s">
        <v>2736</v>
      </c>
      <c r="C1112" s="238"/>
      <c r="D1112" s="237" t="s">
        <v>2827</v>
      </c>
      <c r="E1112" s="237"/>
      <c r="F1112" s="238">
        <v>522287.01610000001</v>
      </c>
      <c r="G1112" s="238">
        <v>174318.467299999</v>
      </c>
      <c r="H1112" s="232" t="s">
        <v>170</v>
      </c>
      <c r="J1112" s="226"/>
      <c r="K1112" s="238">
        <v>0</v>
      </c>
      <c r="L1112" s="238">
        <v>203</v>
      </c>
      <c r="M1112" s="238">
        <v>203</v>
      </c>
      <c r="N1112" s="238">
        <v>303</v>
      </c>
      <c r="O1112" s="238">
        <v>303</v>
      </c>
      <c r="P1112" s="238" t="s">
        <v>318</v>
      </c>
      <c r="Q1112" s="242" t="s">
        <v>2738</v>
      </c>
      <c r="R1112" s="243" t="s">
        <v>2739</v>
      </c>
      <c r="T1112" s="226"/>
      <c r="U1112" s="238"/>
      <c r="V1112" s="238" t="s">
        <v>321</v>
      </c>
      <c r="W1112" s="226"/>
      <c r="X1112" s="238" t="s">
        <v>322</v>
      </c>
      <c r="Y1112" s="238" t="s">
        <v>323</v>
      </c>
      <c r="Z1112" s="238" t="s">
        <v>323</v>
      </c>
      <c r="AA1112" s="238" t="s">
        <v>324</v>
      </c>
      <c r="AB1112" s="244">
        <v>0</v>
      </c>
      <c r="AD1112" s="238"/>
      <c r="AE1112" s="226"/>
      <c r="AF1112" s="224" t="s">
        <v>77</v>
      </c>
      <c r="AG1112" s="238" t="s">
        <v>350</v>
      </c>
      <c r="AH1112" s="238" t="s">
        <v>2828</v>
      </c>
      <c r="AI1112" s="238"/>
      <c r="AJ1112" s="239">
        <v>0</v>
      </c>
      <c r="AK1112" s="239">
        <v>0</v>
      </c>
      <c r="AL1112" s="239">
        <v>0</v>
      </c>
      <c r="AM1112" s="239">
        <v>0</v>
      </c>
      <c r="AN1112" s="239">
        <v>0</v>
      </c>
      <c r="AO1112" s="239">
        <v>0</v>
      </c>
      <c r="AP1112" s="239">
        <v>0</v>
      </c>
      <c r="AQ1112" s="239">
        <v>0</v>
      </c>
      <c r="AR1112" s="239">
        <v>0</v>
      </c>
      <c r="AS1112" s="239">
        <v>0</v>
      </c>
      <c r="AT1112" s="239">
        <v>203</v>
      </c>
      <c r="AU1112" s="239">
        <v>0</v>
      </c>
      <c r="AV1112" s="239">
        <v>0</v>
      </c>
      <c r="AW1112" s="239">
        <v>0</v>
      </c>
      <c r="AX1112" s="239">
        <v>0</v>
      </c>
      <c r="AY1112" s="239">
        <v>0</v>
      </c>
      <c r="AZ1112" s="239">
        <v>0</v>
      </c>
      <c r="BA1112" s="239">
        <v>203</v>
      </c>
      <c r="BB1112" s="239">
        <v>0</v>
      </c>
      <c r="BC1112" s="239">
        <v>0</v>
      </c>
      <c r="BD1112" s="239">
        <v>0</v>
      </c>
      <c r="BE1112" s="239">
        <v>0</v>
      </c>
      <c r="BF1112" s="239">
        <v>0</v>
      </c>
      <c r="BG1112" s="239">
        <v>0</v>
      </c>
      <c r="BH1112" s="239">
        <v>0</v>
      </c>
      <c r="BI1112" s="239">
        <v>0</v>
      </c>
      <c r="BJ1112" s="239">
        <v>0</v>
      </c>
      <c r="BK1112" s="239">
        <v>0</v>
      </c>
      <c r="BL1112" s="239">
        <v>0</v>
      </c>
      <c r="BM1112" s="239">
        <v>0</v>
      </c>
      <c r="BN1112" s="239">
        <v>0</v>
      </c>
      <c r="BO1112" s="239">
        <v>0</v>
      </c>
      <c r="BP1112" s="238"/>
      <c r="BQ1112" s="238"/>
      <c r="BR1112" s="237" t="s">
        <v>153</v>
      </c>
      <c r="BS1112" s="238">
        <v>19</v>
      </c>
      <c r="CB1112" s="239">
        <f>M1112/12</f>
        <v>16.916666666666668</v>
      </c>
      <c r="CC1112" s="239">
        <f>M1112/12</f>
        <v>16.916666666666668</v>
      </c>
      <c r="CD1112" s="239">
        <f>M1112/12</f>
        <v>16.916666666666668</v>
      </c>
      <c r="CE1112" s="239">
        <f>M1112/12</f>
        <v>16.916666666666668</v>
      </c>
      <c r="CF1112" s="239">
        <f>M1112/12</f>
        <v>16.916666666666668</v>
      </c>
      <c r="CG1112" s="239">
        <f>M1112/12</f>
        <v>16.916666666666668</v>
      </c>
      <c r="CH1112" s="239">
        <f>M1112/12</f>
        <v>16.916666666666668</v>
      </c>
      <c r="CI1112" s="239">
        <f>M1112/12</f>
        <v>16.916666666666668</v>
      </c>
      <c r="CJ1112" s="239">
        <f>M1112/12</f>
        <v>16.916666666666668</v>
      </c>
      <c r="CK1112" s="239">
        <f>M1112/12</f>
        <v>16.916666666666668</v>
      </c>
      <c r="CL1112" s="239">
        <f>M1112/12</f>
        <v>16.916666666666668</v>
      </c>
      <c r="CM1112" s="239">
        <f>M1112/12</f>
        <v>16.916666666666668</v>
      </c>
      <c r="CN1112" s="238">
        <f t="shared" si="125"/>
        <v>0</v>
      </c>
      <c r="CO1112" s="238">
        <f t="shared" si="126"/>
        <v>50.75</v>
      </c>
    </row>
    <row r="1113" spans="1:93" ht="13.95" customHeight="1" x14ac:dyDescent="0.2">
      <c r="A1113" s="238">
        <v>7582</v>
      </c>
      <c r="B1113" s="241" t="s">
        <v>2736</v>
      </c>
      <c r="C1113" s="238"/>
      <c r="D1113" s="237" t="s">
        <v>2827</v>
      </c>
      <c r="E1113" s="237"/>
      <c r="F1113" s="238">
        <v>522287.01610000001</v>
      </c>
      <c r="G1113" s="238">
        <v>174318.467299999</v>
      </c>
      <c r="H1113" s="232" t="s">
        <v>170</v>
      </c>
      <c r="J1113" s="226"/>
      <c r="K1113" s="238">
        <v>0</v>
      </c>
      <c r="L1113" s="238">
        <v>61</v>
      </c>
      <c r="M1113" s="238">
        <v>61</v>
      </c>
      <c r="N1113" s="238">
        <v>303</v>
      </c>
      <c r="O1113" s="238">
        <v>303</v>
      </c>
      <c r="P1113" s="238" t="s">
        <v>318</v>
      </c>
      <c r="Q1113" s="242" t="s">
        <v>2738</v>
      </c>
      <c r="R1113" s="243" t="s">
        <v>2739</v>
      </c>
      <c r="T1113" s="226"/>
      <c r="U1113" s="238"/>
      <c r="V1113" s="238" t="s">
        <v>321</v>
      </c>
      <c r="W1113" s="226"/>
      <c r="X1113" s="238" t="s">
        <v>322</v>
      </c>
      <c r="Y1113" s="238" t="s">
        <v>323</v>
      </c>
      <c r="Z1113" s="238" t="s">
        <v>323</v>
      </c>
      <c r="AA1113" s="238" t="s">
        <v>324</v>
      </c>
      <c r="AB1113" s="244">
        <v>0</v>
      </c>
      <c r="AD1113" s="238"/>
      <c r="AE1113" s="226"/>
      <c r="AF1113" s="238" t="s">
        <v>57</v>
      </c>
      <c r="AG1113" s="238" t="s">
        <v>470</v>
      </c>
      <c r="AH1113" s="238" t="s">
        <v>2828</v>
      </c>
      <c r="AI1113" s="238"/>
      <c r="AJ1113" s="239">
        <v>0</v>
      </c>
      <c r="AK1113" s="239">
        <v>0</v>
      </c>
      <c r="AL1113" s="239">
        <v>0</v>
      </c>
      <c r="AM1113" s="239">
        <v>0</v>
      </c>
      <c r="AN1113" s="239">
        <v>0</v>
      </c>
      <c r="AO1113" s="239">
        <v>0</v>
      </c>
      <c r="AP1113" s="239">
        <v>0</v>
      </c>
      <c r="AQ1113" s="239">
        <v>0</v>
      </c>
      <c r="AR1113" s="239">
        <v>0</v>
      </c>
      <c r="AS1113" s="239">
        <v>0</v>
      </c>
      <c r="AT1113" s="239">
        <v>61</v>
      </c>
      <c r="AU1113" s="239">
        <v>0</v>
      </c>
      <c r="AV1113" s="239">
        <v>0</v>
      </c>
      <c r="AW1113" s="239">
        <v>0</v>
      </c>
      <c r="AX1113" s="239">
        <v>0</v>
      </c>
      <c r="AY1113" s="239">
        <v>0</v>
      </c>
      <c r="AZ1113" s="239">
        <v>0</v>
      </c>
      <c r="BA1113" s="239">
        <v>61</v>
      </c>
      <c r="BB1113" s="239">
        <v>0</v>
      </c>
      <c r="BC1113" s="239">
        <v>0</v>
      </c>
      <c r="BD1113" s="239">
        <v>0</v>
      </c>
      <c r="BE1113" s="239">
        <v>0</v>
      </c>
      <c r="BF1113" s="239">
        <v>0</v>
      </c>
      <c r="BG1113" s="239">
        <v>0</v>
      </c>
      <c r="BH1113" s="239">
        <v>0</v>
      </c>
      <c r="BI1113" s="239">
        <v>0</v>
      </c>
      <c r="BJ1113" s="239">
        <v>0</v>
      </c>
      <c r="BK1113" s="239">
        <v>0</v>
      </c>
      <c r="BL1113" s="239">
        <v>0</v>
      </c>
      <c r="BM1113" s="239">
        <v>0</v>
      </c>
      <c r="BN1113" s="239">
        <v>0</v>
      </c>
      <c r="BO1113" s="239">
        <v>0</v>
      </c>
      <c r="BP1113" s="238"/>
      <c r="BQ1113" s="238"/>
      <c r="BR1113" s="237" t="s">
        <v>153</v>
      </c>
      <c r="BS1113" s="238">
        <v>19</v>
      </c>
      <c r="CB1113" s="239">
        <f>M1113/12</f>
        <v>5.083333333333333</v>
      </c>
      <c r="CC1113" s="239">
        <f>M1113/12</f>
        <v>5.083333333333333</v>
      </c>
      <c r="CD1113" s="239">
        <f>M1113/12</f>
        <v>5.083333333333333</v>
      </c>
      <c r="CE1113" s="239">
        <f>M1113/12</f>
        <v>5.083333333333333</v>
      </c>
      <c r="CF1113" s="239">
        <f>M1113/12</f>
        <v>5.083333333333333</v>
      </c>
      <c r="CG1113" s="239">
        <f>M1113/12</f>
        <v>5.083333333333333</v>
      </c>
      <c r="CH1113" s="239">
        <f>M1113/12</f>
        <v>5.083333333333333</v>
      </c>
      <c r="CI1113" s="239">
        <f>M1113/12</f>
        <v>5.083333333333333</v>
      </c>
      <c r="CJ1113" s="239">
        <f>M1113/12</f>
        <v>5.083333333333333</v>
      </c>
      <c r="CK1113" s="239">
        <f>M1113/12</f>
        <v>5.083333333333333</v>
      </c>
      <c r="CL1113" s="239">
        <f>M1113/12</f>
        <v>5.083333333333333</v>
      </c>
      <c r="CM1113" s="239">
        <f>M1113/12</f>
        <v>5.083333333333333</v>
      </c>
      <c r="CN1113" s="238">
        <f t="shared" si="125"/>
        <v>0</v>
      </c>
      <c r="CO1113" s="238">
        <f t="shared" si="126"/>
        <v>15.25</v>
      </c>
    </row>
    <row r="1114" spans="1:93" ht="13.95" customHeight="1" x14ac:dyDescent="0.2">
      <c r="A1114" s="238">
        <v>7582</v>
      </c>
      <c r="B1114" s="241" t="s">
        <v>2736</v>
      </c>
      <c r="C1114" s="238"/>
      <c r="D1114" s="237" t="s">
        <v>2827</v>
      </c>
      <c r="E1114" s="237"/>
      <c r="F1114" s="238">
        <v>522287.01610000001</v>
      </c>
      <c r="G1114" s="238">
        <v>174318.467299999</v>
      </c>
      <c r="H1114" s="232" t="s">
        <v>170</v>
      </c>
      <c r="J1114" s="226"/>
      <c r="K1114" s="238">
        <v>0</v>
      </c>
      <c r="L1114" s="238">
        <v>39</v>
      </c>
      <c r="M1114" s="238">
        <v>39</v>
      </c>
      <c r="N1114" s="238">
        <v>303</v>
      </c>
      <c r="O1114" s="238">
        <v>303</v>
      </c>
      <c r="P1114" s="238" t="s">
        <v>318</v>
      </c>
      <c r="Q1114" s="242" t="s">
        <v>2738</v>
      </c>
      <c r="R1114" s="243" t="s">
        <v>2739</v>
      </c>
      <c r="T1114" s="226"/>
      <c r="U1114" s="238"/>
      <c r="V1114" s="238" t="s">
        <v>321</v>
      </c>
      <c r="W1114" s="226"/>
      <c r="X1114" s="238" t="s">
        <v>322</v>
      </c>
      <c r="Y1114" s="238" t="s">
        <v>323</v>
      </c>
      <c r="Z1114" s="238" t="s">
        <v>323</v>
      </c>
      <c r="AA1114" s="238" t="s">
        <v>324</v>
      </c>
      <c r="AB1114" s="244">
        <v>0</v>
      </c>
      <c r="AD1114" s="238"/>
      <c r="AE1114" s="226"/>
      <c r="AF1114" s="238" t="s">
        <v>56</v>
      </c>
      <c r="AG1114" s="238" t="s">
        <v>1355</v>
      </c>
      <c r="AH1114" s="238" t="s">
        <v>2828</v>
      </c>
      <c r="AI1114" s="238"/>
      <c r="AJ1114" s="239">
        <v>0</v>
      </c>
      <c r="AK1114" s="239">
        <v>0</v>
      </c>
      <c r="AL1114" s="239">
        <v>0</v>
      </c>
      <c r="AM1114" s="239">
        <v>0</v>
      </c>
      <c r="AN1114" s="239">
        <v>0</v>
      </c>
      <c r="AO1114" s="239">
        <v>0</v>
      </c>
      <c r="AP1114" s="239">
        <v>0</v>
      </c>
      <c r="AQ1114" s="239">
        <v>0</v>
      </c>
      <c r="AR1114" s="239">
        <v>0</v>
      </c>
      <c r="AS1114" s="239">
        <v>0</v>
      </c>
      <c r="AT1114" s="239">
        <v>39</v>
      </c>
      <c r="AU1114" s="239">
        <v>0</v>
      </c>
      <c r="AV1114" s="239">
        <v>0</v>
      </c>
      <c r="AW1114" s="239">
        <v>0</v>
      </c>
      <c r="AX1114" s="239">
        <v>0</v>
      </c>
      <c r="AY1114" s="239">
        <v>0</v>
      </c>
      <c r="AZ1114" s="239">
        <v>0</v>
      </c>
      <c r="BA1114" s="239">
        <v>39</v>
      </c>
      <c r="BB1114" s="239">
        <v>0</v>
      </c>
      <c r="BC1114" s="239">
        <v>0</v>
      </c>
      <c r="BD1114" s="239">
        <v>0</v>
      </c>
      <c r="BE1114" s="239">
        <v>0</v>
      </c>
      <c r="BF1114" s="239">
        <v>0</v>
      </c>
      <c r="BG1114" s="239">
        <v>0</v>
      </c>
      <c r="BH1114" s="239">
        <v>0</v>
      </c>
      <c r="BI1114" s="239">
        <v>0</v>
      </c>
      <c r="BJ1114" s="239">
        <v>0</v>
      </c>
      <c r="BK1114" s="239">
        <v>0</v>
      </c>
      <c r="BL1114" s="239">
        <v>0</v>
      </c>
      <c r="BM1114" s="239">
        <v>0</v>
      </c>
      <c r="BN1114" s="239">
        <v>0</v>
      </c>
      <c r="BO1114" s="239">
        <v>0</v>
      </c>
      <c r="BP1114" s="238"/>
      <c r="BQ1114" s="238"/>
      <c r="BR1114" s="237" t="s">
        <v>153</v>
      </c>
      <c r="BS1114" s="238">
        <v>19</v>
      </c>
      <c r="CB1114" s="239">
        <f>M1114/12</f>
        <v>3.25</v>
      </c>
      <c r="CC1114" s="239">
        <f>M1114/12</f>
        <v>3.25</v>
      </c>
      <c r="CD1114" s="239">
        <f>M1114/12</f>
        <v>3.25</v>
      </c>
      <c r="CE1114" s="239">
        <f>M1114/12</f>
        <v>3.25</v>
      </c>
      <c r="CF1114" s="239">
        <f>M1114/12</f>
        <v>3.25</v>
      </c>
      <c r="CG1114" s="239">
        <f>M1114/12</f>
        <v>3.25</v>
      </c>
      <c r="CH1114" s="239">
        <f>M1114/12</f>
        <v>3.25</v>
      </c>
      <c r="CI1114" s="239">
        <f>M1114/12</f>
        <v>3.25</v>
      </c>
      <c r="CJ1114" s="239">
        <f>M1114/12</f>
        <v>3.25</v>
      </c>
      <c r="CK1114" s="239">
        <f>M1114/12</f>
        <v>3.25</v>
      </c>
      <c r="CL1114" s="239">
        <f>M1114/12</f>
        <v>3.25</v>
      </c>
      <c r="CM1114" s="239">
        <f>M1114/12</f>
        <v>3.25</v>
      </c>
      <c r="CN1114" s="238">
        <f t="shared" si="125"/>
        <v>0</v>
      </c>
      <c r="CO1114" s="238">
        <f t="shared" si="126"/>
        <v>9.75</v>
      </c>
    </row>
    <row r="1115" spans="1:93" ht="13.95" customHeight="1" x14ac:dyDescent="0.2">
      <c r="A1115" s="238">
        <v>7547</v>
      </c>
      <c r="B1115" s="241" t="s">
        <v>2736</v>
      </c>
      <c r="C1115" s="238"/>
      <c r="D1115" s="237" t="s">
        <v>2829</v>
      </c>
      <c r="E1115" s="237"/>
      <c r="F1115" s="238">
        <v>527126</v>
      </c>
      <c r="G1115" s="238">
        <v>175600</v>
      </c>
      <c r="H1115" s="232" t="s">
        <v>165</v>
      </c>
      <c r="J1115" s="226"/>
      <c r="K1115" s="238">
        <v>0</v>
      </c>
      <c r="L1115" s="238">
        <v>9</v>
      </c>
      <c r="M1115" s="238">
        <v>9</v>
      </c>
      <c r="N1115" s="238">
        <v>14</v>
      </c>
      <c r="O1115" s="238">
        <v>14</v>
      </c>
      <c r="P1115" s="238" t="s">
        <v>318</v>
      </c>
      <c r="Q1115" s="242" t="s">
        <v>2738</v>
      </c>
      <c r="R1115" s="243" t="s">
        <v>2739</v>
      </c>
      <c r="T1115" s="226"/>
      <c r="U1115" s="238"/>
      <c r="V1115" s="238" t="s">
        <v>321</v>
      </c>
      <c r="W1115" s="226"/>
      <c r="X1115" s="238" t="s">
        <v>322</v>
      </c>
      <c r="Y1115" s="238" t="s">
        <v>323</v>
      </c>
      <c r="Z1115" s="238" t="s">
        <v>323</v>
      </c>
      <c r="AA1115" s="238" t="s">
        <v>324</v>
      </c>
      <c r="AB1115" s="244">
        <v>0</v>
      </c>
      <c r="AD1115" s="238"/>
      <c r="AE1115" s="226"/>
      <c r="AF1115" s="224" t="s">
        <v>77</v>
      </c>
      <c r="AG1115" s="238" t="s">
        <v>350</v>
      </c>
      <c r="AH1115" s="238"/>
      <c r="AI1115" s="238"/>
      <c r="AJ1115" s="239">
        <v>0</v>
      </c>
      <c r="AK1115" s="239">
        <v>0</v>
      </c>
      <c r="AL1115" s="239">
        <v>0</v>
      </c>
      <c r="AM1115" s="239">
        <v>0</v>
      </c>
      <c r="AN1115" s="239">
        <v>0</v>
      </c>
      <c r="AO1115" s="239">
        <v>0</v>
      </c>
      <c r="AP1115" s="239">
        <v>0</v>
      </c>
      <c r="AQ1115" s="239">
        <v>0</v>
      </c>
      <c r="AR1115" s="239">
        <v>0</v>
      </c>
      <c r="AS1115" s="239">
        <v>0</v>
      </c>
      <c r="AT1115" s="239">
        <v>9</v>
      </c>
      <c r="AU1115" s="239">
        <v>0</v>
      </c>
      <c r="AV1115" s="239">
        <v>0</v>
      </c>
      <c r="AW1115" s="239">
        <v>0</v>
      </c>
      <c r="AX1115" s="239">
        <v>0</v>
      </c>
      <c r="AY1115" s="239">
        <v>0</v>
      </c>
      <c r="AZ1115" s="239">
        <v>0</v>
      </c>
      <c r="BA1115" s="239">
        <v>9</v>
      </c>
      <c r="BB1115" s="239">
        <v>0</v>
      </c>
      <c r="BC1115" s="239">
        <v>0</v>
      </c>
      <c r="BD1115" s="239">
        <v>0</v>
      </c>
      <c r="BE1115" s="239">
        <v>0</v>
      </c>
      <c r="BF1115" s="239">
        <v>0</v>
      </c>
      <c r="BG1115" s="239">
        <v>0</v>
      </c>
      <c r="BH1115" s="239">
        <v>0</v>
      </c>
      <c r="BI1115" s="239">
        <v>0</v>
      </c>
      <c r="BJ1115" s="239">
        <v>0</v>
      </c>
      <c r="BK1115" s="239">
        <v>0</v>
      </c>
      <c r="BL1115" s="239">
        <v>0</v>
      </c>
      <c r="BM1115" s="239">
        <v>0</v>
      </c>
      <c r="BN1115" s="239">
        <v>0</v>
      </c>
      <c r="BO1115" s="239">
        <v>0</v>
      </c>
      <c r="BP1115" s="234" t="s">
        <v>142</v>
      </c>
      <c r="BQ1115" s="238"/>
      <c r="BR1115" s="237" t="s">
        <v>150</v>
      </c>
      <c r="BS1115" s="238">
        <v>19</v>
      </c>
      <c r="BY1115" s="239">
        <f>M1115</f>
        <v>9</v>
      </c>
      <c r="CN1115" s="238">
        <f t="shared" si="125"/>
        <v>9</v>
      </c>
      <c r="CO1115" s="238">
        <f t="shared" si="126"/>
        <v>9</v>
      </c>
    </row>
    <row r="1116" spans="1:93" ht="13.95" customHeight="1" x14ac:dyDescent="0.2">
      <c r="A1116" s="238">
        <v>7547</v>
      </c>
      <c r="B1116" s="241" t="s">
        <v>2736</v>
      </c>
      <c r="C1116" s="238"/>
      <c r="D1116" s="237" t="s">
        <v>2829</v>
      </c>
      <c r="E1116" s="237"/>
      <c r="F1116" s="238">
        <v>527126</v>
      </c>
      <c r="G1116" s="238">
        <v>175600</v>
      </c>
      <c r="H1116" s="232" t="s">
        <v>165</v>
      </c>
      <c r="J1116" s="226"/>
      <c r="K1116" s="238">
        <v>0</v>
      </c>
      <c r="L1116" s="238">
        <v>3</v>
      </c>
      <c r="M1116" s="238">
        <v>3</v>
      </c>
      <c r="N1116" s="238">
        <v>14</v>
      </c>
      <c r="O1116" s="238">
        <v>14</v>
      </c>
      <c r="P1116" s="238" t="s">
        <v>318</v>
      </c>
      <c r="Q1116" s="242" t="s">
        <v>2738</v>
      </c>
      <c r="R1116" s="243" t="s">
        <v>2739</v>
      </c>
      <c r="T1116" s="226"/>
      <c r="U1116" s="238"/>
      <c r="V1116" s="238" t="s">
        <v>321</v>
      </c>
      <c r="W1116" s="226"/>
      <c r="X1116" s="238" t="s">
        <v>322</v>
      </c>
      <c r="Y1116" s="238" t="s">
        <v>323</v>
      </c>
      <c r="Z1116" s="238" t="s">
        <v>323</v>
      </c>
      <c r="AA1116" s="238" t="s">
        <v>324</v>
      </c>
      <c r="AB1116" s="244">
        <v>0</v>
      </c>
      <c r="AD1116" s="238"/>
      <c r="AE1116" s="226"/>
      <c r="AF1116" s="238" t="s">
        <v>57</v>
      </c>
      <c r="AG1116" s="238" t="s">
        <v>470</v>
      </c>
      <c r="AH1116" s="238"/>
      <c r="AI1116" s="238"/>
      <c r="AJ1116" s="239">
        <v>0</v>
      </c>
      <c r="AK1116" s="239">
        <v>0</v>
      </c>
      <c r="AL1116" s="239">
        <v>0</v>
      </c>
      <c r="AM1116" s="239">
        <v>0</v>
      </c>
      <c r="AN1116" s="239">
        <v>0</v>
      </c>
      <c r="AO1116" s="239">
        <v>0</v>
      </c>
      <c r="AP1116" s="239">
        <v>0</v>
      </c>
      <c r="AQ1116" s="239">
        <v>0</v>
      </c>
      <c r="AR1116" s="239">
        <v>0</v>
      </c>
      <c r="AS1116" s="239">
        <v>0</v>
      </c>
      <c r="AT1116" s="239">
        <v>3</v>
      </c>
      <c r="AU1116" s="239">
        <v>0</v>
      </c>
      <c r="AV1116" s="239">
        <v>0</v>
      </c>
      <c r="AW1116" s="239">
        <v>0</v>
      </c>
      <c r="AX1116" s="239">
        <v>0</v>
      </c>
      <c r="AY1116" s="239">
        <v>0</v>
      </c>
      <c r="AZ1116" s="239">
        <v>0</v>
      </c>
      <c r="BA1116" s="239">
        <v>3</v>
      </c>
      <c r="BB1116" s="239">
        <v>0</v>
      </c>
      <c r="BC1116" s="239">
        <v>0</v>
      </c>
      <c r="BD1116" s="239">
        <v>0</v>
      </c>
      <c r="BE1116" s="239">
        <v>0</v>
      </c>
      <c r="BF1116" s="239">
        <v>0</v>
      </c>
      <c r="BG1116" s="239">
        <v>0</v>
      </c>
      <c r="BH1116" s="239">
        <v>0</v>
      </c>
      <c r="BI1116" s="239">
        <v>0</v>
      </c>
      <c r="BJ1116" s="239">
        <v>0</v>
      </c>
      <c r="BK1116" s="239">
        <v>0</v>
      </c>
      <c r="BL1116" s="239">
        <v>0</v>
      </c>
      <c r="BM1116" s="239">
        <v>0</v>
      </c>
      <c r="BN1116" s="239">
        <v>0</v>
      </c>
      <c r="BO1116" s="239">
        <v>0</v>
      </c>
      <c r="BP1116" s="234" t="s">
        <v>142</v>
      </c>
      <c r="BQ1116" s="238"/>
      <c r="BR1116" s="237" t="s">
        <v>150</v>
      </c>
      <c r="BS1116" s="238">
        <v>19</v>
      </c>
      <c r="BY1116" s="239">
        <f>M1116</f>
        <v>3</v>
      </c>
      <c r="CN1116" s="238">
        <f t="shared" si="125"/>
        <v>3</v>
      </c>
      <c r="CO1116" s="238">
        <f t="shared" si="126"/>
        <v>3</v>
      </c>
    </row>
    <row r="1117" spans="1:93" ht="13.95" customHeight="1" x14ac:dyDescent="0.2">
      <c r="A1117" s="238">
        <v>7547</v>
      </c>
      <c r="B1117" s="241" t="s">
        <v>2736</v>
      </c>
      <c r="C1117" s="238"/>
      <c r="D1117" s="237" t="s">
        <v>2829</v>
      </c>
      <c r="E1117" s="237"/>
      <c r="F1117" s="238">
        <v>527126</v>
      </c>
      <c r="G1117" s="238">
        <v>175600</v>
      </c>
      <c r="H1117" s="232" t="s">
        <v>165</v>
      </c>
      <c r="J1117" s="226"/>
      <c r="K1117" s="238">
        <v>0</v>
      </c>
      <c r="L1117" s="238">
        <v>2</v>
      </c>
      <c r="M1117" s="238">
        <v>2</v>
      </c>
      <c r="N1117" s="238">
        <v>14</v>
      </c>
      <c r="O1117" s="238">
        <v>14</v>
      </c>
      <c r="P1117" s="238" t="s">
        <v>318</v>
      </c>
      <c r="Q1117" s="242" t="s">
        <v>2738</v>
      </c>
      <c r="R1117" s="243" t="s">
        <v>2739</v>
      </c>
      <c r="T1117" s="226"/>
      <c r="U1117" s="238"/>
      <c r="V1117" s="238" t="s">
        <v>321</v>
      </c>
      <c r="W1117" s="226"/>
      <c r="X1117" s="238" t="s">
        <v>322</v>
      </c>
      <c r="Y1117" s="238" t="s">
        <v>323</v>
      </c>
      <c r="Z1117" s="238" t="s">
        <v>323</v>
      </c>
      <c r="AA1117" s="238" t="s">
        <v>324</v>
      </c>
      <c r="AB1117" s="244">
        <v>0</v>
      </c>
      <c r="AD1117" s="238"/>
      <c r="AE1117" s="226"/>
      <c r="AF1117" s="238" t="s">
        <v>56</v>
      </c>
      <c r="AG1117" s="238" t="s">
        <v>1355</v>
      </c>
      <c r="AH1117" s="238"/>
      <c r="AI1117" s="238"/>
      <c r="AJ1117" s="239">
        <v>0</v>
      </c>
      <c r="AK1117" s="239">
        <v>0</v>
      </c>
      <c r="AL1117" s="239">
        <v>0</v>
      </c>
      <c r="AM1117" s="239">
        <v>0</v>
      </c>
      <c r="AN1117" s="239">
        <v>0</v>
      </c>
      <c r="AO1117" s="239">
        <v>0</v>
      </c>
      <c r="AP1117" s="239">
        <v>0</v>
      </c>
      <c r="AQ1117" s="239">
        <v>0</v>
      </c>
      <c r="AR1117" s="239">
        <v>0</v>
      </c>
      <c r="AS1117" s="239">
        <v>0</v>
      </c>
      <c r="AT1117" s="239">
        <v>2</v>
      </c>
      <c r="AU1117" s="239">
        <v>0</v>
      </c>
      <c r="AV1117" s="239">
        <v>0</v>
      </c>
      <c r="AW1117" s="239">
        <v>0</v>
      </c>
      <c r="AX1117" s="239">
        <v>0</v>
      </c>
      <c r="AY1117" s="239">
        <v>0</v>
      </c>
      <c r="AZ1117" s="239">
        <v>0</v>
      </c>
      <c r="BA1117" s="239">
        <v>2</v>
      </c>
      <c r="BB1117" s="239">
        <v>0</v>
      </c>
      <c r="BC1117" s="239">
        <v>0</v>
      </c>
      <c r="BD1117" s="239">
        <v>0</v>
      </c>
      <c r="BE1117" s="239">
        <v>0</v>
      </c>
      <c r="BF1117" s="239">
        <v>0</v>
      </c>
      <c r="BG1117" s="239">
        <v>0</v>
      </c>
      <c r="BH1117" s="239">
        <v>0</v>
      </c>
      <c r="BI1117" s="239">
        <v>0</v>
      </c>
      <c r="BJ1117" s="239">
        <v>0</v>
      </c>
      <c r="BK1117" s="239">
        <v>0</v>
      </c>
      <c r="BL1117" s="239">
        <v>0</v>
      </c>
      <c r="BM1117" s="239">
        <v>0</v>
      </c>
      <c r="BN1117" s="239">
        <v>0</v>
      </c>
      <c r="BO1117" s="239">
        <v>0</v>
      </c>
      <c r="BP1117" s="234" t="s">
        <v>142</v>
      </c>
      <c r="BQ1117" s="238"/>
      <c r="BR1117" s="237" t="s">
        <v>150</v>
      </c>
      <c r="BS1117" s="238">
        <v>19</v>
      </c>
      <c r="BY1117" s="239">
        <f>M1117</f>
        <v>2</v>
      </c>
      <c r="CN1117" s="238">
        <f t="shared" si="125"/>
        <v>2</v>
      </c>
      <c r="CO1117" s="238">
        <f t="shared" si="126"/>
        <v>2</v>
      </c>
    </row>
    <row r="1118" spans="1:93" ht="13.95" customHeight="1" x14ac:dyDescent="0.2">
      <c r="A1118" s="238">
        <v>7545</v>
      </c>
      <c r="B1118" s="241" t="s">
        <v>2736</v>
      </c>
      <c r="C1118" s="238"/>
      <c r="D1118" s="237" t="s">
        <v>2830</v>
      </c>
      <c r="E1118" s="237"/>
      <c r="F1118" s="238">
        <v>528896</v>
      </c>
      <c r="G1118" s="238">
        <v>177124</v>
      </c>
      <c r="H1118" s="232" t="s">
        <v>168</v>
      </c>
      <c r="J1118" s="226"/>
      <c r="K1118" s="238">
        <v>0</v>
      </c>
      <c r="L1118" s="238">
        <v>9</v>
      </c>
      <c r="M1118" s="238">
        <v>9</v>
      </c>
      <c r="N1118" s="238">
        <v>9</v>
      </c>
      <c r="O1118" s="238">
        <v>9</v>
      </c>
      <c r="P1118" s="238"/>
      <c r="Q1118" s="242" t="s">
        <v>2738</v>
      </c>
      <c r="R1118" s="238" t="s">
        <v>2739</v>
      </c>
      <c r="T1118" s="226"/>
      <c r="U1118" s="238"/>
      <c r="V1118" s="238" t="s">
        <v>321</v>
      </c>
      <c r="W1118" s="226"/>
      <c r="X1118" s="238" t="s">
        <v>322</v>
      </c>
      <c r="Y1118" s="238" t="s">
        <v>323</v>
      </c>
      <c r="Z1118" s="238" t="s">
        <v>324</v>
      </c>
      <c r="AA1118" s="238" t="s">
        <v>349</v>
      </c>
      <c r="AB1118" s="244">
        <v>0</v>
      </c>
      <c r="AD1118" s="238"/>
      <c r="AE1118" s="226"/>
      <c r="AF1118" s="224" t="s">
        <v>77</v>
      </c>
      <c r="AG1118" s="238" t="s">
        <v>350</v>
      </c>
      <c r="AH1118" s="238"/>
      <c r="AI1118" s="238"/>
      <c r="AJ1118" s="239">
        <v>0</v>
      </c>
      <c r="AK1118" s="239">
        <v>0</v>
      </c>
      <c r="AL1118" s="239">
        <v>0</v>
      </c>
      <c r="AM1118" s="239">
        <v>0</v>
      </c>
      <c r="AN1118" s="239">
        <v>0</v>
      </c>
      <c r="AO1118" s="239">
        <v>0</v>
      </c>
      <c r="AP1118" s="239">
        <v>0</v>
      </c>
      <c r="AQ1118" s="239">
        <v>0</v>
      </c>
      <c r="AR1118" s="239">
        <v>0</v>
      </c>
      <c r="AS1118" s="239">
        <v>0</v>
      </c>
      <c r="AT1118" s="239">
        <v>9</v>
      </c>
      <c r="AU1118" s="239">
        <v>0</v>
      </c>
      <c r="AV1118" s="239">
        <v>0</v>
      </c>
      <c r="AW1118" s="239">
        <v>0</v>
      </c>
      <c r="AX1118" s="239">
        <v>0</v>
      </c>
      <c r="AY1118" s="239">
        <v>0</v>
      </c>
      <c r="AZ1118" s="239">
        <v>0</v>
      </c>
      <c r="BA1118" s="239">
        <v>9</v>
      </c>
      <c r="BB1118" s="239">
        <v>0</v>
      </c>
      <c r="BC1118" s="239">
        <v>0</v>
      </c>
      <c r="BD1118" s="239">
        <v>0</v>
      </c>
      <c r="BE1118" s="239">
        <v>0</v>
      </c>
      <c r="BF1118" s="239">
        <v>0</v>
      </c>
      <c r="BG1118" s="239">
        <v>0</v>
      </c>
      <c r="BH1118" s="239">
        <v>0</v>
      </c>
      <c r="BI1118" s="239">
        <v>0</v>
      </c>
      <c r="BJ1118" s="239">
        <v>0</v>
      </c>
      <c r="BK1118" s="239">
        <v>0</v>
      </c>
      <c r="BL1118" s="239">
        <v>0</v>
      </c>
      <c r="BM1118" s="239">
        <v>0</v>
      </c>
      <c r="BN1118" s="239">
        <v>0</v>
      </c>
      <c r="BO1118" s="239">
        <v>0</v>
      </c>
      <c r="BP1118" s="238"/>
      <c r="BQ1118" s="234" t="s">
        <v>318</v>
      </c>
      <c r="BR1118" s="237" t="s">
        <v>151</v>
      </c>
      <c r="BS1118" s="238">
        <v>20</v>
      </c>
      <c r="BZ1118" s="239">
        <f>M1118</f>
        <v>9</v>
      </c>
      <c r="CN1118" s="238">
        <f t="shared" si="125"/>
        <v>0</v>
      </c>
      <c r="CO1118" s="238">
        <f t="shared" si="126"/>
        <v>9</v>
      </c>
    </row>
    <row r="1119" spans="1:93" ht="13.95" customHeight="1" x14ac:dyDescent="0.2">
      <c r="A1119" s="238">
        <v>7544</v>
      </c>
      <c r="B1119" s="241" t="s">
        <v>2736</v>
      </c>
      <c r="C1119" s="238"/>
      <c r="D1119" s="237" t="s">
        <v>2831</v>
      </c>
      <c r="E1119" s="237"/>
      <c r="F1119" s="238">
        <v>524433</v>
      </c>
      <c r="G1119" s="238">
        <v>175204</v>
      </c>
      <c r="H1119" s="232" t="s">
        <v>175</v>
      </c>
      <c r="J1119" s="226"/>
      <c r="K1119" s="238">
        <v>0</v>
      </c>
      <c r="L1119" s="238">
        <v>5</v>
      </c>
      <c r="M1119" s="238">
        <v>5</v>
      </c>
      <c r="N1119" s="238">
        <v>5</v>
      </c>
      <c r="O1119" s="238">
        <v>5</v>
      </c>
      <c r="P1119" s="238"/>
      <c r="Q1119" s="242" t="s">
        <v>2738</v>
      </c>
      <c r="R1119" s="238" t="s">
        <v>2739</v>
      </c>
      <c r="T1119" s="226"/>
      <c r="U1119" s="238"/>
      <c r="V1119" s="238" t="s">
        <v>321</v>
      </c>
      <c r="W1119" s="226"/>
      <c r="X1119" s="238" t="s">
        <v>322</v>
      </c>
      <c r="Y1119" s="238" t="s">
        <v>323</v>
      </c>
      <c r="Z1119" s="238" t="s">
        <v>324</v>
      </c>
      <c r="AA1119" s="238" t="s">
        <v>349</v>
      </c>
      <c r="AB1119" s="244">
        <v>0</v>
      </c>
      <c r="AD1119" s="238"/>
      <c r="AE1119" s="226"/>
      <c r="AF1119" s="224" t="s">
        <v>77</v>
      </c>
      <c r="AG1119" s="238" t="s">
        <v>350</v>
      </c>
      <c r="AH1119" s="238"/>
      <c r="AI1119" s="238"/>
      <c r="AJ1119" s="239">
        <v>0</v>
      </c>
      <c r="AK1119" s="239">
        <v>0</v>
      </c>
      <c r="AL1119" s="239">
        <v>0</v>
      </c>
      <c r="AM1119" s="239">
        <v>0</v>
      </c>
      <c r="AN1119" s="239">
        <v>0</v>
      </c>
      <c r="AO1119" s="239">
        <v>0</v>
      </c>
      <c r="AP1119" s="239">
        <v>0</v>
      </c>
      <c r="AQ1119" s="239">
        <v>0</v>
      </c>
      <c r="AR1119" s="239">
        <v>0</v>
      </c>
      <c r="AS1119" s="239">
        <v>0</v>
      </c>
      <c r="AT1119" s="239">
        <v>5</v>
      </c>
      <c r="AU1119" s="239">
        <v>0</v>
      </c>
      <c r="AV1119" s="239">
        <v>0</v>
      </c>
      <c r="AW1119" s="239">
        <v>0</v>
      </c>
      <c r="AX1119" s="239">
        <v>0</v>
      </c>
      <c r="AY1119" s="239">
        <v>0</v>
      </c>
      <c r="AZ1119" s="239">
        <v>0</v>
      </c>
      <c r="BA1119" s="239">
        <v>5</v>
      </c>
      <c r="BB1119" s="239">
        <v>0</v>
      </c>
      <c r="BC1119" s="239">
        <v>0</v>
      </c>
      <c r="BD1119" s="239">
        <v>0</v>
      </c>
      <c r="BE1119" s="239">
        <v>0</v>
      </c>
      <c r="BF1119" s="239">
        <v>0</v>
      </c>
      <c r="BG1119" s="239">
        <v>0</v>
      </c>
      <c r="BH1119" s="239">
        <v>0</v>
      </c>
      <c r="BI1119" s="239">
        <v>0</v>
      </c>
      <c r="BJ1119" s="239">
        <v>0</v>
      </c>
      <c r="BK1119" s="239">
        <v>0</v>
      </c>
      <c r="BL1119" s="239">
        <v>0</v>
      </c>
      <c r="BM1119" s="239">
        <v>0</v>
      </c>
      <c r="BN1119" s="239">
        <v>0</v>
      </c>
      <c r="BO1119" s="239">
        <v>0</v>
      </c>
      <c r="BP1119" s="238"/>
      <c r="BQ1119" s="238"/>
      <c r="BR1119" s="237" t="s">
        <v>334</v>
      </c>
      <c r="BS1119" s="238">
        <v>19</v>
      </c>
      <c r="BY1119" s="239">
        <f>M1119</f>
        <v>5</v>
      </c>
      <c r="CN1119" s="238">
        <f t="shared" si="125"/>
        <v>5</v>
      </c>
      <c r="CO1119" s="238">
        <f t="shared" si="126"/>
        <v>5</v>
      </c>
    </row>
    <row r="1120" spans="1:93" ht="13.95" customHeight="1" x14ac:dyDescent="0.2">
      <c r="A1120" s="238">
        <v>7538</v>
      </c>
      <c r="B1120" s="241" t="s">
        <v>2736</v>
      </c>
      <c r="C1120" s="238"/>
      <c r="D1120" s="237" t="s">
        <v>2832</v>
      </c>
      <c r="E1120" s="237"/>
      <c r="F1120" s="238">
        <v>527505</v>
      </c>
      <c r="G1120" s="238">
        <v>175729</v>
      </c>
      <c r="H1120" s="232" t="s">
        <v>165</v>
      </c>
      <c r="J1120" s="226"/>
      <c r="K1120" s="238">
        <v>0</v>
      </c>
      <c r="L1120" s="238">
        <v>8</v>
      </c>
      <c r="M1120" s="238">
        <v>8</v>
      </c>
      <c r="N1120" s="238">
        <v>8</v>
      </c>
      <c r="O1120" s="238">
        <v>8</v>
      </c>
      <c r="P1120" s="238"/>
      <c r="Q1120" s="242" t="s">
        <v>2738</v>
      </c>
      <c r="R1120" s="238" t="s">
        <v>2739</v>
      </c>
      <c r="T1120" s="226"/>
      <c r="U1120" s="238"/>
      <c r="V1120" s="238" t="s">
        <v>321</v>
      </c>
      <c r="W1120" s="226"/>
      <c r="X1120" s="238" t="s">
        <v>322</v>
      </c>
      <c r="Y1120" s="238" t="s">
        <v>323</v>
      </c>
      <c r="Z1120" s="238" t="s">
        <v>324</v>
      </c>
      <c r="AA1120" s="238" t="s">
        <v>349</v>
      </c>
      <c r="AB1120" s="244">
        <v>0</v>
      </c>
      <c r="AD1120" s="238"/>
      <c r="AE1120" s="226"/>
      <c r="AF1120" s="224" t="s">
        <v>77</v>
      </c>
      <c r="AG1120" s="238" t="s">
        <v>350</v>
      </c>
      <c r="AH1120" s="238"/>
      <c r="AI1120" s="238"/>
      <c r="AJ1120" s="239">
        <v>0</v>
      </c>
      <c r="AK1120" s="239">
        <v>0</v>
      </c>
      <c r="AL1120" s="239">
        <v>0</v>
      </c>
      <c r="AM1120" s="239">
        <v>0</v>
      </c>
      <c r="AN1120" s="239">
        <v>0</v>
      </c>
      <c r="AO1120" s="239">
        <v>0</v>
      </c>
      <c r="AP1120" s="239">
        <v>0</v>
      </c>
      <c r="AQ1120" s="239">
        <v>0</v>
      </c>
      <c r="AR1120" s="239">
        <v>0</v>
      </c>
      <c r="AS1120" s="239">
        <v>0</v>
      </c>
      <c r="AT1120" s="239">
        <v>8</v>
      </c>
      <c r="AU1120" s="239">
        <v>0</v>
      </c>
      <c r="AV1120" s="239">
        <v>0</v>
      </c>
      <c r="AW1120" s="239">
        <v>0</v>
      </c>
      <c r="AX1120" s="239">
        <v>0</v>
      </c>
      <c r="AY1120" s="239">
        <v>0</v>
      </c>
      <c r="AZ1120" s="239">
        <v>0</v>
      </c>
      <c r="BA1120" s="239">
        <v>8</v>
      </c>
      <c r="BB1120" s="239">
        <v>0</v>
      </c>
      <c r="BC1120" s="239">
        <v>0</v>
      </c>
      <c r="BD1120" s="239">
        <v>0</v>
      </c>
      <c r="BE1120" s="239">
        <v>0</v>
      </c>
      <c r="BF1120" s="239">
        <v>0</v>
      </c>
      <c r="BG1120" s="239">
        <v>0</v>
      </c>
      <c r="BH1120" s="239">
        <v>0</v>
      </c>
      <c r="BI1120" s="239">
        <v>0</v>
      </c>
      <c r="BJ1120" s="239">
        <v>0</v>
      </c>
      <c r="BK1120" s="239">
        <v>0</v>
      </c>
      <c r="BL1120" s="239">
        <v>0</v>
      </c>
      <c r="BM1120" s="239">
        <v>0</v>
      </c>
      <c r="BN1120" s="239">
        <v>0</v>
      </c>
      <c r="BO1120" s="239">
        <v>0</v>
      </c>
      <c r="BP1120" s="238"/>
      <c r="BQ1120" s="238"/>
      <c r="BR1120" s="237" t="s">
        <v>150</v>
      </c>
      <c r="BS1120" s="238">
        <v>19</v>
      </c>
      <c r="BY1120" s="239">
        <f>M1120</f>
        <v>8</v>
      </c>
      <c r="CN1120" s="238">
        <f t="shared" si="125"/>
        <v>8</v>
      </c>
      <c r="CO1120" s="238">
        <f t="shared" si="126"/>
        <v>8</v>
      </c>
    </row>
    <row r="1121" spans="1:93" ht="13.95" customHeight="1" x14ac:dyDescent="0.2">
      <c r="A1121" s="238">
        <v>6866</v>
      </c>
      <c r="B1121" s="241" t="s">
        <v>2736</v>
      </c>
      <c r="C1121" s="238"/>
      <c r="D1121" s="237" t="s">
        <v>2833</v>
      </c>
      <c r="E1121" s="237"/>
      <c r="F1121" s="238">
        <v>528627</v>
      </c>
      <c r="G1121" s="238">
        <v>173224</v>
      </c>
      <c r="H1121" s="232" t="s">
        <v>141</v>
      </c>
      <c r="J1121" s="226"/>
      <c r="K1121" s="238">
        <v>0</v>
      </c>
      <c r="L1121" s="238">
        <v>40</v>
      </c>
      <c r="M1121" s="238">
        <v>40</v>
      </c>
      <c r="N1121" s="238">
        <v>59</v>
      </c>
      <c r="O1121" s="238">
        <v>59</v>
      </c>
      <c r="P1121" s="238" t="s">
        <v>318</v>
      </c>
      <c r="Q1121" s="242" t="s">
        <v>2738</v>
      </c>
      <c r="R1121" s="243" t="s">
        <v>2739</v>
      </c>
      <c r="T1121" s="226"/>
      <c r="U1121" s="238"/>
      <c r="V1121" s="238" t="s">
        <v>321</v>
      </c>
      <c r="W1121" s="226"/>
      <c r="X1121" s="238" t="s">
        <v>322</v>
      </c>
      <c r="Y1121" s="238" t="s">
        <v>323</v>
      </c>
      <c r="Z1121" s="238" t="s">
        <v>323</v>
      </c>
      <c r="AA1121" s="238" t="s">
        <v>324</v>
      </c>
      <c r="AB1121" s="244">
        <v>0</v>
      </c>
      <c r="AD1121" s="238"/>
      <c r="AE1121" s="226"/>
      <c r="AF1121" s="224" t="s">
        <v>77</v>
      </c>
      <c r="AG1121" s="238" t="s">
        <v>350</v>
      </c>
      <c r="AH1121" s="238" t="s">
        <v>2834</v>
      </c>
      <c r="AI1121" s="238"/>
      <c r="AJ1121" s="239">
        <v>0</v>
      </c>
      <c r="AK1121" s="239">
        <v>0</v>
      </c>
      <c r="AL1121" s="239">
        <v>0</v>
      </c>
      <c r="AM1121" s="239">
        <v>0</v>
      </c>
      <c r="AN1121" s="239">
        <v>0</v>
      </c>
      <c r="AO1121" s="239">
        <v>0</v>
      </c>
      <c r="AP1121" s="239">
        <v>0</v>
      </c>
      <c r="AQ1121" s="239">
        <v>0</v>
      </c>
      <c r="AR1121" s="239">
        <v>0</v>
      </c>
      <c r="AS1121" s="239">
        <v>0</v>
      </c>
      <c r="AT1121" s="239">
        <v>40</v>
      </c>
      <c r="AU1121" s="239">
        <v>0</v>
      </c>
      <c r="AV1121" s="239">
        <v>0</v>
      </c>
      <c r="AW1121" s="239">
        <v>0</v>
      </c>
      <c r="AX1121" s="239">
        <v>0</v>
      </c>
      <c r="AY1121" s="239">
        <v>0</v>
      </c>
      <c r="AZ1121" s="239">
        <v>0</v>
      </c>
      <c r="BA1121" s="239">
        <v>40</v>
      </c>
      <c r="BB1121" s="239">
        <v>0</v>
      </c>
      <c r="BC1121" s="239">
        <v>0</v>
      </c>
      <c r="BD1121" s="239">
        <v>0</v>
      </c>
      <c r="BE1121" s="239">
        <v>0</v>
      </c>
      <c r="BF1121" s="239">
        <v>0</v>
      </c>
      <c r="BG1121" s="239">
        <v>0</v>
      </c>
      <c r="BH1121" s="239">
        <v>0</v>
      </c>
      <c r="BI1121" s="239">
        <v>0</v>
      </c>
      <c r="BJ1121" s="239">
        <v>0</v>
      </c>
      <c r="BK1121" s="239">
        <v>0</v>
      </c>
      <c r="BL1121" s="239">
        <v>0</v>
      </c>
      <c r="BM1121" s="239">
        <v>0</v>
      </c>
      <c r="BN1121" s="239">
        <v>0</v>
      </c>
      <c r="BO1121" s="239">
        <v>0</v>
      </c>
      <c r="BP1121" s="234" t="s">
        <v>141</v>
      </c>
      <c r="BQ1121" s="238"/>
      <c r="BR1121" s="237" t="s">
        <v>141</v>
      </c>
      <c r="BS1121" s="238">
        <v>19</v>
      </c>
      <c r="CC1121" s="239">
        <f>M1121/12</f>
        <v>3.3333333333333335</v>
      </c>
      <c r="CD1121" s="239">
        <f>M1121/12</f>
        <v>3.3333333333333335</v>
      </c>
      <c r="CE1121" s="239">
        <f>M1121/12</f>
        <v>3.3333333333333335</v>
      </c>
      <c r="CF1121" s="239">
        <f>M1121/12</f>
        <v>3.3333333333333335</v>
      </c>
      <c r="CG1121" s="239">
        <f>M1121/12</f>
        <v>3.3333333333333335</v>
      </c>
      <c r="CH1121" s="239">
        <f>M1121/12</f>
        <v>3.3333333333333335</v>
      </c>
      <c r="CI1121" s="239">
        <f>M1121/12</f>
        <v>3.3333333333333335</v>
      </c>
      <c r="CJ1121" s="239">
        <f>M1121/12</f>
        <v>3.3333333333333335</v>
      </c>
      <c r="CK1121" s="239">
        <f>M1121/12</f>
        <v>3.3333333333333335</v>
      </c>
      <c r="CL1121" s="239">
        <f>M1121/12</f>
        <v>3.3333333333333335</v>
      </c>
      <c r="CM1121" s="239">
        <f>M1121/12</f>
        <v>3.3333333333333335</v>
      </c>
      <c r="CN1121" s="238">
        <f t="shared" si="125"/>
        <v>0</v>
      </c>
      <c r="CO1121" s="238">
        <f t="shared" si="126"/>
        <v>6.666666666666667</v>
      </c>
    </row>
    <row r="1122" spans="1:93" ht="13.95" customHeight="1" x14ac:dyDescent="0.2">
      <c r="A1122" s="238">
        <v>6866</v>
      </c>
      <c r="B1122" s="241" t="s">
        <v>2736</v>
      </c>
      <c r="C1122" s="238"/>
      <c r="D1122" s="237" t="s">
        <v>2833</v>
      </c>
      <c r="E1122" s="237"/>
      <c r="F1122" s="238">
        <v>528627</v>
      </c>
      <c r="G1122" s="238">
        <v>173224</v>
      </c>
      <c r="H1122" s="232" t="s">
        <v>141</v>
      </c>
      <c r="J1122" s="226"/>
      <c r="K1122" s="238">
        <v>0</v>
      </c>
      <c r="L1122" s="238">
        <v>12</v>
      </c>
      <c r="M1122" s="238">
        <v>12</v>
      </c>
      <c r="N1122" s="238">
        <v>59</v>
      </c>
      <c r="O1122" s="238">
        <v>59</v>
      </c>
      <c r="P1122" s="238" t="s">
        <v>318</v>
      </c>
      <c r="Q1122" s="242" t="s">
        <v>2738</v>
      </c>
      <c r="R1122" s="243" t="s">
        <v>2739</v>
      </c>
      <c r="T1122" s="226"/>
      <c r="U1122" s="238"/>
      <c r="V1122" s="238" t="s">
        <v>321</v>
      </c>
      <c r="W1122" s="226"/>
      <c r="X1122" s="238" t="s">
        <v>322</v>
      </c>
      <c r="Y1122" s="238" t="s">
        <v>323</v>
      </c>
      <c r="Z1122" s="238" t="s">
        <v>323</v>
      </c>
      <c r="AA1122" s="238" t="s">
        <v>324</v>
      </c>
      <c r="AB1122" s="244">
        <v>0</v>
      </c>
      <c r="AD1122" s="238"/>
      <c r="AE1122" s="226"/>
      <c r="AF1122" s="238" t="s">
        <v>57</v>
      </c>
      <c r="AG1122" s="238" t="s">
        <v>470</v>
      </c>
      <c r="AH1122" s="238" t="s">
        <v>2834</v>
      </c>
      <c r="AI1122" s="238"/>
      <c r="AJ1122" s="239">
        <v>0</v>
      </c>
      <c r="AK1122" s="239">
        <v>0</v>
      </c>
      <c r="AL1122" s="239">
        <v>0</v>
      </c>
      <c r="AM1122" s="239">
        <v>0</v>
      </c>
      <c r="AN1122" s="239">
        <v>0</v>
      </c>
      <c r="AO1122" s="239">
        <v>0</v>
      </c>
      <c r="AP1122" s="239">
        <v>0</v>
      </c>
      <c r="AQ1122" s="239">
        <v>0</v>
      </c>
      <c r="AR1122" s="239">
        <v>0</v>
      </c>
      <c r="AS1122" s="239">
        <v>0</v>
      </c>
      <c r="AT1122" s="239">
        <v>12</v>
      </c>
      <c r="AU1122" s="239">
        <v>0</v>
      </c>
      <c r="AV1122" s="239">
        <v>0</v>
      </c>
      <c r="AW1122" s="239">
        <v>0</v>
      </c>
      <c r="AX1122" s="239">
        <v>0</v>
      </c>
      <c r="AY1122" s="239">
        <v>0</v>
      </c>
      <c r="AZ1122" s="239">
        <v>0</v>
      </c>
      <c r="BA1122" s="239">
        <v>12</v>
      </c>
      <c r="BB1122" s="239">
        <v>0</v>
      </c>
      <c r="BC1122" s="239">
        <v>0</v>
      </c>
      <c r="BD1122" s="239">
        <v>0</v>
      </c>
      <c r="BE1122" s="239">
        <v>0</v>
      </c>
      <c r="BF1122" s="239">
        <v>0</v>
      </c>
      <c r="BG1122" s="239">
        <v>0</v>
      </c>
      <c r="BH1122" s="239">
        <v>0</v>
      </c>
      <c r="BI1122" s="239">
        <v>0</v>
      </c>
      <c r="BJ1122" s="239">
        <v>0</v>
      </c>
      <c r="BK1122" s="239">
        <v>0</v>
      </c>
      <c r="BL1122" s="239">
        <v>0</v>
      </c>
      <c r="BM1122" s="239">
        <v>0</v>
      </c>
      <c r="BN1122" s="239">
        <v>0</v>
      </c>
      <c r="BO1122" s="239">
        <v>0</v>
      </c>
      <c r="BP1122" s="234" t="s">
        <v>141</v>
      </c>
      <c r="BQ1122" s="238"/>
      <c r="BR1122" s="237" t="s">
        <v>141</v>
      </c>
      <c r="BS1122" s="238">
        <v>19</v>
      </c>
      <c r="CC1122" s="239">
        <f>M1122/12</f>
        <v>1</v>
      </c>
      <c r="CD1122" s="239">
        <f>M1122/12</f>
        <v>1</v>
      </c>
      <c r="CE1122" s="239">
        <f>M1122/12</f>
        <v>1</v>
      </c>
      <c r="CF1122" s="239">
        <f>M1122/12</f>
        <v>1</v>
      </c>
      <c r="CG1122" s="239">
        <f>M1122/12</f>
        <v>1</v>
      </c>
      <c r="CH1122" s="239">
        <f>M1122/12</f>
        <v>1</v>
      </c>
      <c r="CI1122" s="239">
        <f>M1122/12</f>
        <v>1</v>
      </c>
      <c r="CJ1122" s="239">
        <f>M1122/12</f>
        <v>1</v>
      </c>
      <c r="CK1122" s="239">
        <f>M1122/12</f>
        <v>1</v>
      </c>
      <c r="CL1122" s="239">
        <f>M1122/12</f>
        <v>1</v>
      </c>
      <c r="CM1122" s="239">
        <f>M1122/12</f>
        <v>1</v>
      </c>
      <c r="CN1122" s="238">
        <f t="shared" si="125"/>
        <v>0</v>
      </c>
      <c r="CO1122" s="238">
        <f t="shared" si="126"/>
        <v>2</v>
      </c>
    </row>
    <row r="1123" spans="1:93" ht="13.95" customHeight="1" x14ac:dyDescent="0.2">
      <c r="A1123" s="238">
        <v>6866</v>
      </c>
      <c r="B1123" s="241" t="s">
        <v>2736</v>
      </c>
      <c r="C1123" s="238"/>
      <c r="D1123" s="237" t="s">
        <v>2833</v>
      </c>
      <c r="E1123" s="237"/>
      <c r="F1123" s="238">
        <v>528627</v>
      </c>
      <c r="G1123" s="238">
        <v>173224</v>
      </c>
      <c r="H1123" s="232" t="s">
        <v>141</v>
      </c>
      <c r="J1123" s="226"/>
      <c r="K1123" s="238">
        <v>0</v>
      </c>
      <c r="L1123" s="238">
        <v>7</v>
      </c>
      <c r="M1123" s="238">
        <v>7</v>
      </c>
      <c r="N1123" s="238">
        <v>59</v>
      </c>
      <c r="O1123" s="238">
        <v>59</v>
      </c>
      <c r="P1123" s="238" t="s">
        <v>318</v>
      </c>
      <c r="Q1123" s="242" t="s">
        <v>2738</v>
      </c>
      <c r="R1123" s="243" t="s">
        <v>2739</v>
      </c>
      <c r="T1123" s="226"/>
      <c r="U1123" s="238"/>
      <c r="V1123" s="238" t="s">
        <v>321</v>
      </c>
      <c r="W1123" s="226"/>
      <c r="X1123" s="238" t="s">
        <v>322</v>
      </c>
      <c r="Y1123" s="238" t="s">
        <v>323</v>
      </c>
      <c r="Z1123" s="238" t="s">
        <v>323</v>
      </c>
      <c r="AA1123" s="238" t="s">
        <v>324</v>
      </c>
      <c r="AB1123" s="244">
        <v>0</v>
      </c>
      <c r="AD1123" s="238"/>
      <c r="AE1123" s="226"/>
      <c r="AF1123" s="238" t="s">
        <v>56</v>
      </c>
      <c r="AG1123" s="238" t="s">
        <v>1355</v>
      </c>
      <c r="AH1123" s="238" t="s">
        <v>2834</v>
      </c>
      <c r="AI1123" s="238"/>
      <c r="AJ1123" s="239">
        <v>0</v>
      </c>
      <c r="AK1123" s="239">
        <v>0</v>
      </c>
      <c r="AL1123" s="239">
        <v>0</v>
      </c>
      <c r="AM1123" s="239">
        <v>0</v>
      </c>
      <c r="AN1123" s="239">
        <v>0</v>
      </c>
      <c r="AO1123" s="239">
        <v>0</v>
      </c>
      <c r="AP1123" s="239">
        <v>0</v>
      </c>
      <c r="AQ1123" s="239">
        <v>0</v>
      </c>
      <c r="AR1123" s="239">
        <v>0</v>
      </c>
      <c r="AS1123" s="239">
        <v>0</v>
      </c>
      <c r="AT1123" s="239">
        <v>7</v>
      </c>
      <c r="AU1123" s="239">
        <v>0</v>
      </c>
      <c r="AV1123" s="239">
        <v>0</v>
      </c>
      <c r="AW1123" s="239">
        <v>0</v>
      </c>
      <c r="AX1123" s="239">
        <v>0</v>
      </c>
      <c r="AY1123" s="239">
        <v>0</v>
      </c>
      <c r="AZ1123" s="239">
        <v>0</v>
      </c>
      <c r="BA1123" s="239">
        <v>7</v>
      </c>
      <c r="BB1123" s="239">
        <v>0</v>
      </c>
      <c r="BC1123" s="239">
        <v>0</v>
      </c>
      <c r="BD1123" s="239">
        <v>0</v>
      </c>
      <c r="BE1123" s="239">
        <v>0</v>
      </c>
      <c r="BF1123" s="239">
        <v>0</v>
      </c>
      <c r="BG1123" s="239">
        <v>0</v>
      </c>
      <c r="BH1123" s="239">
        <v>0</v>
      </c>
      <c r="BI1123" s="239">
        <v>0</v>
      </c>
      <c r="BJ1123" s="239">
        <v>0</v>
      </c>
      <c r="BK1123" s="239">
        <v>0</v>
      </c>
      <c r="BL1123" s="239">
        <v>0</v>
      </c>
      <c r="BM1123" s="239">
        <v>0</v>
      </c>
      <c r="BN1123" s="239">
        <v>0</v>
      </c>
      <c r="BO1123" s="239">
        <v>0</v>
      </c>
      <c r="BP1123" s="234" t="s">
        <v>141</v>
      </c>
      <c r="BQ1123" s="238"/>
      <c r="BR1123" s="237" t="s">
        <v>141</v>
      </c>
      <c r="BS1123" s="238">
        <v>19</v>
      </c>
      <c r="CC1123" s="239">
        <f>M1123/12</f>
        <v>0.58333333333333337</v>
      </c>
      <c r="CD1123" s="239">
        <f>M1123/12</f>
        <v>0.58333333333333337</v>
      </c>
      <c r="CE1123" s="239">
        <f>M1123/12</f>
        <v>0.58333333333333337</v>
      </c>
      <c r="CF1123" s="239">
        <f>M1123/12</f>
        <v>0.58333333333333337</v>
      </c>
      <c r="CG1123" s="239">
        <f>M1123/12</f>
        <v>0.58333333333333337</v>
      </c>
      <c r="CH1123" s="239">
        <f>M1123/12</f>
        <v>0.58333333333333337</v>
      </c>
      <c r="CI1123" s="239">
        <f>M1123/12</f>
        <v>0.58333333333333337</v>
      </c>
      <c r="CJ1123" s="239">
        <f>M1123/12</f>
        <v>0.58333333333333337</v>
      </c>
      <c r="CK1123" s="239">
        <f>M1123/12</f>
        <v>0.58333333333333337</v>
      </c>
      <c r="CL1123" s="239">
        <f>M1123/12</f>
        <v>0.58333333333333337</v>
      </c>
      <c r="CM1123" s="239">
        <f>M1123/12</f>
        <v>0.58333333333333337</v>
      </c>
      <c r="CN1123" s="238">
        <f t="shared" si="125"/>
        <v>0</v>
      </c>
      <c r="CO1123" s="238">
        <f t="shared" si="126"/>
        <v>1.1666666666666667</v>
      </c>
    </row>
    <row r="1124" spans="1:93" ht="13.95" customHeight="1" x14ac:dyDescent="0.2">
      <c r="A1124" s="238">
        <v>3970</v>
      </c>
      <c r="B1124" s="241" t="s">
        <v>2736</v>
      </c>
      <c r="C1124" s="238"/>
      <c r="D1124" s="237" t="s">
        <v>2835</v>
      </c>
      <c r="E1124" s="237"/>
      <c r="F1124" s="238">
        <v>524058</v>
      </c>
      <c r="G1124" s="238">
        <v>175199</v>
      </c>
      <c r="H1124" s="232" t="s">
        <v>175</v>
      </c>
      <c r="J1124" s="226"/>
      <c r="K1124" s="238">
        <v>0</v>
      </c>
      <c r="L1124" s="238">
        <v>3</v>
      </c>
      <c r="M1124" s="238">
        <v>3</v>
      </c>
      <c r="N1124" s="238">
        <v>3</v>
      </c>
      <c r="O1124" s="238">
        <v>3</v>
      </c>
      <c r="P1124" s="238"/>
      <c r="Q1124" s="242" t="s">
        <v>2738</v>
      </c>
      <c r="R1124" s="238" t="s">
        <v>2739</v>
      </c>
      <c r="T1124" s="226"/>
      <c r="U1124" s="238"/>
      <c r="V1124" s="238" t="s">
        <v>321</v>
      </c>
      <c r="W1124" s="226"/>
      <c r="X1124" s="238" t="s">
        <v>322</v>
      </c>
      <c r="Y1124" s="238" t="s">
        <v>323</v>
      </c>
      <c r="Z1124" s="238" t="s">
        <v>324</v>
      </c>
      <c r="AA1124" s="238" t="s">
        <v>349</v>
      </c>
      <c r="AB1124" s="244">
        <v>0</v>
      </c>
      <c r="AD1124" s="238"/>
      <c r="AE1124" s="226"/>
      <c r="AF1124" s="224" t="s">
        <v>77</v>
      </c>
      <c r="AG1124" s="238" t="s">
        <v>350</v>
      </c>
      <c r="AH1124" s="238" t="s">
        <v>2836</v>
      </c>
      <c r="AI1124" s="238"/>
      <c r="AJ1124" s="239">
        <v>0</v>
      </c>
      <c r="AK1124" s="239">
        <v>0</v>
      </c>
      <c r="AL1124" s="239">
        <v>0</v>
      </c>
      <c r="AM1124" s="239">
        <v>0</v>
      </c>
      <c r="AN1124" s="239">
        <v>0</v>
      </c>
      <c r="AO1124" s="239">
        <v>0</v>
      </c>
      <c r="AP1124" s="239">
        <v>0</v>
      </c>
      <c r="AQ1124" s="239">
        <v>0</v>
      </c>
      <c r="AR1124" s="239">
        <v>0</v>
      </c>
      <c r="AS1124" s="239">
        <v>0</v>
      </c>
      <c r="AT1124" s="239">
        <v>3</v>
      </c>
      <c r="AU1124" s="239">
        <v>0</v>
      </c>
      <c r="AV1124" s="239">
        <v>0</v>
      </c>
      <c r="AW1124" s="239">
        <v>0</v>
      </c>
      <c r="AX1124" s="239">
        <v>0</v>
      </c>
      <c r="AY1124" s="239">
        <v>0</v>
      </c>
      <c r="AZ1124" s="239">
        <v>0</v>
      </c>
      <c r="BA1124" s="239">
        <v>3</v>
      </c>
      <c r="BB1124" s="239">
        <v>0</v>
      </c>
      <c r="BC1124" s="239">
        <v>0</v>
      </c>
      <c r="BD1124" s="239">
        <v>0</v>
      </c>
      <c r="BE1124" s="239">
        <v>0</v>
      </c>
      <c r="BF1124" s="239">
        <v>0</v>
      </c>
      <c r="BG1124" s="239">
        <v>0</v>
      </c>
      <c r="BH1124" s="239">
        <v>0</v>
      </c>
      <c r="BI1124" s="239">
        <v>0</v>
      </c>
      <c r="BJ1124" s="239">
        <v>0</v>
      </c>
      <c r="BK1124" s="239">
        <v>0</v>
      </c>
      <c r="BL1124" s="239">
        <v>0</v>
      </c>
      <c r="BM1124" s="239">
        <v>0</v>
      </c>
      <c r="BN1124" s="239">
        <v>0</v>
      </c>
      <c r="BO1124" s="239">
        <v>0</v>
      </c>
      <c r="BP1124" s="234" t="s">
        <v>143</v>
      </c>
      <c r="BQ1124" s="238"/>
      <c r="BR1124" s="237" t="s">
        <v>152</v>
      </c>
      <c r="BS1124" s="238">
        <v>19</v>
      </c>
      <c r="CC1124" s="239">
        <f>M1124/12</f>
        <v>0.25</v>
      </c>
      <c r="CD1124" s="239">
        <f>M1124/12</f>
        <v>0.25</v>
      </c>
      <c r="CE1124" s="239">
        <f>M1124/12</f>
        <v>0.25</v>
      </c>
      <c r="CF1124" s="239">
        <f>M1124/12</f>
        <v>0.25</v>
      </c>
      <c r="CG1124" s="239">
        <f>M1124/12</f>
        <v>0.25</v>
      </c>
      <c r="CH1124" s="239">
        <f>M1124/12</f>
        <v>0.25</v>
      </c>
      <c r="CI1124" s="239">
        <f>M1124/12</f>
        <v>0.25</v>
      </c>
      <c r="CJ1124" s="239">
        <f>M1124/12</f>
        <v>0.25</v>
      </c>
      <c r="CK1124" s="239">
        <f>M1124/12</f>
        <v>0.25</v>
      </c>
      <c r="CL1124" s="239">
        <f>M1124/12</f>
        <v>0.25</v>
      </c>
      <c r="CM1124" s="239">
        <f>M1124/12</f>
        <v>0.25</v>
      </c>
      <c r="CN1124" s="238">
        <f t="shared" si="125"/>
        <v>0</v>
      </c>
      <c r="CO1124" s="238">
        <f t="shared" si="126"/>
        <v>0.5</v>
      </c>
    </row>
    <row r="1125" spans="1:93" ht="13.95" customHeight="1" x14ac:dyDescent="0.2">
      <c r="A1125" s="238">
        <v>3942</v>
      </c>
      <c r="B1125" s="241" t="s">
        <v>2736</v>
      </c>
      <c r="C1125" s="238"/>
      <c r="D1125" s="237" t="s">
        <v>2837</v>
      </c>
      <c r="E1125" s="237"/>
      <c r="F1125" s="238">
        <v>529292</v>
      </c>
      <c r="G1125" s="238">
        <v>177503</v>
      </c>
      <c r="H1125" s="232" t="s">
        <v>168</v>
      </c>
      <c r="J1125" s="226"/>
      <c r="K1125" s="238">
        <v>0</v>
      </c>
      <c r="L1125" s="238">
        <v>177</v>
      </c>
      <c r="M1125" s="238">
        <v>177</v>
      </c>
      <c r="N1125" s="238">
        <v>208</v>
      </c>
      <c r="O1125" s="238">
        <v>208</v>
      </c>
      <c r="P1125" s="238" t="s">
        <v>318</v>
      </c>
      <c r="Q1125" s="242" t="s">
        <v>2738</v>
      </c>
      <c r="R1125" s="243" t="s">
        <v>2739</v>
      </c>
      <c r="T1125" s="226"/>
      <c r="U1125" s="238"/>
      <c r="V1125" s="238" t="s">
        <v>321</v>
      </c>
      <c r="W1125" s="226"/>
      <c r="X1125" s="238" t="s">
        <v>322</v>
      </c>
      <c r="Y1125" s="238" t="s">
        <v>323</v>
      </c>
      <c r="Z1125" s="238" t="s">
        <v>323</v>
      </c>
      <c r="AA1125" s="238" t="s">
        <v>324</v>
      </c>
      <c r="AB1125" s="244">
        <v>0</v>
      </c>
      <c r="AD1125" s="238"/>
      <c r="AE1125" s="226"/>
      <c r="AF1125" s="224" t="s">
        <v>77</v>
      </c>
      <c r="AG1125" s="238" t="s">
        <v>350</v>
      </c>
      <c r="AH1125" s="238" t="s">
        <v>2838</v>
      </c>
      <c r="AI1125" s="238"/>
      <c r="AJ1125" s="239">
        <v>0</v>
      </c>
      <c r="AK1125" s="239">
        <v>0</v>
      </c>
      <c r="AL1125" s="239">
        <v>0</v>
      </c>
      <c r="AM1125" s="239">
        <v>0</v>
      </c>
      <c r="AN1125" s="239">
        <v>0</v>
      </c>
      <c r="AO1125" s="239">
        <v>0</v>
      </c>
      <c r="AP1125" s="239">
        <v>0</v>
      </c>
      <c r="AQ1125" s="239">
        <v>0</v>
      </c>
      <c r="AR1125" s="239">
        <v>0</v>
      </c>
      <c r="AS1125" s="239">
        <v>0</v>
      </c>
      <c r="AT1125" s="239">
        <v>177</v>
      </c>
      <c r="AU1125" s="239">
        <v>0</v>
      </c>
      <c r="AV1125" s="239">
        <v>0</v>
      </c>
      <c r="AW1125" s="239">
        <v>0</v>
      </c>
      <c r="AX1125" s="239">
        <v>0</v>
      </c>
      <c r="AY1125" s="239">
        <v>0</v>
      </c>
      <c r="AZ1125" s="239">
        <v>0</v>
      </c>
      <c r="BA1125" s="239">
        <v>177</v>
      </c>
      <c r="BB1125" s="239">
        <v>0</v>
      </c>
      <c r="BC1125" s="239">
        <v>0</v>
      </c>
      <c r="BD1125" s="239">
        <v>0</v>
      </c>
      <c r="BE1125" s="239">
        <v>0</v>
      </c>
      <c r="BF1125" s="239">
        <v>0</v>
      </c>
      <c r="BG1125" s="239">
        <v>0</v>
      </c>
      <c r="BH1125" s="239">
        <v>0</v>
      </c>
      <c r="BI1125" s="239">
        <v>0</v>
      </c>
      <c r="BJ1125" s="239">
        <v>0</v>
      </c>
      <c r="BK1125" s="239">
        <v>0</v>
      </c>
      <c r="BL1125" s="239">
        <v>0</v>
      </c>
      <c r="BM1125" s="239">
        <v>0</v>
      </c>
      <c r="BN1125" s="239">
        <v>0</v>
      </c>
      <c r="BO1125" s="239">
        <v>0</v>
      </c>
      <c r="BP1125" s="238"/>
      <c r="BQ1125" s="234" t="s">
        <v>318</v>
      </c>
      <c r="BR1125" s="237" t="s">
        <v>151</v>
      </c>
      <c r="BS1125" s="238">
        <v>20</v>
      </c>
      <c r="BY1125" s="239">
        <f>M1125</f>
        <v>177</v>
      </c>
      <c r="CN1125" s="238">
        <f t="shared" si="125"/>
        <v>177</v>
      </c>
      <c r="CO1125" s="238">
        <f t="shared" si="126"/>
        <v>177</v>
      </c>
    </row>
    <row r="1126" spans="1:93" ht="13.95" customHeight="1" x14ac:dyDescent="0.2">
      <c r="A1126" s="238">
        <v>3942</v>
      </c>
      <c r="B1126" s="241" t="s">
        <v>2736</v>
      </c>
      <c r="C1126" s="238"/>
      <c r="D1126" s="237" t="s">
        <v>2837</v>
      </c>
      <c r="E1126" s="237"/>
      <c r="F1126" s="238">
        <v>529292</v>
      </c>
      <c r="G1126" s="238">
        <v>177503</v>
      </c>
      <c r="H1126" s="232" t="s">
        <v>168</v>
      </c>
      <c r="J1126" s="226"/>
      <c r="K1126" s="238">
        <v>0</v>
      </c>
      <c r="L1126" s="238">
        <v>19</v>
      </c>
      <c r="M1126" s="238">
        <v>19</v>
      </c>
      <c r="N1126" s="238">
        <v>208</v>
      </c>
      <c r="O1126" s="238">
        <v>208</v>
      </c>
      <c r="P1126" s="238" t="s">
        <v>318</v>
      </c>
      <c r="Q1126" s="242" t="s">
        <v>2738</v>
      </c>
      <c r="R1126" s="243" t="s">
        <v>2739</v>
      </c>
      <c r="T1126" s="226"/>
      <c r="U1126" s="238"/>
      <c r="V1126" s="238" t="s">
        <v>321</v>
      </c>
      <c r="W1126" s="226"/>
      <c r="X1126" s="238" t="s">
        <v>322</v>
      </c>
      <c r="Y1126" s="238" t="s">
        <v>323</v>
      </c>
      <c r="Z1126" s="238" t="s">
        <v>323</v>
      </c>
      <c r="AA1126" s="238" t="s">
        <v>324</v>
      </c>
      <c r="AB1126" s="244">
        <v>0</v>
      </c>
      <c r="AD1126" s="238"/>
      <c r="AE1126" s="226"/>
      <c r="AF1126" s="238" t="s">
        <v>57</v>
      </c>
      <c r="AG1126" s="238" t="s">
        <v>470</v>
      </c>
      <c r="AH1126" s="238" t="s">
        <v>2838</v>
      </c>
      <c r="AI1126" s="238"/>
      <c r="AJ1126" s="239">
        <v>0</v>
      </c>
      <c r="AK1126" s="239">
        <v>0</v>
      </c>
      <c r="AL1126" s="239">
        <v>0</v>
      </c>
      <c r="AM1126" s="239">
        <v>0</v>
      </c>
      <c r="AN1126" s="239">
        <v>0</v>
      </c>
      <c r="AO1126" s="239">
        <v>0</v>
      </c>
      <c r="AP1126" s="239">
        <v>0</v>
      </c>
      <c r="AQ1126" s="239">
        <v>0</v>
      </c>
      <c r="AR1126" s="239">
        <v>0</v>
      </c>
      <c r="AS1126" s="239">
        <v>0</v>
      </c>
      <c r="AT1126" s="239">
        <v>19</v>
      </c>
      <c r="AU1126" s="239">
        <v>0</v>
      </c>
      <c r="AV1126" s="239">
        <v>0</v>
      </c>
      <c r="AW1126" s="239">
        <v>0</v>
      </c>
      <c r="AX1126" s="239">
        <v>0</v>
      </c>
      <c r="AY1126" s="239">
        <v>0</v>
      </c>
      <c r="AZ1126" s="239">
        <v>0</v>
      </c>
      <c r="BA1126" s="239">
        <v>19</v>
      </c>
      <c r="BB1126" s="239">
        <v>0</v>
      </c>
      <c r="BC1126" s="239">
        <v>0</v>
      </c>
      <c r="BD1126" s="239">
        <v>0</v>
      </c>
      <c r="BE1126" s="239">
        <v>0</v>
      </c>
      <c r="BF1126" s="239">
        <v>0</v>
      </c>
      <c r="BG1126" s="239">
        <v>0</v>
      </c>
      <c r="BH1126" s="239">
        <v>0</v>
      </c>
      <c r="BI1126" s="239">
        <v>0</v>
      </c>
      <c r="BJ1126" s="239">
        <v>0</v>
      </c>
      <c r="BK1126" s="239">
        <v>0</v>
      </c>
      <c r="BL1126" s="239">
        <v>0</v>
      </c>
      <c r="BM1126" s="239">
        <v>0</v>
      </c>
      <c r="BN1126" s="239">
        <v>0</v>
      </c>
      <c r="BO1126" s="239">
        <v>0</v>
      </c>
      <c r="BP1126" s="238"/>
      <c r="BQ1126" s="234" t="s">
        <v>318</v>
      </c>
      <c r="BR1126" s="237" t="s">
        <v>151</v>
      </c>
      <c r="BS1126" s="238">
        <v>20</v>
      </c>
      <c r="BY1126" s="239">
        <f>M1126</f>
        <v>19</v>
      </c>
      <c r="CN1126" s="238">
        <f t="shared" si="125"/>
        <v>19</v>
      </c>
      <c r="CO1126" s="238">
        <f t="shared" si="126"/>
        <v>19</v>
      </c>
    </row>
    <row r="1127" spans="1:93" ht="13.95" customHeight="1" x14ac:dyDescent="0.2">
      <c r="A1127" s="238">
        <v>3942</v>
      </c>
      <c r="B1127" s="241" t="s">
        <v>2736</v>
      </c>
      <c r="C1127" s="238"/>
      <c r="D1127" s="237" t="s">
        <v>2837</v>
      </c>
      <c r="E1127" s="237"/>
      <c r="F1127" s="238">
        <v>529292</v>
      </c>
      <c r="G1127" s="238">
        <v>177503</v>
      </c>
      <c r="H1127" s="232" t="s">
        <v>168</v>
      </c>
      <c r="J1127" s="226"/>
      <c r="K1127" s="238">
        <v>0</v>
      </c>
      <c r="L1127" s="238">
        <v>12</v>
      </c>
      <c r="M1127" s="238">
        <v>12</v>
      </c>
      <c r="N1127" s="238">
        <v>208</v>
      </c>
      <c r="O1127" s="238">
        <v>208</v>
      </c>
      <c r="P1127" s="238" t="s">
        <v>318</v>
      </c>
      <c r="Q1127" s="242" t="s">
        <v>2738</v>
      </c>
      <c r="R1127" s="243" t="s">
        <v>2739</v>
      </c>
      <c r="T1127" s="226"/>
      <c r="U1127" s="238"/>
      <c r="V1127" s="238" t="s">
        <v>321</v>
      </c>
      <c r="W1127" s="226"/>
      <c r="X1127" s="238" t="s">
        <v>322</v>
      </c>
      <c r="Y1127" s="238" t="s">
        <v>323</v>
      </c>
      <c r="Z1127" s="238" t="s">
        <v>323</v>
      </c>
      <c r="AA1127" s="238" t="s">
        <v>324</v>
      </c>
      <c r="AB1127" s="244">
        <v>0</v>
      </c>
      <c r="AD1127" s="238"/>
      <c r="AE1127" s="226"/>
      <c r="AF1127" s="238" t="s">
        <v>56</v>
      </c>
      <c r="AG1127" s="238" t="s">
        <v>1355</v>
      </c>
      <c r="AH1127" s="238" t="s">
        <v>2838</v>
      </c>
      <c r="AI1127" s="238"/>
      <c r="AJ1127" s="239">
        <v>0</v>
      </c>
      <c r="AK1127" s="239">
        <v>0</v>
      </c>
      <c r="AL1127" s="239">
        <v>0</v>
      </c>
      <c r="AM1127" s="239">
        <v>0</v>
      </c>
      <c r="AN1127" s="239">
        <v>0</v>
      </c>
      <c r="AO1127" s="239">
        <v>0</v>
      </c>
      <c r="AP1127" s="239">
        <v>0</v>
      </c>
      <c r="AQ1127" s="239">
        <v>0</v>
      </c>
      <c r="AR1127" s="239">
        <v>0</v>
      </c>
      <c r="AS1127" s="239">
        <v>0</v>
      </c>
      <c r="AT1127" s="239">
        <v>12</v>
      </c>
      <c r="AU1127" s="239">
        <v>0</v>
      </c>
      <c r="AV1127" s="239">
        <v>0</v>
      </c>
      <c r="AW1127" s="239">
        <v>0</v>
      </c>
      <c r="AX1127" s="239">
        <v>0</v>
      </c>
      <c r="AY1127" s="239">
        <v>0</v>
      </c>
      <c r="AZ1127" s="239">
        <v>0</v>
      </c>
      <c r="BA1127" s="239">
        <v>12</v>
      </c>
      <c r="BB1127" s="239">
        <v>0</v>
      </c>
      <c r="BC1127" s="239">
        <v>0</v>
      </c>
      <c r="BD1127" s="239">
        <v>0</v>
      </c>
      <c r="BE1127" s="239">
        <v>0</v>
      </c>
      <c r="BF1127" s="239">
        <v>0</v>
      </c>
      <c r="BG1127" s="239">
        <v>0</v>
      </c>
      <c r="BH1127" s="239">
        <v>0</v>
      </c>
      <c r="BI1127" s="239">
        <v>0</v>
      </c>
      <c r="BJ1127" s="239">
        <v>0</v>
      </c>
      <c r="BK1127" s="239">
        <v>0</v>
      </c>
      <c r="BL1127" s="239">
        <v>0</v>
      </c>
      <c r="BM1127" s="239">
        <v>0</v>
      </c>
      <c r="BN1127" s="239">
        <v>0</v>
      </c>
      <c r="BO1127" s="239">
        <v>0</v>
      </c>
      <c r="BP1127" s="238"/>
      <c r="BQ1127" s="234" t="s">
        <v>318</v>
      </c>
      <c r="BR1127" s="237" t="s">
        <v>151</v>
      </c>
      <c r="BS1127" s="238">
        <v>20</v>
      </c>
      <c r="BY1127" s="239">
        <f>M1127</f>
        <v>12</v>
      </c>
      <c r="CN1127" s="238">
        <f t="shared" si="125"/>
        <v>12</v>
      </c>
      <c r="CO1127" s="238">
        <f t="shared" si="126"/>
        <v>12</v>
      </c>
    </row>
    <row r="1128" spans="1:93" ht="13.95" customHeight="1" x14ac:dyDescent="0.2">
      <c r="A1128" s="238">
        <v>7543</v>
      </c>
      <c r="B1128" s="241" t="s">
        <v>2736</v>
      </c>
      <c r="C1128" s="238"/>
      <c r="D1128" s="237" t="s">
        <v>2839</v>
      </c>
      <c r="E1128" s="237"/>
      <c r="F1128" s="238">
        <v>524585</v>
      </c>
      <c r="G1128" s="238">
        <v>173139</v>
      </c>
      <c r="H1128" s="232" t="s">
        <v>182</v>
      </c>
      <c r="J1128" s="226"/>
      <c r="K1128" s="238">
        <v>0</v>
      </c>
      <c r="L1128" s="238">
        <v>6</v>
      </c>
      <c r="M1128" s="238">
        <v>6</v>
      </c>
      <c r="N1128" s="238">
        <v>6</v>
      </c>
      <c r="O1128" s="238">
        <v>6</v>
      </c>
      <c r="P1128" s="238"/>
      <c r="Q1128" s="242" t="s">
        <v>2738</v>
      </c>
      <c r="R1128" s="238" t="s">
        <v>2739</v>
      </c>
      <c r="T1128" s="226"/>
      <c r="U1128" s="238"/>
      <c r="V1128" s="238" t="s">
        <v>321</v>
      </c>
      <c r="W1128" s="226"/>
      <c r="X1128" s="238" t="s">
        <v>322</v>
      </c>
      <c r="Y1128" s="238" t="s">
        <v>323</v>
      </c>
      <c r="Z1128" s="238" t="s">
        <v>324</v>
      </c>
      <c r="AA1128" s="238" t="s">
        <v>349</v>
      </c>
      <c r="AB1128" s="244">
        <v>0</v>
      </c>
      <c r="AD1128" s="238"/>
      <c r="AE1128" s="226"/>
      <c r="AF1128" s="224" t="s">
        <v>77</v>
      </c>
      <c r="AG1128" s="238" t="s">
        <v>350</v>
      </c>
      <c r="AH1128" s="238"/>
      <c r="AI1128" s="238"/>
      <c r="AJ1128" s="239">
        <v>0</v>
      </c>
      <c r="AK1128" s="239">
        <v>0</v>
      </c>
      <c r="AL1128" s="239">
        <v>0</v>
      </c>
      <c r="AM1128" s="239">
        <v>0</v>
      </c>
      <c r="AN1128" s="239">
        <v>0</v>
      </c>
      <c r="AO1128" s="239">
        <v>0</v>
      </c>
      <c r="AP1128" s="239">
        <v>0</v>
      </c>
      <c r="AQ1128" s="239">
        <v>0</v>
      </c>
      <c r="AR1128" s="239">
        <v>0</v>
      </c>
      <c r="AS1128" s="239">
        <v>0</v>
      </c>
      <c r="AT1128" s="239">
        <v>6</v>
      </c>
      <c r="AU1128" s="239">
        <v>0</v>
      </c>
      <c r="AV1128" s="239">
        <v>0</v>
      </c>
      <c r="AW1128" s="239">
        <v>0</v>
      </c>
      <c r="AX1128" s="239">
        <v>0</v>
      </c>
      <c r="AY1128" s="239">
        <v>0</v>
      </c>
      <c r="AZ1128" s="239">
        <v>0</v>
      </c>
      <c r="BA1128" s="239">
        <v>6</v>
      </c>
      <c r="BB1128" s="239">
        <v>0</v>
      </c>
      <c r="BC1128" s="239">
        <v>0</v>
      </c>
      <c r="BD1128" s="239">
        <v>0</v>
      </c>
      <c r="BE1128" s="239">
        <v>0</v>
      </c>
      <c r="BF1128" s="239">
        <v>0</v>
      </c>
      <c r="BG1128" s="239">
        <v>0</v>
      </c>
      <c r="BH1128" s="239">
        <v>0</v>
      </c>
      <c r="BI1128" s="239">
        <v>0</v>
      </c>
      <c r="BJ1128" s="239">
        <v>0</v>
      </c>
      <c r="BK1128" s="239">
        <v>0</v>
      </c>
      <c r="BL1128" s="239">
        <v>0</v>
      </c>
      <c r="BM1128" s="239">
        <v>0</v>
      </c>
      <c r="BN1128" s="239">
        <v>0</v>
      </c>
      <c r="BO1128" s="239">
        <v>0</v>
      </c>
      <c r="BP1128" s="238"/>
      <c r="BQ1128" s="238"/>
      <c r="BR1128" s="237" t="s">
        <v>334</v>
      </c>
      <c r="BS1128" s="238">
        <v>19</v>
      </c>
      <c r="BY1128" s="239">
        <f>M1128</f>
        <v>6</v>
      </c>
      <c r="CN1128" s="238">
        <f t="shared" si="125"/>
        <v>6</v>
      </c>
      <c r="CO1128" s="238">
        <f t="shared" si="126"/>
        <v>6</v>
      </c>
    </row>
    <row r="1129" spans="1:93" ht="13.95" customHeight="1" x14ac:dyDescent="0.2">
      <c r="A1129" s="238">
        <v>7586</v>
      </c>
      <c r="B1129" s="241" t="s">
        <v>2736</v>
      </c>
      <c r="C1129" s="238"/>
      <c r="D1129" s="237" t="s">
        <v>2840</v>
      </c>
      <c r="E1129" s="237"/>
      <c r="F1129" s="238">
        <v>525580.16070000001</v>
      </c>
      <c r="G1129" s="238">
        <v>174464.45579999901</v>
      </c>
      <c r="H1129" s="232" t="s">
        <v>181</v>
      </c>
      <c r="J1129" s="226"/>
      <c r="K1129" s="238">
        <v>0</v>
      </c>
      <c r="L1129" s="238">
        <v>610</v>
      </c>
      <c r="M1129" s="238">
        <v>610</v>
      </c>
      <c r="N1129" s="238">
        <v>910</v>
      </c>
      <c r="O1129" s="238">
        <v>910</v>
      </c>
      <c r="P1129" s="238" t="s">
        <v>318</v>
      </c>
      <c r="Q1129" s="242" t="s">
        <v>2738</v>
      </c>
      <c r="R1129" s="243" t="s">
        <v>2739</v>
      </c>
      <c r="T1129" s="226"/>
      <c r="U1129" s="238"/>
      <c r="V1129" s="238" t="s">
        <v>321</v>
      </c>
      <c r="W1129" s="226"/>
      <c r="X1129" s="238" t="s">
        <v>322</v>
      </c>
      <c r="Y1129" s="238" t="s">
        <v>323</v>
      </c>
      <c r="Z1129" s="238" t="s">
        <v>323</v>
      </c>
      <c r="AA1129" s="238" t="s">
        <v>324</v>
      </c>
      <c r="AB1129" s="244">
        <v>0</v>
      </c>
      <c r="AD1129" s="238"/>
      <c r="AE1129" s="226"/>
      <c r="AF1129" s="224" t="s">
        <v>77</v>
      </c>
      <c r="AG1129" s="238" t="s">
        <v>350</v>
      </c>
      <c r="AH1129" s="238" t="s">
        <v>2841</v>
      </c>
      <c r="AI1129" s="238"/>
      <c r="AJ1129" s="239">
        <v>0</v>
      </c>
      <c r="AK1129" s="239">
        <v>0</v>
      </c>
      <c r="AL1129" s="239">
        <v>0</v>
      </c>
      <c r="AM1129" s="239">
        <v>0</v>
      </c>
      <c r="AN1129" s="239">
        <v>0</v>
      </c>
      <c r="AO1129" s="239">
        <v>0</v>
      </c>
      <c r="AP1129" s="239">
        <v>0</v>
      </c>
      <c r="AQ1129" s="239">
        <v>0</v>
      </c>
      <c r="AR1129" s="239">
        <v>0</v>
      </c>
      <c r="AS1129" s="239">
        <v>0</v>
      </c>
      <c r="AT1129" s="239">
        <v>610</v>
      </c>
      <c r="AU1129" s="239">
        <v>0</v>
      </c>
      <c r="AV1129" s="239">
        <v>0</v>
      </c>
      <c r="AW1129" s="239">
        <v>0</v>
      </c>
      <c r="AX1129" s="239">
        <v>0</v>
      </c>
      <c r="AY1129" s="239">
        <v>0</v>
      </c>
      <c r="AZ1129" s="239">
        <v>0</v>
      </c>
      <c r="BA1129" s="239">
        <v>610</v>
      </c>
      <c r="BB1129" s="239">
        <v>0</v>
      </c>
      <c r="BC1129" s="239">
        <v>0</v>
      </c>
      <c r="BD1129" s="239">
        <v>0</v>
      </c>
      <c r="BE1129" s="239">
        <v>0</v>
      </c>
      <c r="BF1129" s="239">
        <v>0</v>
      </c>
      <c r="BG1129" s="239">
        <v>0</v>
      </c>
      <c r="BH1129" s="239">
        <v>0</v>
      </c>
      <c r="BI1129" s="239">
        <v>0</v>
      </c>
      <c r="BJ1129" s="239">
        <v>0</v>
      </c>
      <c r="BK1129" s="239">
        <v>0</v>
      </c>
      <c r="BL1129" s="239">
        <v>0</v>
      </c>
      <c r="BM1129" s="239">
        <v>0</v>
      </c>
      <c r="BN1129" s="239">
        <v>0</v>
      </c>
      <c r="BO1129" s="239">
        <v>0</v>
      </c>
      <c r="BP1129" s="234" t="s">
        <v>145</v>
      </c>
      <c r="BQ1129" s="238"/>
      <c r="BR1129" s="237" t="s">
        <v>327</v>
      </c>
      <c r="BS1129" s="238">
        <v>19</v>
      </c>
      <c r="BX1129" s="239">
        <f>M1129/10</f>
        <v>61</v>
      </c>
      <c r="BY1129" s="239">
        <f>M1129/10</f>
        <v>61</v>
      </c>
      <c r="BZ1129" s="239">
        <f>M1129/10</f>
        <v>61</v>
      </c>
      <c r="CA1129" s="239">
        <f>M1129/10</f>
        <v>61</v>
      </c>
      <c r="CB1129" s="239">
        <f>M1129/10</f>
        <v>61</v>
      </c>
      <c r="CC1129" s="239">
        <f>M1129/10</f>
        <v>61</v>
      </c>
      <c r="CD1129" s="239">
        <f>M1129/10</f>
        <v>61</v>
      </c>
      <c r="CE1129" s="239">
        <f>M1129/10</f>
        <v>61</v>
      </c>
      <c r="CF1129" s="239">
        <f>M1129/10</f>
        <v>61</v>
      </c>
      <c r="CG1129" s="239">
        <f>M1129/10</f>
        <v>61</v>
      </c>
      <c r="CN1129" s="238">
        <f t="shared" si="125"/>
        <v>122</v>
      </c>
      <c r="CO1129" s="238">
        <f t="shared" si="126"/>
        <v>427</v>
      </c>
    </row>
    <row r="1130" spans="1:93" ht="13.95" customHeight="1" x14ac:dyDescent="0.2">
      <c r="A1130" s="238">
        <v>7586</v>
      </c>
      <c r="B1130" s="241" t="s">
        <v>2736</v>
      </c>
      <c r="C1130" s="238"/>
      <c r="D1130" s="237" t="s">
        <v>2840</v>
      </c>
      <c r="E1130" s="237"/>
      <c r="F1130" s="238">
        <v>525580.16070000001</v>
      </c>
      <c r="G1130" s="238">
        <v>174464.45579999901</v>
      </c>
      <c r="H1130" s="232" t="s">
        <v>181</v>
      </c>
      <c r="J1130" s="226"/>
      <c r="K1130" s="238">
        <v>0</v>
      </c>
      <c r="L1130" s="238">
        <v>182</v>
      </c>
      <c r="M1130" s="238">
        <v>182</v>
      </c>
      <c r="N1130" s="238">
        <v>910</v>
      </c>
      <c r="O1130" s="238">
        <v>910</v>
      </c>
      <c r="P1130" s="238" t="s">
        <v>318</v>
      </c>
      <c r="Q1130" s="242" t="s">
        <v>2738</v>
      </c>
      <c r="R1130" s="243" t="s">
        <v>2739</v>
      </c>
      <c r="T1130" s="226"/>
      <c r="U1130" s="238"/>
      <c r="V1130" s="238" t="s">
        <v>321</v>
      </c>
      <c r="W1130" s="226"/>
      <c r="X1130" s="238" t="s">
        <v>322</v>
      </c>
      <c r="Y1130" s="238" t="s">
        <v>323</v>
      </c>
      <c r="Z1130" s="238" t="s">
        <v>323</v>
      </c>
      <c r="AA1130" s="238" t="s">
        <v>324</v>
      </c>
      <c r="AB1130" s="244">
        <v>0</v>
      </c>
      <c r="AD1130" s="238"/>
      <c r="AE1130" s="226"/>
      <c r="AF1130" s="238" t="s">
        <v>57</v>
      </c>
      <c r="AG1130" s="238" t="s">
        <v>470</v>
      </c>
      <c r="AH1130" s="238" t="s">
        <v>2841</v>
      </c>
      <c r="AI1130" s="238"/>
      <c r="AJ1130" s="239">
        <v>0</v>
      </c>
      <c r="AK1130" s="239">
        <v>0</v>
      </c>
      <c r="AL1130" s="239">
        <v>0</v>
      </c>
      <c r="AM1130" s="239">
        <v>0</v>
      </c>
      <c r="AN1130" s="239">
        <v>0</v>
      </c>
      <c r="AO1130" s="239">
        <v>0</v>
      </c>
      <c r="AP1130" s="239">
        <v>0</v>
      </c>
      <c r="AQ1130" s="239">
        <v>0</v>
      </c>
      <c r="AR1130" s="239">
        <v>0</v>
      </c>
      <c r="AS1130" s="239">
        <v>0</v>
      </c>
      <c r="AT1130" s="239">
        <v>182</v>
      </c>
      <c r="AU1130" s="239">
        <v>0</v>
      </c>
      <c r="AV1130" s="239">
        <v>0</v>
      </c>
      <c r="AW1130" s="239">
        <v>0</v>
      </c>
      <c r="AX1130" s="239">
        <v>0</v>
      </c>
      <c r="AY1130" s="239">
        <v>0</v>
      </c>
      <c r="AZ1130" s="239">
        <v>0</v>
      </c>
      <c r="BA1130" s="239">
        <v>182</v>
      </c>
      <c r="BB1130" s="239">
        <v>0</v>
      </c>
      <c r="BC1130" s="239">
        <v>0</v>
      </c>
      <c r="BD1130" s="239">
        <v>0</v>
      </c>
      <c r="BE1130" s="239">
        <v>0</v>
      </c>
      <c r="BF1130" s="239">
        <v>0</v>
      </c>
      <c r="BG1130" s="239">
        <v>0</v>
      </c>
      <c r="BH1130" s="239">
        <v>0</v>
      </c>
      <c r="BI1130" s="239">
        <v>0</v>
      </c>
      <c r="BJ1130" s="239">
        <v>0</v>
      </c>
      <c r="BK1130" s="239">
        <v>0</v>
      </c>
      <c r="BL1130" s="239">
        <v>0</v>
      </c>
      <c r="BM1130" s="239">
        <v>0</v>
      </c>
      <c r="BN1130" s="239">
        <v>0</v>
      </c>
      <c r="BO1130" s="239">
        <v>0</v>
      </c>
      <c r="BP1130" s="234" t="s">
        <v>145</v>
      </c>
      <c r="BQ1130" s="238"/>
      <c r="BR1130" s="237" t="s">
        <v>327</v>
      </c>
      <c r="BS1130" s="238">
        <v>19</v>
      </c>
      <c r="BX1130" s="239">
        <f>M1130/10</f>
        <v>18.2</v>
      </c>
      <c r="BY1130" s="239">
        <f>M1130/10</f>
        <v>18.2</v>
      </c>
      <c r="BZ1130" s="239">
        <f>M1130/10</f>
        <v>18.2</v>
      </c>
      <c r="CA1130" s="239">
        <f>M1130/10</f>
        <v>18.2</v>
      </c>
      <c r="CB1130" s="239">
        <f>M1130/10</f>
        <v>18.2</v>
      </c>
      <c r="CC1130" s="239">
        <f>M1130/10</f>
        <v>18.2</v>
      </c>
      <c r="CD1130" s="239">
        <f>M1130/10</f>
        <v>18.2</v>
      </c>
      <c r="CE1130" s="239">
        <f>M1130/10</f>
        <v>18.2</v>
      </c>
      <c r="CF1130" s="239">
        <f>M1130/10</f>
        <v>18.2</v>
      </c>
      <c r="CG1130" s="239">
        <f>M1130/10</f>
        <v>18.2</v>
      </c>
      <c r="CN1130" s="238">
        <f t="shared" si="125"/>
        <v>36.4</v>
      </c>
      <c r="CO1130" s="238">
        <f t="shared" si="126"/>
        <v>127.4</v>
      </c>
    </row>
    <row r="1131" spans="1:93" ht="13.95" customHeight="1" x14ac:dyDescent="0.2">
      <c r="A1131" s="238">
        <v>7586</v>
      </c>
      <c r="B1131" s="241" t="s">
        <v>2736</v>
      </c>
      <c r="C1131" s="238"/>
      <c r="D1131" s="237" t="s">
        <v>2840</v>
      </c>
      <c r="E1131" s="237"/>
      <c r="F1131" s="238">
        <v>525580.16070000001</v>
      </c>
      <c r="G1131" s="238">
        <v>174464.45579999901</v>
      </c>
      <c r="H1131" s="232" t="s">
        <v>181</v>
      </c>
      <c r="J1131" s="226"/>
      <c r="K1131" s="238">
        <v>0</v>
      </c>
      <c r="L1131" s="238">
        <v>118</v>
      </c>
      <c r="M1131" s="238">
        <v>118</v>
      </c>
      <c r="N1131" s="238">
        <v>910</v>
      </c>
      <c r="O1131" s="238">
        <v>910</v>
      </c>
      <c r="P1131" s="238" t="s">
        <v>318</v>
      </c>
      <c r="Q1131" s="242" t="s">
        <v>2738</v>
      </c>
      <c r="R1131" s="243" t="s">
        <v>2739</v>
      </c>
      <c r="T1131" s="226"/>
      <c r="U1131" s="238"/>
      <c r="V1131" s="238" t="s">
        <v>321</v>
      </c>
      <c r="W1131" s="226"/>
      <c r="X1131" s="238" t="s">
        <v>322</v>
      </c>
      <c r="Y1131" s="238" t="s">
        <v>323</v>
      </c>
      <c r="Z1131" s="238" t="s">
        <v>323</v>
      </c>
      <c r="AA1131" s="238" t="s">
        <v>324</v>
      </c>
      <c r="AB1131" s="244">
        <v>0</v>
      </c>
      <c r="AD1131" s="238"/>
      <c r="AE1131" s="226"/>
      <c r="AF1131" s="238" t="s">
        <v>56</v>
      </c>
      <c r="AG1131" s="238" t="s">
        <v>1355</v>
      </c>
      <c r="AH1131" s="238" t="s">
        <v>2841</v>
      </c>
      <c r="AI1131" s="238"/>
      <c r="AJ1131" s="239">
        <v>0</v>
      </c>
      <c r="AK1131" s="239">
        <v>0</v>
      </c>
      <c r="AL1131" s="239">
        <v>0</v>
      </c>
      <c r="AM1131" s="239">
        <v>0</v>
      </c>
      <c r="AN1131" s="239">
        <v>0</v>
      </c>
      <c r="AO1131" s="239">
        <v>0</v>
      </c>
      <c r="AP1131" s="239">
        <v>0</v>
      </c>
      <c r="AQ1131" s="239">
        <v>0</v>
      </c>
      <c r="AR1131" s="239">
        <v>0</v>
      </c>
      <c r="AS1131" s="239">
        <v>0</v>
      </c>
      <c r="AT1131" s="239">
        <v>118</v>
      </c>
      <c r="AU1131" s="239">
        <v>0</v>
      </c>
      <c r="AV1131" s="239">
        <v>0</v>
      </c>
      <c r="AW1131" s="239">
        <v>0</v>
      </c>
      <c r="AX1131" s="239">
        <v>0</v>
      </c>
      <c r="AY1131" s="239">
        <v>0</v>
      </c>
      <c r="AZ1131" s="239">
        <v>0</v>
      </c>
      <c r="BA1131" s="239">
        <v>118</v>
      </c>
      <c r="BB1131" s="239">
        <v>0</v>
      </c>
      <c r="BC1131" s="239">
        <v>0</v>
      </c>
      <c r="BD1131" s="239">
        <v>0</v>
      </c>
      <c r="BE1131" s="239">
        <v>0</v>
      </c>
      <c r="BF1131" s="239">
        <v>0</v>
      </c>
      <c r="BG1131" s="239">
        <v>0</v>
      </c>
      <c r="BH1131" s="239">
        <v>0</v>
      </c>
      <c r="BI1131" s="239">
        <v>0</v>
      </c>
      <c r="BJ1131" s="239">
        <v>0</v>
      </c>
      <c r="BK1131" s="239">
        <v>0</v>
      </c>
      <c r="BL1131" s="239">
        <v>0</v>
      </c>
      <c r="BM1131" s="239">
        <v>0</v>
      </c>
      <c r="BN1131" s="239">
        <v>0</v>
      </c>
      <c r="BO1131" s="239">
        <v>0</v>
      </c>
      <c r="BP1131" s="234" t="s">
        <v>145</v>
      </c>
      <c r="BQ1131" s="238"/>
      <c r="BR1131" s="237" t="s">
        <v>327</v>
      </c>
      <c r="BS1131" s="238">
        <v>19</v>
      </c>
      <c r="BX1131" s="239">
        <f>M1131/10</f>
        <v>11.8</v>
      </c>
      <c r="BY1131" s="239">
        <f>M1131/10</f>
        <v>11.8</v>
      </c>
      <c r="BZ1131" s="239">
        <f>M1131/10</f>
        <v>11.8</v>
      </c>
      <c r="CA1131" s="239">
        <f>M1131/10</f>
        <v>11.8</v>
      </c>
      <c r="CB1131" s="239">
        <f>M1131/10</f>
        <v>11.8</v>
      </c>
      <c r="CC1131" s="239">
        <f>M1131/10</f>
        <v>11.8</v>
      </c>
      <c r="CD1131" s="239">
        <f>M1131/10</f>
        <v>11.8</v>
      </c>
      <c r="CE1131" s="239">
        <f>M1131/10</f>
        <v>11.8</v>
      </c>
      <c r="CF1131" s="239">
        <f>M1131/10</f>
        <v>11.8</v>
      </c>
      <c r="CG1131" s="239">
        <f>M1131/10</f>
        <v>11.8</v>
      </c>
      <c r="CN1131" s="238">
        <f t="shared" si="125"/>
        <v>23.6</v>
      </c>
      <c r="CO1131" s="238">
        <f t="shared" si="126"/>
        <v>82.6</v>
      </c>
    </row>
    <row r="1132" spans="1:93" ht="13.95" customHeight="1" x14ac:dyDescent="0.2">
      <c r="A1132" s="238">
        <v>7579</v>
      </c>
      <c r="B1132" s="241" t="s">
        <v>2736</v>
      </c>
      <c r="C1132" s="238"/>
      <c r="D1132" s="237" t="s">
        <v>2842</v>
      </c>
      <c r="E1132" s="237"/>
      <c r="F1132" s="238">
        <v>526984</v>
      </c>
      <c r="G1132" s="238">
        <v>171324</v>
      </c>
      <c r="H1132" s="232" t="s">
        <v>177</v>
      </c>
      <c r="J1132" s="226"/>
      <c r="K1132" s="238">
        <v>0</v>
      </c>
      <c r="L1132" s="238">
        <v>63</v>
      </c>
      <c r="M1132" s="238">
        <v>63</v>
      </c>
      <c r="N1132" s="238">
        <v>94</v>
      </c>
      <c r="O1132" s="238">
        <v>94</v>
      </c>
      <c r="P1132" s="238" t="s">
        <v>318</v>
      </c>
      <c r="Q1132" s="242" t="s">
        <v>2738</v>
      </c>
      <c r="R1132" s="243" t="s">
        <v>2739</v>
      </c>
      <c r="T1132" s="226"/>
      <c r="U1132" s="238"/>
      <c r="V1132" s="238" t="s">
        <v>321</v>
      </c>
      <c r="W1132" s="226"/>
      <c r="X1132" s="238" t="s">
        <v>322</v>
      </c>
      <c r="Y1132" s="238" t="s">
        <v>323</v>
      </c>
      <c r="Z1132" s="238" t="s">
        <v>323</v>
      </c>
      <c r="AA1132" s="238" t="s">
        <v>324</v>
      </c>
      <c r="AB1132" s="244">
        <v>0</v>
      </c>
      <c r="AD1132" s="238"/>
      <c r="AE1132" s="226"/>
      <c r="AF1132" s="224" t="s">
        <v>77</v>
      </c>
      <c r="AG1132" s="238" t="s">
        <v>350</v>
      </c>
      <c r="AH1132" s="238" t="s">
        <v>2843</v>
      </c>
      <c r="AI1132" s="238"/>
      <c r="AJ1132" s="239">
        <v>0</v>
      </c>
      <c r="AK1132" s="239">
        <v>0</v>
      </c>
      <c r="AL1132" s="239">
        <v>0</v>
      </c>
      <c r="AM1132" s="239">
        <v>0</v>
      </c>
      <c r="AN1132" s="239">
        <v>0</v>
      </c>
      <c r="AO1132" s="239">
        <v>0</v>
      </c>
      <c r="AP1132" s="239">
        <v>0</v>
      </c>
      <c r="AQ1132" s="239">
        <v>0</v>
      </c>
      <c r="AR1132" s="239">
        <v>0</v>
      </c>
      <c r="AS1132" s="239">
        <v>0</v>
      </c>
      <c r="AT1132" s="239">
        <v>63</v>
      </c>
      <c r="AU1132" s="239">
        <v>0</v>
      </c>
      <c r="AV1132" s="239">
        <v>0</v>
      </c>
      <c r="AW1132" s="239">
        <v>0</v>
      </c>
      <c r="AX1132" s="239">
        <v>0</v>
      </c>
      <c r="AY1132" s="239">
        <v>0</v>
      </c>
      <c r="AZ1132" s="239">
        <v>0</v>
      </c>
      <c r="BA1132" s="239">
        <v>63</v>
      </c>
      <c r="BB1132" s="239">
        <v>0</v>
      </c>
      <c r="BC1132" s="239">
        <v>0</v>
      </c>
      <c r="BD1132" s="239">
        <v>0</v>
      </c>
      <c r="BE1132" s="239">
        <v>0</v>
      </c>
      <c r="BF1132" s="239">
        <v>0</v>
      </c>
      <c r="BG1132" s="239">
        <v>0</v>
      </c>
      <c r="BH1132" s="239">
        <v>0</v>
      </c>
      <c r="BI1132" s="239">
        <v>0</v>
      </c>
      <c r="BJ1132" s="239">
        <v>0</v>
      </c>
      <c r="BK1132" s="239">
        <v>0</v>
      </c>
      <c r="BL1132" s="239">
        <v>0</v>
      </c>
      <c r="BM1132" s="239">
        <v>0</v>
      </c>
      <c r="BN1132" s="239">
        <v>0</v>
      </c>
      <c r="BO1132" s="239">
        <v>0</v>
      </c>
      <c r="BP1132" s="238"/>
      <c r="BQ1132" s="238"/>
      <c r="BR1132" s="237" t="s">
        <v>144</v>
      </c>
      <c r="BS1132" s="238">
        <v>19</v>
      </c>
      <c r="BY1132" s="239">
        <f>M1132/16</f>
        <v>3.9375</v>
      </c>
      <c r="BZ1132" s="239">
        <f>M1132/16</f>
        <v>3.9375</v>
      </c>
      <c r="CA1132" s="239">
        <f>M1132/16</f>
        <v>3.9375</v>
      </c>
      <c r="CB1132" s="239">
        <f>M1132/16</f>
        <v>3.9375</v>
      </c>
      <c r="CC1132" s="239">
        <f>M1132/16</f>
        <v>3.9375</v>
      </c>
      <c r="CD1132" s="239">
        <f>M1132/16</f>
        <v>3.9375</v>
      </c>
      <c r="CE1132" s="239">
        <f>M1132/16</f>
        <v>3.9375</v>
      </c>
      <c r="CF1132" s="239">
        <f>M1132/16</f>
        <v>3.9375</v>
      </c>
      <c r="CG1132" s="239">
        <f>M1132/16</f>
        <v>3.9375</v>
      </c>
      <c r="CH1132" s="239">
        <f>M1132/16</f>
        <v>3.9375</v>
      </c>
      <c r="CI1132" s="239">
        <f>M1132/16</f>
        <v>3.9375</v>
      </c>
      <c r="CJ1132" s="239">
        <f>M1132/16</f>
        <v>3.9375</v>
      </c>
      <c r="CK1132" s="239">
        <f>M1132/16</f>
        <v>3.9375</v>
      </c>
      <c r="CL1132" s="239">
        <f>M1132/16</f>
        <v>3.9375</v>
      </c>
      <c r="CM1132" s="239">
        <f>M1132/16</f>
        <v>3.9375</v>
      </c>
      <c r="CN1132" s="238">
        <f t="shared" si="125"/>
        <v>3.9375</v>
      </c>
      <c r="CO1132" s="238">
        <f t="shared" si="126"/>
        <v>23.625</v>
      </c>
    </row>
    <row r="1133" spans="1:93" ht="13.95" customHeight="1" x14ac:dyDescent="0.2">
      <c r="A1133" s="238">
        <v>7579</v>
      </c>
      <c r="B1133" s="241" t="s">
        <v>2736</v>
      </c>
      <c r="C1133" s="238"/>
      <c r="D1133" s="237" t="s">
        <v>2842</v>
      </c>
      <c r="E1133" s="237"/>
      <c r="F1133" s="238">
        <v>526984</v>
      </c>
      <c r="G1133" s="238">
        <v>171324</v>
      </c>
      <c r="H1133" s="232" t="s">
        <v>177</v>
      </c>
      <c r="J1133" s="226"/>
      <c r="K1133" s="238">
        <v>0</v>
      </c>
      <c r="L1133" s="238">
        <v>19</v>
      </c>
      <c r="M1133" s="238">
        <v>19</v>
      </c>
      <c r="N1133" s="238">
        <v>94</v>
      </c>
      <c r="O1133" s="238">
        <v>94</v>
      </c>
      <c r="P1133" s="238" t="s">
        <v>318</v>
      </c>
      <c r="Q1133" s="242" t="s">
        <v>2738</v>
      </c>
      <c r="R1133" s="243" t="s">
        <v>2739</v>
      </c>
      <c r="T1133" s="226"/>
      <c r="U1133" s="238"/>
      <c r="V1133" s="238" t="s">
        <v>321</v>
      </c>
      <c r="W1133" s="226"/>
      <c r="X1133" s="238" t="s">
        <v>322</v>
      </c>
      <c r="Y1133" s="238" t="s">
        <v>323</v>
      </c>
      <c r="Z1133" s="238" t="s">
        <v>323</v>
      </c>
      <c r="AA1133" s="238" t="s">
        <v>324</v>
      </c>
      <c r="AB1133" s="244">
        <v>0</v>
      </c>
      <c r="AD1133" s="238"/>
      <c r="AE1133" s="226"/>
      <c r="AF1133" s="238" t="s">
        <v>57</v>
      </c>
      <c r="AG1133" s="238" t="s">
        <v>470</v>
      </c>
      <c r="AH1133" s="238" t="s">
        <v>2843</v>
      </c>
      <c r="AI1133" s="238"/>
      <c r="AJ1133" s="239">
        <v>0</v>
      </c>
      <c r="AK1133" s="239">
        <v>0</v>
      </c>
      <c r="AL1133" s="239">
        <v>0</v>
      </c>
      <c r="AM1133" s="239">
        <v>0</v>
      </c>
      <c r="AN1133" s="239">
        <v>0</v>
      </c>
      <c r="AO1133" s="239">
        <v>0</v>
      </c>
      <c r="AP1133" s="239">
        <v>0</v>
      </c>
      <c r="AQ1133" s="239">
        <v>0</v>
      </c>
      <c r="AR1133" s="239">
        <v>0</v>
      </c>
      <c r="AS1133" s="239">
        <v>0</v>
      </c>
      <c r="AT1133" s="239">
        <v>19</v>
      </c>
      <c r="AU1133" s="239">
        <v>0</v>
      </c>
      <c r="AV1133" s="239">
        <v>0</v>
      </c>
      <c r="AW1133" s="239">
        <v>0</v>
      </c>
      <c r="AX1133" s="239">
        <v>0</v>
      </c>
      <c r="AY1133" s="239">
        <v>0</v>
      </c>
      <c r="AZ1133" s="239">
        <v>0</v>
      </c>
      <c r="BA1133" s="239">
        <v>19</v>
      </c>
      <c r="BB1133" s="239">
        <v>0</v>
      </c>
      <c r="BC1133" s="239">
        <v>0</v>
      </c>
      <c r="BD1133" s="239">
        <v>0</v>
      </c>
      <c r="BE1133" s="239">
        <v>0</v>
      </c>
      <c r="BF1133" s="239">
        <v>0</v>
      </c>
      <c r="BG1133" s="239">
        <v>0</v>
      </c>
      <c r="BH1133" s="239">
        <v>0</v>
      </c>
      <c r="BI1133" s="239">
        <v>0</v>
      </c>
      <c r="BJ1133" s="239">
        <v>0</v>
      </c>
      <c r="BK1133" s="239">
        <v>0</v>
      </c>
      <c r="BL1133" s="239">
        <v>0</v>
      </c>
      <c r="BM1133" s="239">
        <v>0</v>
      </c>
      <c r="BN1133" s="239">
        <v>0</v>
      </c>
      <c r="BO1133" s="239">
        <v>0</v>
      </c>
      <c r="BP1133" s="238"/>
      <c r="BQ1133" s="238"/>
      <c r="BR1133" s="237" t="s">
        <v>144</v>
      </c>
      <c r="BS1133" s="238">
        <v>19</v>
      </c>
      <c r="BY1133" s="239">
        <f>M1133/16</f>
        <v>1.1875</v>
      </c>
      <c r="BZ1133" s="239">
        <f>M1133/16</f>
        <v>1.1875</v>
      </c>
      <c r="CA1133" s="239">
        <f>M1133/16</f>
        <v>1.1875</v>
      </c>
      <c r="CB1133" s="239">
        <f>M1133/16</f>
        <v>1.1875</v>
      </c>
      <c r="CC1133" s="239">
        <f>M1133/16</f>
        <v>1.1875</v>
      </c>
      <c r="CD1133" s="239">
        <f>M1133/16</f>
        <v>1.1875</v>
      </c>
      <c r="CE1133" s="239">
        <f>M1133/16</f>
        <v>1.1875</v>
      </c>
      <c r="CF1133" s="239">
        <f>M1133/16</f>
        <v>1.1875</v>
      </c>
      <c r="CG1133" s="239">
        <f>M1133/16</f>
        <v>1.1875</v>
      </c>
      <c r="CH1133" s="239">
        <f>M1133/16</f>
        <v>1.1875</v>
      </c>
      <c r="CI1133" s="239">
        <f>M1133/16</f>
        <v>1.1875</v>
      </c>
      <c r="CJ1133" s="239">
        <f>M1133/16</f>
        <v>1.1875</v>
      </c>
      <c r="CK1133" s="239">
        <f>M1133/16</f>
        <v>1.1875</v>
      </c>
      <c r="CL1133" s="239">
        <f>M1133/16</f>
        <v>1.1875</v>
      </c>
      <c r="CM1133" s="239">
        <f>M1133/16</f>
        <v>1.1875</v>
      </c>
      <c r="CN1133" s="238">
        <f t="shared" si="125"/>
        <v>1.1875</v>
      </c>
      <c r="CO1133" s="238">
        <f t="shared" si="126"/>
        <v>7.125</v>
      </c>
    </row>
    <row r="1134" spans="1:93" ht="13.95" customHeight="1" x14ac:dyDescent="0.2">
      <c r="A1134" s="238">
        <v>7579</v>
      </c>
      <c r="B1134" s="241" t="s">
        <v>2736</v>
      </c>
      <c r="C1134" s="238"/>
      <c r="D1134" s="237" t="s">
        <v>2842</v>
      </c>
      <c r="E1134" s="237"/>
      <c r="F1134" s="238">
        <v>526984</v>
      </c>
      <c r="G1134" s="238">
        <v>171324</v>
      </c>
      <c r="H1134" s="232" t="s">
        <v>177</v>
      </c>
      <c r="J1134" s="226"/>
      <c r="K1134" s="238">
        <v>0</v>
      </c>
      <c r="L1134" s="238">
        <v>12</v>
      </c>
      <c r="M1134" s="238">
        <v>12</v>
      </c>
      <c r="N1134" s="238">
        <v>94</v>
      </c>
      <c r="O1134" s="238">
        <v>94</v>
      </c>
      <c r="P1134" s="238" t="s">
        <v>318</v>
      </c>
      <c r="Q1134" s="242" t="s">
        <v>2738</v>
      </c>
      <c r="R1134" s="243" t="s">
        <v>2739</v>
      </c>
      <c r="T1134" s="226"/>
      <c r="U1134" s="238"/>
      <c r="V1134" s="238" t="s">
        <v>321</v>
      </c>
      <c r="W1134" s="226"/>
      <c r="X1134" s="238" t="s">
        <v>322</v>
      </c>
      <c r="Y1134" s="238" t="s">
        <v>323</v>
      </c>
      <c r="Z1134" s="238" t="s">
        <v>323</v>
      </c>
      <c r="AA1134" s="238" t="s">
        <v>324</v>
      </c>
      <c r="AB1134" s="244">
        <v>0</v>
      </c>
      <c r="AD1134" s="238"/>
      <c r="AE1134" s="226"/>
      <c r="AF1134" s="238" t="s">
        <v>56</v>
      </c>
      <c r="AG1134" s="238" t="s">
        <v>1355</v>
      </c>
      <c r="AH1134" s="238" t="s">
        <v>2843</v>
      </c>
      <c r="AI1134" s="238"/>
      <c r="AJ1134" s="239">
        <v>0</v>
      </c>
      <c r="AK1134" s="239">
        <v>0</v>
      </c>
      <c r="AL1134" s="239">
        <v>0</v>
      </c>
      <c r="AM1134" s="239">
        <v>0</v>
      </c>
      <c r="AN1134" s="239">
        <v>0</v>
      </c>
      <c r="AO1134" s="239">
        <v>0</v>
      </c>
      <c r="AP1134" s="239">
        <v>0</v>
      </c>
      <c r="AQ1134" s="239">
        <v>0</v>
      </c>
      <c r="AR1134" s="239">
        <v>0</v>
      </c>
      <c r="AS1134" s="239">
        <v>0</v>
      </c>
      <c r="AT1134" s="239">
        <v>12</v>
      </c>
      <c r="AU1134" s="239">
        <v>0</v>
      </c>
      <c r="AV1134" s="239">
        <v>0</v>
      </c>
      <c r="AW1134" s="239">
        <v>0</v>
      </c>
      <c r="AX1134" s="239">
        <v>0</v>
      </c>
      <c r="AY1134" s="239">
        <v>0</v>
      </c>
      <c r="AZ1134" s="239">
        <v>0</v>
      </c>
      <c r="BA1134" s="239">
        <v>12</v>
      </c>
      <c r="BB1134" s="239">
        <v>0</v>
      </c>
      <c r="BC1134" s="239">
        <v>0</v>
      </c>
      <c r="BD1134" s="239">
        <v>0</v>
      </c>
      <c r="BE1134" s="239">
        <v>0</v>
      </c>
      <c r="BF1134" s="239">
        <v>0</v>
      </c>
      <c r="BG1134" s="239">
        <v>0</v>
      </c>
      <c r="BH1134" s="239">
        <v>0</v>
      </c>
      <c r="BI1134" s="239">
        <v>0</v>
      </c>
      <c r="BJ1134" s="239">
        <v>0</v>
      </c>
      <c r="BK1134" s="239">
        <v>0</v>
      </c>
      <c r="BL1134" s="239">
        <v>0</v>
      </c>
      <c r="BM1134" s="239">
        <v>0</v>
      </c>
      <c r="BN1134" s="239">
        <v>0</v>
      </c>
      <c r="BO1134" s="239">
        <v>0</v>
      </c>
      <c r="BP1134" s="238"/>
      <c r="BQ1134" s="238"/>
      <c r="BR1134" s="237" t="s">
        <v>144</v>
      </c>
      <c r="BS1134" s="238">
        <v>19</v>
      </c>
      <c r="BY1134" s="239">
        <f>M1134/16</f>
        <v>0.75</v>
      </c>
      <c r="BZ1134" s="239">
        <f>M1134/16</f>
        <v>0.75</v>
      </c>
      <c r="CA1134" s="239">
        <f>M1134/16</f>
        <v>0.75</v>
      </c>
      <c r="CB1134" s="239">
        <f>M1134/16</f>
        <v>0.75</v>
      </c>
      <c r="CC1134" s="239">
        <f>M1134/16</f>
        <v>0.75</v>
      </c>
      <c r="CD1134" s="239">
        <f>M1134/16</f>
        <v>0.75</v>
      </c>
      <c r="CE1134" s="239">
        <f>M1134/16</f>
        <v>0.75</v>
      </c>
      <c r="CF1134" s="239">
        <f>M1134/16</f>
        <v>0.75</v>
      </c>
      <c r="CG1134" s="239">
        <f>M1134/16</f>
        <v>0.75</v>
      </c>
      <c r="CH1134" s="239">
        <f>M1134/16</f>
        <v>0.75</v>
      </c>
      <c r="CI1134" s="239">
        <f>M1134/16</f>
        <v>0.75</v>
      </c>
      <c r="CJ1134" s="239">
        <f>M1134/16</f>
        <v>0.75</v>
      </c>
      <c r="CK1134" s="239">
        <f>M1134/16</f>
        <v>0.75</v>
      </c>
      <c r="CL1134" s="239">
        <f>M1134/16</f>
        <v>0.75</v>
      </c>
      <c r="CM1134" s="239">
        <f>M1134/16</f>
        <v>0.75</v>
      </c>
      <c r="CN1134" s="238">
        <f t="shared" si="125"/>
        <v>0.75</v>
      </c>
      <c r="CO1134" s="238">
        <f t="shared" si="126"/>
        <v>4.5</v>
      </c>
    </row>
    <row r="1135" spans="1:93" ht="13.95" customHeight="1" x14ac:dyDescent="0.2">
      <c r="A1135" s="238">
        <v>6872</v>
      </c>
      <c r="B1135" s="241" t="s">
        <v>2736</v>
      </c>
      <c r="C1135" s="238"/>
      <c r="D1135" s="237" t="s">
        <v>2844</v>
      </c>
      <c r="E1135" s="237"/>
      <c r="F1135" s="238">
        <v>526497</v>
      </c>
      <c r="G1135" s="238">
        <v>175661</v>
      </c>
      <c r="H1135" s="232" t="s">
        <v>174</v>
      </c>
      <c r="J1135" s="226"/>
      <c r="K1135" s="238">
        <v>0</v>
      </c>
      <c r="L1135" s="238">
        <v>9</v>
      </c>
      <c r="M1135" s="238">
        <v>9</v>
      </c>
      <c r="N1135" s="238">
        <v>9</v>
      </c>
      <c r="O1135" s="238">
        <v>9</v>
      </c>
      <c r="P1135" s="238"/>
      <c r="Q1135" s="242" t="s">
        <v>2738</v>
      </c>
      <c r="R1135" s="238" t="s">
        <v>2739</v>
      </c>
      <c r="T1135" s="226"/>
      <c r="U1135" s="238"/>
      <c r="V1135" s="238" t="s">
        <v>321</v>
      </c>
      <c r="W1135" s="226"/>
      <c r="X1135" s="238" t="s">
        <v>322</v>
      </c>
      <c r="Y1135" s="238" t="s">
        <v>323</v>
      </c>
      <c r="Z1135" s="238" t="s">
        <v>324</v>
      </c>
      <c r="AA1135" s="238" t="s">
        <v>349</v>
      </c>
      <c r="AB1135" s="244">
        <v>0</v>
      </c>
      <c r="AD1135" s="238"/>
      <c r="AE1135" s="226"/>
      <c r="AF1135" s="224" t="s">
        <v>77</v>
      </c>
      <c r="AG1135" s="238" t="s">
        <v>350</v>
      </c>
      <c r="AH1135" s="238" t="s">
        <v>2845</v>
      </c>
      <c r="AI1135" s="238"/>
      <c r="AJ1135" s="239">
        <v>0</v>
      </c>
      <c r="AK1135" s="239">
        <v>0</v>
      </c>
      <c r="AL1135" s="239">
        <v>0</v>
      </c>
      <c r="AM1135" s="239">
        <v>0</v>
      </c>
      <c r="AN1135" s="239">
        <v>0</v>
      </c>
      <c r="AO1135" s="239">
        <v>0</v>
      </c>
      <c r="AP1135" s="239">
        <v>0</v>
      </c>
      <c r="AQ1135" s="239">
        <v>0</v>
      </c>
      <c r="AR1135" s="239">
        <v>0</v>
      </c>
      <c r="AS1135" s="239">
        <v>0</v>
      </c>
      <c r="AT1135" s="239">
        <v>9</v>
      </c>
      <c r="AU1135" s="239">
        <v>0</v>
      </c>
      <c r="AV1135" s="239">
        <v>0</v>
      </c>
      <c r="AW1135" s="239">
        <v>0</v>
      </c>
      <c r="AX1135" s="239">
        <v>0</v>
      </c>
      <c r="AY1135" s="239">
        <v>0</v>
      </c>
      <c r="AZ1135" s="239">
        <v>0</v>
      </c>
      <c r="BA1135" s="239">
        <v>9</v>
      </c>
      <c r="BB1135" s="239">
        <v>0</v>
      </c>
      <c r="BC1135" s="239">
        <v>0</v>
      </c>
      <c r="BD1135" s="239">
        <v>0</v>
      </c>
      <c r="BE1135" s="239">
        <v>0</v>
      </c>
      <c r="BF1135" s="239">
        <v>0</v>
      </c>
      <c r="BG1135" s="239">
        <v>0</v>
      </c>
      <c r="BH1135" s="239">
        <v>0</v>
      </c>
      <c r="BI1135" s="239">
        <v>0</v>
      </c>
      <c r="BJ1135" s="239">
        <v>0</v>
      </c>
      <c r="BK1135" s="239">
        <v>0</v>
      </c>
      <c r="BL1135" s="239">
        <v>0</v>
      </c>
      <c r="BM1135" s="239">
        <v>0</v>
      </c>
      <c r="BN1135" s="239">
        <v>0</v>
      </c>
      <c r="BO1135" s="239">
        <v>0</v>
      </c>
      <c r="BP1135" s="238"/>
      <c r="BQ1135" s="238"/>
      <c r="BR1135" s="237" t="s">
        <v>481</v>
      </c>
      <c r="BS1135" s="238">
        <v>19</v>
      </c>
      <c r="CC1135" s="239">
        <f>M1135/12</f>
        <v>0.75</v>
      </c>
      <c r="CD1135" s="239">
        <f>M1135/12</f>
        <v>0.75</v>
      </c>
      <c r="CE1135" s="239">
        <f>M1135/12</f>
        <v>0.75</v>
      </c>
      <c r="CF1135" s="239">
        <f>M1135/12</f>
        <v>0.75</v>
      </c>
      <c r="CG1135" s="239">
        <f>M1135/12</f>
        <v>0.75</v>
      </c>
      <c r="CH1135" s="239">
        <f>M1135/12</f>
        <v>0.75</v>
      </c>
      <c r="CI1135" s="239">
        <f>M1135/12</f>
        <v>0.75</v>
      </c>
      <c r="CJ1135" s="239">
        <f>M1135/12</f>
        <v>0.75</v>
      </c>
      <c r="CK1135" s="239">
        <f>M1135/12</f>
        <v>0.75</v>
      </c>
      <c r="CL1135" s="239">
        <f>M1135/12</f>
        <v>0.75</v>
      </c>
      <c r="CM1135" s="239">
        <f>M1135/12</f>
        <v>0.75</v>
      </c>
      <c r="CN1135" s="238">
        <f t="shared" si="125"/>
        <v>0</v>
      </c>
      <c r="CO1135" s="238">
        <f t="shared" si="126"/>
        <v>1.5</v>
      </c>
    </row>
    <row r="1136" spans="1:93" ht="13.95" customHeight="1" x14ac:dyDescent="0.2">
      <c r="A1136" s="238">
        <v>6870</v>
      </c>
      <c r="B1136" s="241" t="s">
        <v>2736</v>
      </c>
      <c r="C1136" s="238"/>
      <c r="D1136" s="237" t="s">
        <v>2846</v>
      </c>
      <c r="E1136" s="237"/>
      <c r="F1136" s="238">
        <v>526722</v>
      </c>
      <c r="G1136" s="238">
        <v>176263</v>
      </c>
      <c r="H1136" s="232" t="s">
        <v>174</v>
      </c>
      <c r="J1136" s="226"/>
      <c r="K1136" s="238">
        <v>0</v>
      </c>
      <c r="L1136" s="238">
        <v>139</v>
      </c>
      <c r="M1136" s="238">
        <v>139</v>
      </c>
      <c r="N1136" s="238">
        <v>207</v>
      </c>
      <c r="O1136" s="238">
        <v>207</v>
      </c>
      <c r="P1136" s="238" t="s">
        <v>318</v>
      </c>
      <c r="Q1136" s="242" t="s">
        <v>2738</v>
      </c>
      <c r="R1136" s="243" t="s">
        <v>2739</v>
      </c>
      <c r="T1136" s="226"/>
      <c r="U1136" s="238"/>
      <c r="V1136" s="238" t="s">
        <v>321</v>
      </c>
      <c r="W1136" s="226"/>
      <c r="X1136" s="238" t="s">
        <v>322</v>
      </c>
      <c r="Y1136" s="238" t="s">
        <v>323</v>
      </c>
      <c r="Z1136" s="238" t="s">
        <v>323</v>
      </c>
      <c r="AA1136" s="238" t="s">
        <v>324</v>
      </c>
      <c r="AB1136" s="244">
        <v>0</v>
      </c>
      <c r="AD1136" s="238"/>
      <c r="AE1136" s="226"/>
      <c r="AF1136" s="224" t="s">
        <v>77</v>
      </c>
      <c r="AG1136" s="238" t="s">
        <v>350</v>
      </c>
      <c r="AH1136" s="238" t="s">
        <v>2847</v>
      </c>
      <c r="AI1136" s="238"/>
      <c r="AJ1136" s="239">
        <v>0</v>
      </c>
      <c r="AK1136" s="239">
        <v>0</v>
      </c>
      <c r="AL1136" s="239">
        <v>0</v>
      </c>
      <c r="AM1136" s="239">
        <v>0</v>
      </c>
      <c r="AN1136" s="239">
        <v>0</v>
      </c>
      <c r="AO1136" s="239">
        <v>0</v>
      </c>
      <c r="AP1136" s="239">
        <v>0</v>
      </c>
      <c r="AQ1136" s="239">
        <v>0</v>
      </c>
      <c r="AR1136" s="239">
        <v>0</v>
      </c>
      <c r="AS1136" s="239">
        <v>0</v>
      </c>
      <c r="AT1136" s="239">
        <v>139</v>
      </c>
      <c r="AU1136" s="239">
        <v>0</v>
      </c>
      <c r="AV1136" s="239">
        <v>0</v>
      </c>
      <c r="AW1136" s="239">
        <v>0</v>
      </c>
      <c r="AX1136" s="239">
        <v>0</v>
      </c>
      <c r="AY1136" s="239">
        <v>0</v>
      </c>
      <c r="AZ1136" s="239">
        <v>0</v>
      </c>
      <c r="BA1136" s="239">
        <v>139</v>
      </c>
      <c r="BB1136" s="239">
        <v>0</v>
      </c>
      <c r="BC1136" s="239">
        <v>0</v>
      </c>
      <c r="BD1136" s="239">
        <v>0</v>
      </c>
      <c r="BE1136" s="239">
        <v>0</v>
      </c>
      <c r="BF1136" s="239">
        <v>0</v>
      </c>
      <c r="BG1136" s="239">
        <v>0</v>
      </c>
      <c r="BH1136" s="239">
        <v>0</v>
      </c>
      <c r="BI1136" s="239">
        <v>0</v>
      </c>
      <c r="BJ1136" s="239">
        <v>0</v>
      </c>
      <c r="BK1136" s="239">
        <v>0</v>
      </c>
      <c r="BL1136" s="239">
        <v>0</v>
      </c>
      <c r="BM1136" s="239">
        <v>0</v>
      </c>
      <c r="BN1136" s="239">
        <v>0</v>
      </c>
      <c r="BO1136" s="239">
        <v>0</v>
      </c>
      <c r="BP1136" s="238"/>
      <c r="BQ1136" s="238"/>
      <c r="BR1136" s="237" t="s">
        <v>481</v>
      </c>
      <c r="BS1136" s="238">
        <v>19</v>
      </c>
      <c r="BY1136" s="239">
        <f>M1136/16</f>
        <v>8.6875</v>
      </c>
      <c r="BZ1136" s="239">
        <f>M1136/16</f>
        <v>8.6875</v>
      </c>
      <c r="CA1136" s="239">
        <f>M1136/16</f>
        <v>8.6875</v>
      </c>
      <c r="CB1136" s="239">
        <f>M1136/16</f>
        <v>8.6875</v>
      </c>
      <c r="CC1136" s="239">
        <f>M1136/16</f>
        <v>8.6875</v>
      </c>
      <c r="CD1136" s="239">
        <f>M1136/16</f>
        <v>8.6875</v>
      </c>
      <c r="CE1136" s="239">
        <f>M1136/16</f>
        <v>8.6875</v>
      </c>
      <c r="CF1136" s="239">
        <f>M1136/16</f>
        <v>8.6875</v>
      </c>
      <c r="CG1136" s="239">
        <f>M1136/16</f>
        <v>8.6875</v>
      </c>
      <c r="CH1136" s="239">
        <f>M1136/16</f>
        <v>8.6875</v>
      </c>
      <c r="CI1136" s="239">
        <f>M1136/16</f>
        <v>8.6875</v>
      </c>
      <c r="CJ1136" s="239">
        <f>M1136/16</f>
        <v>8.6875</v>
      </c>
      <c r="CK1136" s="239">
        <f>M1136/16</f>
        <v>8.6875</v>
      </c>
      <c r="CL1136" s="239">
        <f>M1136/16</f>
        <v>8.6875</v>
      </c>
      <c r="CM1136" s="239">
        <f>M1136/16</f>
        <v>8.6875</v>
      </c>
      <c r="CN1136" s="238">
        <f t="shared" si="125"/>
        <v>8.6875</v>
      </c>
      <c r="CO1136" s="238">
        <f t="shared" si="126"/>
        <v>52.125</v>
      </c>
    </row>
    <row r="1137" spans="1:93" ht="13.95" customHeight="1" x14ac:dyDescent="0.2">
      <c r="A1137" s="238">
        <v>6870</v>
      </c>
      <c r="B1137" s="241" t="s">
        <v>2736</v>
      </c>
      <c r="C1137" s="238"/>
      <c r="D1137" s="237" t="s">
        <v>2846</v>
      </c>
      <c r="E1137" s="237"/>
      <c r="F1137" s="238">
        <v>526722</v>
      </c>
      <c r="G1137" s="238">
        <v>176263</v>
      </c>
      <c r="H1137" s="232" t="s">
        <v>174</v>
      </c>
      <c r="J1137" s="226"/>
      <c r="K1137" s="238">
        <v>0</v>
      </c>
      <c r="L1137" s="238">
        <v>41</v>
      </c>
      <c r="M1137" s="238">
        <v>41</v>
      </c>
      <c r="N1137" s="238">
        <v>207</v>
      </c>
      <c r="O1137" s="238">
        <v>207</v>
      </c>
      <c r="P1137" s="238" t="s">
        <v>318</v>
      </c>
      <c r="Q1137" s="242" t="s">
        <v>2738</v>
      </c>
      <c r="R1137" s="243" t="s">
        <v>2739</v>
      </c>
      <c r="T1137" s="226"/>
      <c r="U1137" s="238"/>
      <c r="V1137" s="238" t="s">
        <v>321</v>
      </c>
      <c r="W1137" s="226"/>
      <c r="X1137" s="238" t="s">
        <v>322</v>
      </c>
      <c r="Y1137" s="238" t="s">
        <v>323</v>
      </c>
      <c r="Z1137" s="238" t="s">
        <v>323</v>
      </c>
      <c r="AA1137" s="238" t="s">
        <v>324</v>
      </c>
      <c r="AB1137" s="244">
        <v>0</v>
      </c>
      <c r="AD1137" s="238"/>
      <c r="AE1137" s="226"/>
      <c r="AF1137" s="238" t="s">
        <v>57</v>
      </c>
      <c r="AG1137" s="238" t="s">
        <v>470</v>
      </c>
      <c r="AH1137" s="238" t="s">
        <v>2847</v>
      </c>
      <c r="AI1137" s="238"/>
      <c r="AJ1137" s="239">
        <v>0</v>
      </c>
      <c r="AK1137" s="239">
        <v>0</v>
      </c>
      <c r="AL1137" s="239">
        <v>0</v>
      </c>
      <c r="AM1137" s="239">
        <v>0</v>
      </c>
      <c r="AN1137" s="239">
        <v>0</v>
      </c>
      <c r="AO1137" s="239">
        <v>0</v>
      </c>
      <c r="AP1137" s="239">
        <v>0</v>
      </c>
      <c r="AQ1137" s="239">
        <v>0</v>
      </c>
      <c r="AR1137" s="239">
        <v>0</v>
      </c>
      <c r="AS1137" s="239">
        <v>0</v>
      </c>
      <c r="AT1137" s="239">
        <v>41</v>
      </c>
      <c r="AU1137" s="239">
        <v>0</v>
      </c>
      <c r="AV1137" s="239">
        <v>0</v>
      </c>
      <c r="AW1137" s="239">
        <v>0</v>
      </c>
      <c r="AX1137" s="239">
        <v>0</v>
      </c>
      <c r="AY1137" s="239">
        <v>0</v>
      </c>
      <c r="AZ1137" s="239">
        <v>0</v>
      </c>
      <c r="BA1137" s="239">
        <v>41</v>
      </c>
      <c r="BB1137" s="239">
        <v>0</v>
      </c>
      <c r="BC1137" s="239">
        <v>0</v>
      </c>
      <c r="BD1137" s="239">
        <v>0</v>
      </c>
      <c r="BE1137" s="239">
        <v>0</v>
      </c>
      <c r="BF1137" s="239">
        <v>0</v>
      </c>
      <c r="BG1137" s="239">
        <v>0</v>
      </c>
      <c r="BH1137" s="239">
        <v>0</v>
      </c>
      <c r="BI1137" s="239">
        <v>0</v>
      </c>
      <c r="BJ1137" s="239">
        <v>0</v>
      </c>
      <c r="BK1137" s="239">
        <v>0</v>
      </c>
      <c r="BL1137" s="239">
        <v>0</v>
      </c>
      <c r="BM1137" s="239">
        <v>0</v>
      </c>
      <c r="BN1137" s="239">
        <v>0</v>
      </c>
      <c r="BO1137" s="239">
        <v>0</v>
      </c>
      <c r="BP1137" s="238"/>
      <c r="BQ1137" s="238"/>
      <c r="BR1137" s="237" t="s">
        <v>481</v>
      </c>
      <c r="BS1137" s="238">
        <v>19</v>
      </c>
      <c r="BY1137" s="239">
        <f>M1137/16</f>
        <v>2.5625</v>
      </c>
      <c r="BZ1137" s="239">
        <f>M1137/16</f>
        <v>2.5625</v>
      </c>
      <c r="CA1137" s="239">
        <f>M1137/16</f>
        <v>2.5625</v>
      </c>
      <c r="CB1137" s="239">
        <f>M1137/16</f>
        <v>2.5625</v>
      </c>
      <c r="CC1137" s="239">
        <f>M1137/16</f>
        <v>2.5625</v>
      </c>
      <c r="CD1137" s="239">
        <f>M1137/16</f>
        <v>2.5625</v>
      </c>
      <c r="CE1137" s="239">
        <f>M1137/16</f>
        <v>2.5625</v>
      </c>
      <c r="CF1137" s="239">
        <f>M1137/16</f>
        <v>2.5625</v>
      </c>
      <c r="CG1137" s="239">
        <f>M1137/16</f>
        <v>2.5625</v>
      </c>
      <c r="CH1137" s="239">
        <f>M1137/16</f>
        <v>2.5625</v>
      </c>
      <c r="CI1137" s="239">
        <f>M1137/16</f>
        <v>2.5625</v>
      </c>
      <c r="CJ1137" s="239">
        <f>M1137/16</f>
        <v>2.5625</v>
      </c>
      <c r="CK1137" s="239">
        <f>M1137/16</f>
        <v>2.5625</v>
      </c>
      <c r="CL1137" s="239">
        <f>M1137/16</f>
        <v>2.5625</v>
      </c>
      <c r="CM1137" s="239">
        <f>M1137/16</f>
        <v>2.5625</v>
      </c>
      <c r="CN1137" s="238">
        <f t="shared" si="125"/>
        <v>2.5625</v>
      </c>
      <c r="CO1137" s="238">
        <f t="shared" si="126"/>
        <v>15.375</v>
      </c>
    </row>
    <row r="1138" spans="1:93" ht="13.95" customHeight="1" x14ac:dyDescent="0.2">
      <c r="A1138" s="238">
        <v>6870</v>
      </c>
      <c r="B1138" s="241" t="s">
        <v>2736</v>
      </c>
      <c r="C1138" s="238"/>
      <c r="D1138" s="237" t="s">
        <v>2846</v>
      </c>
      <c r="E1138" s="237"/>
      <c r="F1138" s="238">
        <v>526722</v>
      </c>
      <c r="G1138" s="238">
        <v>176263</v>
      </c>
      <c r="H1138" s="232" t="s">
        <v>174</v>
      </c>
      <c r="J1138" s="226"/>
      <c r="K1138" s="238">
        <v>0</v>
      </c>
      <c r="L1138" s="238">
        <v>27</v>
      </c>
      <c r="M1138" s="238">
        <v>27</v>
      </c>
      <c r="N1138" s="238">
        <v>207</v>
      </c>
      <c r="O1138" s="238">
        <v>207</v>
      </c>
      <c r="P1138" s="238" t="s">
        <v>318</v>
      </c>
      <c r="Q1138" s="242" t="s">
        <v>2738</v>
      </c>
      <c r="R1138" s="243" t="s">
        <v>2739</v>
      </c>
      <c r="T1138" s="226"/>
      <c r="U1138" s="238"/>
      <c r="V1138" s="238" t="s">
        <v>321</v>
      </c>
      <c r="W1138" s="226"/>
      <c r="X1138" s="238" t="s">
        <v>322</v>
      </c>
      <c r="Y1138" s="238" t="s">
        <v>323</v>
      </c>
      <c r="Z1138" s="238" t="s">
        <v>323</v>
      </c>
      <c r="AA1138" s="238" t="s">
        <v>324</v>
      </c>
      <c r="AB1138" s="244">
        <v>0</v>
      </c>
      <c r="AD1138" s="238"/>
      <c r="AE1138" s="226"/>
      <c r="AF1138" s="238" t="s">
        <v>56</v>
      </c>
      <c r="AG1138" s="238" t="s">
        <v>1355</v>
      </c>
      <c r="AH1138" s="238" t="s">
        <v>2847</v>
      </c>
      <c r="AI1138" s="238"/>
      <c r="AJ1138" s="239">
        <v>0</v>
      </c>
      <c r="AK1138" s="239">
        <v>0</v>
      </c>
      <c r="AL1138" s="239">
        <v>0</v>
      </c>
      <c r="AM1138" s="239">
        <v>0</v>
      </c>
      <c r="AN1138" s="239">
        <v>0</v>
      </c>
      <c r="AO1138" s="239">
        <v>0</v>
      </c>
      <c r="AP1138" s="239">
        <v>0</v>
      </c>
      <c r="AQ1138" s="239">
        <v>0</v>
      </c>
      <c r="AR1138" s="239">
        <v>0</v>
      </c>
      <c r="AS1138" s="239">
        <v>0</v>
      </c>
      <c r="AT1138" s="239">
        <v>27</v>
      </c>
      <c r="AU1138" s="239">
        <v>0</v>
      </c>
      <c r="AV1138" s="239">
        <v>0</v>
      </c>
      <c r="AW1138" s="239">
        <v>0</v>
      </c>
      <c r="AX1138" s="239">
        <v>0</v>
      </c>
      <c r="AY1138" s="239">
        <v>0</v>
      </c>
      <c r="AZ1138" s="239">
        <v>0</v>
      </c>
      <c r="BA1138" s="239">
        <v>27</v>
      </c>
      <c r="BB1138" s="239">
        <v>0</v>
      </c>
      <c r="BC1138" s="239">
        <v>0</v>
      </c>
      <c r="BD1138" s="239">
        <v>0</v>
      </c>
      <c r="BE1138" s="239">
        <v>0</v>
      </c>
      <c r="BF1138" s="239">
        <v>0</v>
      </c>
      <c r="BG1138" s="239">
        <v>0</v>
      </c>
      <c r="BH1138" s="239">
        <v>0</v>
      </c>
      <c r="BI1138" s="239">
        <v>0</v>
      </c>
      <c r="BJ1138" s="239">
        <v>0</v>
      </c>
      <c r="BK1138" s="239">
        <v>0</v>
      </c>
      <c r="BL1138" s="239">
        <v>0</v>
      </c>
      <c r="BM1138" s="239">
        <v>0</v>
      </c>
      <c r="BN1138" s="239">
        <v>0</v>
      </c>
      <c r="BO1138" s="239">
        <v>0</v>
      </c>
      <c r="BP1138" s="238"/>
      <c r="BQ1138" s="238"/>
      <c r="BR1138" s="237" t="s">
        <v>481</v>
      </c>
      <c r="BS1138" s="238">
        <v>19</v>
      </c>
      <c r="BY1138" s="239">
        <f>M1138/16</f>
        <v>1.6875</v>
      </c>
      <c r="BZ1138" s="239">
        <f>M1138/16</f>
        <v>1.6875</v>
      </c>
      <c r="CA1138" s="239">
        <f>M1138/16</f>
        <v>1.6875</v>
      </c>
      <c r="CB1138" s="239">
        <f>M1138/16</f>
        <v>1.6875</v>
      </c>
      <c r="CC1138" s="239">
        <f>M1138/16</f>
        <v>1.6875</v>
      </c>
      <c r="CD1138" s="239">
        <f>M1138/16</f>
        <v>1.6875</v>
      </c>
      <c r="CE1138" s="239">
        <f>M1138/16</f>
        <v>1.6875</v>
      </c>
      <c r="CF1138" s="239">
        <f>M1138/16</f>
        <v>1.6875</v>
      </c>
      <c r="CG1138" s="239">
        <f>M1138/16</f>
        <v>1.6875</v>
      </c>
      <c r="CH1138" s="239">
        <f>M1138/16</f>
        <v>1.6875</v>
      </c>
      <c r="CI1138" s="239">
        <f>M1138/16</f>
        <v>1.6875</v>
      </c>
      <c r="CJ1138" s="239">
        <f>M1138/16</f>
        <v>1.6875</v>
      </c>
      <c r="CK1138" s="239">
        <f>M1138/16</f>
        <v>1.6875</v>
      </c>
      <c r="CL1138" s="239">
        <f>M1138/16</f>
        <v>1.6875</v>
      </c>
      <c r="CM1138" s="239">
        <f>M1138/16</f>
        <v>1.6875</v>
      </c>
      <c r="CN1138" s="238">
        <f t="shared" si="125"/>
        <v>1.6875</v>
      </c>
      <c r="CO1138" s="238">
        <f t="shared" si="126"/>
        <v>10.125</v>
      </c>
    </row>
    <row r="1139" spans="1:93" ht="13.95" customHeight="1" x14ac:dyDescent="0.2">
      <c r="A1139" s="238">
        <v>3956</v>
      </c>
      <c r="B1139" s="241" t="s">
        <v>2736</v>
      </c>
      <c r="C1139" s="238"/>
      <c r="D1139" s="237" t="s">
        <v>2848</v>
      </c>
      <c r="E1139" s="237"/>
      <c r="F1139" s="238">
        <v>526150</v>
      </c>
      <c r="G1139" s="238">
        <v>175269</v>
      </c>
      <c r="H1139" s="232" t="s">
        <v>174</v>
      </c>
      <c r="J1139" s="226"/>
      <c r="K1139" s="238">
        <v>0</v>
      </c>
      <c r="L1139" s="238">
        <v>14</v>
      </c>
      <c r="M1139" s="238">
        <v>14</v>
      </c>
      <c r="N1139" s="238">
        <v>21</v>
      </c>
      <c r="O1139" s="238">
        <v>21</v>
      </c>
      <c r="P1139" s="238" t="s">
        <v>318</v>
      </c>
      <c r="Q1139" s="242" t="s">
        <v>2738</v>
      </c>
      <c r="R1139" s="243" t="s">
        <v>2739</v>
      </c>
      <c r="T1139" s="226"/>
      <c r="U1139" s="238"/>
      <c r="V1139" s="238" t="s">
        <v>321</v>
      </c>
      <c r="W1139" s="226"/>
      <c r="X1139" s="238" t="s">
        <v>322</v>
      </c>
      <c r="Y1139" s="238" t="s">
        <v>323</v>
      </c>
      <c r="Z1139" s="238" t="s">
        <v>323</v>
      </c>
      <c r="AA1139" s="238" t="s">
        <v>324</v>
      </c>
      <c r="AB1139" s="244">
        <v>0</v>
      </c>
      <c r="AD1139" s="238"/>
      <c r="AE1139" s="226"/>
      <c r="AF1139" s="224" t="s">
        <v>77</v>
      </c>
      <c r="AG1139" s="238" t="s">
        <v>350</v>
      </c>
      <c r="AH1139" s="238" t="s">
        <v>2849</v>
      </c>
      <c r="AI1139" s="238"/>
      <c r="AJ1139" s="239">
        <v>0</v>
      </c>
      <c r="AK1139" s="239">
        <v>0</v>
      </c>
      <c r="AL1139" s="239">
        <v>0</v>
      </c>
      <c r="AM1139" s="239">
        <v>0</v>
      </c>
      <c r="AN1139" s="239">
        <v>0</v>
      </c>
      <c r="AO1139" s="239">
        <v>0</v>
      </c>
      <c r="AP1139" s="239">
        <v>0</v>
      </c>
      <c r="AQ1139" s="239">
        <v>0</v>
      </c>
      <c r="AR1139" s="239">
        <v>0</v>
      </c>
      <c r="AS1139" s="239">
        <v>0</v>
      </c>
      <c r="AT1139" s="239">
        <v>14</v>
      </c>
      <c r="AU1139" s="239">
        <v>0</v>
      </c>
      <c r="AV1139" s="239">
        <v>0</v>
      </c>
      <c r="AW1139" s="239">
        <v>0</v>
      </c>
      <c r="AX1139" s="239">
        <v>0</v>
      </c>
      <c r="AY1139" s="239">
        <v>0</v>
      </c>
      <c r="AZ1139" s="239">
        <v>0</v>
      </c>
      <c r="BA1139" s="239">
        <v>14</v>
      </c>
      <c r="BB1139" s="239">
        <v>0</v>
      </c>
      <c r="BC1139" s="239">
        <v>0</v>
      </c>
      <c r="BD1139" s="239">
        <v>0</v>
      </c>
      <c r="BE1139" s="239">
        <v>0</v>
      </c>
      <c r="BF1139" s="239">
        <v>0</v>
      </c>
      <c r="BG1139" s="239">
        <v>0</v>
      </c>
      <c r="BH1139" s="239">
        <v>0</v>
      </c>
      <c r="BI1139" s="239">
        <v>0</v>
      </c>
      <c r="BJ1139" s="239">
        <v>0</v>
      </c>
      <c r="BK1139" s="239">
        <v>0</v>
      </c>
      <c r="BL1139" s="239">
        <v>0</v>
      </c>
      <c r="BM1139" s="239">
        <v>0</v>
      </c>
      <c r="BN1139" s="239">
        <v>0</v>
      </c>
      <c r="BO1139" s="239">
        <v>0</v>
      </c>
      <c r="BP1139" s="238"/>
      <c r="BQ1139" s="238"/>
      <c r="BR1139" s="237" t="s">
        <v>327</v>
      </c>
      <c r="BS1139" s="238">
        <v>19</v>
      </c>
      <c r="CC1139" s="239">
        <f>M1139/12</f>
        <v>1.1666666666666667</v>
      </c>
      <c r="CD1139" s="239">
        <f>M1139/12</f>
        <v>1.1666666666666667</v>
      </c>
      <c r="CE1139" s="239">
        <f>M1139/12</f>
        <v>1.1666666666666667</v>
      </c>
      <c r="CF1139" s="239">
        <f>M1139/12</f>
        <v>1.1666666666666667</v>
      </c>
      <c r="CG1139" s="239">
        <f>M1139/12</f>
        <v>1.1666666666666667</v>
      </c>
      <c r="CH1139" s="239">
        <f>M1139/12</f>
        <v>1.1666666666666667</v>
      </c>
      <c r="CI1139" s="239">
        <f>M1139/12</f>
        <v>1.1666666666666667</v>
      </c>
      <c r="CJ1139" s="239">
        <f>M1139/12</f>
        <v>1.1666666666666667</v>
      </c>
      <c r="CK1139" s="239">
        <f>M1139/12</f>
        <v>1.1666666666666667</v>
      </c>
      <c r="CL1139" s="239">
        <f>M1139/12</f>
        <v>1.1666666666666667</v>
      </c>
      <c r="CM1139" s="239">
        <f>M1139/12</f>
        <v>1.1666666666666667</v>
      </c>
      <c r="CN1139" s="238">
        <f t="shared" si="125"/>
        <v>0</v>
      </c>
      <c r="CO1139" s="238">
        <f t="shared" si="126"/>
        <v>2.3333333333333335</v>
      </c>
    </row>
    <row r="1140" spans="1:93" ht="13.95" customHeight="1" x14ac:dyDescent="0.2">
      <c r="A1140" s="238">
        <v>3956</v>
      </c>
      <c r="B1140" s="241" t="s">
        <v>2736</v>
      </c>
      <c r="C1140" s="238"/>
      <c r="D1140" s="237" t="s">
        <v>2848</v>
      </c>
      <c r="E1140" s="237"/>
      <c r="F1140" s="238">
        <v>526150</v>
      </c>
      <c r="G1140" s="238">
        <v>175269</v>
      </c>
      <c r="H1140" s="232" t="s">
        <v>174</v>
      </c>
      <c r="J1140" s="226"/>
      <c r="K1140" s="238">
        <v>0</v>
      </c>
      <c r="L1140" s="238">
        <v>4</v>
      </c>
      <c r="M1140" s="238">
        <v>4</v>
      </c>
      <c r="N1140" s="238">
        <v>21</v>
      </c>
      <c r="O1140" s="238">
        <v>21</v>
      </c>
      <c r="P1140" s="238" t="s">
        <v>318</v>
      </c>
      <c r="Q1140" s="242" t="s">
        <v>2738</v>
      </c>
      <c r="R1140" s="243" t="s">
        <v>2739</v>
      </c>
      <c r="T1140" s="226"/>
      <c r="U1140" s="238"/>
      <c r="V1140" s="238" t="s">
        <v>321</v>
      </c>
      <c r="W1140" s="226"/>
      <c r="X1140" s="238" t="s">
        <v>322</v>
      </c>
      <c r="Y1140" s="238" t="s">
        <v>323</v>
      </c>
      <c r="Z1140" s="238" t="s">
        <v>323</v>
      </c>
      <c r="AA1140" s="238" t="s">
        <v>324</v>
      </c>
      <c r="AB1140" s="244">
        <v>0</v>
      </c>
      <c r="AD1140" s="238"/>
      <c r="AE1140" s="226"/>
      <c r="AF1140" s="238" t="s">
        <v>57</v>
      </c>
      <c r="AG1140" s="238" t="s">
        <v>470</v>
      </c>
      <c r="AH1140" s="238" t="s">
        <v>2849</v>
      </c>
      <c r="AI1140" s="238"/>
      <c r="AJ1140" s="239">
        <v>0</v>
      </c>
      <c r="AK1140" s="239">
        <v>0</v>
      </c>
      <c r="AL1140" s="239">
        <v>0</v>
      </c>
      <c r="AM1140" s="239">
        <v>0</v>
      </c>
      <c r="AN1140" s="239">
        <v>0</v>
      </c>
      <c r="AO1140" s="239">
        <v>0</v>
      </c>
      <c r="AP1140" s="239">
        <v>0</v>
      </c>
      <c r="AQ1140" s="239">
        <v>0</v>
      </c>
      <c r="AR1140" s="239">
        <v>0</v>
      </c>
      <c r="AS1140" s="239">
        <v>0</v>
      </c>
      <c r="AT1140" s="239">
        <v>4</v>
      </c>
      <c r="AU1140" s="239">
        <v>0</v>
      </c>
      <c r="AV1140" s="239">
        <v>0</v>
      </c>
      <c r="AW1140" s="239">
        <v>0</v>
      </c>
      <c r="AX1140" s="239">
        <v>0</v>
      </c>
      <c r="AY1140" s="239">
        <v>0</v>
      </c>
      <c r="AZ1140" s="239">
        <v>0</v>
      </c>
      <c r="BA1140" s="239">
        <v>4</v>
      </c>
      <c r="BB1140" s="239">
        <v>0</v>
      </c>
      <c r="BC1140" s="239">
        <v>0</v>
      </c>
      <c r="BD1140" s="239">
        <v>0</v>
      </c>
      <c r="BE1140" s="239">
        <v>0</v>
      </c>
      <c r="BF1140" s="239">
        <v>0</v>
      </c>
      <c r="BG1140" s="239">
        <v>0</v>
      </c>
      <c r="BH1140" s="239">
        <v>0</v>
      </c>
      <c r="BI1140" s="239">
        <v>0</v>
      </c>
      <c r="BJ1140" s="239">
        <v>0</v>
      </c>
      <c r="BK1140" s="239">
        <v>0</v>
      </c>
      <c r="BL1140" s="239">
        <v>0</v>
      </c>
      <c r="BM1140" s="239">
        <v>0</v>
      </c>
      <c r="BN1140" s="239">
        <v>0</v>
      </c>
      <c r="BO1140" s="239">
        <v>0</v>
      </c>
      <c r="BP1140" s="238"/>
      <c r="BQ1140" s="238"/>
      <c r="BR1140" s="237" t="s">
        <v>327</v>
      </c>
      <c r="BS1140" s="238">
        <v>19</v>
      </c>
      <c r="CC1140" s="239">
        <f>M1140/12</f>
        <v>0.33333333333333331</v>
      </c>
      <c r="CD1140" s="239">
        <f>M1140/12</f>
        <v>0.33333333333333331</v>
      </c>
      <c r="CE1140" s="239">
        <f>M1140/12</f>
        <v>0.33333333333333331</v>
      </c>
      <c r="CF1140" s="239">
        <f>M1140/12</f>
        <v>0.33333333333333331</v>
      </c>
      <c r="CG1140" s="239">
        <f>M1140/12</f>
        <v>0.33333333333333331</v>
      </c>
      <c r="CH1140" s="239">
        <f>M1140/12</f>
        <v>0.33333333333333331</v>
      </c>
      <c r="CI1140" s="239">
        <f>M1140/12</f>
        <v>0.33333333333333331</v>
      </c>
      <c r="CJ1140" s="239">
        <f>M1140/12</f>
        <v>0.33333333333333331</v>
      </c>
      <c r="CK1140" s="239">
        <f>M1140/12</f>
        <v>0.33333333333333331</v>
      </c>
      <c r="CL1140" s="239">
        <f>M1140/12</f>
        <v>0.33333333333333331</v>
      </c>
      <c r="CM1140" s="239">
        <f>M1140/12</f>
        <v>0.33333333333333331</v>
      </c>
      <c r="CN1140" s="238">
        <f t="shared" si="125"/>
        <v>0</v>
      </c>
      <c r="CO1140" s="238">
        <f t="shared" si="126"/>
        <v>0.66666666666666663</v>
      </c>
    </row>
    <row r="1141" spans="1:93" ht="13.95" customHeight="1" x14ac:dyDescent="0.2">
      <c r="A1141" s="238">
        <v>3956</v>
      </c>
      <c r="B1141" s="241" t="s">
        <v>2736</v>
      </c>
      <c r="C1141" s="238"/>
      <c r="D1141" s="237" t="s">
        <v>2848</v>
      </c>
      <c r="E1141" s="237"/>
      <c r="F1141" s="238">
        <v>526150</v>
      </c>
      <c r="G1141" s="238">
        <v>175269</v>
      </c>
      <c r="H1141" s="232" t="s">
        <v>174</v>
      </c>
      <c r="J1141" s="226"/>
      <c r="K1141" s="238">
        <v>0</v>
      </c>
      <c r="L1141" s="238">
        <v>3</v>
      </c>
      <c r="M1141" s="238">
        <v>3</v>
      </c>
      <c r="N1141" s="238">
        <v>21</v>
      </c>
      <c r="O1141" s="238">
        <v>21</v>
      </c>
      <c r="P1141" s="238" t="s">
        <v>318</v>
      </c>
      <c r="Q1141" s="242" t="s">
        <v>2738</v>
      </c>
      <c r="R1141" s="243" t="s">
        <v>2739</v>
      </c>
      <c r="T1141" s="226"/>
      <c r="U1141" s="238"/>
      <c r="V1141" s="238" t="s">
        <v>321</v>
      </c>
      <c r="W1141" s="226"/>
      <c r="X1141" s="238" t="s">
        <v>322</v>
      </c>
      <c r="Y1141" s="238" t="s">
        <v>323</v>
      </c>
      <c r="Z1141" s="238" t="s">
        <v>323</v>
      </c>
      <c r="AA1141" s="238" t="s">
        <v>324</v>
      </c>
      <c r="AB1141" s="244">
        <v>0</v>
      </c>
      <c r="AD1141" s="238"/>
      <c r="AE1141" s="226"/>
      <c r="AF1141" s="238" t="s">
        <v>56</v>
      </c>
      <c r="AG1141" s="238" t="s">
        <v>1355</v>
      </c>
      <c r="AH1141" s="238" t="s">
        <v>2849</v>
      </c>
      <c r="AI1141" s="238"/>
      <c r="AJ1141" s="239">
        <v>0</v>
      </c>
      <c r="AK1141" s="239">
        <v>0</v>
      </c>
      <c r="AL1141" s="239">
        <v>0</v>
      </c>
      <c r="AM1141" s="239">
        <v>0</v>
      </c>
      <c r="AN1141" s="239">
        <v>0</v>
      </c>
      <c r="AO1141" s="239">
        <v>0</v>
      </c>
      <c r="AP1141" s="239">
        <v>0</v>
      </c>
      <c r="AQ1141" s="239">
        <v>0</v>
      </c>
      <c r="AR1141" s="239">
        <v>0</v>
      </c>
      <c r="AS1141" s="239">
        <v>0</v>
      </c>
      <c r="AT1141" s="239">
        <v>3</v>
      </c>
      <c r="AU1141" s="239">
        <v>0</v>
      </c>
      <c r="AV1141" s="239">
        <v>0</v>
      </c>
      <c r="AW1141" s="239">
        <v>0</v>
      </c>
      <c r="AX1141" s="239">
        <v>0</v>
      </c>
      <c r="AY1141" s="239">
        <v>0</v>
      </c>
      <c r="AZ1141" s="239">
        <v>0</v>
      </c>
      <c r="BA1141" s="239">
        <v>3</v>
      </c>
      <c r="BB1141" s="239">
        <v>0</v>
      </c>
      <c r="BC1141" s="239">
        <v>0</v>
      </c>
      <c r="BD1141" s="239">
        <v>0</v>
      </c>
      <c r="BE1141" s="239">
        <v>0</v>
      </c>
      <c r="BF1141" s="239">
        <v>0</v>
      </c>
      <c r="BG1141" s="239">
        <v>0</v>
      </c>
      <c r="BH1141" s="239">
        <v>0</v>
      </c>
      <c r="BI1141" s="239">
        <v>0</v>
      </c>
      <c r="BJ1141" s="239">
        <v>0</v>
      </c>
      <c r="BK1141" s="239">
        <v>0</v>
      </c>
      <c r="BL1141" s="239">
        <v>0</v>
      </c>
      <c r="BM1141" s="239">
        <v>0</v>
      </c>
      <c r="BN1141" s="239">
        <v>0</v>
      </c>
      <c r="BO1141" s="239">
        <v>0</v>
      </c>
      <c r="BP1141" s="238"/>
      <c r="BQ1141" s="238"/>
      <c r="BR1141" s="237" t="s">
        <v>327</v>
      </c>
      <c r="BS1141" s="238">
        <v>19</v>
      </c>
      <c r="CC1141" s="239">
        <f>M1141/12</f>
        <v>0.25</v>
      </c>
      <c r="CD1141" s="239">
        <f>M1141/12</f>
        <v>0.25</v>
      </c>
      <c r="CE1141" s="239">
        <f>M1141/12</f>
        <v>0.25</v>
      </c>
      <c r="CF1141" s="239">
        <f>M1141/12</f>
        <v>0.25</v>
      </c>
      <c r="CG1141" s="239">
        <f>M1141/12</f>
        <v>0.25</v>
      </c>
      <c r="CH1141" s="239">
        <f>M1141/12</f>
        <v>0.25</v>
      </c>
      <c r="CI1141" s="239">
        <f>M1141/12</f>
        <v>0.25</v>
      </c>
      <c r="CJ1141" s="239">
        <f>M1141/12</f>
        <v>0.25</v>
      </c>
      <c r="CK1141" s="239">
        <f>M1141/12</f>
        <v>0.25</v>
      </c>
      <c r="CL1141" s="239">
        <f>M1141/12</f>
        <v>0.25</v>
      </c>
      <c r="CM1141" s="239">
        <f>M1141/12</f>
        <v>0.25</v>
      </c>
      <c r="CN1141" s="238">
        <f t="shared" ref="CN1141:CN1152" si="144">SUM(BU1141:BY1141)</f>
        <v>0</v>
      </c>
      <c r="CO1141" s="238">
        <f t="shared" ref="CO1141:CO1152" si="145">SUM(BU1141:CD1141)</f>
        <v>0.5</v>
      </c>
    </row>
    <row r="1142" spans="1:93" ht="13.95" customHeight="1" x14ac:dyDescent="0.2">
      <c r="A1142" s="238">
        <v>4283</v>
      </c>
      <c r="B1142" s="241" t="s">
        <v>2736</v>
      </c>
      <c r="C1142" s="238"/>
      <c r="D1142" s="237" t="s">
        <v>2850</v>
      </c>
      <c r="E1142" s="237"/>
      <c r="F1142" s="238">
        <v>525979</v>
      </c>
      <c r="G1142" s="238">
        <v>175334</v>
      </c>
      <c r="H1142" s="232" t="s">
        <v>174</v>
      </c>
      <c r="J1142" s="226"/>
      <c r="K1142" s="238">
        <v>0</v>
      </c>
      <c r="L1142" s="238">
        <v>3</v>
      </c>
      <c r="M1142" s="238">
        <v>3</v>
      </c>
      <c r="N1142" s="238">
        <v>3</v>
      </c>
      <c r="O1142" s="238">
        <v>3</v>
      </c>
      <c r="P1142" s="238"/>
      <c r="Q1142" s="242" t="s">
        <v>2738</v>
      </c>
      <c r="R1142" s="238" t="s">
        <v>2739</v>
      </c>
      <c r="T1142" s="226"/>
      <c r="U1142" s="238"/>
      <c r="V1142" s="238" t="s">
        <v>321</v>
      </c>
      <c r="W1142" s="226"/>
      <c r="X1142" s="238" t="s">
        <v>322</v>
      </c>
      <c r="Y1142" s="238" t="s">
        <v>338</v>
      </c>
      <c r="Z1142" s="238" t="s">
        <v>324</v>
      </c>
      <c r="AA1142" s="238" t="s">
        <v>349</v>
      </c>
      <c r="AB1142" s="244">
        <v>0</v>
      </c>
      <c r="AD1142" s="238"/>
      <c r="AE1142" s="226"/>
      <c r="AF1142" s="224" t="s">
        <v>77</v>
      </c>
      <c r="AG1142" s="238" t="s">
        <v>350</v>
      </c>
      <c r="AH1142" s="238" t="s">
        <v>2851</v>
      </c>
      <c r="AI1142" s="238"/>
      <c r="AJ1142" s="239">
        <v>0</v>
      </c>
      <c r="AK1142" s="239">
        <v>0</v>
      </c>
      <c r="AL1142" s="239">
        <v>0</v>
      </c>
      <c r="AM1142" s="239">
        <v>0</v>
      </c>
      <c r="AN1142" s="239">
        <v>0</v>
      </c>
      <c r="AO1142" s="239">
        <v>0</v>
      </c>
      <c r="AP1142" s="239">
        <v>0</v>
      </c>
      <c r="AQ1142" s="239">
        <v>0</v>
      </c>
      <c r="AR1142" s="239">
        <v>0</v>
      </c>
      <c r="AS1142" s="239">
        <v>0</v>
      </c>
      <c r="AT1142" s="239">
        <v>3</v>
      </c>
      <c r="AU1142" s="239">
        <v>0</v>
      </c>
      <c r="AV1142" s="239">
        <v>0</v>
      </c>
      <c r="AW1142" s="239">
        <v>0</v>
      </c>
      <c r="AX1142" s="239">
        <v>0</v>
      </c>
      <c r="AY1142" s="239">
        <v>0</v>
      </c>
      <c r="AZ1142" s="239">
        <v>0</v>
      </c>
      <c r="BA1142" s="239">
        <v>3</v>
      </c>
      <c r="BB1142" s="239">
        <v>0</v>
      </c>
      <c r="BC1142" s="239">
        <v>0</v>
      </c>
      <c r="BD1142" s="239">
        <v>0</v>
      </c>
      <c r="BE1142" s="239">
        <v>0</v>
      </c>
      <c r="BF1142" s="239">
        <v>0</v>
      </c>
      <c r="BG1142" s="239">
        <v>0</v>
      </c>
      <c r="BH1142" s="239">
        <v>0</v>
      </c>
      <c r="BI1142" s="239">
        <v>0</v>
      </c>
      <c r="BJ1142" s="239">
        <v>0</v>
      </c>
      <c r="BK1142" s="239">
        <v>0</v>
      </c>
      <c r="BL1142" s="239">
        <v>0</v>
      </c>
      <c r="BM1142" s="239">
        <v>0</v>
      </c>
      <c r="BN1142" s="239">
        <v>0</v>
      </c>
      <c r="BO1142" s="239">
        <v>0</v>
      </c>
      <c r="BP1142" s="238"/>
      <c r="BQ1142" s="238"/>
      <c r="BR1142" s="237" t="s">
        <v>327</v>
      </c>
      <c r="BS1142" s="238">
        <v>19</v>
      </c>
      <c r="CC1142" s="239">
        <f>M1142/12</f>
        <v>0.25</v>
      </c>
      <c r="CD1142" s="239">
        <f>M1142/12</f>
        <v>0.25</v>
      </c>
      <c r="CE1142" s="239">
        <f>M1142/12</f>
        <v>0.25</v>
      </c>
      <c r="CF1142" s="239">
        <f>M1142/12</f>
        <v>0.25</v>
      </c>
      <c r="CG1142" s="239">
        <f>M1142/12</f>
        <v>0.25</v>
      </c>
      <c r="CH1142" s="239">
        <f>M1142/12</f>
        <v>0.25</v>
      </c>
      <c r="CI1142" s="239">
        <f>M1142/12</f>
        <v>0.25</v>
      </c>
      <c r="CJ1142" s="239">
        <f>M1142/12</f>
        <v>0.25</v>
      </c>
      <c r="CK1142" s="239">
        <f>M1142/12</f>
        <v>0.25</v>
      </c>
      <c r="CL1142" s="239">
        <f>M1142/12</f>
        <v>0.25</v>
      </c>
      <c r="CM1142" s="239">
        <f>M1142/12</f>
        <v>0.25</v>
      </c>
      <c r="CN1142" s="238">
        <f t="shared" si="144"/>
        <v>0</v>
      </c>
      <c r="CO1142" s="238">
        <f t="shared" si="145"/>
        <v>0.5</v>
      </c>
    </row>
    <row r="1143" spans="1:93" ht="13.95" customHeight="1" x14ac:dyDescent="0.2">
      <c r="A1143" s="238">
        <v>7584</v>
      </c>
      <c r="B1143" s="241" t="s">
        <v>2736</v>
      </c>
      <c r="C1143" s="238"/>
      <c r="D1143" s="237" t="s">
        <v>2852</v>
      </c>
      <c r="E1143" s="237"/>
      <c r="F1143" s="238">
        <v>525773.66240000003</v>
      </c>
      <c r="G1143" s="238">
        <v>174729.85870000001</v>
      </c>
      <c r="H1143" s="232" t="s">
        <v>181</v>
      </c>
      <c r="J1143" s="226"/>
      <c r="K1143" s="238">
        <v>0</v>
      </c>
      <c r="L1143" s="238">
        <v>16</v>
      </c>
      <c r="M1143" s="238">
        <v>16</v>
      </c>
      <c r="N1143" s="238">
        <v>24</v>
      </c>
      <c r="O1143" s="238">
        <v>24</v>
      </c>
      <c r="P1143" s="238" t="s">
        <v>318</v>
      </c>
      <c r="Q1143" s="242" t="s">
        <v>2738</v>
      </c>
      <c r="R1143" s="243" t="s">
        <v>2739</v>
      </c>
      <c r="T1143" s="226"/>
      <c r="U1143" s="238"/>
      <c r="V1143" s="238" t="s">
        <v>321</v>
      </c>
      <c r="W1143" s="226"/>
      <c r="X1143" s="238" t="s">
        <v>322</v>
      </c>
      <c r="Y1143" s="238" t="s">
        <v>323</v>
      </c>
      <c r="Z1143" s="238" t="s">
        <v>323</v>
      </c>
      <c r="AA1143" s="238" t="s">
        <v>324</v>
      </c>
      <c r="AB1143" s="244">
        <v>0</v>
      </c>
      <c r="AD1143" s="238"/>
      <c r="AE1143" s="226"/>
      <c r="AF1143" s="224" t="s">
        <v>77</v>
      </c>
      <c r="AG1143" s="238" t="s">
        <v>350</v>
      </c>
      <c r="AH1143" s="238" t="s">
        <v>2853</v>
      </c>
      <c r="AI1143" s="238"/>
      <c r="AJ1143" s="239">
        <v>0</v>
      </c>
      <c r="AK1143" s="239">
        <v>0</v>
      </c>
      <c r="AL1143" s="239">
        <v>0</v>
      </c>
      <c r="AM1143" s="239">
        <v>0</v>
      </c>
      <c r="AN1143" s="239">
        <v>0</v>
      </c>
      <c r="AO1143" s="239">
        <v>0</v>
      </c>
      <c r="AP1143" s="239">
        <v>0</v>
      </c>
      <c r="AQ1143" s="239">
        <v>0</v>
      </c>
      <c r="AR1143" s="239">
        <v>0</v>
      </c>
      <c r="AS1143" s="239">
        <v>0</v>
      </c>
      <c r="AT1143" s="239">
        <v>16</v>
      </c>
      <c r="AU1143" s="239">
        <v>0</v>
      </c>
      <c r="AV1143" s="239">
        <v>0</v>
      </c>
      <c r="AW1143" s="239">
        <v>0</v>
      </c>
      <c r="AX1143" s="239">
        <v>0</v>
      </c>
      <c r="AY1143" s="239">
        <v>0</v>
      </c>
      <c r="AZ1143" s="239">
        <v>0</v>
      </c>
      <c r="BA1143" s="239">
        <v>16</v>
      </c>
      <c r="BB1143" s="239">
        <v>0</v>
      </c>
      <c r="BC1143" s="239">
        <v>0</v>
      </c>
      <c r="BD1143" s="239">
        <v>0</v>
      </c>
      <c r="BE1143" s="239">
        <v>0</v>
      </c>
      <c r="BF1143" s="239">
        <v>0</v>
      </c>
      <c r="BG1143" s="239">
        <v>0</v>
      </c>
      <c r="BH1143" s="239">
        <v>0</v>
      </c>
      <c r="BI1143" s="239">
        <v>0</v>
      </c>
      <c r="BJ1143" s="239">
        <v>0</v>
      </c>
      <c r="BK1143" s="239">
        <v>0</v>
      </c>
      <c r="BL1143" s="239">
        <v>0</v>
      </c>
      <c r="BM1143" s="239">
        <v>0</v>
      </c>
      <c r="BN1143" s="239">
        <v>0</v>
      </c>
      <c r="BO1143" s="239">
        <v>0</v>
      </c>
      <c r="BP1143" s="234" t="s">
        <v>145</v>
      </c>
      <c r="BQ1143" s="238"/>
      <c r="BR1143" s="237" t="s">
        <v>327</v>
      </c>
      <c r="BS1143" s="238">
        <v>19</v>
      </c>
      <c r="BX1143" s="239">
        <f>M1143/10</f>
        <v>1.6</v>
      </c>
      <c r="BY1143" s="239">
        <f>M1143/10</f>
        <v>1.6</v>
      </c>
      <c r="BZ1143" s="239">
        <f>M1143/10</f>
        <v>1.6</v>
      </c>
      <c r="CA1143" s="239">
        <f>M1143/10</f>
        <v>1.6</v>
      </c>
      <c r="CB1143" s="239">
        <f>M1143/10</f>
        <v>1.6</v>
      </c>
      <c r="CC1143" s="239">
        <f>M1143/10</f>
        <v>1.6</v>
      </c>
      <c r="CD1143" s="239">
        <f>M1143/10</f>
        <v>1.6</v>
      </c>
      <c r="CE1143" s="239">
        <f>M1143/10</f>
        <v>1.6</v>
      </c>
      <c r="CF1143" s="239">
        <f>M1143/10</f>
        <v>1.6</v>
      </c>
      <c r="CG1143" s="239">
        <f>M1143/10</f>
        <v>1.6</v>
      </c>
      <c r="CN1143" s="238">
        <f t="shared" si="144"/>
        <v>3.2</v>
      </c>
      <c r="CO1143" s="238">
        <f t="shared" si="145"/>
        <v>11.2</v>
      </c>
    </row>
    <row r="1144" spans="1:93" ht="13.95" customHeight="1" x14ac:dyDescent="0.2">
      <c r="A1144" s="238">
        <v>7584</v>
      </c>
      <c r="B1144" s="241" t="s">
        <v>2736</v>
      </c>
      <c r="C1144" s="238"/>
      <c r="D1144" s="237" t="s">
        <v>2852</v>
      </c>
      <c r="E1144" s="237"/>
      <c r="F1144" s="238">
        <v>525773.66240000003</v>
      </c>
      <c r="G1144" s="238">
        <v>174729.85870000001</v>
      </c>
      <c r="H1144" s="232" t="s">
        <v>181</v>
      </c>
      <c r="J1144" s="226"/>
      <c r="K1144" s="238">
        <v>0</v>
      </c>
      <c r="L1144" s="238">
        <v>5</v>
      </c>
      <c r="M1144" s="238">
        <v>5</v>
      </c>
      <c r="N1144" s="238">
        <v>24</v>
      </c>
      <c r="O1144" s="238">
        <v>24</v>
      </c>
      <c r="P1144" s="238" t="s">
        <v>318</v>
      </c>
      <c r="Q1144" s="242" t="s">
        <v>2738</v>
      </c>
      <c r="R1144" s="243" t="s">
        <v>2739</v>
      </c>
      <c r="T1144" s="226"/>
      <c r="U1144" s="238"/>
      <c r="V1144" s="238" t="s">
        <v>321</v>
      </c>
      <c r="W1144" s="226"/>
      <c r="X1144" s="238" t="s">
        <v>322</v>
      </c>
      <c r="Y1144" s="238" t="s">
        <v>323</v>
      </c>
      <c r="Z1144" s="238" t="s">
        <v>323</v>
      </c>
      <c r="AA1144" s="238" t="s">
        <v>324</v>
      </c>
      <c r="AB1144" s="244">
        <v>0</v>
      </c>
      <c r="AD1144" s="238"/>
      <c r="AE1144" s="226"/>
      <c r="AF1144" s="238" t="s">
        <v>57</v>
      </c>
      <c r="AG1144" s="238" t="s">
        <v>470</v>
      </c>
      <c r="AH1144" s="238" t="s">
        <v>2853</v>
      </c>
      <c r="AI1144" s="238"/>
      <c r="AJ1144" s="239">
        <v>0</v>
      </c>
      <c r="AK1144" s="239">
        <v>0</v>
      </c>
      <c r="AL1144" s="239">
        <v>0</v>
      </c>
      <c r="AM1144" s="239">
        <v>0</v>
      </c>
      <c r="AN1144" s="239">
        <v>0</v>
      </c>
      <c r="AO1144" s="239">
        <v>0</v>
      </c>
      <c r="AP1144" s="239">
        <v>0</v>
      </c>
      <c r="AQ1144" s="239">
        <v>0</v>
      </c>
      <c r="AR1144" s="239">
        <v>0</v>
      </c>
      <c r="AS1144" s="239">
        <v>0</v>
      </c>
      <c r="AT1144" s="239">
        <v>5</v>
      </c>
      <c r="AU1144" s="239">
        <v>0</v>
      </c>
      <c r="AV1144" s="239">
        <v>0</v>
      </c>
      <c r="AW1144" s="239">
        <v>0</v>
      </c>
      <c r="AX1144" s="239">
        <v>0</v>
      </c>
      <c r="AY1144" s="239">
        <v>0</v>
      </c>
      <c r="AZ1144" s="239">
        <v>0</v>
      </c>
      <c r="BA1144" s="239">
        <v>5</v>
      </c>
      <c r="BB1144" s="239">
        <v>0</v>
      </c>
      <c r="BC1144" s="239">
        <v>0</v>
      </c>
      <c r="BD1144" s="239">
        <v>0</v>
      </c>
      <c r="BE1144" s="239">
        <v>0</v>
      </c>
      <c r="BF1144" s="239">
        <v>0</v>
      </c>
      <c r="BG1144" s="239">
        <v>0</v>
      </c>
      <c r="BH1144" s="239">
        <v>0</v>
      </c>
      <c r="BI1144" s="239">
        <v>0</v>
      </c>
      <c r="BJ1144" s="239">
        <v>0</v>
      </c>
      <c r="BK1144" s="239">
        <v>0</v>
      </c>
      <c r="BL1144" s="239">
        <v>0</v>
      </c>
      <c r="BM1144" s="239">
        <v>0</v>
      </c>
      <c r="BN1144" s="239">
        <v>0</v>
      </c>
      <c r="BO1144" s="239">
        <v>0</v>
      </c>
      <c r="BP1144" s="234" t="s">
        <v>145</v>
      </c>
      <c r="BQ1144" s="238"/>
      <c r="BR1144" s="237" t="s">
        <v>327</v>
      </c>
      <c r="BS1144" s="238">
        <v>19</v>
      </c>
      <c r="BX1144" s="239">
        <f>M1144/10</f>
        <v>0.5</v>
      </c>
      <c r="BY1144" s="239">
        <f>M1144/10</f>
        <v>0.5</v>
      </c>
      <c r="BZ1144" s="239">
        <f>M1144/10</f>
        <v>0.5</v>
      </c>
      <c r="CA1144" s="239">
        <f>M1144/10</f>
        <v>0.5</v>
      </c>
      <c r="CB1144" s="239">
        <f>M1144/10</f>
        <v>0.5</v>
      </c>
      <c r="CC1144" s="239">
        <f>M1144/10</f>
        <v>0.5</v>
      </c>
      <c r="CD1144" s="239">
        <f>M1144/10</f>
        <v>0.5</v>
      </c>
      <c r="CE1144" s="239">
        <f>M1144/10</f>
        <v>0.5</v>
      </c>
      <c r="CF1144" s="239">
        <f>M1144/10</f>
        <v>0.5</v>
      </c>
      <c r="CG1144" s="239">
        <f>M1144/10</f>
        <v>0.5</v>
      </c>
      <c r="CN1144" s="238">
        <f t="shared" si="144"/>
        <v>1</v>
      </c>
      <c r="CO1144" s="238">
        <f t="shared" si="145"/>
        <v>3.5</v>
      </c>
    </row>
    <row r="1145" spans="1:93" ht="13.95" customHeight="1" x14ac:dyDescent="0.2">
      <c r="A1145" s="238">
        <v>7584</v>
      </c>
      <c r="B1145" s="241" t="s">
        <v>2736</v>
      </c>
      <c r="C1145" s="238"/>
      <c r="D1145" s="237" t="s">
        <v>2852</v>
      </c>
      <c r="E1145" s="237"/>
      <c r="F1145" s="238">
        <v>525773.66240000003</v>
      </c>
      <c r="G1145" s="238">
        <v>174729.85870000001</v>
      </c>
      <c r="H1145" s="232" t="s">
        <v>181</v>
      </c>
      <c r="J1145" s="226"/>
      <c r="K1145" s="238">
        <v>0</v>
      </c>
      <c r="L1145" s="238">
        <v>3</v>
      </c>
      <c r="M1145" s="238">
        <v>3</v>
      </c>
      <c r="N1145" s="238">
        <v>24</v>
      </c>
      <c r="O1145" s="238">
        <v>24</v>
      </c>
      <c r="P1145" s="238" t="s">
        <v>318</v>
      </c>
      <c r="Q1145" s="242" t="s">
        <v>2738</v>
      </c>
      <c r="R1145" s="243" t="s">
        <v>2739</v>
      </c>
      <c r="T1145" s="226"/>
      <c r="U1145" s="238"/>
      <c r="V1145" s="238" t="s">
        <v>321</v>
      </c>
      <c r="W1145" s="226"/>
      <c r="X1145" s="238" t="s">
        <v>322</v>
      </c>
      <c r="Y1145" s="238" t="s">
        <v>323</v>
      </c>
      <c r="Z1145" s="238" t="s">
        <v>323</v>
      </c>
      <c r="AA1145" s="238" t="s">
        <v>324</v>
      </c>
      <c r="AB1145" s="244">
        <v>0</v>
      </c>
      <c r="AD1145" s="238"/>
      <c r="AE1145" s="226"/>
      <c r="AF1145" s="238" t="s">
        <v>56</v>
      </c>
      <c r="AG1145" s="238" t="s">
        <v>1355</v>
      </c>
      <c r="AH1145" s="238" t="s">
        <v>2853</v>
      </c>
      <c r="AI1145" s="238"/>
      <c r="AJ1145" s="239">
        <v>0</v>
      </c>
      <c r="AK1145" s="239">
        <v>0</v>
      </c>
      <c r="AL1145" s="239">
        <v>0</v>
      </c>
      <c r="AM1145" s="239">
        <v>0</v>
      </c>
      <c r="AN1145" s="239">
        <v>0</v>
      </c>
      <c r="AO1145" s="239">
        <v>0</v>
      </c>
      <c r="AP1145" s="239">
        <v>0</v>
      </c>
      <c r="AQ1145" s="239">
        <v>0</v>
      </c>
      <c r="AR1145" s="239">
        <v>0</v>
      </c>
      <c r="AS1145" s="239">
        <v>0</v>
      </c>
      <c r="AT1145" s="239">
        <v>3</v>
      </c>
      <c r="AU1145" s="239">
        <v>0</v>
      </c>
      <c r="AV1145" s="239">
        <v>0</v>
      </c>
      <c r="AW1145" s="239">
        <v>0</v>
      </c>
      <c r="AX1145" s="239">
        <v>0</v>
      </c>
      <c r="AY1145" s="239">
        <v>0</v>
      </c>
      <c r="AZ1145" s="239">
        <v>0</v>
      </c>
      <c r="BA1145" s="239">
        <v>3</v>
      </c>
      <c r="BB1145" s="239">
        <v>0</v>
      </c>
      <c r="BC1145" s="239">
        <v>0</v>
      </c>
      <c r="BD1145" s="239">
        <v>0</v>
      </c>
      <c r="BE1145" s="239">
        <v>0</v>
      </c>
      <c r="BF1145" s="239">
        <v>0</v>
      </c>
      <c r="BG1145" s="239">
        <v>0</v>
      </c>
      <c r="BH1145" s="239">
        <v>0</v>
      </c>
      <c r="BI1145" s="239">
        <v>0</v>
      </c>
      <c r="BJ1145" s="239">
        <v>0</v>
      </c>
      <c r="BK1145" s="239">
        <v>0</v>
      </c>
      <c r="BL1145" s="239">
        <v>0</v>
      </c>
      <c r="BM1145" s="239">
        <v>0</v>
      </c>
      <c r="BN1145" s="239">
        <v>0</v>
      </c>
      <c r="BO1145" s="239">
        <v>0</v>
      </c>
      <c r="BP1145" s="234" t="s">
        <v>145</v>
      </c>
      <c r="BQ1145" s="238"/>
      <c r="BR1145" s="237" t="s">
        <v>327</v>
      </c>
      <c r="BS1145" s="238">
        <v>19</v>
      </c>
      <c r="BX1145" s="239">
        <f>M1145/10</f>
        <v>0.3</v>
      </c>
      <c r="BY1145" s="239">
        <f>M1145/10</f>
        <v>0.3</v>
      </c>
      <c r="BZ1145" s="239">
        <f>M1145/10</f>
        <v>0.3</v>
      </c>
      <c r="CA1145" s="239">
        <f>M1145/10</f>
        <v>0.3</v>
      </c>
      <c r="CB1145" s="239">
        <f>M1145/10</f>
        <v>0.3</v>
      </c>
      <c r="CC1145" s="239">
        <f>M1145/10</f>
        <v>0.3</v>
      </c>
      <c r="CD1145" s="239">
        <f>M1145/10</f>
        <v>0.3</v>
      </c>
      <c r="CE1145" s="239">
        <f>M1145/10</f>
        <v>0.3</v>
      </c>
      <c r="CF1145" s="239">
        <f>M1145/10</f>
        <v>0.3</v>
      </c>
      <c r="CG1145" s="239">
        <f>M1145/10</f>
        <v>0.3</v>
      </c>
      <c r="CN1145" s="238">
        <f t="shared" si="144"/>
        <v>0.6</v>
      </c>
      <c r="CO1145" s="238">
        <f t="shared" si="145"/>
        <v>2.1</v>
      </c>
    </row>
    <row r="1146" spans="1:93" ht="13.95" customHeight="1" x14ac:dyDescent="0.2">
      <c r="A1146" s="238">
        <v>7539</v>
      </c>
      <c r="B1146" s="241" t="s">
        <v>2736</v>
      </c>
      <c r="C1146" s="238"/>
      <c r="D1146" s="237" t="s">
        <v>2854</v>
      </c>
      <c r="E1146" s="237"/>
      <c r="F1146" s="238">
        <v>524520</v>
      </c>
      <c r="G1146" s="238">
        <v>173088</v>
      </c>
      <c r="H1146" s="232" t="s">
        <v>182</v>
      </c>
      <c r="J1146" s="226"/>
      <c r="K1146" s="238">
        <v>0</v>
      </c>
      <c r="L1146" s="238">
        <v>23</v>
      </c>
      <c r="M1146" s="238">
        <v>23</v>
      </c>
      <c r="N1146" s="238">
        <v>35</v>
      </c>
      <c r="O1146" s="238">
        <v>35</v>
      </c>
      <c r="P1146" s="238" t="s">
        <v>318</v>
      </c>
      <c r="Q1146" s="242" t="s">
        <v>2738</v>
      </c>
      <c r="R1146" s="243" t="s">
        <v>2739</v>
      </c>
      <c r="T1146" s="226"/>
      <c r="U1146" s="238"/>
      <c r="V1146" s="238" t="s">
        <v>321</v>
      </c>
      <c r="W1146" s="226"/>
      <c r="X1146" s="238" t="s">
        <v>322</v>
      </c>
      <c r="Y1146" s="238" t="s">
        <v>323</v>
      </c>
      <c r="Z1146" s="238" t="s">
        <v>323</v>
      </c>
      <c r="AA1146" s="238" t="s">
        <v>324</v>
      </c>
      <c r="AB1146" s="244">
        <v>0</v>
      </c>
      <c r="AD1146" s="238"/>
      <c r="AE1146" s="226"/>
      <c r="AF1146" s="224" t="s">
        <v>77</v>
      </c>
      <c r="AG1146" s="238" t="s">
        <v>350</v>
      </c>
      <c r="AH1146" s="238"/>
      <c r="AI1146" s="238"/>
      <c r="AJ1146" s="239">
        <v>0</v>
      </c>
      <c r="AK1146" s="239">
        <v>0</v>
      </c>
      <c r="AL1146" s="239">
        <v>0</v>
      </c>
      <c r="AM1146" s="239">
        <v>0</v>
      </c>
      <c r="AN1146" s="239">
        <v>0</v>
      </c>
      <c r="AO1146" s="239">
        <v>0</v>
      </c>
      <c r="AP1146" s="239">
        <v>0</v>
      </c>
      <c r="AQ1146" s="239">
        <v>0</v>
      </c>
      <c r="AR1146" s="239">
        <v>0</v>
      </c>
      <c r="AS1146" s="239">
        <v>0</v>
      </c>
      <c r="AT1146" s="239">
        <v>23</v>
      </c>
      <c r="AU1146" s="239">
        <v>0</v>
      </c>
      <c r="AV1146" s="239">
        <v>0</v>
      </c>
      <c r="AW1146" s="239">
        <v>0</v>
      </c>
      <c r="AX1146" s="239">
        <v>0</v>
      </c>
      <c r="AY1146" s="239">
        <v>0</v>
      </c>
      <c r="AZ1146" s="239">
        <v>0</v>
      </c>
      <c r="BA1146" s="239">
        <v>23</v>
      </c>
      <c r="BB1146" s="239">
        <v>0</v>
      </c>
      <c r="BC1146" s="239">
        <v>0</v>
      </c>
      <c r="BD1146" s="239">
        <v>0</v>
      </c>
      <c r="BE1146" s="239">
        <v>0</v>
      </c>
      <c r="BF1146" s="239">
        <v>0</v>
      </c>
      <c r="BG1146" s="239">
        <v>0</v>
      </c>
      <c r="BH1146" s="239">
        <v>0</v>
      </c>
      <c r="BI1146" s="239">
        <v>0</v>
      </c>
      <c r="BJ1146" s="239">
        <v>0</v>
      </c>
      <c r="BK1146" s="239">
        <v>0</v>
      </c>
      <c r="BL1146" s="239">
        <v>0</v>
      </c>
      <c r="BM1146" s="239">
        <v>0</v>
      </c>
      <c r="BN1146" s="239">
        <v>0</v>
      </c>
      <c r="BO1146" s="239">
        <v>0</v>
      </c>
      <c r="BP1146" s="238"/>
      <c r="BQ1146" s="238"/>
      <c r="BR1146" s="237" t="s">
        <v>334</v>
      </c>
      <c r="BS1146" s="238">
        <v>19</v>
      </c>
      <c r="BY1146" s="239">
        <f>M1146</f>
        <v>23</v>
      </c>
      <c r="CN1146" s="238">
        <f t="shared" si="144"/>
        <v>23</v>
      </c>
      <c r="CO1146" s="238">
        <f t="shared" si="145"/>
        <v>23</v>
      </c>
    </row>
    <row r="1147" spans="1:93" ht="13.95" customHeight="1" x14ac:dyDescent="0.2">
      <c r="A1147" s="238">
        <v>7539</v>
      </c>
      <c r="B1147" s="241" t="s">
        <v>2736</v>
      </c>
      <c r="C1147" s="238"/>
      <c r="D1147" s="237" t="s">
        <v>2854</v>
      </c>
      <c r="E1147" s="237"/>
      <c r="F1147" s="238">
        <v>524520</v>
      </c>
      <c r="G1147" s="238">
        <v>173088</v>
      </c>
      <c r="H1147" s="232" t="s">
        <v>182</v>
      </c>
      <c r="J1147" s="226"/>
      <c r="K1147" s="238">
        <v>0</v>
      </c>
      <c r="L1147" s="238">
        <v>7</v>
      </c>
      <c r="M1147" s="238">
        <v>7</v>
      </c>
      <c r="N1147" s="238">
        <v>35</v>
      </c>
      <c r="O1147" s="238">
        <v>35</v>
      </c>
      <c r="P1147" s="238" t="s">
        <v>318</v>
      </c>
      <c r="Q1147" s="242" t="s">
        <v>2738</v>
      </c>
      <c r="R1147" s="243" t="s">
        <v>2739</v>
      </c>
      <c r="T1147" s="226"/>
      <c r="U1147" s="238"/>
      <c r="V1147" s="238" t="s">
        <v>321</v>
      </c>
      <c r="W1147" s="226"/>
      <c r="X1147" s="238" t="s">
        <v>322</v>
      </c>
      <c r="Y1147" s="238" t="s">
        <v>323</v>
      </c>
      <c r="Z1147" s="238" t="s">
        <v>323</v>
      </c>
      <c r="AA1147" s="238" t="s">
        <v>324</v>
      </c>
      <c r="AB1147" s="244">
        <v>0</v>
      </c>
      <c r="AD1147" s="238"/>
      <c r="AE1147" s="226"/>
      <c r="AF1147" s="238" t="s">
        <v>57</v>
      </c>
      <c r="AG1147" s="238" t="s">
        <v>470</v>
      </c>
      <c r="AH1147" s="238"/>
      <c r="AI1147" s="238"/>
      <c r="AJ1147" s="239">
        <v>0</v>
      </c>
      <c r="AK1147" s="239">
        <v>0</v>
      </c>
      <c r="AL1147" s="239">
        <v>0</v>
      </c>
      <c r="AM1147" s="239">
        <v>0</v>
      </c>
      <c r="AN1147" s="239">
        <v>0</v>
      </c>
      <c r="AO1147" s="239">
        <v>0</v>
      </c>
      <c r="AP1147" s="239">
        <v>0</v>
      </c>
      <c r="AQ1147" s="239">
        <v>0</v>
      </c>
      <c r="AR1147" s="239">
        <v>0</v>
      </c>
      <c r="AS1147" s="239">
        <v>0</v>
      </c>
      <c r="AT1147" s="239">
        <v>7</v>
      </c>
      <c r="AU1147" s="239">
        <v>0</v>
      </c>
      <c r="AV1147" s="239">
        <v>0</v>
      </c>
      <c r="AW1147" s="239">
        <v>0</v>
      </c>
      <c r="AX1147" s="239">
        <v>0</v>
      </c>
      <c r="AY1147" s="239">
        <v>0</v>
      </c>
      <c r="AZ1147" s="239">
        <v>0</v>
      </c>
      <c r="BA1147" s="239">
        <v>7</v>
      </c>
      <c r="BB1147" s="239">
        <v>0</v>
      </c>
      <c r="BC1147" s="239">
        <v>0</v>
      </c>
      <c r="BD1147" s="239">
        <v>0</v>
      </c>
      <c r="BE1147" s="239">
        <v>0</v>
      </c>
      <c r="BF1147" s="239">
        <v>0</v>
      </c>
      <c r="BG1147" s="239">
        <v>0</v>
      </c>
      <c r="BH1147" s="239">
        <v>0</v>
      </c>
      <c r="BI1147" s="239">
        <v>0</v>
      </c>
      <c r="BJ1147" s="239">
        <v>0</v>
      </c>
      <c r="BK1147" s="239">
        <v>0</v>
      </c>
      <c r="BL1147" s="239">
        <v>0</v>
      </c>
      <c r="BM1147" s="239">
        <v>0</v>
      </c>
      <c r="BN1147" s="239">
        <v>0</v>
      </c>
      <c r="BO1147" s="239">
        <v>0</v>
      </c>
      <c r="BP1147" s="238"/>
      <c r="BQ1147" s="238"/>
      <c r="BR1147" s="237" t="s">
        <v>334</v>
      </c>
      <c r="BS1147" s="238">
        <v>19</v>
      </c>
      <c r="BY1147" s="239">
        <f>M1147</f>
        <v>7</v>
      </c>
      <c r="CN1147" s="238">
        <f t="shared" si="144"/>
        <v>7</v>
      </c>
      <c r="CO1147" s="238">
        <f t="shared" si="145"/>
        <v>7</v>
      </c>
    </row>
    <row r="1148" spans="1:93" ht="13.95" customHeight="1" x14ac:dyDescent="0.2">
      <c r="A1148" s="238">
        <v>7539</v>
      </c>
      <c r="B1148" s="241" t="s">
        <v>2736</v>
      </c>
      <c r="C1148" s="238"/>
      <c r="D1148" s="237" t="s">
        <v>2854</v>
      </c>
      <c r="E1148" s="237"/>
      <c r="F1148" s="238">
        <v>524520</v>
      </c>
      <c r="G1148" s="238">
        <v>173088</v>
      </c>
      <c r="H1148" s="232" t="s">
        <v>182</v>
      </c>
      <c r="J1148" s="226"/>
      <c r="K1148" s="238">
        <v>0</v>
      </c>
      <c r="L1148" s="238">
        <v>5</v>
      </c>
      <c r="M1148" s="238">
        <v>5</v>
      </c>
      <c r="N1148" s="238">
        <v>35</v>
      </c>
      <c r="O1148" s="238">
        <v>35</v>
      </c>
      <c r="P1148" s="238" t="s">
        <v>318</v>
      </c>
      <c r="Q1148" s="242" t="s">
        <v>2738</v>
      </c>
      <c r="R1148" s="243" t="s">
        <v>2739</v>
      </c>
      <c r="T1148" s="226"/>
      <c r="U1148" s="238"/>
      <c r="V1148" s="238" t="s">
        <v>321</v>
      </c>
      <c r="W1148" s="226"/>
      <c r="X1148" s="238" t="s">
        <v>322</v>
      </c>
      <c r="Y1148" s="238" t="s">
        <v>323</v>
      </c>
      <c r="Z1148" s="238" t="s">
        <v>323</v>
      </c>
      <c r="AA1148" s="238" t="s">
        <v>324</v>
      </c>
      <c r="AB1148" s="244">
        <v>0</v>
      </c>
      <c r="AD1148" s="238"/>
      <c r="AE1148" s="226"/>
      <c r="AF1148" s="238" t="s">
        <v>56</v>
      </c>
      <c r="AG1148" s="238" t="s">
        <v>1355</v>
      </c>
      <c r="AH1148" s="238"/>
      <c r="AI1148" s="238"/>
      <c r="AJ1148" s="239">
        <v>0</v>
      </c>
      <c r="AK1148" s="239">
        <v>0</v>
      </c>
      <c r="AL1148" s="239">
        <v>0</v>
      </c>
      <c r="AM1148" s="239">
        <v>0</v>
      </c>
      <c r="AN1148" s="239">
        <v>0</v>
      </c>
      <c r="AO1148" s="239">
        <v>0</v>
      </c>
      <c r="AP1148" s="239">
        <v>0</v>
      </c>
      <c r="AQ1148" s="239">
        <v>0</v>
      </c>
      <c r="AR1148" s="239">
        <v>0</v>
      </c>
      <c r="AS1148" s="239">
        <v>0</v>
      </c>
      <c r="AT1148" s="239">
        <v>5</v>
      </c>
      <c r="AU1148" s="239">
        <v>0</v>
      </c>
      <c r="AV1148" s="239">
        <v>0</v>
      </c>
      <c r="AW1148" s="239">
        <v>0</v>
      </c>
      <c r="AX1148" s="239">
        <v>0</v>
      </c>
      <c r="AY1148" s="239">
        <v>0</v>
      </c>
      <c r="AZ1148" s="239">
        <v>0</v>
      </c>
      <c r="BA1148" s="239">
        <v>5</v>
      </c>
      <c r="BB1148" s="239">
        <v>0</v>
      </c>
      <c r="BC1148" s="239">
        <v>0</v>
      </c>
      <c r="BD1148" s="239">
        <v>0</v>
      </c>
      <c r="BE1148" s="239">
        <v>0</v>
      </c>
      <c r="BF1148" s="239">
        <v>0</v>
      </c>
      <c r="BG1148" s="239">
        <v>0</v>
      </c>
      <c r="BH1148" s="239">
        <v>0</v>
      </c>
      <c r="BI1148" s="239">
        <v>0</v>
      </c>
      <c r="BJ1148" s="239">
        <v>0</v>
      </c>
      <c r="BK1148" s="239">
        <v>0</v>
      </c>
      <c r="BL1148" s="239">
        <v>0</v>
      </c>
      <c r="BM1148" s="239">
        <v>0</v>
      </c>
      <c r="BN1148" s="239">
        <v>0</v>
      </c>
      <c r="BO1148" s="239">
        <v>0</v>
      </c>
      <c r="BP1148" s="238"/>
      <c r="BQ1148" s="238"/>
      <c r="BR1148" s="237" t="s">
        <v>334</v>
      </c>
      <c r="BS1148" s="238">
        <v>19</v>
      </c>
      <c r="BY1148" s="239">
        <f>M1148</f>
        <v>5</v>
      </c>
      <c r="CN1148" s="238">
        <f t="shared" si="144"/>
        <v>5</v>
      </c>
      <c r="CO1148" s="238">
        <f t="shared" si="145"/>
        <v>5</v>
      </c>
    </row>
    <row r="1149" spans="1:93" ht="13.95" customHeight="1" x14ac:dyDescent="0.2">
      <c r="A1149" s="238"/>
      <c r="B1149" s="241" t="s">
        <v>2855</v>
      </c>
      <c r="C1149" s="238"/>
      <c r="D1149" s="237"/>
      <c r="E1149" s="237"/>
      <c r="F1149" s="238"/>
      <c r="G1149" s="238"/>
      <c r="H1149" s="237"/>
      <c r="J1149" s="226"/>
      <c r="K1149" s="238">
        <v>0</v>
      </c>
      <c r="L1149" s="238">
        <v>208</v>
      </c>
      <c r="M1149" s="238">
        <v>208</v>
      </c>
      <c r="N1149" s="238">
        <v>0</v>
      </c>
      <c r="O1149" s="238">
        <v>0</v>
      </c>
      <c r="P1149" s="238" t="s">
        <v>318</v>
      </c>
      <c r="Q1149" s="242" t="s">
        <v>2738</v>
      </c>
      <c r="R1149" s="243" t="s">
        <v>2739</v>
      </c>
      <c r="T1149" s="226"/>
      <c r="U1149" s="238"/>
      <c r="V1149" s="238" t="s">
        <v>321</v>
      </c>
      <c r="W1149" s="226"/>
      <c r="X1149" s="238" t="s">
        <v>322</v>
      </c>
      <c r="Y1149" s="238" t="s">
        <v>323</v>
      </c>
      <c r="Z1149" s="238" t="s">
        <v>323</v>
      </c>
      <c r="AA1149" s="238" t="s">
        <v>324</v>
      </c>
      <c r="AB1149" s="244">
        <v>0</v>
      </c>
      <c r="AD1149" s="238"/>
      <c r="AE1149" s="226"/>
      <c r="AF1149" s="238" t="s">
        <v>77</v>
      </c>
      <c r="AG1149" s="238" t="s">
        <v>350</v>
      </c>
      <c r="AH1149" s="245"/>
      <c r="AI1149" s="245"/>
      <c r="AJ1149" s="239">
        <v>0</v>
      </c>
      <c r="AK1149" s="239">
        <v>0</v>
      </c>
      <c r="AL1149" s="239">
        <v>0</v>
      </c>
      <c r="AM1149" s="239">
        <v>0</v>
      </c>
      <c r="AN1149" s="239">
        <v>0</v>
      </c>
      <c r="AO1149" s="239">
        <v>0</v>
      </c>
      <c r="AP1149" s="239">
        <v>0</v>
      </c>
      <c r="AQ1149" s="239">
        <v>0</v>
      </c>
      <c r="AR1149" s="239">
        <v>0</v>
      </c>
      <c r="AS1149" s="239">
        <v>0</v>
      </c>
      <c r="AT1149" s="239">
        <v>208</v>
      </c>
      <c r="AU1149" s="239">
        <v>0</v>
      </c>
      <c r="AV1149" s="239">
        <v>0</v>
      </c>
      <c r="AW1149" s="239">
        <v>0</v>
      </c>
      <c r="AX1149" s="239">
        <v>0</v>
      </c>
      <c r="AY1149" s="239">
        <v>0</v>
      </c>
      <c r="AZ1149" s="239">
        <v>0</v>
      </c>
      <c r="BA1149" s="239">
        <v>208</v>
      </c>
      <c r="BB1149" s="239">
        <v>0</v>
      </c>
      <c r="BC1149" s="239">
        <v>0</v>
      </c>
      <c r="BD1149" s="239">
        <v>0</v>
      </c>
      <c r="BE1149" s="239">
        <v>0</v>
      </c>
      <c r="BF1149" s="239">
        <v>0</v>
      </c>
      <c r="BG1149" s="239">
        <v>0</v>
      </c>
      <c r="BH1149" s="239">
        <v>0</v>
      </c>
      <c r="BI1149" s="239">
        <v>0</v>
      </c>
      <c r="BJ1149" s="239">
        <v>0</v>
      </c>
      <c r="BK1149" s="239">
        <v>0</v>
      </c>
      <c r="BL1149" s="239">
        <v>0</v>
      </c>
      <c r="BM1149" s="239">
        <v>0</v>
      </c>
      <c r="BN1149" s="239">
        <v>0</v>
      </c>
      <c r="BO1149" s="239">
        <v>0</v>
      </c>
      <c r="BP1149" s="238"/>
      <c r="BQ1149" s="238"/>
      <c r="BR1149" s="237" t="s">
        <v>2856</v>
      </c>
      <c r="BS1149" s="238">
        <v>21</v>
      </c>
      <c r="BY1149" s="239">
        <f>M1149/14</f>
        <v>14.857142857142858</v>
      </c>
      <c r="BZ1149" s="239">
        <f>M1149/14</f>
        <v>14.857142857142858</v>
      </c>
      <c r="CA1149" s="239">
        <f>M1149/14</f>
        <v>14.857142857142858</v>
      </c>
      <c r="CB1149" s="239">
        <f>M1149/14</f>
        <v>14.857142857142858</v>
      </c>
      <c r="CC1149" s="239">
        <f>M1149/14</f>
        <v>14.857142857142858</v>
      </c>
      <c r="CD1149" s="239">
        <f>M1149/14</f>
        <v>14.857142857142858</v>
      </c>
      <c r="CE1149" s="239">
        <f>M1149/14</f>
        <v>14.857142857142858</v>
      </c>
      <c r="CF1149" s="239">
        <f>M1149/14</f>
        <v>14.857142857142858</v>
      </c>
      <c r="CG1149" s="239">
        <f>M1149/14</f>
        <v>14.857142857142858</v>
      </c>
      <c r="CH1149" s="239">
        <f>M1149/14</f>
        <v>14.857142857142858</v>
      </c>
      <c r="CI1149" s="239">
        <f>M1149/14</f>
        <v>14.857142857142858</v>
      </c>
      <c r="CJ1149" s="239">
        <f>M1149/14</f>
        <v>14.857142857142858</v>
      </c>
      <c r="CK1149" s="239">
        <f>M1149/14</f>
        <v>14.857142857142858</v>
      </c>
      <c r="CL1149" s="239">
        <f>M1149/14</f>
        <v>14.857142857142858</v>
      </c>
      <c r="CN1149" s="238">
        <f t="shared" si="144"/>
        <v>14.857142857142858</v>
      </c>
      <c r="CO1149" s="238">
        <f t="shared" si="145"/>
        <v>89.142857142857153</v>
      </c>
    </row>
    <row r="1150" spans="1:93" ht="13.95" customHeight="1" x14ac:dyDescent="0.2">
      <c r="A1150" s="238"/>
      <c r="B1150" s="241" t="s">
        <v>2855</v>
      </c>
      <c r="C1150" s="238"/>
      <c r="D1150" s="237"/>
      <c r="E1150" s="237"/>
      <c r="F1150" s="238"/>
      <c r="G1150" s="238"/>
      <c r="H1150" s="237"/>
      <c r="J1150" s="226"/>
      <c r="K1150" s="238">
        <v>0</v>
      </c>
      <c r="L1150" s="238">
        <v>62</v>
      </c>
      <c r="M1150" s="238">
        <v>62</v>
      </c>
      <c r="N1150" s="238">
        <v>0</v>
      </c>
      <c r="O1150" s="238">
        <v>0</v>
      </c>
      <c r="P1150" s="238" t="s">
        <v>318</v>
      </c>
      <c r="Q1150" s="242" t="s">
        <v>2738</v>
      </c>
      <c r="R1150" s="243" t="s">
        <v>2739</v>
      </c>
      <c r="T1150" s="226"/>
      <c r="U1150" s="238"/>
      <c r="V1150" s="238" t="s">
        <v>321</v>
      </c>
      <c r="W1150" s="226"/>
      <c r="X1150" s="238" t="s">
        <v>322</v>
      </c>
      <c r="Y1150" s="238" t="s">
        <v>323</v>
      </c>
      <c r="Z1150" s="238" t="s">
        <v>323</v>
      </c>
      <c r="AA1150" s="238" t="s">
        <v>324</v>
      </c>
      <c r="AB1150" s="244">
        <v>0</v>
      </c>
      <c r="AD1150" s="238"/>
      <c r="AE1150" s="226"/>
      <c r="AF1150" s="238" t="s">
        <v>57</v>
      </c>
      <c r="AG1150" s="238" t="s">
        <v>470</v>
      </c>
      <c r="AH1150" s="245"/>
      <c r="AI1150" s="245"/>
      <c r="AJ1150" s="239">
        <v>0</v>
      </c>
      <c r="AK1150" s="239">
        <v>0</v>
      </c>
      <c r="AL1150" s="239">
        <v>0</v>
      </c>
      <c r="AM1150" s="239">
        <v>0</v>
      </c>
      <c r="AN1150" s="239">
        <v>0</v>
      </c>
      <c r="AO1150" s="239">
        <v>0</v>
      </c>
      <c r="AP1150" s="239">
        <v>0</v>
      </c>
      <c r="AQ1150" s="239">
        <v>0</v>
      </c>
      <c r="AR1150" s="239">
        <v>0</v>
      </c>
      <c r="AS1150" s="239">
        <v>0</v>
      </c>
      <c r="AT1150" s="239">
        <v>62</v>
      </c>
      <c r="AU1150" s="239">
        <v>0</v>
      </c>
      <c r="AV1150" s="239">
        <v>0</v>
      </c>
      <c r="AW1150" s="239">
        <v>0</v>
      </c>
      <c r="AX1150" s="239">
        <v>0</v>
      </c>
      <c r="AY1150" s="239">
        <v>0</v>
      </c>
      <c r="AZ1150" s="239">
        <v>0</v>
      </c>
      <c r="BA1150" s="239">
        <v>62</v>
      </c>
      <c r="BB1150" s="239">
        <v>0</v>
      </c>
      <c r="BC1150" s="239">
        <v>0</v>
      </c>
      <c r="BD1150" s="239">
        <v>0</v>
      </c>
      <c r="BE1150" s="239">
        <v>0</v>
      </c>
      <c r="BF1150" s="239">
        <v>0</v>
      </c>
      <c r="BG1150" s="239">
        <v>0</v>
      </c>
      <c r="BH1150" s="239">
        <v>0</v>
      </c>
      <c r="BI1150" s="239">
        <v>0</v>
      </c>
      <c r="BJ1150" s="239">
        <v>0</v>
      </c>
      <c r="BK1150" s="239">
        <v>0</v>
      </c>
      <c r="BL1150" s="239">
        <v>0</v>
      </c>
      <c r="BM1150" s="239">
        <v>0</v>
      </c>
      <c r="BN1150" s="239">
        <v>0</v>
      </c>
      <c r="BO1150" s="239">
        <v>0</v>
      </c>
      <c r="BP1150" s="238"/>
      <c r="BQ1150" s="238"/>
      <c r="BR1150" s="237" t="s">
        <v>2856</v>
      </c>
      <c r="BS1150" s="238">
        <v>21</v>
      </c>
      <c r="BY1150" s="239">
        <f>M1150/14</f>
        <v>4.4285714285714288</v>
      </c>
      <c r="BZ1150" s="239">
        <f>M1150/14</f>
        <v>4.4285714285714288</v>
      </c>
      <c r="CA1150" s="239">
        <f>M1150/14</f>
        <v>4.4285714285714288</v>
      </c>
      <c r="CB1150" s="239">
        <f>M1150/14</f>
        <v>4.4285714285714288</v>
      </c>
      <c r="CC1150" s="239">
        <f>M1150/14</f>
        <v>4.4285714285714288</v>
      </c>
      <c r="CD1150" s="239">
        <f>M1150/14</f>
        <v>4.4285714285714288</v>
      </c>
      <c r="CE1150" s="239">
        <f>M1150/14</f>
        <v>4.4285714285714288</v>
      </c>
      <c r="CF1150" s="239">
        <f>M1150/14</f>
        <v>4.4285714285714288</v>
      </c>
      <c r="CG1150" s="239">
        <f>M1150/14</f>
        <v>4.4285714285714288</v>
      </c>
      <c r="CH1150" s="239">
        <f>M1150/14</f>
        <v>4.4285714285714288</v>
      </c>
      <c r="CI1150" s="239">
        <f>M1150/14</f>
        <v>4.4285714285714288</v>
      </c>
      <c r="CJ1150" s="239">
        <f>M1150/14</f>
        <v>4.4285714285714288</v>
      </c>
      <c r="CK1150" s="239">
        <f>M1150/14</f>
        <v>4.4285714285714288</v>
      </c>
      <c r="CL1150" s="239">
        <f>M1150/14</f>
        <v>4.4285714285714288</v>
      </c>
      <c r="CN1150" s="238">
        <f t="shared" si="144"/>
        <v>4.4285714285714288</v>
      </c>
      <c r="CO1150" s="238">
        <f t="shared" si="145"/>
        <v>26.571428571428577</v>
      </c>
    </row>
    <row r="1151" spans="1:93" ht="13.95" customHeight="1" x14ac:dyDescent="0.2">
      <c r="A1151" s="238"/>
      <c r="B1151" s="241" t="s">
        <v>2855</v>
      </c>
      <c r="C1151" s="238"/>
      <c r="D1151" s="237"/>
      <c r="E1151" s="237"/>
      <c r="F1151" s="238"/>
      <c r="G1151" s="238"/>
      <c r="H1151" s="237"/>
      <c r="J1151" s="226"/>
      <c r="K1151" s="238">
        <v>0</v>
      </c>
      <c r="L1151" s="238">
        <v>41</v>
      </c>
      <c r="M1151" s="238">
        <v>41</v>
      </c>
      <c r="N1151" s="238">
        <v>0</v>
      </c>
      <c r="O1151" s="238">
        <v>0</v>
      </c>
      <c r="P1151" s="238" t="s">
        <v>318</v>
      </c>
      <c r="Q1151" s="242" t="s">
        <v>2738</v>
      </c>
      <c r="R1151" s="243" t="s">
        <v>2739</v>
      </c>
      <c r="T1151" s="226"/>
      <c r="U1151" s="238"/>
      <c r="V1151" s="238" t="s">
        <v>321</v>
      </c>
      <c r="W1151" s="226"/>
      <c r="X1151" s="238" t="s">
        <v>322</v>
      </c>
      <c r="Y1151" s="238" t="s">
        <v>323</v>
      </c>
      <c r="Z1151" s="238" t="s">
        <v>323</v>
      </c>
      <c r="AA1151" s="238" t="s">
        <v>324</v>
      </c>
      <c r="AB1151" s="244">
        <v>0</v>
      </c>
      <c r="AD1151" s="238"/>
      <c r="AE1151" s="226"/>
      <c r="AF1151" s="238" t="s">
        <v>56</v>
      </c>
      <c r="AG1151" s="238" t="s">
        <v>1355</v>
      </c>
      <c r="AH1151" s="245"/>
      <c r="AI1151" s="245"/>
      <c r="AJ1151" s="239">
        <v>0</v>
      </c>
      <c r="AK1151" s="239">
        <v>0</v>
      </c>
      <c r="AL1151" s="239">
        <v>0</v>
      </c>
      <c r="AM1151" s="239">
        <v>0</v>
      </c>
      <c r="AN1151" s="239">
        <v>0</v>
      </c>
      <c r="AO1151" s="239">
        <v>0</v>
      </c>
      <c r="AP1151" s="239">
        <v>0</v>
      </c>
      <c r="AQ1151" s="239">
        <v>0</v>
      </c>
      <c r="AR1151" s="239">
        <v>0</v>
      </c>
      <c r="AS1151" s="239">
        <v>0</v>
      </c>
      <c r="AT1151" s="239">
        <v>41</v>
      </c>
      <c r="AU1151" s="239">
        <v>0</v>
      </c>
      <c r="AV1151" s="239">
        <v>0</v>
      </c>
      <c r="AW1151" s="239">
        <v>0</v>
      </c>
      <c r="AX1151" s="239">
        <v>0</v>
      </c>
      <c r="AY1151" s="239">
        <v>0</v>
      </c>
      <c r="AZ1151" s="239">
        <v>0</v>
      </c>
      <c r="BA1151" s="239">
        <v>41</v>
      </c>
      <c r="BB1151" s="239">
        <v>0</v>
      </c>
      <c r="BC1151" s="239">
        <v>0</v>
      </c>
      <c r="BD1151" s="239">
        <v>0</v>
      </c>
      <c r="BE1151" s="239">
        <v>0</v>
      </c>
      <c r="BF1151" s="239">
        <v>0</v>
      </c>
      <c r="BG1151" s="239">
        <v>0</v>
      </c>
      <c r="BH1151" s="239">
        <v>0</v>
      </c>
      <c r="BI1151" s="239">
        <v>0</v>
      </c>
      <c r="BJ1151" s="239">
        <v>0</v>
      </c>
      <c r="BK1151" s="239">
        <v>0</v>
      </c>
      <c r="BL1151" s="239">
        <v>0</v>
      </c>
      <c r="BM1151" s="239">
        <v>0</v>
      </c>
      <c r="BN1151" s="239">
        <v>0</v>
      </c>
      <c r="BO1151" s="239">
        <v>0</v>
      </c>
      <c r="BP1151" s="238"/>
      <c r="BQ1151" s="238"/>
      <c r="BR1151" s="237" t="s">
        <v>2856</v>
      </c>
      <c r="BS1151" s="238">
        <v>21</v>
      </c>
      <c r="BY1151" s="239">
        <f>M1151/14</f>
        <v>2.9285714285714284</v>
      </c>
      <c r="BZ1151" s="239">
        <f>M1151/14</f>
        <v>2.9285714285714284</v>
      </c>
      <c r="CA1151" s="239">
        <f>M1151/14</f>
        <v>2.9285714285714284</v>
      </c>
      <c r="CB1151" s="239">
        <f>M1151/14</f>
        <v>2.9285714285714284</v>
      </c>
      <c r="CC1151" s="239">
        <f>M1151/14</f>
        <v>2.9285714285714284</v>
      </c>
      <c r="CD1151" s="239">
        <f>M1151/14</f>
        <v>2.9285714285714284</v>
      </c>
      <c r="CE1151" s="239">
        <f>M1151/14</f>
        <v>2.9285714285714284</v>
      </c>
      <c r="CF1151" s="239">
        <f>M1151/14</f>
        <v>2.9285714285714284</v>
      </c>
      <c r="CG1151" s="239">
        <f>M1151/14</f>
        <v>2.9285714285714284</v>
      </c>
      <c r="CH1151" s="239">
        <f>M1151/14</f>
        <v>2.9285714285714284</v>
      </c>
      <c r="CI1151" s="239">
        <f>M1151/14</f>
        <v>2.9285714285714284</v>
      </c>
      <c r="CJ1151" s="239">
        <f>M1151/14</f>
        <v>2.9285714285714284</v>
      </c>
      <c r="CK1151" s="239">
        <f>M1151/14</f>
        <v>2.9285714285714284</v>
      </c>
      <c r="CL1151" s="239">
        <f>M1151/14</f>
        <v>2.9285714285714284</v>
      </c>
      <c r="CN1151" s="238">
        <f t="shared" si="144"/>
        <v>2.9285714285714284</v>
      </c>
      <c r="CO1151" s="238">
        <f t="shared" si="145"/>
        <v>17.571428571428569</v>
      </c>
    </row>
    <row r="1152" spans="1:93" ht="13.95" customHeight="1" x14ac:dyDescent="0.2">
      <c r="A1152" s="238"/>
      <c r="B1152" s="241" t="s">
        <v>2857</v>
      </c>
      <c r="C1152" s="238"/>
      <c r="D1152" s="237"/>
      <c r="E1152" s="237"/>
      <c r="F1152" s="238"/>
      <c r="G1152" s="238"/>
      <c r="H1152" s="237"/>
      <c r="J1152" s="226"/>
      <c r="K1152" s="238">
        <v>0</v>
      </c>
      <c r="L1152" s="238">
        <v>4788</v>
      </c>
      <c r="M1152" s="238">
        <v>4788</v>
      </c>
      <c r="N1152" s="238">
        <v>0</v>
      </c>
      <c r="O1152" s="238">
        <v>0</v>
      </c>
      <c r="P1152" s="238"/>
      <c r="Q1152" s="242" t="s">
        <v>2738</v>
      </c>
      <c r="R1152" s="238" t="s">
        <v>2739</v>
      </c>
      <c r="T1152" s="226"/>
      <c r="U1152" s="238"/>
      <c r="V1152" s="238" t="s">
        <v>321</v>
      </c>
      <c r="W1152" s="226"/>
      <c r="X1152" s="238" t="s">
        <v>322</v>
      </c>
      <c r="Y1152" s="238" t="s">
        <v>365</v>
      </c>
      <c r="Z1152" s="238" t="s">
        <v>324</v>
      </c>
      <c r="AA1152" s="238" t="s">
        <v>15</v>
      </c>
      <c r="AB1152" s="244">
        <v>0</v>
      </c>
      <c r="AD1152" s="238"/>
      <c r="AE1152" s="226"/>
      <c r="AF1152" s="238" t="s">
        <v>79</v>
      </c>
      <c r="AG1152" s="238" t="s">
        <v>2858</v>
      </c>
      <c r="AH1152" s="238"/>
      <c r="AI1152" s="238"/>
      <c r="AJ1152" s="239">
        <v>0</v>
      </c>
      <c r="AK1152" s="239">
        <v>0</v>
      </c>
      <c r="AL1152" s="239">
        <v>0</v>
      </c>
      <c r="AM1152" s="239">
        <v>0</v>
      </c>
      <c r="AN1152" s="239">
        <v>0</v>
      </c>
      <c r="AO1152" s="239">
        <v>0</v>
      </c>
      <c r="AP1152" s="239">
        <v>0</v>
      </c>
      <c r="AQ1152" s="239">
        <v>0</v>
      </c>
      <c r="AR1152" s="239">
        <v>0</v>
      </c>
      <c r="AS1152" s="239">
        <v>0</v>
      </c>
      <c r="AT1152" s="239">
        <v>5222</v>
      </c>
      <c r="AU1152" s="239">
        <v>0</v>
      </c>
      <c r="AV1152" s="239">
        <v>0</v>
      </c>
      <c r="AW1152" s="239">
        <v>0</v>
      </c>
      <c r="AX1152" s="239">
        <v>0</v>
      </c>
      <c r="AY1152" s="239">
        <v>0</v>
      </c>
      <c r="AZ1152" s="239">
        <v>0</v>
      </c>
      <c r="BA1152" s="239">
        <v>5222</v>
      </c>
      <c r="BB1152" s="239">
        <v>0</v>
      </c>
      <c r="BC1152" s="239">
        <v>0</v>
      </c>
      <c r="BD1152" s="239">
        <v>0</v>
      </c>
      <c r="BE1152" s="239">
        <v>0</v>
      </c>
      <c r="BF1152" s="239">
        <v>0</v>
      </c>
      <c r="BG1152" s="239">
        <v>0</v>
      </c>
      <c r="BH1152" s="239">
        <v>0</v>
      </c>
      <c r="BI1152" s="239">
        <v>0</v>
      </c>
      <c r="BJ1152" s="239">
        <v>0</v>
      </c>
      <c r="BK1152" s="239">
        <v>0</v>
      </c>
      <c r="BL1152" s="239">
        <v>0</v>
      </c>
      <c r="BM1152" s="239">
        <v>0</v>
      </c>
      <c r="BN1152" s="239">
        <v>0</v>
      </c>
      <c r="BO1152" s="239">
        <v>0</v>
      </c>
      <c r="BP1152" s="238"/>
      <c r="BQ1152" s="238"/>
      <c r="BR1152" s="237" t="s">
        <v>2856</v>
      </c>
      <c r="BS1152" s="238">
        <v>22</v>
      </c>
      <c r="BU1152" s="239">
        <v>177</v>
      </c>
      <c r="BV1152" s="239">
        <v>177</v>
      </c>
      <c r="BW1152" s="239">
        <v>177</v>
      </c>
      <c r="BX1152" s="239">
        <v>177</v>
      </c>
      <c r="BY1152" s="239">
        <v>177</v>
      </c>
      <c r="BZ1152" s="239">
        <v>177</v>
      </c>
      <c r="CA1152" s="239">
        <v>414</v>
      </c>
      <c r="CB1152" s="239">
        <v>414</v>
      </c>
      <c r="CC1152" s="239">
        <v>414</v>
      </c>
      <c r="CD1152" s="239">
        <v>414</v>
      </c>
      <c r="CE1152" s="239">
        <v>414</v>
      </c>
      <c r="CF1152" s="239">
        <v>414</v>
      </c>
      <c r="CG1152" s="239">
        <v>414</v>
      </c>
      <c r="CH1152" s="239">
        <v>414</v>
      </c>
      <c r="CI1152" s="239">
        <v>414</v>
      </c>
      <c r="CN1152" s="238">
        <f t="shared" si="144"/>
        <v>885</v>
      </c>
      <c r="CO1152" s="238">
        <f t="shared" si="145"/>
        <v>2718</v>
      </c>
    </row>
    <row r="1153" spans="71:71" ht="12" customHeight="1" x14ac:dyDescent="0.2">
      <c r="BS1153" s="238"/>
    </row>
  </sheetData>
  <autoFilter ref="A1:CO1152" xr:uid="{00000000-0001-0000-0300-000000000000}"/>
  <sortState xmlns:xlrd2="http://schemas.microsoft.com/office/spreadsheetml/2017/richdata2" ref="A2:CO1152">
    <sortCondition ref="B2:B1152"/>
    <sortCondition ref="A2:A1152"/>
    <sortCondition ref="C2:C1152"/>
    <sortCondition ref="E2:E1152"/>
    <sortCondition descending="1" ref="N2:N1152"/>
  </sortState>
  <printOptions horizontalCentered="1"/>
  <pageMargins left="0.39370078740157483" right="0.39370078740157483" top="0.39370078740157483" bottom="0.39370078740157483" header="0.19685039370078741" footer="0.19685039370078741"/>
  <pageSetup paperSize="9" scale="15" fitToHeight="0" orientation="landscape" verticalDpi="1200" r:id="rId1"/>
  <headerFooter alignWithMargins="0">
    <oddHeader>&amp;L&amp;"Calibri"&amp;10&amp;K000000Official&amp;1#</oddHeader>
    <oddFooter>&amp;C&amp;8&amp;P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257F-6985-4C7D-8DAA-1FA7FC467287}">
  <sheetPr>
    <pageSetUpPr fitToPage="1"/>
  </sheetPr>
  <dimension ref="A1:BN34"/>
  <sheetViews>
    <sheetView zoomScale="110" zoomScaleNormal="110" workbookViewId="0">
      <pane ySplit="1" topLeftCell="A2" activePane="bottomLeft" state="frozen"/>
      <selection activeCell="AH1" sqref="AH1"/>
      <selection pane="bottomLeft"/>
    </sheetView>
  </sheetViews>
  <sheetFormatPr defaultColWidth="9.109375" defaultRowHeight="11.4" x14ac:dyDescent="0.2"/>
  <cols>
    <col min="1" max="1" width="5" style="224" customWidth="1"/>
    <col min="2" max="2" width="23.5546875" style="225" customWidth="1"/>
    <col min="3" max="3" width="10" style="224" customWidth="1"/>
    <col min="4" max="4" width="30.33203125" style="225" customWidth="1"/>
    <col min="5" max="5" width="7" style="224" customWidth="1"/>
    <col min="6" max="6" width="7.88671875" style="224" customWidth="1"/>
    <col min="7" max="7" width="15.5546875" style="225" customWidth="1"/>
    <col min="8" max="8" width="11.44140625" style="226" customWidth="1"/>
    <col min="9" max="9" width="9.88671875" style="226" customWidth="1"/>
    <col min="10" max="30" width="10.6640625" style="227" customWidth="1"/>
    <col min="31" max="31" width="45.109375" style="225" customWidth="1"/>
    <col min="32" max="32" width="9.6640625" style="224" customWidth="1"/>
    <col min="33" max="34" width="9.88671875" style="226" customWidth="1"/>
    <col min="35" max="35" width="6.5546875" style="224" customWidth="1"/>
    <col min="36" max="36" width="9.88671875" style="226" customWidth="1"/>
    <col min="37" max="37" width="15" style="226" customWidth="1"/>
    <col min="38" max="38" width="14.33203125" style="226" customWidth="1"/>
    <col min="39" max="39" width="10.6640625" style="224" customWidth="1"/>
    <col min="40" max="40" width="9.109375" style="224" customWidth="1"/>
    <col min="41" max="41" width="11.109375" style="224" customWidth="1"/>
    <col min="42" max="42" width="9.109375" style="224" customWidth="1"/>
    <col min="43" max="43" width="9.33203125" style="224" customWidth="1"/>
    <col min="44" max="44" width="7" style="224" customWidth="1"/>
    <col min="45" max="45" width="11.33203125" style="224" customWidth="1"/>
    <col min="46" max="46" width="8.88671875" style="228" customWidth="1"/>
    <col min="47" max="63" width="9.109375" style="228"/>
    <col min="64" max="64" width="9.109375" style="228" customWidth="1"/>
    <col min="65" max="66" width="9.109375" style="228"/>
    <col min="67" max="16384" width="9.109375" style="225"/>
  </cols>
  <sheetData>
    <row r="1" spans="1:66" s="211" customFormat="1" ht="60" x14ac:dyDescent="0.25">
      <c r="A1" s="211" t="s">
        <v>242</v>
      </c>
      <c r="B1" s="211" t="s">
        <v>76</v>
      </c>
      <c r="C1" s="211" t="s">
        <v>243</v>
      </c>
      <c r="D1" s="211" t="s">
        <v>244</v>
      </c>
      <c r="E1" s="211" t="s">
        <v>246</v>
      </c>
      <c r="F1" s="211" t="s">
        <v>247</v>
      </c>
      <c r="G1" s="211" t="s">
        <v>161</v>
      </c>
      <c r="H1" s="212" t="s">
        <v>249</v>
      </c>
      <c r="I1" s="212" t="s">
        <v>250</v>
      </c>
      <c r="J1" s="211" t="s">
        <v>2859</v>
      </c>
      <c r="K1" s="211" t="s">
        <v>2860</v>
      </c>
      <c r="L1" s="211" t="s">
        <v>2861</v>
      </c>
      <c r="M1" s="211" t="s">
        <v>2862</v>
      </c>
      <c r="N1" s="211" t="s">
        <v>2863</v>
      </c>
      <c r="O1" s="211" t="s">
        <v>2864</v>
      </c>
      <c r="P1" s="211" t="s">
        <v>2865</v>
      </c>
      <c r="Q1" s="211" t="s">
        <v>2866</v>
      </c>
      <c r="R1" s="211" t="s">
        <v>2867</v>
      </c>
      <c r="S1" s="211" t="s">
        <v>2868</v>
      </c>
      <c r="T1" s="211" t="s">
        <v>2869</v>
      </c>
      <c r="U1" s="211" t="s">
        <v>2870</v>
      </c>
      <c r="V1" s="211" t="s">
        <v>2871</v>
      </c>
      <c r="W1" s="211" t="s">
        <v>2872</v>
      </c>
      <c r="X1" s="211" t="s">
        <v>2873</v>
      </c>
      <c r="Y1" s="211" t="s">
        <v>2874</v>
      </c>
      <c r="Z1" s="211" t="s">
        <v>2875</v>
      </c>
      <c r="AA1" s="211" t="s">
        <v>2876</v>
      </c>
      <c r="AB1" s="211" t="s">
        <v>2877</v>
      </c>
      <c r="AC1" s="211" t="s">
        <v>2878</v>
      </c>
      <c r="AD1" s="211" t="s">
        <v>2879</v>
      </c>
      <c r="AE1" s="211" t="s">
        <v>257</v>
      </c>
      <c r="AF1" s="211" t="s">
        <v>258</v>
      </c>
      <c r="AG1" s="212" t="s">
        <v>259</v>
      </c>
      <c r="AH1" s="212" t="s">
        <v>260</v>
      </c>
      <c r="AI1" s="211" t="s">
        <v>262</v>
      </c>
      <c r="AJ1" s="212" t="s">
        <v>263</v>
      </c>
      <c r="AK1" s="212" t="s">
        <v>2880</v>
      </c>
      <c r="AL1" s="212" t="s">
        <v>2881</v>
      </c>
      <c r="AM1" s="211" t="s">
        <v>45</v>
      </c>
      <c r="AN1" s="211" t="s">
        <v>271</v>
      </c>
      <c r="AO1" s="211" t="s">
        <v>272</v>
      </c>
      <c r="AP1" s="211" t="s">
        <v>273</v>
      </c>
      <c r="AQ1" s="211" t="s">
        <v>2882</v>
      </c>
      <c r="AR1" s="211" t="s">
        <v>2883</v>
      </c>
      <c r="AS1" s="211" t="s">
        <v>307</v>
      </c>
      <c r="AT1" s="251" t="s">
        <v>11</v>
      </c>
      <c r="AU1" s="213" t="s">
        <v>218</v>
      </c>
      <c r="AV1" s="213" t="s">
        <v>219</v>
      </c>
      <c r="AW1" s="213" t="s">
        <v>220</v>
      </c>
      <c r="AX1" s="213" t="s">
        <v>221</v>
      </c>
      <c r="AY1" s="213" t="s">
        <v>222</v>
      </c>
      <c r="AZ1" s="213" t="s">
        <v>223</v>
      </c>
      <c r="BA1" s="213" t="s">
        <v>224</v>
      </c>
      <c r="BB1" s="213" t="s">
        <v>225</v>
      </c>
      <c r="BC1" s="213" t="s">
        <v>226</v>
      </c>
      <c r="BD1" s="213" t="s">
        <v>227</v>
      </c>
      <c r="BE1" s="213" t="s">
        <v>228</v>
      </c>
      <c r="BF1" s="213" t="s">
        <v>229</v>
      </c>
      <c r="BG1" s="213" t="s">
        <v>230</v>
      </c>
      <c r="BH1" s="213" t="s">
        <v>231</v>
      </c>
      <c r="BI1" s="213" t="s">
        <v>232</v>
      </c>
      <c r="BJ1" s="213" t="s">
        <v>308</v>
      </c>
      <c r="BK1" s="213" t="s">
        <v>309</v>
      </c>
      <c r="BL1" s="213" t="s">
        <v>310</v>
      </c>
      <c r="BM1" s="213" t="s">
        <v>312</v>
      </c>
      <c r="BN1" s="213" t="s">
        <v>313</v>
      </c>
    </row>
    <row r="2" spans="1:66" s="221" customFormat="1" x14ac:dyDescent="0.2">
      <c r="A2" s="219">
        <v>6827</v>
      </c>
      <c r="B2" s="221" t="s">
        <v>314</v>
      </c>
      <c r="C2" s="221" t="s">
        <v>2884</v>
      </c>
      <c r="D2" s="221" t="s">
        <v>2885</v>
      </c>
      <c r="E2" s="221">
        <v>528519</v>
      </c>
      <c r="F2" s="221">
        <v>170963</v>
      </c>
      <c r="G2" s="221" t="s">
        <v>166</v>
      </c>
      <c r="H2" s="222">
        <v>44287</v>
      </c>
      <c r="I2" s="222">
        <v>44775</v>
      </c>
      <c r="J2" s="220">
        <v>0</v>
      </c>
      <c r="K2" s="220">
        <v>0</v>
      </c>
      <c r="L2" s="220">
        <v>0</v>
      </c>
      <c r="M2" s="184">
        <f t="shared" ref="M2:M33" si="0">L2/1.8</f>
        <v>0</v>
      </c>
      <c r="N2" s="220">
        <v>0</v>
      </c>
      <c r="O2" s="220">
        <v>0</v>
      </c>
      <c r="P2" s="220">
        <v>0</v>
      </c>
      <c r="Q2" s="184">
        <f t="shared" ref="Q2:Q33" si="1">P2</f>
        <v>0</v>
      </c>
      <c r="R2" s="220">
        <v>0</v>
      </c>
      <c r="S2" s="220">
        <v>0</v>
      </c>
      <c r="T2" s="220">
        <v>0</v>
      </c>
      <c r="U2" s="184">
        <f t="shared" ref="U2:U33" si="2">T2/1.8</f>
        <v>0</v>
      </c>
      <c r="V2" s="220">
        <v>0</v>
      </c>
      <c r="W2" s="220">
        <v>41</v>
      </c>
      <c r="X2" s="220">
        <v>41</v>
      </c>
      <c r="Y2" s="184">
        <f t="shared" ref="Y2:Y33" si="3">X2/2.5</f>
        <v>16.399999999999999</v>
      </c>
      <c r="Z2" s="220">
        <v>0</v>
      </c>
      <c r="AA2" s="220">
        <v>0</v>
      </c>
      <c r="AB2" s="220">
        <v>0</v>
      </c>
      <c r="AC2" s="184">
        <f t="shared" ref="AC2:AC33" si="4">AB2/1.8</f>
        <v>0</v>
      </c>
      <c r="AD2" s="184">
        <v>16</v>
      </c>
      <c r="AE2" s="221" t="s">
        <v>2886</v>
      </c>
      <c r="AF2" s="219" t="s">
        <v>332</v>
      </c>
      <c r="AG2" s="222">
        <v>44026</v>
      </c>
      <c r="AH2" s="222">
        <v>44187</v>
      </c>
      <c r="AI2" s="219" t="s">
        <v>321</v>
      </c>
      <c r="AK2" s="222">
        <v>44287</v>
      </c>
      <c r="AL2" s="222">
        <v>44775</v>
      </c>
      <c r="AM2" s="214" t="s">
        <v>2887</v>
      </c>
      <c r="AN2" s="219" t="s">
        <v>656</v>
      </c>
      <c r="AO2" s="219" t="s">
        <v>317</v>
      </c>
      <c r="AP2" s="219"/>
      <c r="AQ2" s="219"/>
      <c r="AR2" s="219" t="s">
        <v>317</v>
      </c>
      <c r="AS2" s="220">
        <v>1</v>
      </c>
      <c r="AT2" s="220">
        <f t="shared" ref="AT2:AT10" si="5">AD2</f>
        <v>16</v>
      </c>
      <c r="AU2" s="220"/>
      <c r="AV2" s="220"/>
      <c r="AW2" s="220"/>
      <c r="AX2" s="220"/>
      <c r="AY2" s="220"/>
      <c r="AZ2" s="220"/>
      <c r="BA2" s="220"/>
      <c r="BB2" s="220"/>
      <c r="BC2" s="220"/>
      <c r="BD2" s="220"/>
      <c r="BE2" s="220"/>
      <c r="BF2" s="220"/>
      <c r="BG2" s="220"/>
      <c r="BH2" s="220"/>
      <c r="BI2" s="220"/>
      <c r="BJ2" s="220"/>
      <c r="BK2" s="220"/>
      <c r="BL2" s="220"/>
      <c r="BM2" s="220">
        <f t="shared" ref="BM2:BM33" si="6">SUM(AU2:AY2)</f>
        <v>0</v>
      </c>
      <c r="BN2" s="220">
        <f t="shared" ref="BN2:BN33" si="7">SUM(AU2:BD2)</f>
        <v>0</v>
      </c>
    </row>
    <row r="3" spans="1:66" s="221" customFormat="1" x14ac:dyDescent="0.2">
      <c r="A3" s="214">
        <v>2589</v>
      </c>
      <c r="B3" s="215" t="s">
        <v>314</v>
      </c>
      <c r="C3" s="215" t="s">
        <v>784</v>
      </c>
      <c r="D3" s="215" t="s">
        <v>785</v>
      </c>
      <c r="E3" s="216">
        <v>528730</v>
      </c>
      <c r="F3" s="216">
        <v>176714</v>
      </c>
      <c r="G3" s="215" t="s">
        <v>171</v>
      </c>
      <c r="H3" s="217">
        <v>44314</v>
      </c>
      <c r="I3" s="217">
        <v>44725</v>
      </c>
      <c r="J3" s="184">
        <v>0</v>
      </c>
      <c r="K3" s="184">
        <v>0</v>
      </c>
      <c r="L3" s="184">
        <v>0</v>
      </c>
      <c r="M3" s="184">
        <f t="shared" si="0"/>
        <v>0</v>
      </c>
      <c r="N3" s="184">
        <v>0</v>
      </c>
      <c r="O3" s="184">
        <v>0</v>
      </c>
      <c r="P3" s="184">
        <v>0</v>
      </c>
      <c r="Q3" s="184">
        <f t="shared" si="1"/>
        <v>0</v>
      </c>
      <c r="R3" s="184">
        <v>0</v>
      </c>
      <c r="S3" s="184">
        <v>0</v>
      </c>
      <c r="T3" s="184">
        <v>0</v>
      </c>
      <c r="U3" s="184">
        <f t="shared" si="2"/>
        <v>0</v>
      </c>
      <c r="V3" s="184">
        <v>0</v>
      </c>
      <c r="W3" s="184">
        <v>0</v>
      </c>
      <c r="X3" s="184">
        <v>0</v>
      </c>
      <c r="Y3" s="184">
        <f t="shared" si="3"/>
        <v>0</v>
      </c>
      <c r="Z3" s="184">
        <v>0</v>
      </c>
      <c r="AA3" s="184">
        <v>7</v>
      </c>
      <c r="AB3" s="184">
        <v>7</v>
      </c>
      <c r="AC3" s="184">
        <f t="shared" si="4"/>
        <v>3.8888888888888888</v>
      </c>
      <c r="AD3" s="184">
        <v>4</v>
      </c>
      <c r="AE3" s="215" t="s">
        <v>786</v>
      </c>
      <c r="AF3" s="214" t="s">
        <v>332</v>
      </c>
      <c r="AG3" s="217">
        <v>44266</v>
      </c>
      <c r="AH3" s="217">
        <v>44314</v>
      </c>
      <c r="AI3" s="214" t="s">
        <v>321</v>
      </c>
      <c r="AJ3" s="216"/>
      <c r="AK3" s="217">
        <v>44314</v>
      </c>
      <c r="AL3" s="217">
        <v>44725</v>
      </c>
      <c r="AM3" s="214" t="s">
        <v>77</v>
      </c>
      <c r="AN3" s="214" t="s">
        <v>340</v>
      </c>
      <c r="AO3" s="214" t="s">
        <v>317</v>
      </c>
      <c r="AP3" s="219"/>
      <c r="AQ3" s="214"/>
      <c r="AR3" s="214" t="s">
        <v>317</v>
      </c>
      <c r="AS3" s="220">
        <v>1</v>
      </c>
      <c r="AT3" s="220">
        <f t="shared" si="5"/>
        <v>4</v>
      </c>
      <c r="AU3" s="220"/>
      <c r="AV3" s="220"/>
      <c r="AW3" s="220"/>
      <c r="AX3" s="220"/>
      <c r="AY3" s="220"/>
      <c r="AZ3" s="220"/>
      <c r="BA3" s="220"/>
      <c r="BB3" s="220"/>
      <c r="BC3" s="220"/>
      <c r="BD3" s="220"/>
      <c r="BE3" s="220"/>
      <c r="BF3" s="220"/>
      <c r="BG3" s="220"/>
      <c r="BH3" s="220"/>
      <c r="BI3" s="220"/>
      <c r="BJ3" s="220"/>
      <c r="BK3" s="220"/>
      <c r="BL3" s="220"/>
      <c r="BM3" s="220">
        <f t="shared" si="6"/>
        <v>0</v>
      </c>
      <c r="BN3" s="220">
        <f t="shared" si="7"/>
        <v>0</v>
      </c>
    </row>
    <row r="4" spans="1:66" s="221" customFormat="1" x14ac:dyDescent="0.2">
      <c r="A4" s="219">
        <v>7204</v>
      </c>
      <c r="B4" s="221" t="s">
        <v>314</v>
      </c>
      <c r="C4" s="221" t="s">
        <v>372</v>
      </c>
      <c r="D4" s="221" t="s">
        <v>373</v>
      </c>
      <c r="E4" s="221">
        <v>528657</v>
      </c>
      <c r="F4" s="221">
        <v>172323</v>
      </c>
      <c r="G4" s="221" t="s">
        <v>172</v>
      </c>
      <c r="H4" s="222">
        <v>43921</v>
      </c>
      <c r="I4" s="222">
        <v>44790</v>
      </c>
      <c r="J4" s="220">
        <v>0</v>
      </c>
      <c r="K4" s="220">
        <v>0</v>
      </c>
      <c r="L4" s="220">
        <v>0</v>
      </c>
      <c r="M4" s="184">
        <f t="shared" si="0"/>
        <v>0</v>
      </c>
      <c r="N4" s="220">
        <v>0</v>
      </c>
      <c r="O4" s="220">
        <v>0</v>
      </c>
      <c r="P4" s="220">
        <v>0</v>
      </c>
      <c r="Q4" s="184">
        <f t="shared" si="1"/>
        <v>0</v>
      </c>
      <c r="R4" s="220">
        <v>0</v>
      </c>
      <c r="S4" s="220">
        <v>0</v>
      </c>
      <c r="T4" s="220">
        <v>0</v>
      </c>
      <c r="U4" s="184">
        <f t="shared" si="2"/>
        <v>0</v>
      </c>
      <c r="V4" s="220">
        <v>0</v>
      </c>
      <c r="W4" s="220">
        <v>0</v>
      </c>
      <c r="X4" s="220">
        <v>0</v>
      </c>
      <c r="Y4" s="184">
        <f t="shared" si="3"/>
        <v>0</v>
      </c>
      <c r="Z4" s="220">
        <v>12</v>
      </c>
      <c r="AA4" s="220">
        <v>0</v>
      </c>
      <c r="AB4" s="220">
        <v>-12</v>
      </c>
      <c r="AC4" s="184">
        <f t="shared" si="4"/>
        <v>-6.6666666666666661</v>
      </c>
      <c r="AD4" s="184">
        <v>-7</v>
      </c>
      <c r="AE4" s="221" t="s">
        <v>374</v>
      </c>
      <c r="AF4" s="219" t="s">
        <v>332</v>
      </c>
      <c r="AG4" s="222">
        <v>43665</v>
      </c>
      <c r="AH4" s="222">
        <v>43726</v>
      </c>
      <c r="AI4" s="219" t="s">
        <v>321</v>
      </c>
      <c r="AK4" s="222">
        <v>43921</v>
      </c>
      <c r="AL4" s="222">
        <v>44790</v>
      </c>
      <c r="AM4" s="214" t="s">
        <v>77</v>
      </c>
      <c r="AN4" s="219" t="s">
        <v>350</v>
      </c>
      <c r="AO4" s="219" t="s">
        <v>317</v>
      </c>
      <c r="AP4" s="219"/>
      <c r="AQ4" s="219"/>
      <c r="AR4" s="219" t="s">
        <v>317</v>
      </c>
      <c r="AS4" s="220">
        <v>1</v>
      </c>
      <c r="AT4" s="220">
        <f t="shared" si="5"/>
        <v>-7</v>
      </c>
      <c r="AU4" s="220"/>
      <c r="AV4" s="220"/>
      <c r="AW4" s="220"/>
      <c r="AX4" s="220"/>
      <c r="AY4" s="220"/>
      <c r="AZ4" s="220"/>
      <c r="BA4" s="220"/>
      <c r="BB4" s="220"/>
      <c r="BC4" s="220"/>
      <c r="BD4" s="220"/>
      <c r="BE4" s="220"/>
      <c r="BF4" s="220"/>
      <c r="BG4" s="220"/>
      <c r="BH4" s="220"/>
      <c r="BI4" s="220"/>
      <c r="BJ4" s="220"/>
      <c r="BK4" s="220"/>
      <c r="BL4" s="220"/>
      <c r="BM4" s="220">
        <f t="shared" si="6"/>
        <v>0</v>
      </c>
      <c r="BN4" s="220">
        <f t="shared" si="7"/>
        <v>0</v>
      </c>
    </row>
    <row r="5" spans="1:66" s="221" customFormat="1" x14ac:dyDescent="0.2">
      <c r="A5" s="214">
        <v>2502</v>
      </c>
      <c r="B5" s="215" t="s">
        <v>314</v>
      </c>
      <c r="C5" s="215" t="s">
        <v>2888</v>
      </c>
      <c r="D5" s="215" t="s">
        <v>829</v>
      </c>
      <c r="E5" s="216">
        <v>527221</v>
      </c>
      <c r="F5" s="216">
        <v>172443</v>
      </c>
      <c r="G5" s="215" t="s">
        <v>180</v>
      </c>
      <c r="H5" s="217">
        <v>44292</v>
      </c>
      <c r="I5" s="217">
        <v>44985</v>
      </c>
      <c r="J5" s="184">
        <v>0</v>
      </c>
      <c r="K5" s="184">
        <v>0</v>
      </c>
      <c r="L5" s="184">
        <v>0</v>
      </c>
      <c r="M5" s="184">
        <f t="shared" si="0"/>
        <v>0</v>
      </c>
      <c r="N5" s="184">
        <v>0</v>
      </c>
      <c r="O5" s="184">
        <v>64</v>
      </c>
      <c r="P5" s="184">
        <v>64</v>
      </c>
      <c r="Q5" s="184">
        <f t="shared" si="1"/>
        <v>64</v>
      </c>
      <c r="R5" s="184">
        <v>0</v>
      </c>
      <c r="S5" s="184">
        <v>0</v>
      </c>
      <c r="T5" s="184">
        <v>0</v>
      </c>
      <c r="U5" s="184">
        <f t="shared" si="2"/>
        <v>0</v>
      </c>
      <c r="V5" s="184">
        <v>0</v>
      </c>
      <c r="W5" s="184">
        <v>0</v>
      </c>
      <c r="X5" s="184">
        <v>0</v>
      </c>
      <c r="Y5" s="184">
        <f t="shared" si="3"/>
        <v>0</v>
      </c>
      <c r="Z5" s="184">
        <v>0</v>
      </c>
      <c r="AA5" s="184">
        <v>0</v>
      </c>
      <c r="AB5" s="184">
        <v>0</v>
      </c>
      <c r="AC5" s="184">
        <f t="shared" si="4"/>
        <v>0</v>
      </c>
      <c r="AD5" s="184">
        <v>64</v>
      </c>
      <c r="AE5" s="215" t="s">
        <v>2889</v>
      </c>
      <c r="AF5" s="214" t="s">
        <v>517</v>
      </c>
      <c r="AG5" s="217">
        <v>43643</v>
      </c>
      <c r="AH5" s="217">
        <v>43889</v>
      </c>
      <c r="AI5" s="214" t="s">
        <v>321</v>
      </c>
      <c r="AJ5" s="216"/>
      <c r="AK5" s="217">
        <v>44292</v>
      </c>
      <c r="AL5" s="217">
        <v>44985</v>
      </c>
      <c r="AM5" s="214" t="s">
        <v>77</v>
      </c>
      <c r="AN5" s="214" t="s">
        <v>350</v>
      </c>
      <c r="AO5" s="214" t="s">
        <v>832</v>
      </c>
      <c r="AP5" s="219"/>
      <c r="AQ5" s="214" t="s">
        <v>318</v>
      </c>
      <c r="AR5" s="214" t="s">
        <v>2890</v>
      </c>
      <c r="AS5" s="220">
        <v>1</v>
      </c>
      <c r="AT5" s="220">
        <f t="shared" si="5"/>
        <v>64</v>
      </c>
      <c r="AU5" s="220"/>
      <c r="AV5" s="220"/>
      <c r="AW5" s="220"/>
      <c r="AX5" s="220"/>
      <c r="AY5" s="220"/>
      <c r="AZ5" s="220"/>
      <c r="BA5" s="220"/>
      <c r="BB5" s="220"/>
      <c r="BC5" s="220"/>
      <c r="BD5" s="220"/>
      <c r="BE5" s="220"/>
      <c r="BF5" s="220"/>
      <c r="BG5" s="220"/>
      <c r="BH5" s="220"/>
      <c r="BI5" s="220"/>
      <c r="BJ5" s="220"/>
      <c r="BK5" s="220"/>
      <c r="BL5" s="220"/>
      <c r="BM5" s="220">
        <f t="shared" si="6"/>
        <v>0</v>
      </c>
      <c r="BN5" s="220">
        <f t="shared" si="7"/>
        <v>0</v>
      </c>
    </row>
    <row r="6" spans="1:66" s="221" customFormat="1" x14ac:dyDescent="0.2">
      <c r="A6" s="219">
        <v>4486</v>
      </c>
      <c r="B6" s="221" t="s">
        <v>314</v>
      </c>
      <c r="C6" s="221" t="s">
        <v>2891</v>
      </c>
      <c r="D6" s="221" t="s">
        <v>2892</v>
      </c>
      <c r="E6" s="221">
        <v>525900</v>
      </c>
      <c r="F6" s="221">
        <v>172713</v>
      </c>
      <c r="G6" s="215" t="s">
        <v>180</v>
      </c>
      <c r="H6" s="222">
        <v>44146</v>
      </c>
      <c r="I6" s="222">
        <v>44861</v>
      </c>
      <c r="J6" s="220">
        <v>0</v>
      </c>
      <c r="K6" s="220">
        <v>206</v>
      </c>
      <c r="L6" s="220">
        <v>206</v>
      </c>
      <c r="M6" s="184">
        <f t="shared" si="0"/>
        <v>114.44444444444444</v>
      </c>
      <c r="N6" s="220">
        <v>0</v>
      </c>
      <c r="O6" s="220">
        <v>0</v>
      </c>
      <c r="P6" s="220">
        <v>0</v>
      </c>
      <c r="Q6" s="184">
        <f t="shared" si="1"/>
        <v>0</v>
      </c>
      <c r="R6" s="220">
        <v>0</v>
      </c>
      <c r="S6" s="220">
        <v>0</v>
      </c>
      <c r="T6" s="220">
        <v>0</v>
      </c>
      <c r="U6" s="184">
        <f t="shared" si="2"/>
        <v>0</v>
      </c>
      <c r="V6" s="220">
        <v>0</v>
      </c>
      <c r="W6" s="220">
        <v>0</v>
      </c>
      <c r="X6" s="220">
        <v>0</v>
      </c>
      <c r="Y6" s="184">
        <f t="shared" si="3"/>
        <v>0</v>
      </c>
      <c r="Z6" s="220">
        <v>0</v>
      </c>
      <c r="AA6" s="220">
        <v>0</v>
      </c>
      <c r="AB6" s="220">
        <v>0</v>
      </c>
      <c r="AC6" s="184">
        <f t="shared" si="4"/>
        <v>0</v>
      </c>
      <c r="AD6" s="184">
        <v>114</v>
      </c>
      <c r="AE6" s="221" t="s">
        <v>2893</v>
      </c>
      <c r="AF6" s="219" t="s">
        <v>469</v>
      </c>
      <c r="AG6" s="222">
        <v>44279</v>
      </c>
      <c r="AH6" s="222">
        <v>44301</v>
      </c>
      <c r="AI6" s="219" t="s">
        <v>321</v>
      </c>
      <c r="AK6" s="222">
        <v>44146</v>
      </c>
      <c r="AL6" s="222">
        <v>44861</v>
      </c>
      <c r="AM6" s="214" t="s">
        <v>77</v>
      </c>
      <c r="AN6" s="219" t="s">
        <v>350</v>
      </c>
      <c r="AO6" s="219" t="s">
        <v>317</v>
      </c>
      <c r="AP6" s="219"/>
      <c r="AQ6" s="219"/>
      <c r="AR6" s="219" t="s">
        <v>317</v>
      </c>
      <c r="AS6" s="220">
        <v>1</v>
      </c>
      <c r="AT6" s="220">
        <f t="shared" si="5"/>
        <v>114</v>
      </c>
      <c r="AU6" s="220"/>
      <c r="AV6" s="220"/>
      <c r="AW6" s="220"/>
      <c r="AX6" s="220"/>
      <c r="AY6" s="220"/>
      <c r="AZ6" s="220"/>
      <c r="BA6" s="220"/>
      <c r="BB6" s="220"/>
      <c r="BC6" s="220"/>
      <c r="BD6" s="220"/>
      <c r="BE6" s="220"/>
      <c r="BF6" s="220"/>
      <c r="BG6" s="220"/>
      <c r="BH6" s="220"/>
      <c r="BI6" s="220"/>
      <c r="BJ6" s="220"/>
      <c r="BK6" s="220"/>
      <c r="BL6" s="220"/>
      <c r="BM6" s="220">
        <f t="shared" si="6"/>
        <v>0</v>
      </c>
      <c r="BN6" s="220">
        <f t="shared" si="7"/>
        <v>0</v>
      </c>
    </row>
    <row r="7" spans="1:66" s="221" customFormat="1" x14ac:dyDescent="0.2">
      <c r="A7" s="219">
        <v>4486</v>
      </c>
      <c r="B7" s="221" t="s">
        <v>314</v>
      </c>
      <c r="C7" s="221" t="s">
        <v>2891</v>
      </c>
      <c r="D7" s="221" t="s">
        <v>2892</v>
      </c>
      <c r="E7" s="221">
        <v>525900</v>
      </c>
      <c r="F7" s="221">
        <v>172713</v>
      </c>
      <c r="G7" s="215" t="s">
        <v>180</v>
      </c>
      <c r="H7" s="222">
        <v>44146</v>
      </c>
      <c r="I7" s="222">
        <v>44861</v>
      </c>
      <c r="J7" s="220">
        <v>0</v>
      </c>
      <c r="K7" s="220">
        <v>109</v>
      </c>
      <c r="L7" s="220">
        <v>109</v>
      </c>
      <c r="M7" s="184">
        <f>L7/1.8</f>
        <v>60.555555555555557</v>
      </c>
      <c r="N7" s="220">
        <v>0</v>
      </c>
      <c r="O7" s="220">
        <v>0</v>
      </c>
      <c r="P7" s="220">
        <v>0</v>
      </c>
      <c r="Q7" s="184">
        <f>P7</f>
        <v>0</v>
      </c>
      <c r="R7" s="220">
        <v>0</v>
      </c>
      <c r="S7" s="220">
        <v>0</v>
      </c>
      <c r="T7" s="220">
        <v>0</v>
      </c>
      <c r="U7" s="184">
        <f>T7/1.8</f>
        <v>0</v>
      </c>
      <c r="V7" s="220">
        <v>0</v>
      </c>
      <c r="W7" s="220">
        <v>0</v>
      </c>
      <c r="X7" s="220">
        <v>0</v>
      </c>
      <c r="Y7" s="184">
        <f>X7/2.5</f>
        <v>0</v>
      </c>
      <c r="Z7" s="220">
        <v>0</v>
      </c>
      <c r="AA7" s="220">
        <v>0</v>
      </c>
      <c r="AB7" s="220">
        <v>0</v>
      </c>
      <c r="AC7" s="184">
        <f>AB7/1.8</f>
        <v>0</v>
      </c>
      <c r="AD7" s="184">
        <v>61</v>
      </c>
      <c r="AE7" s="221" t="s">
        <v>2893</v>
      </c>
      <c r="AF7" s="219" t="s">
        <v>469</v>
      </c>
      <c r="AG7" s="222">
        <v>44279</v>
      </c>
      <c r="AH7" s="222">
        <v>44301</v>
      </c>
      <c r="AI7" s="219" t="s">
        <v>321</v>
      </c>
      <c r="AK7" s="222">
        <v>44146</v>
      </c>
      <c r="AL7" s="222">
        <v>44861</v>
      </c>
      <c r="AM7" s="214" t="s">
        <v>78</v>
      </c>
      <c r="AN7" s="219" t="s">
        <v>898</v>
      </c>
      <c r="AO7" s="219" t="s">
        <v>317</v>
      </c>
      <c r="AP7" s="219"/>
      <c r="AQ7" s="219"/>
      <c r="AR7" s="219" t="s">
        <v>317</v>
      </c>
      <c r="AS7" s="220">
        <v>1</v>
      </c>
      <c r="AT7" s="220">
        <f>AD7</f>
        <v>61</v>
      </c>
      <c r="AU7" s="220"/>
      <c r="AV7" s="220"/>
      <c r="AW7" s="220"/>
      <c r="AX7" s="220"/>
      <c r="AY7" s="220"/>
      <c r="AZ7" s="220"/>
      <c r="BA7" s="220"/>
      <c r="BB7" s="220"/>
      <c r="BC7" s="220"/>
      <c r="BD7" s="220"/>
      <c r="BE7" s="220"/>
      <c r="BF7" s="220"/>
      <c r="BG7" s="220"/>
      <c r="BH7" s="220"/>
      <c r="BI7" s="220"/>
      <c r="BJ7" s="220"/>
      <c r="BK7" s="220"/>
      <c r="BL7" s="220"/>
      <c r="BM7" s="220">
        <f>SUM(AU7:AY7)</f>
        <v>0</v>
      </c>
      <c r="BN7" s="220">
        <f>SUM(AU7:BD7)</f>
        <v>0</v>
      </c>
    </row>
    <row r="8" spans="1:66" s="221" customFormat="1" x14ac:dyDescent="0.2">
      <c r="A8" s="214">
        <v>1</v>
      </c>
      <c r="B8" s="215" t="s">
        <v>314</v>
      </c>
      <c r="C8" s="215" t="s">
        <v>2894</v>
      </c>
      <c r="D8" s="215" t="s">
        <v>2895</v>
      </c>
      <c r="E8" s="216">
        <v>524424</v>
      </c>
      <c r="F8" s="216">
        <v>173204</v>
      </c>
      <c r="G8" s="215" t="s">
        <v>182</v>
      </c>
      <c r="H8" s="217">
        <v>44587</v>
      </c>
      <c r="I8" s="217">
        <v>44918</v>
      </c>
      <c r="J8" s="184">
        <v>0</v>
      </c>
      <c r="K8" s="184">
        <v>2</v>
      </c>
      <c r="L8" s="184">
        <v>2</v>
      </c>
      <c r="M8" s="184">
        <f t="shared" si="0"/>
        <v>1.1111111111111112</v>
      </c>
      <c r="N8" s="184">
        <v>0</v>
      </c>
      <c r="O8" s="184">
        <v>0</v>
      </c>
      <c r="P8" s="184">
        <v>0</v>
      </c>
      <c r="Q8" s="184">
        <f t="shared" si="1"/>
        <v>0</v>
      </c>
      <c r="R8" s="184">
        <v>0</v>
      </c>
      <c r="S8" s="184">
        <v>0</v>
      </c>
      <c r="T8" s="184">
        <v>0</v>
      </c>
      <c r="U8" s="184">
        <f t="shared" si="2"/>
        <v>0</v>
      </c>
      <c r="V8" s="184">
        <v>0</v>
      </c>
      <c r="W8" s="184">
        <v>0</v>
      </c>
      <c r="X8" s="184">
        <v>0</v>
      </c>
      <c r="Y8" s="184">
        <f t="shared" si="3"/>
        <v>0</v>
      </c>
      <c r="Z8" s="184">
        <v>0</v>
      </c>
      <c r="AA8" s="184">
        <v>0</v>
      </c>
      <c r="AB8" s="184">
        <v>0</v>
      </c>
      <c r="AC8" s="184">
        <f t="shared" si="4"/>
        <v>0</v>
      </c>
      <c r="AD8" s="184">
        <v>1</v>
      </c>
      <c r="AE8" s="215" t="s">
        <v>2896</v>
      </c>
      <c r="AF8" s="214" t="s">
        <v>332</v>
      </c>
      <c r="AG8" s="217">
        <v>44742</v>
      </c>
      <c r="AH8" s="217">
        <v>44798</v>
      </c>
      <c r="AI8" s="214" t="s">
        <v>321</v>
      </c>
      <c r="AJ8" s="218"/>
      <c r="AK8" s="217">
        <v>44587</v>
      </c>
      <c r="AL8" s="217">
        <v>44918</v>
      </c>
      <c r="AM8" s="214" t="s">
        <v>77</v>
      </c>
      <c r="AN8" s="214" t="s">
        <v>350</v>
      </c>
      <c r="AO8" s="214" t="s">
        <v>317</v>
      </c>
      <c r="AP8" s="219"/>
      <c r="AQ8" s="214"/>
      <c r="AR8" s="214" t="s">
        <v>317</v>
      </c>
      <c r="AS8" s="220">
        <v>1</v>
      </c>
      <c r="AT8" s="220">
        <f t="shared" si="5"/>
        <v>1</v>
      </c>
      <c r="AU8" s="220"/>
      <c r="AV8" s="220"/>
      <c r="AW8" s="220"/>
      <c r="AX8" s="220"/>
      <c r="AY8" s="220"/>
      <c r="AZ8" s="220"/>
      <c r="BA8" s="220"/>
      <c r="BB8" s="220"/>
      <c r="BC8" s="220"/>
      <c r="BD8" s="220"/>
      <c r="BE8" s="220"/>
      <c r="BF8" s="220"/>
      <c r="BG8" s="220"/>
      <c r="BH8" s="220"/>
      <c r="BI8" s="220"/>
      <c r="BJ8" s="220"/>
      <c r="BK8" s="220"/>
      <c r="BL8" s="220"/>
      <c r="BM8" s="220">
        <f t="shared" si="6"/>
        <v>0</v>
      </c>
      <c r="BN8" s="220">
        <f t="shared" si="7"/>
        <v>0</v>
      </c>
    </row>
    <row r="9" spans="1:66" s="221" customFormat="1" x14ac:dyDescent="0.2">
      <c r="A9" s="214">
        <v>1</v>
      </c>
      <c r="B9" s="215" t="s">
        <v>314</v>
      </c>
      <c r="C9" s="215" t="s">
        <v>2897</v>
      </c>
      <c r="D9" s="215" t="s">
        <v>2895</v>
      </c>
      <c r="E9" s="216">
        <v>524424</v>
      </c>
      <c r="F9" s="216">
        <v>173204</v>
      </c>
      <c r="G9" s="215" t="s">
        <v>182</v>
      </c>
      <c r="H9" s="217">
        <v>44587</v>
      </c>
      <c r="I9" s="217">
        <v>44918</v>
      </c>
      <c r="J9" s="184">
        <v>0</v>
      </c>
      <c r="K9" s="184">
        <v>11</v>
      </c>
      <c r="L9" s="184">
        <v>11</v>
      </c>
      <c r="M9" s="184">
        <f t="shared" si="0"/>
        <v>6.1111111111111107</v>
      </c>
      <c r="N9" s="184">
        <v>0</v>
      </c>
      <c r="O9" s="184">
        <v>0</v>
      </c>
      <c r="P9" s="184">
        <v>0</v>
      </c>
      <c r="Q9" s="184">
        <f t="shared" si="1"/>
        <v>0</v>
      </c>
      <c r="R9" s="184">
        <v>0</v>
      </c>
      <c r="S9" s="184">
        <v>0</v>
      </c>
      <c r="T9" s="184">
        <v>0</v>
      </c>
      <c r="U9" s="184">
        <f t="shared" si="2"/>
        <v>0</v>
      </c>
      <c r="V9" s="184">
        <v>0</v>
      </c>
      <c r="W9" s="184">
        <v>0</v>
      </c>
      <c r="X9" s="184">
        <v>0</v>
      </c>
      <c r="Y9" s="184">
        <f t="shared" si="3"/>
        <v>0</v>
      </c>
      <c r="Z9" s="184">
        <v>0</v>
      </c>
      <c r="AA9" s="184">
        <v>0</v>
      </c>
      <c r="AB9" s="184">
        <v>0</v>
      </c>
      <c r="AC9" s="184">
        <f t="shared" si="4"/>
        <v>0</v>
      </c>
      <c r="AD9" s="184">
        <v>6</v>
      </c>
      <c r="AE9" s="215" t="s">
        <v>2898</v>
      </c>
      <c r="AF9" s="214" t="s">
        <v>332</v>
      </c>
      <c r="AG9" s="217">
        <v>44491</v>
      </c>
      <c r="AH9" s="217">
        <v>44572</v>
      </c>
      <c r="AI9" s="214" t="s">
        <v>321</v>
      </c>
      <c r="AJ9" s="216"/>
      <c r="AK9" s="217">
        <v>44587</v>
      </c>
      <c r="AL9" s="217">
        <v>44918</v>
      </c>
      <c r="AM9" s="214" t="s">
        <v>77</v>
      </c>
      <c r="AN9" s="214" t="s">
        <v>350</v>
      </c>
      <c r="AO9" s="214" t="s">
        <v>317</v>
      </c>
      <c r="AP9" s="219"/>
      <c r="AQ9" s="214"/>
      <c r="AR9" s="214" t="s">
        <v>317</v>
      </c>
      <c r="AS9" s="220">
        <v>1</v>
      </c>
      <c r="AT9" s="220">
        <f t="shared" si="5"/>
        <v>6</v>
      </c>
      <c r="AU9" s="220"/>
      <c r="AV9" s="220"/>
      <c r="AW9" s="220"/>
      <c r="AX9" s="220"/>
      <c r="AY9" s="220"/>
      <c r="AZ9" s="220"/>
      <c r="BA9" s="220"/>
      <c r="BB9" s="220"/>
      <c r="BC9" s="220"/>
      <c r="BD9" s="220"/>
      <c r="BE9" s="220"/>
      <c r="BF9" s="220"/>
      <c r="BG9" s="220"/>
      <c r="BH9" s="220"/>
      <c r="BI9" s="220"/>
      <c r="BJ9" s="220"/>
      <c r="BK9" s="220"/>
      <c r="BL9" s="220"/>
      <c r="BM9" s="220">
        <f t="shared" si="6"/>
        <v>0</v>
      </c>
      <c r="BN9" s="220">
        <f t="shared" si="7"/>
        <v>0</v>
      </c>
    </row>
    <row r="10" spans="1:66" s="221" customFormat="1" x14ac:dyDescent="0.2">
      <c r="A10" s="214">
        <v>1</v>
      </c>
      <c r="B10" s="215" t="s">
        <v>314</v>
      </c>
      <c r="C10" s="215" t="s">
        <v>2899</v>
      </c>
      <c r="D10" s="215" t="s">
        <v>2895</v>
      </c>
      <c r="E10" s="216">
        <v>524424</v>
      </c>
      <c r="F10" s="216">
        <v>173204</v>
      </c>
      <c r="G10" s="215" t="s">
        <v>182</v>
      </c>
      <c r="H10" s="217">
        <v>44500</v>
      </c>
      <c r="I10" s="217">
        <v>44918</v>
      </c>
      <c r="J10" s="184">
        <v>62</v>
      </c>
      <c r="K10" s="184">
        <v>73</v>
      </c>
      <c r="L10" s="184">
        <v>11</v>
      </c>
      <c r="M10" s="184">
        <f t="shared" si="0"/>
        <v>6.1111111111111107</v>
      </c>
      <c r="N10" s="184">
        <v>0</v>
      </c>
      <c r="O10" s="184">
        <v>0</v>
      </c>
      <c r="P10" s="184">
        <v>0</v>
      </c>
      <c r="Q10" s="184">
        <f t="shared" si="1"/>
        <v>0</v>
      </c>
      <c r="R10" s="184">
        <v>0</v>
      </c>
      <c r="S10" s="184">
        <v>0</v>
      </c>
      <c r="T10" s="184">
        <v>0</v>
      </c>
      <c r="U10" s="184">
        <f t="shared" si="2"/>
        <v>0</v>
      </c>
      <c r="V10" s="184">
        <v>0</v>
      </c>
      <c r="W10" s="184">
        <v>0</v>
      </c>
      <c r="X10" s="184">
        <v>0</v>
      </c>
      <c r="Y10" s="184">
        <f t="shared" si="3"/>
        <v>0</v>
      </c>
      <c r="Z10" s="184">
        <v>0</v>
      </c>
      <c r="AA10" s="184">
        <v>0</v>
      </c>
      <c r="AB10" s="184">
        <v>0</v>
      </c>
      <c r="AC10" s="184">
        <f t="shared" si="4"/>
        <v>0</v>
      </c>
      <c r="AD10" s="184">
        <v>6</v>
      </c>
      <c r="AE10" s="215" t="s">
        <v>2900</v>
      </c>
      <c r="AF10" s="214" t="s">
        <v>673</v>
      </c>
      <c r="AG10" s="217">
        <v>44447</v>
      </c>
      <c r="AH10" s="217">
        <v>44488</v>
      </c>
      <c r="AI10" s="214" t="s">
        <v>321</v>
      </c>
      <c r="AJ10" s="216"/>
      <c r="AK10" s="217">
        <v>44500</v>
      </c>
      <c r="AL10" s="217">
        <v>44918</v>
      </c>
      <c r="AM10" s="214" t="s">
        <v>77</v>
      </c>
      <c r="AN10" s="214" t="s">
        <v>350</v>
      </c>
      <c r="AO10" s="214" t="s">
        <v>317</v>
      </c>
      <c r="AP10" s="219"/>
      <c r="AQ10" s="214"/>
      <c r="AR10" s="214" t="s">
        <v>317</v>
      </c>
      <c r="AS10" s="220">
        <v>1</v>
      </c>
      <c r="AT10" s="220">
        <f t="shared" si="5"/>
        <v>6</v>
      </c>
      <c r="AU10" s="220"/>
      <c r="AV10" s="220"/>
      <c r="AW10" s="220"/>
      <c r="AX10" s="220"/>
      <c r="AY10" s="220"/>
      <c r="AZ10" s="220"/>
      <c r="BA10" s="220"/>
      <c r="BB10" s="220"/>
      <c r="BC10" s="220"/>
      <c r="BD10" s="220"/>
      <c r="BE10" s="220"/>
      <c r="BF10" s="220"/>
      <c r="BG10" s="220"/>
      <c r="BH10" s="220"/>
      <c r="BI10" s="220"/>
      <c r="BJ10" s="220"/>
      <c r="BK10" s="220"/>
      <c r="BL10" s="220"/>
      <c r="BM10" s="220">
        <f t="shared" si="6"/>
        <v>0</v>
      </c>
      <c r="BN10" s="220">
        <f t="shared" si="7"/>
        <v>0</v>
      </c>
    </row>
    <row r="11" spans="1:66" s="221" customFormat="1" x14ac:dyDescent="0.2">
      <c r="A11" s="219">
        <v>7775</v>
      </c>
      <c r="B11" s="221" t="s">
        <v>848</v>
      </c>
      <c r="C11" s="221" t="s">
        <v>2901</v>
      </c>
      <c r="D11" s="221" t="s">
        <v>2902</v>
      </c>
      <c r="E11" s="221">
        <v>527859</v>
      </c>
      <c r="F11" s="221">
        <v>176519</v>
      </c>
      <c r="G11" s="221" t="s">
        <v>163</v>
      </c>
      <c r="H11" s="222">
        <v>43555</v>
      </c>
      <c r="I11" s="222"/>
      <c r="J11" s="220">
        <v>0</v>
      </c>
      <c r="K11" s="220">
        <v>213</v>
      </c>
      <c r="L11" s="220">
        <v>213</v>
      </c>
      <c r="M11" s="184">
        <f t="shared" si="0"/>
        <v>118.33333333333333</v>
      </c>
      <c r="N11" s="220">
        <v>0</v>
      </c>
      <c r="O11" s="220">
        <v>0</v>
      </c>
      <c r="P11" s="220">
        <v>0</v>
      </c>
      <c r="Q11" s="184">
        <f t="shared" si="1"/>
        <v>0</v>
      </c>
      <c r="R11" s="220">
        <v>0</v>
      </c>
      <c r="S11" s="220">
        <v>0</v>
      </c>
      <c r="T11" s="220">
        <v>0</v>
      </c>
      <c r="U11" s="184">
        <f t="shared" si="2"/>
        <v>0</v>
      </c>
      <c r="V11" s="220">
        <v>0</v>
      </c>
      <c r="W11" s="220">
        <v>0</v>
      </c>
      <c r="X11" s="220">
        <v>0</v>
      </c>
      <c r="Y11" s="184">
        <f t="shared" si="3"/>
        <v>0</v>
      </c>
      <c r="Z11" s="220">
        <v>0</v>
      </c>
      <c r="AA11" s="220">
        <v>0</v>
      </c>
      <c r="AB11" s="220">
        <v>0</v>
      </c>
      <c r="AC11" s="184">
        <f t="shared" si="4"/>
        <v>0</v>
      </c>
      <c r="AD11" s="184">
        <f t="shared" ref="AD11:AD33" si="8">M11+Q11+U11+Y11+AC11</f>
        <v>118.33333333333333</v>
      </c>
      <c r="AE11" s="221" t="s">
        <v>2903</v>
      </c>
      <c r="AF11" s="219" t="s">
        <v>320</v>
      </c>
      <c r="AG11" s="222">
        <v>44501</v>
      </c>
      <c r="AH11" s="222">
        <v>44799</v>
      </c>
      <c r="AI11" s="219" t="s">
        <v>321</v>
      </c>
      <c r="AK11" s="222">
        <v>43555</v>
      </c>
      <c r="AL11" s="222"/>
      <c r="AM11" s="214" t="s">
        <v>77</v>
      </c>
      <c r="AN11" s="219" t="s">
        <v>350</v>
      </c>
      <c r="AO11" s="219" t="s">
        <v>317</v>
      </c>
      <c r="AP11" s="219"/>
      <c r="AQ11" s="214" t="s">
        <v>318</v>
      </c>
      <c r="AR11" s="219" t="s">
        <v>2904</v>
      </c>
      <c r="AS11" s="220">
        <v>5</v>
      </c>
      <c r="AT11" s="220"/>
      <c r="AU11" s="220"/>
      <c r="AV11" s="220">
        <f>AD11/4</f>
        <v>29.583333333333332</v>
      </c>
      <c r="AW11" s="220">
        <f>AD11/4</f>
        <v>29.583333333333332</v>
      </c>
      <c r="AX11" s="220">
        <f>AD11/4</f>
        <v>29.583333333333332</v>
      </c>
      <c r="AY11" s="220">
        <f>AD11/4</f>
        <v>29.583333333333332</v>
      </c>
      <c r="AZ11" s="220"/>
      <c r="BA11" s="220"/>
      <c r="BB11" s="220"/>
      <c r="BC11" s="220"/>
      <c r="BD11" s="220"/>
      <c r="BE11" s="220"/>
      <c r="BF11" s="220"/>
      <c r="BG11" s="220"/>
      <c r="BH11" s="220"/>
      <c r="BI11" s="220"/>
      <c r="BJ11" s="220"/>
      <c r="BK11" s="220"/>
      <c r="BL11" s="220"/>
      <c r="BM11" s="220">
        <f t="shared" si="6"/>
        <v>118.33333333333333</v>
      </c>
      <c r="BN11" s="220">
        <f t="shared" si="7"/>
        <v>118.33333333333333</v>
      </c>
    </row>
    <row r="12" spans="1:66" s="221" customFormat="1" x14ac:dyDescent="0.2">
      <c r="A12" s="219">
        <v>6478</v>
      </c>
      <c r="B12" s="221" t="s">
        <v>848</v>
      </c>
      <c r="C12" s="221" t="s">
        <v>2905</v>
      </c>
      <c r="D12" s="221" t="s">
        <v>2906</v>
      </c>
      <c r="E12" s="221">
        <v>528953</v>
      </c>
      <c r="F12" s="221">
        <v>177092</v>
      </c>
      <c r="G12" s="221" t="s">
        <v>171</v>
      </c>
      <c r="H12" s="222">
        <v>44348</v>
      </c>
      <c r="I12" s="222"/>
      <c r="J12" s="220">
        <v>0</v>
      </c>
      <c r="K12" s="220">
        <v>0</v>
      </c>
      <c r="L12" s="220">
        <v>0</v>
      </c>
      <c r="M12" s="184">
        <f t="shared" si="0"/>
        <v>0</v>
      </c>
      <c r="N12" s="220">
        <v>0</v>
      </c>
      <c r="O12" s="220">
        <v>0</v>
      </c>
      <c r="P12" s="220">
        <v>0</v>
      </c>
      <c r="Q12" s="184">
        <f t="shared" si="1"/>
        <v>0</v>
      </c>
      <c r="R12" s="220">
        <v>0</v>
      </c>
      <c r="S12" s="220">
        <v>0</v>
      </c>
      <c r="T12" s="220">
        <v>0</v>
      </c>
      <c r="U12" s="184">
        <f t="shared" si="2"/>
        <v>0</v>
      </c>
      <c r="V12" s="220">
        <v>0</v>
      </c>
      <c r="W12" s="220">
        <v>852</v>
      </c>
      <c r="X12" s="220">
        <v>852</v>
      </c>
      <c r="Y12" s="184">
        <f t="shared" si="3"/>
        <v>340.8</v>
      </c>
      <c r="Z12" s="220">
        <v>0</v>
      </c>
      <c r="AA12" s="220">
        <v>0</v>
      </c>
      <c r="AB12" s="220">
        <v>0</v>
      </c>
      <c r="AC12" s="184">
        <f t="shared" si="4"/>
        <v>0</v>
      </c>
      <c r="AD12" s="184">
        <f t="shared" si="8"/>
        <v>340.8</v>
      </c>
      <c r="AE12" s="221" t="s">
        <v>2907</v>
      </c>
      <c r="AF12" s="219" t="s">
        <v>469</v>
      </c>
      <c r="AG12" s="222">
        <v>44538</v>
      </c>
      <c r="AH12" s="222">
        <v>44617</v>
      </c>
      <c r="AI12" s="219" t="s">
        <v>321</v>
      </c>
      <c r="AK12" s="222">
        <v>44348</v>
      </c>
      <c r="AL12" s="222"/>
      <c r="AM12" s="214" t="s">
        <v>77</v>
      </c>
      <c r="AN12" s="219" t="s">
        <v>340</v>
      </c>
      <c r="AO12" s="219" t="s">
        <v>317</v>
      </c>
      <c r="AP12" s="219"/>
      <c r="AQ12" s="219"/>
      <c r="AR12" s="219" t="s">
        <v>317</v>
      </c>
      <c r="AS12" s="220">
        <v>4</v>
      </c>
      <c r="AT12" s="220"/>
      <c r="AU12" s="220"/>
      <c r="AV12" s="220">
        <f>AD12</f>
        <v>340.8</v>
      </c>
      <c r="AW12" s="220"/>
      <c r="AX12" s="220"/>
      <c r="AY12" s="220"/>
      <c r="AZ12" s="220"/>
      <c r="BA12" s="220"/>
      <c r="BB12" s="220"/>
      <c r="BC12" s="220"/>
      <c r="BD12" s="220"/>
      <c r="BE12" s="220"/>
      <c r="BF12" s="220"/>
      <c r="BG12" s="220"/>
      <c r="BH12" s="220"/>
      <c r="BI12" s="220"/>
      <c r="BJ12" s="220"/>
      <c r="BK12" s="220"/>
      <c r="BL12" s="220"/>
      <c r="BM12" s="220">
        <f t="shared" si="6"/>
        <v>340.8</v>
      </c>
      <c r="BN12" s="220">
        <f t="shared" si="7"/>
        <v>340.8</v>
      </c>
    </row>
    <row r="13" spans="1:66" s="221" customFormat="1" x14ac:dyDescent="0.2">
      <c r="A13" s="219">
        <v>7321</v>
      </c>
      <c r="B13" s="221" t="s">
        <v>848</v>
      </c>
      <c r="C13" s="221" t="s">
        <v>2908</v>
      </c>
      <c r="D13" s="221" t="s">
        <v>2909</v>
      </c>
      <c r="E13" s="221">
        <v>526389</v>
      </c>
      <c r="F13" s="221">
        <v>175612</v>
      </c>
      <c r="G13" s="221" t="s">
        <v>174</v>
      </c>
      <c r="H13" s="222">
        <v>44364</v>
      </c>
      <c r="I13" s="222"/>
      <c r="J13" s="220">
        <v>0</v>
      </c>
      <c r="K13" s="220">
        <v>239</v>
      </c>
      <c r="L13" s="220">
        <v>239</v>
      </c>
      <c r="M13" s="184">
        <f t="shared" si="0"/>
        <v>132.77777777777777</v>
      </c>
      <c r="N13" s="220">
        <v>0</v>
      </c>
      <c r="O13" s="220">
        <v>0</v>
      </c>
      <c r="P13" s="220">
        <v>0</v>
      </c>
      <c r="Q13" s="184">
        <f t="shared" si="1"/>
        <v>0</v>
      </c>
      <c r="R13" s="220">
        <v>0</v>
      </c>
      <c r="S13" s="220">
        <v>0</v>
      </c>
      <c r="T13" s="220">
        <v>0</v>
      </c>
      <c r="U13" s="184">
        <f t="shared" si="2"/>
        <v>0</v>
      </c>
      <c r="V13" s="220">
        <v>0</v>
      </c>
      <c r="W13" s="220">
        <v>0</v>
      </c>
      <c r="X13" s="220">
        <v>0</v>
      </c>
      <c r="Y13" s="184">
        <f t="shared" si="3"/>
        <v>0</v>
      </c>
      <c r="Z13" s="220">
        <v>0</v>
      </c>
      <c r="AA13" s="220">
        <v>0</v>
      </c>
      <c r="AB13" s="220">
        <v>0</v>
      </c>
      <c r="AC13" s="184">
        <f t="shared" si="4"/>
        <v>0</v>
      </c>
      <c r="AD13" s="184">
        <f t="shared" si="8"/>
        <v>132.77777777777777</v>
      </c>
      <c r="AE13" s="221" t="s">
        <v>2910</v>
      </c>
      <c r="AF13" s="219" t="s">
        <v>320</v>
      </c>
      <c r="AG13" s="222">
        <v>44176</v>
      </c>
      <c r="AH13" s="222">
        <v>44398</v>
      </c>
      <c r="AI13" s="219" t="s">
        <v>321</v>
      </c>
      <c r="AK13" s="222">
        <v>44364</v>
      </c>
      <c r="AL13" s="222"/>
      <c r="AM13" s="214" t="s">
        <v>79</v>
      </c>
      <c r="AN13" s="219" t="s">
        <v>1240</v>
      </c>
      <c r="AO13" s="219" t="s">
        <v>2911</v>
      </c>
      <c r="AP13" s="219"/>
      <c r="AQ13" s="214" t="s">
        <v>318</v>
      </c>
      <c r="AR13" s="219" t="s">
        <v>2904</v>
      </c>
      <c r="AS13" s="220">
        <v>5</v>
      </c>
      <c r="AT13" s="220"/>
      <c r="AU13" s="220"/>
      <c r="AV13" s="220">
        <f>AD13/4</f>
        <v>33.194444444444443</v>
      </c>
      <c r="AW13" s="220">
        <f>AD13/4</f>
        <v>33.194444444444443</v>
      </c>
      <c r="AX13" s="220">
        <f>AD13/4</f>
        <v>33.194444444444443</v>
      </c>
      <c r="AY13" s="220">
        <f>AD13/4</f>
        <v>33.194444444444443</v>
      </c>
      <c r="AZ13" s="220"/>
      <c r="BA13" s="220"/>
      <c r="BB13" s="220"/>
      <c r="BC13" s="220"/>
      <c r="BD13" s="220"/>
      <c r="BE13" s="220"/>
      <c r="BF13" s="220"/>
      <c r="BG13" s="220"/>
      <c r="BH13" s="220"/>
      <c r="BI13" s="220"/>
      <c r="BJ13" s="220"/>
      <c r="BK13" s="220"/>
      <c r="BL13" s="220"/>
      <c r="BM13" s="220">
        <f t="shared" si="6"/>
        <v>132.77777777777777</v>
      </c>
      <c r="BN13" s="220">
        <f t="shared" si="7"/>
        <v>132.77777777777777</v>
      </c>
    </row>
    <row r="14" spans="1:66" s="221" customFormat="1" x14ac:dyDescent="0.2">
      <c r="A14" s="219">
        <v>7235</v>
      </c>
      <c r="B14" s="221" t="s">
        <v>848</v>
      </c>
      <c r="C14" s="221" t="s">
        <v>1274</v>
      </c>
      <c r="D14" s="221" t="s">
        <v>1275</v>
      </c>
      <c r="E14" s="221">
        <v>524049</v>
      </c>
      <c r="F14" s="221">
        <v>175301</v>
      </c>
      <c r="G14" s="221" t="s">
        <v>175</v>
      </c>
      <c r="H14" s="222">
        <v>44578</v>
      </c>
      <c r="I14" s="222"/>
      <c r="J14" s="220">
        <v>0</v>
      </c>
      <c r="K14" s="220">
        <v>0</v>
      </c>
      <c r="L14" s="220">
        <v>0</v>
      </c>
      <c r="M14" s="184">
        <f t="shared" si="0"/>
        <v>0</v>
      </c>
      <c r="N14" s="220">
        <v>0</v>
      </c>
      <c r="O14" s="220">
        <v>0</v>
      </c>
      <c r="P14" s="220">
        <v>0</v>
      </c>
      <c r="Q14" s="184">
        <f t="shared" si="1"/>
        <v>0</v>
      </c>
      <c r="R14" s="220">
        <v>0</v>
      </c>
      <c r="S14" s="220">
        <v>0</v>
      </c>
      <c r="T14" s="220">
        <v>0</v>
      </c>
      <c r="U14" s="184">
        <f t="shared" si="2"/>
        <v>0</v>
      </c>
      <c r="V14" s="220">
        <v>0</v>
      </c>
      <c r="W14" s="220">
        <v>0</v>
      </c>
      <c r="X14" s="220">
        <v>0</v>
      </c>
      <c r="Y14" s="184">
        <f t="shared" si="3"/>
        <v>0</v>
      </c>
      <c r="Z14" s="220">
        <v>0</v>
      </c>
      <c r="AA14" s="220">
        <v>16</v>
      </c>
      <c r="AB14" s="220">
        <v>16</v>
      </c>
      <c r="AC14" s="184">
        <f t="shared" si="4"/>
        <v>8.8888888888888893</v>
      </c>
      <c r="AD14" s="184">
        <f t="shared" si="8"/>
        <v>8.8888888888888893</v>
      </c>
      <c r="AE14" s="221" t="s">
        <v>1276</v>
      </c>
      <c r="AF14" s="219" t="s">
        <v>332</v>
      </c>
      <c r="AG14" s="222">
        <v>43698</v>
      </c>
      <c r="AH14" s="222">
        <v>43754</v>
      </c>
      <c r="AI14" s="219" t="s">
        <v>321</v>
      </c>
      <c r="AK14" s="222">
        <v>44578</v>
      </c>
      <c r="AL14" s="222"/>
      <c r="AM14" s="214" t="s">
        <v>77</v>
      </c>
      <c r="AN14" s="219" t="s">
        <v>350</v>
      </c>
      <c r="AO14" s="219" t="s">
        <v>317</v>
      </c>
      <c r="AP14" s="219"/>
      <c r="AQ14" s="219"/>
      <c r="AR14" s="219" t="s">
        <v>317</v>
      </c>
      <c r="AS14" s="220">
        <v>2</v>
      </c>
      <c r="AT14" s="220"/>
      <c r="AU14" s="220">
        <f>AD14</f>
        <v>8.8888888888888893</v>
      </c>
      <c r="AV14" s="220"/>
      <c r="AW14" s="220"/>
      <c r="AX14" s="220"/>
      <c r="AY14" s="220"/>
      <c r="AZ14" s="220"/>
      <c r="BA14" s="220"/>
      <c r="BB14" s="220"/>
      <c r="BC14" s="220"/>
      <c r="BD14" s="220"/>
      <c r="BE14" s="220"/>
      <c r="BF14" s="220"/>
      <c r="BG14" s="220"/>
      <c r="BH14" s="220"/>
      <c r="BI14" s="220"/>
      <c r="BJ14" s="220"/>
      <c r="BK14" s="220"/>
      <c r="BL14" s="220"/>
      <c r="BM14" s="220">
        <f t="shared" si="6"/>
        <v>8.8888888888888893</v>
      </c>
      <c r="BN14" s="220">
        <f t="shared" si="7"/>
        <v>8.8888888888888893</v>
      </c>
    </row>
    <row r="15" spans="1:66" s="221" customFormat="1" x14ac:dyDescent="0.2">
      <c r="A15" s="219">
        <v>4257</v>
      </c>
      <c r="B15" s="221" t="s">
        <v>848</v>
      </c>
      <c r="C15" s="221" t="s">
        <v>1271</v>
      </c>
      <c r="D15" s="221" t="s">
        <v>1272</v>
      </c>
      <c r="E15" s="221">
        <v>527846</v>
      </c>
      <c r="F15" s="221">
        <v>172221</v>
      </c>
      <c r="G15" s="221" t="s">
        <v>176</v>
      </c>
      <c r="H15" s="222">
        <v>44651</v>
      </c>
      <c r="I15" s="222"/>
      <c r="J15" s="220">
        <v>0</v>
      </c>
      <c r="K15" s="220">
        <v>0</v>
      </c>
      <c r="L15" s="220">
        <v>0</v>
      </c>
      <c r="M15" s="184">
        <f t="shared" si="0"/>
        <v>0</v>
      </c>
      <c r="N15" s="220">
        <v>0</v>
      </c>
      <c r="O15" s="220">
        <v>0</v>
      </c>
      <c r="P15" s="220">
        <v>0</v>
      </c>
      <c r="Q15" s="184">
        <f t="shared" si="1"/>
        <v>0</v>
      </c>
      <c r="R15" s="220">
        <v>0</v>
      </c>
      <c r="S15" s="220">
        <v>0</v>
      </c>
      <c r="T15" s="220">
        <v>0</v>
      </c>
      <c r="U15" s="184">
        <f t="shared" si="2"/>
        <v>0</v>
      </c>
      <c r="V15" s="220">
        <v>0</v>
      </c>
      <c r="W15" s="220">
        <v>0</v>
      </c>
      <c r="X15" s="220">
        <v>0</v>
      </c>
      <c r="Y15" s="184">
        <f t="shared" si="3"/>
        <v>0</v>
      </c>
      <c r="Z15" s="220">
        <v>0</v>
      </c>
      <c r="AA15" s="220">
        <v>13</v>
      </c>
      <c r="AB15" s="220">
        <v>13</v>
      </c>
      <c r="AC15" s="184">
        <f t="shared" si="4"/>
        <v>7.2222222222222223</v>
      </c>
      <c r="AD15" s="184">
        <f t="shared" si="8"/>
        <v>7.2222222222222223</v>
      </c>
      <c r="AE15" s="221" t="s">
        <v>1273</v>
      </c>
      <c r="AF15" s="219" t="s">
        <v>332</v>
      </c>
      <c r="AG15" s="222">
        <v>44477</v>
      </c>
      <c r="AH15" s="222">
        <v>44595</v>
      </c>
      <c r="AI15" s="219" t="s">
        <v>321</v>
      </c>
      <c r="AK15" s="222">
        <v>44651</v>
      </c>
      <c r="AL15" s="222"/>
      <c r="AM15" s="214" t="s">
        <v>77</v>
      </c>
      <c r="AN15" s="219" t="s">
        <v>340</v>
      </c>
      <c r="AO15" s="219" t="s">
        <v>317</v>
      </c>
      <c r="AP15" s="219"/>
      <c r="AQ15" s="219"/>
      <c r="AR15" s="219" t="s">
        <v>317</v>
      </c>
      <c r="AS15" s="220">
        <v>2</v>
      </c>
      <c r="AT15" s="220"/>
      <c r="AU15" s="220">
        <f>AD15</f>
        <v>7.2222222222222223</v>
      </c>
      <c r="AV15" s="220"/>
      <c r="AW15" s="220"/>
      <c r="AX15" s="220"/>
      <c r="AY15" s="220"/>
      <c r="AZ15" s="220"/>
      <c r="BA15" s="220"/>
      <c r="BB15" s="220"/>
      <c r="BC15" s="220"/>
      <c r="BD15" s="220"/>
      <c r="BE15" s="220"/>
      <c r="BF15" s="220"/>
      <c r="BG15" s="220"/>
      <c r="BH15" s="220"/>
      <c r="BI15" s="220"/>
      <c r="BJ15" s="220"/>
      <c r="BK15" s="220"/>
      <c r="BL15" s="220"/>
      <c r="BM15" s="220">
        <f t="shared" si="6"/>
        <v>7.2222222222222223</v>
      </c>
      <c r="BN15" s="220">
        <f t="shared" si="7"/>
        <v>7.2222222222222223</v>
      </c>
    </row>
    <row r="16" spans="1:66" s="221" customFormat="1" x14ac:dyDescent="0.2">
      <c r="A16" s="219">
        <v>6657</v>
      </c>
      <c r="B16" s="221" t="s">
        <v>848</v>
      </c>
      <c r="C16" s="221" t="s">
        <v>804</v>
      </c>
      <c r="D16" s="221" t="s">
        <v>805</v>
      </c>
      <c r="E16" s="221">
        <v>525999</v>
      </c>
      <c r="F16" s="221">
        <v>173647</v>
      </c>
      <c r="G16" s="221" t="s">
        <v>179</v>
      </c>
      <c r="H16" s="222">
        <v>44581</v>
      </c>
      <c r="I16" s="222"/>
      <c r="J16" s="220">
        <v>0</v>
      </c>
      <c r="K16" s="220">
        <v>0</v>
      </c>
      <c r="L16" s="220">
        <v>0</v>
      </c>
      <c r="M16" s="184">
        <f t="shared" si="0"/>
        <v>0</v>
      </c>
      <c r="N16" s="220">
        <v>37</v>
      </c>
      <c r="O16" s="220">
        <v>0</v>
      </c>
      <c r="P16" s="220">
        <v>-37</v>
      </c>
      <c r="Q16" s="184">
        <f t="shared" si="1"/>
        <v>-37</v>
      </c>
      <c r="R16" s="220">
        <v>0</v>
      </c>
      <c r="S16" s="220">
        <v>0</v>
      </c>
      <c r="T16" s="220">
        <v>0</v>
      </c>
      <c r="U16" s="184">
        <f t="shared" si="2"/>
        <v>0</v>
      </c>
      <c r="V16" s="220">
        <v>0</v>
      </c>
      <c r="W16" s="220">
        <v>0</v>
      </c>
      <c r="X16" s="220">
        <v>0</v>
      </c>
      <c r="Y16" s="184">
        <f t="shared" si="3"/>
        <v>0</v>
      </c>
      <c r="Z16" s="220">
        <v>0</v>
      </c>
      <c r="AA16" s="220">
        <v>0</v>
      </c>
      <c r="AB16" s="220">
        <v>0</v>
      </c>
      <c r="AC16" s="184">
        <f t="shared" si="4"/>
        <v>0</v>
      </c>
      <c r="AD16" s="184">
        <f t="shared" si="8"/>
        <v>-37</v>
      </c>
      <c r="AE16" s="221" t="s">
        <v>807</v>
      </c>
      <c r="AF16" s="219" t="s">
        <v>655</v>
      </c>
      <c r="AG16" s="222">
        <v>44260</v>
      </c>
      <c r="AH16" s="222">
        <v>44396</v>
      </c>
      <c r="AI16" s="219" t="s">
        <v>321</v>
      </c>
      <c r="AK16" s="222">
        <v>44581</v>
      </c>
      <c r="AL16" s="222"/>
      <c r="AM16" s="214" t="s">
        <v>79</v>
      </c>
      <c r="AN16" s="219" t="s">
        <v>1240</v>
      </c>
      <c r="AO16" s="219" t="s">
        <v>317</v>
      </c>
      <c r="AP16" s="219"/>
      <c r="AQ16" s="219"/>
      <c r="AR16" s="219" t="s">
        <v>317</v>
      </c>
      <c r="AS16" s="220">
        <v>2</v>
      </c>
      <c r="AT16" s="220"/>
      <c r="AU16" s="220">
        <f>AD16</f>
        <v>-37</v>
      </c>
      <c r="AV16" s="220"/>
      <c r="AW16" s="220"/>
      <c r="AX16" s="220"/>
      <c r="AY16" s="220"/>
      <c r="AZ16" s="220"/>
      <c r="BA16" s="220"/>
      <c r="BB16" s="220"/>
      <c r="BC16" s="220"/>
      <c r="BD16" s="220"/>
      <c r="BE16" s="220"/>
      <c r="BF16" s="220"/>
      <c r="BG16" s="220"/>
      <c r="BH16" s="220"/>
      <c r="BI16" s="220"/>
      <c r="BJ16" s="220"/>
      <c r="BK16" s="220"/>
      <c r="BL16" s="220"/>
      <c r="BM16" s="220">
        <f t="shared" si="6"/>
        <v>-37</v>
      </c>
      <c r="BN16" s="220">
        <f t="shared" si="7"/>
        <v>-37</v>
      </c>
    </row>
    <row r="17" spans="1:66" s="221" customFormat="1" x14ac:dyDescent="0.2">
      <c r="A17" s="219">
        <v>6578</v>
      </c>
      <c r="B17" s="221" t="s">
        <v>848</v>
      </c>
      <c r="C17" s="221" t="s">
        <v>2912</v>
      </c>
      <c r="D17" s="221" t="s">
        <v>2913</v>
      </c>
      <c r="E17" s="221">
        <v>526555</v>
      </c>
      <c r="F17" s="221">
        <v>175062</v>
      </c>
      <c r="G17" s="221" t="s">
        <v>181</v>
      </c>
      <c r="H17" s="222">
        <v>45016</v>
      </c>
      <c r="I17" s="222"/>
      <c r="J17" s="220">
        <v>0</v>
      </c>
      <c r="K17" s="220">
        <v>159</v>
      </c>
      <c r="L17" s="220">
        <v>159</v>
      </c>
      <c r="M17" s="184">
        <f t="shared" si="0"/>
        <v>88.333333333333329</v>
      </c>
      <c r="N17" s="220">
        <v>24</v>
      </c>
      <c r="O17" s="220">
        <v>0</v>
      </c>
      <c r="P17" s="220">
        <v>-24</v>
      </c>
      <c r="Q17" s="184">
        <f t="shared" si="1"/>
        <v>-24</v>
      </c>
      <c r="R17" s="220">
        <v>0</v>
      </c>
      <c r="S17" s="220">
        <v>0</v>
      </c>
      <c r="T17" s="220">
        <v>0</v>
      </c>
      <c r="U17" s="184">
        <f t="shared" si="2"/>
        <v>0</v>
      </c>
      <c r="V17" s="220">
        <v>0</v>
      </c>
      <c r="W17" s="220">
        <v>0</v>
      </c>
      <c r="X17" s="220">
        <v>0</v>
      </c>
      <c r="Y17" s="184">
        <f t="shared" si="3"/>
        <v>0</v>
      </c>
      <c r="Z17" s="220">
        <v>0</v>
      </c>
      <c r="AA17" s="220">
        <v>0</v>
      </c>
      <c r="AB17" s="220">
        <v>0</v>
      </c>
      <c r="AC17" s="184">
        <f t="shared" si="4"/>
        <v>0</v>
      </c>
      <c r="AD17" s="184">
        <f t="shared" si="8"/>
        <v>64.333333333333329</v>
      </c>
      <c r="AE17" s="221" t="s">
        <v>2914</v>
      </c>
      <c r="AF17" s="219" t="s">
        <v>320</v>
      </c>
      <c r="AG17" s="222">
        <v>44033</v>
      </c>
      <c r="AH17" s="222">
        <v>44169</v>
      </c>
      <c r="AI17" s="219" t="s">
        <v>865</v>
      </c>
      <c r="AJ17" s="223">
        <v>44456</v>
      </c>
      <c r="AK17" s="222">
        <v>45016</v>
      </c>
      <c r="AL17" s="222"/>
      <c r="AM17" s="214" t="s">
        <v>77</v>
      </c>
      <c r="AN17" s="219" t="s">
        <v>350</v>
      </c>
      <c r="AO17" s="219" t="s">
        <v>317</v>
      </c>
      <c r="AP17" s="219"/>
      <c r="AQ17" s="219"/>
      <c r="AR17" s="219" t="s">
        <v>317</v>
      </c>
      <c r="AS17" s="220">
        <v>5</v>
      </c>
      <c r="AT17" s="220"/>
      <c r="AU17" s="220"/>
      <c r="AV17" s="220">
        <f t="shared" ref="AV17:AV24" si="9">AD17/4</f>
        <v>16.083333333333332</v>
      </c>
      <c r="AW17" s="220">
        <f t="shared" ref="AW17:AW24" si="10">AD17/4</f>
        <v>16.083333333333332</v>
      </c>
      <c r="AX17" s="220">
        <f t="shared" ref="AX17:AX24" si="11">AD17/4</f>
        <v>16.083333333333332</v>
      </c>
      <c r="AY17" s="220">
        <f t="shared" ref="AY17:AY24" si="12">AD17/4</f>
        <v>16.083333333333332</v>
      </c>
      <c r="AZ17" s="220"/>
      <c r="BA17" s="220"/>
      <c r="BB17" s="220"/>
      <c r="BC17" s="220"/>
      <c r="BD17" s="220"/>
      <c r="BE17" s="220"/>
      <c r="BF17" s="220"/>
      <c r="BG17" s="220"/>
      <c r="BH17" s="220"/>
      <c r="BI17" s="220"/>
      <c r="BJ17" s="220"/>
      <c r="BK17" s="220"/>
      <c r="BL17" s="220"/>
      <c r="BM17" s="220">
        <f t="shared" si="6"/>
        <v>64.333333333333329</v>
      </c>
      <c r="BN17" s="220">
        <f t="shared" si="7"/>
        <v>64.333333333333329</v>
      </c>
    </row>
    <row r="18" spans="1:66" s="221" customFormat="1" x14ac:dyDescent="0.2">
      <c r="A18" s="219">
        <v>6497</v>
      </c>
      <c r="B18" s="221" t="s">
        <v>822</v>
      </c>
      <c r="C18" s="221" t="s">
        <v>2421</v>
      </c>
      <c r="D18" s="221" t="s">
        <v>2422</v>
      </c>
      <c r="E18" s="221">
        <v>527487</v>
      </c>
      <c r="F18" s="221">
        <v>175150</v>
      </c>
      <c r="G18" s="221" t="s">
        <v>167</v>
      </c>
      <c r="H18" s="222"/>
      <c r="I18" s="222"/>
      <c r="J18" s="220">
        <v>0</v>
      </c>
      <c r="K18" s="220">
        <v>0</v>
      </c>
      <c r="L18" s="220">
        <v>0</v>
      </c>
      <c r="M18" s="184">
        <f t="shared" si="0"/>
        <v>0</v>
      </c>
      <c r="N18" s="220">
        <v>0</v>
      </c>
      <c r="O18" s="220">
        <v>0</v>
      </c>
      <c r="P18" s="220">
        <v>0</v>
      </c>
      <c r="Q18" s="184">
        <f t="shared" si="1"/>
        <v>0</v>
      </c>
      <c r="R18" s="220">
        <v>0</v>
      </c>
      <c r="S18" s="220">
        <v>0</v>
      </c>
      <c r="T18" s="220">
        <v>0</v>
      </c>
      <c r="U18" s="184">
        <f t="shared" si="2"/>
        <v>0</v>
      </c>
      <c r="V18" s="220">
        <v>0</v>
      </c>
      <c r="W18" s="220">
        <v>0</v>
      </c>
      <c r="X18" s="220">
        <v>0</v>
      </c>
      <c r="Y18" s="184">
        <f t="shared" si="3"/>
        <v>0</v>
      </c>
      <c r="Z18" s="220">
        <v>0</v>
      </c>
      <c r="AA18" s="220">
        <v>13</v>
      </c>
      <c r="AB18" s="220">
        <v>13</v>
      </c>
      <c r="AC18" s="184">
        <f t="shared" si="4"/>
        <v>7.2222222222222223</v>
      </c>
      <c r="AD18" s="184">
        <f t="shared" si="8"/>
        <v>7.2222222222222223</v>
      </c>
      <c r="AE18" s="221" t="s">
        <v>2423</v>
      </c>
      <c r="AF18" s="219" t="s">
        <v>332</v>
      </c>
      <c r="AG18" s="222">
        <v>43853</v>
      </c>
      <c r="AH18" s="222">
        <v>43949</v>
      </c>
      <c r="AI18" s="219" t="s">
        <v>321</v>
      </c>
      <c r="AK18" s="222"/>
      <c r="AL18" s="222"/>
      <c r="AM18" s="214" t="s">
        <v>77</v>
      </c>
      <c r="AN18" s="219" t="s">
        <v>350</v>
      </c>
      <c r="AO18" s="219" t="s">
        <v>317</v>
      </c>
      <c r="AP18" s="219"/>
      <c r="AQ18" s="219"/>
      <c r="AR18" s="219"/>
      <c r="AS18" s="220">
        <v>6</v>
      </c>
      <c r="AT18" s="220"/>
      <c r="AU18" s="220"/>
      <c r="AV18" s="220">
        <f t="shared" si="9"/>
        <v>1.8055555555555556</v>
      </c>
      <c r="AW18" s="220">
        <f t="shared" si="10"/>
        <v>1.8055555555555556</v>
      </c>
      <c r="AX18" s="220">
        <f t="shared" si="11"/>
        <v>1.8055555555555556</v>
      </c>
      <c r="AY18" s="220">
        <f t="shared" si="12"/>
        <v>1.8055555555555556</v>
      </c>
      <c r="AZ18" s="220"/>
      <c r="BA18" s="220"/>
      <c r="BB18" s="220"/>
      <c r="BC18" s="220"/>
      <c r="BD18" s="220"/>
      <c r="BE18" s="220"/>
      <c r="BF18" s="220"/>
      <c r="BG18" s="220"/>
      <c r="BH18" s="220"/>
      <c r="BI18" s="220"/>
      <c r="BJ18" s="220"/>
      <c r="BK18" s="220"/>
      <c r="BL18" s="220"/>
      <c r="BM18" s="220">
        <f t="shared" si="6"/>
        <v>7.2222222222222223</v>
      </c>
      <c r="BN18" s="220">
        <f t="shared" si="7"/>
        <v>7.2222222222222223</v>
      </c>
    </row>
    <row r="19" spans="1:66" s="221" customFormat="1" x14ac:dyDescent="0.2">
      <c r="A19" s="219">
        <v>7518</v>
      </c>
      <c r="B19" s="221" t="s">
        <v>822</v>
      </c>
      <c r="C19" s="221" t="s">
        <v>2321</v>
      </c>
      <c r="D19" s="221" t="s">
        <v>2322</v>
      </c>
      <c r="E19" s="221">
        <v>527807</v>
      </c>
      <c r="F19" s="221">
        <v>175455</v>
      </c>
      <c r="G19" s="221" t="s">
        <v>167</v>
      </c>
      <c r="H19" s="222"/>
      <c r="I19" s="222"/>
      <c r="J19" s="220">
        <v>0</v>
      </c>
      <c r="K19" s="220">
        <v>0</v>
      </c>
      <c r="L19" s="220">
        <v>0</v>
      </c>
      <c r="M19" s="184">
        <f t="shared" si="0"/>
        <v>0</v>
      </c>
      <c r="N19" s="220">
        <v>0</v>
      </c>
      <c r="O19" s="220">
        <v>0</v>
      </c>
      <c r="P19" s="220">
        <v>0</v>
      </c>
      <c r="Q19" s="184">
        <f t="shared" si="1"/>
        <v>0</v>
      </c>
      <c r="R19" s="220">
        <v>0</v>
      </c>
      <c r="S19" s="220">
        <v>0</v>
      </c>
      <c r="T19" s="220">
        <v>0</v>
      </c>
      <c r="U19" s="184">
        <f t="shared" si="2"/>
        <v>0</v>
      </c>
      <c r="V19" s="220">
        <v>0</v>
      </c>
      <c r="W19" s="220">
        <v>0</v>
      </c>
      <c r="X19" s="220">
        <v>0</v>
      </c>
      <c r="Y19" s="184">
        <f t="shared" si="3"/>
        <v>0</v>
      </c>
      <c r="Z19" s="220">
        <v>0</v>
      </c>
      <c r="AA19" s="220">
        <v>7</v>
      </c>
      <c r="AB19" s="220">
        <v>7</v>
      </c>
      <c r="AC19" s="184">
        <f t="shared" si="4"/>
        <v>3.8888888888888888</v>
      </c>
      <c r="AD19" s="184">
        <f t="shared" si="8"/>
        <v>3.8888888888888888</v>
      </c>
      <c r="AE19" s="221" t="s">
        <v>2323</v>
      </c>
      <c r="AF19" s="219" t="s">
        <v>332</v>
      </c>
      <c r="AG19" s="222">
        <v>44273</v>
      </c>
      <c r="AH19" s="222">
        <v>44739</v>
      </c>
      <c r="AI19" s="219" t="s">
        <v>321</v>
      </c>
      <c r="AK19" s="222"/>
      <c r="AL19" s="222"/>
      <c r="AM19" s="214" t="s">
        <v>77</v>
      </c>
      <c r="AN19" s="219" t="s">
        <v>350</v>
      </c>
      <c r="AO19" s="219" t="s">
        <v>317</v>
      </c>
      <c r="AP19" s="219"/>
      <c r="AQ19" s="219"/>
      <c r="AR19" s="219"/>
      <c r="AS19" s="220">
        <v>6</v>
      </c>
      <c r="AT19" s="220"/>
      <c r="AU19" s="220"/>
      <c r="AV19" s="220">
        <f t="shared" si="9"/>
        <v>0.97222222222222221</v>
      </c>
      <c r="AW19" s="220">
        <f t="shared" si="10"/>
        <v>0.97222222222222221</v>
      </c>
      <c r="AX19" s="220">
        <f t="shared" si="11"/>
        <v>0.97222222222222221</v>
      </c>
      <c r="AY19" s="220">
        <f t="shared" si="12"/>
        <v>0.97222222222222221</v>
      </c>
      <c r="AZ19" s="220"/>
      <c r="BA19" s="220"/>
      <c r="BB19" s="220"/>
      <c r="BC19" s="220"/>
      <c r="BD19" s="220"/>
      <c r="BE19" s="220"/>
      <c r="BF19" s="220"/>
      <c r="BG19" s="220"/>
      <c r="BH19" s="220"/>
      <c r="BI19" s="220"/>
      <c r="BJ19" s="220"/>
      <c r="BK19" s="220"/>
      <c r="BL19" s="220"/>
      <c r="BM19" s="220">
        <f t="shared" si="6"/>
        <v>3.8888888888888888</v>
      </c>
      <c r="BN19" s="220">
        <f t="shared" si="7"/>
        <v>3.8888888888888888</v>
      </c>
    </row>
    <row r="20" spans="1:66" s="221" customFormat="1" x14ac:dyDescent="0.2">
      <c r="A20" s="219">
        <v>7519</v>
      </c>
      <c r="B20" s="221" t="s">
        <v>822</v>
      </c>
      <c r="C20" s="221" t="s">
        <v>2371</v>
      </c>
      <c r="D20" s="221" t="s">
        <v>2372</v>
      </c>
      <c r="E20" s="221">
        <v>527864</v>
      </c>
      <c r="F20" s="221">
        <v>175385</v>
      </c>
      <c r="G20" s="221" t="s">
        <v>167</v>
      </c>
      <c r="H20" s="222"/>
      <c r="I20" s="222"/>
      <c r="J20" s="220">
        <v>0</v>
      </c>
      <c r="K20" s="220">
        <v>0</v>
      </c>
      <c r="L20" s="220">
        <v>0</v>
      </c>
      <c r="M20" s="184">
        <f t="shared" si="0"/>
        <v>0</v>
      </c>
      <c r="N20" s="220">
        <v>0</v>
      </c>
      <c r="O20" s="220">
        <v>0</v>
      </c>
      <c r="P20" s="220">
        <v>0</v>
      </c>
      <c r="Q20" s="184">
        <f t="shared" si="1"/>
        <v>0</v>
      </c>
      <c r="R20" s="220">
        <v>0</v>
      </c>
      <c r="S20" s="220">
        <v>0</v>
      </c>
      <c r="T20" s="220">
        <v>0</v>
      </c>
      <c r="U20" s="184">
        <f t="shared" si="2"/>
        <v>0</v>
      </c>
      <c r="V20" s="220">
        <v>0</v>
      </c>
      <c r="W20" s="220">
        <v>0</v>
      </c>
      <c r="X20" s="220">
        <v>0</v>
      </c>
      <c r="Y20" s="184">
        <f t="shared" si="3"/>
        <v>0</v>
      </c>
      <c r="Z20" s="220">
        <v>0</v>
      </c>
      <c r="AA20" s="220">
        <v>7</v>
      </c>
      <c r="AB20" s="220">
        <v>7</v>
      </c>
      <c r="AC20" s="184">
        <f t="shared" si="4"/>
        <v>3.8888888888888888</v>
      </c>
      <c r="AD20" s="184">
        <f t="shared" si="8"/>
        <v>3.8888888888888888</v>
      </c>
      <c r="AE20" s="221" t="s">
        <v>2323</v>
      </c>
      <c r="AF20" s="219" t="s">
        <v>332</v>
      </c>
      <c r="AG20" s="222">
        <v>44273</v>
      </c>
      <c r="AH20" s="222">
        <v>44739</v>
      </c>
      <c r="AI20" s="219" t="s">
        <v>321</v>
      </c>
      <c r="AK20" s="222"/>
      <c r="AL20" s="222"/>
      <c r="AM20" s="214" t="s">
        <v>77</v>
      </c>
      <c r="AN20" s="219" t="s">
        <v>350</v>
      </c>
      <c r="AO20" s="219" t="s">
        <v>317</v>
      </c>
      <c r="AP20" s="219"/>
      <c r="AQ20" s="219"/>
      <c r="AR20" s="219"/>
      <c r="AS20" s="220">
        <v>6</v>
      </c>
      <c r="AT20" s="220"/>
      <c r="AU20" s="220"/>
      <c r="AV20" s="220">
        <f t="shared" si="9"/>
        <v>0.97222222222222221</v>
      </c>
      <c r="AW20" s="220">
        <f t="shared" si="10"/>
        <v>0.97222222222222221</v>
      </c>
      <c r="AX20" s="220">
        <f t="shared" si="11"/>
        <v>0.97222222222222221</v>
      </c>
      <c r="AY20" s="220">
        <f t="shared" si="12"/>
        <v>0.97222222222222221</v>
      </c>
      <c r="AZ20" s="220"/>
      <c r="BA20" s="220"/>
      <c r="BB20" s="220"/>
      <c r="BC20" s="220"/>
      <c r="BD20" s="220"/>
      <c r="BE20" s="220"/>
      <c r="BF20" s="220"/>
      <c r="BG20" s="220"/>
      <c r="BH20" s="220"/>
      <c r="BI20" s="220"/>
      <c r="BJ20" s="220"/>
      <c r="BK20" s="220"/>
      <c r="BL20" s="220"/>
      <c r="BM20" s="220">
        <f t="shared" si="6"/>
        <v>3.8888888888888888</v>
      </c>
      <c r="BN20" s="220">
        <f t="shared" si="7"/>
        <v>3.8888888888888888</v>
      </c>
    </row>
    <row r="21" spans="1:66" s="221" customFormat="1" x14ac:dyDescent="0.2">
      <c r="A21" s="219">
        <v>7348</v>
      </c>
      <c r="B21" s="221" t="s">
        <v>822</v>
      </c>
      <c r="C21" s="221" t="s">
        <v>2915</v>
      </c>
      <c r="D21" s="221" t="s">
        <v>2916</v>
      </c>
      <c r="E21" s="221">
        <v>527583</v>
      </c>
      <c r="F21" s="221">
        <v>174336</v>
      </c>
      <c r="G21" s="221" t="s">
        <v>169</v>
      </c>
      <c r="H21" s="222">
        <v>44743</v>
      </c>
      <c r="I21" s="222"/>
      <c r="J21" s="220">
        <v>0</v>
      </c>
      <c r="K21" s="220">
        <v>0</v>
      </c>
      <c r="L21" s="220">
        <v>0</v>
      </c>
      <c r="M21" s="184">
        <f t="shared" si="0"/>
        <v>0</v>
      </c>
      <c r="N21" s="220">
        <v>0</v>
      </c>
      <c r="O21" s="220">
        <v>0</v>
      </c>
      <c r="P21" s="220">
        <v>0</v>
      </c>
      <c r="Q21" s="184">
        <f t="shared" si="1"/>
        <v>0</v>
      </c>
      <c r="R21" s="220">
        <v>0</v>
      </c>
      <c r="S21" s="220">
        <v>0</v>
      </c>
      <c r="T21" s="220">
        <v>0</v>
      </c>
      <c r="U21" s="184">
        <f t="shared" si="2"/>
        <v>0</v>
      </c>
      <c r="V21" s="220">
        <v>0</v>
      </c>
      <c r="W21" s="220">
        <v>0</v>
      </c>
      <c r="X21" s="220">
        <v>0</v>
      </c>
      <c r="Y21" s="184">
        <f t="shared" si="3"/>
        <v>0</v>
      </c>
      <c r="Z21" s="220">
        <v>7</v>
      </c>
      <c r="AA21" s="220">
        <v>8</v>
      </c>
      <c r="AB21" s="220">
        <v>1</v>
      </c>
      <c r="AC21" s="184">
        <f t="shared" si="4"/>
        <v>0.55555555555555558</v>
      </c>
      <c r="AD21" s="184">
        <f t="shared" si="8"/>
        <v>0.55555555555555558</v>
      </c>
      <c r="AE21" s="221" t="s">
        <v>2917</v>
      </c>
      <c r="AF21" s="219" t="s">
        <v>332</v>
      </c>
      <c r="AG21" s="222">
        <v>43879</v>
      </c>
      <c r="AH21" s="222">
        <v>43971</v>
      </c>
      <c r="AI21" s="219" t="s">
        <v>321</v>
      </c>
      <c r="AK21" s="222"/>
      <c r="AL21" s="222"/>
      <c r="AM21" s="214" t="s">
        <v>77</v>
      </c>
      <c r="AN21" s="219" t="s">
        <v>350</v>
      </c>
      <c r="AO21" s="219" t="s">
        <v>317</v>
      </c>
      <c r="AP21" s="219"/>
      <c r="AQ21" s="219"/>
      <c r="AR21" s="219"/>
      <c r="AS21" s="220">
        <v>6</v>
      </c>
      <c r="AT21" s="220"/>
      <c r="AU21" s="220"/>
      <c r="AV21" s="220">
        <f t="shared" si="9"/>
        <v>0.1388888888888889</v>
      </c>
      <c r="AW21" s="220">
        <f t="shared" si="10"/>
        <v>0.1388888888888889</v>
      </c>
      <c r="AX21" s="220">
        <f t="shared" si="11"/>
        <v>0.1388888888888889</v>
      </c>
      <c r="AY21" s="220">
        <f t="shared" si="12"/>
        <v>0.1388888888888889</v>
      </c>
      <c r="AZ21" s="220"/>
      <c r="BA21" s="220"/>
      <c r="BB21" s="220"/>
      <c r="BC21" s="220"/>
      <c r="BD21" s="220"/>
      <c r="BE21" s="220"/>
      <c r="BF21" s="220"/>
      <c r="BG21" s="220"/>
      <c r="BH21" s="220"/>
      <c r="BI21" s="220"/>
      <c r="BJ21" s="220"/>
      <c r="BK21" s="220"/>
      <c r="BL21" s="220"/>
      <c r="BM21" s="220">
        <f t="shared" si="6"/>
        <v>0.55555555555555558</v>
      </c>
      <c r="BN21" s="220">
        <f t="shared" si="7"/>
        <v>0.55555555555555558</v>
      </c>
    </row>
    <row r="22" spans="1:66" s="221" customFormat="1" x14ac:dyDescent="0.2">
      <c r="A22" s="219">
        <v>7765</v>
      </c>
      <c r="B22" s="221" t="s">
        <v>822</v>
      </c>
      <c r="C22" s="221" t="s">
        <v>1997</v>
      </c>
      <c r="D22" s="221" t="s">
        <v>1998</v>
      </c>
      <c r="E22" s="221">
        <v>522152</v>
      </c>
      <c r="F22" s="221">
        <v>175463</v>
      </c>
      <c r="G22" s="221" t="s">
        <v>170</v>
      </c>
      <c r="H22" s="222"/>
      <c r="I22" s="222"/>
      <c r="J22" s="220">
        <v>0</v>
      </c>
      <c r="K22" s="220">
        <v>0</v>
      </c>
      <c r="L22" s="220">
        <v>0</v>
      </c>
      <c r="M22" s="184">
        <f t="shared" si="0"/>
        <v>0</v>
      </c>
      <c r="N22" s="220">
        <v>0</v>
      </c>
      <c r="O22" s="220">
        <v>0</v>
      </c>
      <c r="P22" s="220">
        <v>0</v>
      </c>
      <c r="Q22" s="184">
        <f t="shared" si="1"/>
        <v>0</v>
      </c>
      <c r="R22" s="220">
        <v>0</v>
      </c>
      <c r="S22" s="220">
        <v>0</v>
      </c>
      <c r="T22" s="220">
        <v>0</v>
      </c>
      <c r="U22" s="184">
        <f t="shared" si="2"/>
        <v>0</v>
      </c>
      <c r="V22" s="220">
        <v>0</v>
      </c>
      <c r="W22" s="220">
        <v>0</v>
      </c>
      <c r="X22" s="220">
        <v>0</v>
      </c>
      <c r="Y22" s="184">
        <f t="shared" si="3"/>
        <v>0</v>
      </c>
      <c r="Z22" s="220">
        <v>9</v>
      </c>
      <c r="AA22" s="220">
        <v>0</v>
      </c>
      <c r="AB22" s="220">
        <v>-9</v>
      </c>
      <c r="AC22" s="184">
        <f t="shared" si="4"/>
        <v>-5</v>
      </c>
      <c r="AD22" s="184">
        <f t="shared" si="8"/>
        <v>-5</v>
      </c>
      <c r="AE22" s="221" t="s">
        <v>1999</v>
      </c>
      <c r="AF22" s="219" t="s">
        <v>320</v>
      </c>
      <c r="AG22" s="222">
        <v>44615</v>
      </c>
      <c r="AH22" s="222">
        <v>44894</v>
      </c>
      <c r="AI22" s="219" t="s">
        <v>321</v>
      </c>
      <c r="AK22" s="222"/>
      <c r="AL22" s="222"/>
      <c r="AM22" s="214" t="s">
        <v>78</v>
      </c>
      <c r="AN22" s="219" t="s">
        <v>898</v>
      </c>
      <c r="AO22" s="219" t="s">
        <v>317</v>
      </c>
      <c r="AP22" s="219"/>
      <c r="AQ22" s="219"/>
      <c r="AR22" s="219"/>
      <c r="AS22" s="220">
        <v>6</v>
      </c>
      <c r="AT22" s="220"/>
      <c r="AU22" s="220"/>
      <c r="AV22" s="220">
        <f t="shared" si="9"/>
        <v>-1.25</v>
      </c>
      <c r="AW22" s="220">
        <f t="shared" si="10"/>
        <v>-1.25</v>
      </c>
      <c r="AX22" s="220">
        <f t="shared" si="11"/>
        <v>-1.25</v>
      </c>
      <c r="AY22" s="220">
        <f t="shared" si="12"/>
        <v>-1.25</v>
      </c>
      <c r="AZ22" s="220"/>
      <c r="BA22" s="220"/>
      <c r="BB22" s="220"/>
      <c r="BC22" s="220"/>
      <c r="BD22" s="220"/>
      <c r="BE22" s="220"/>
      <c r="BF22" s="220"/>
      <c r="BG22" s="220"/>
      <c r="BH22" s="220"/>
      <c r="BI22" s="220"/>
      <c r="BJ22" s="220"/>
      <c r="BK22" s="220"/>
      <c r="BL22" s="220"/>
      <c r="BM22" s="220">
        <f t="shared" si="6"/>
        <v>-5</v>
      </c>
      <c r="BN22" s="220">
        <f t="shared" si="7"/>
        <v>-5</v>
      </c>
    </row>
    <row r="23" spans="1:66" s="221" customFormat="1" x14ac:dyDescent="0.2">
      <c r="A23" s="219">
        <v>7766</v>
      </c>
      <c r="B23" s="221" t="s">
        <v>822</v>
      </c>
      <c r="C23" s="221" t="s">
        <v>1994</v>
      </c>
      <c r="D23" s="221" t="s">
        <v>1995</v>
      </c>
      <c r="E23" s="221">
        <v>522160</v>
      </c>
      <c r="F23" s="221">
        <v>175461</v>
      </c>
      <c r="G23" s="221" t="s">
        <v>170</v>
      </c>
      <c r="H23" s="222"/>
      <c r="I23" s="222"/>
      <c r="J23" s="220">
        <v>0</v>
      </c>
      <c r="K23" s="220">
        <v>0</v>
      </c>
      <c r="L23" s="220">
        <v>0</v>
      </c>
      <c r="M23" s="184">
        <f t="shared" si="0"/>
        <v>0</v>
      </c>
      <c r="N23" s="220">
        <v>0</v>
      </c>
      <c r="O23" s="220">
        <v>0</v>
      </c>
      <c r="P23" s="220">
        <v>0</v>
      </c>
      <c r="Q23" s="184">
        <f t="shared" si="1"/>
        <v>0</v>
      </c>
      <c r="R23" s="220">
        <v>0</v>
      </c>
      <c r="S23" s="220">
        <v>0</v>
      </c>
      <c r="T23" s="220">
        <v>0</v>
      </c>
      <c r="U23" s="184">
        <f t="shared" si="2"/>
        <v>0</v>
      </c>
      <c r="V23" s="220">
        <v>0</v>
      </c>
      <c r="W23" s="220">
        <v>0</v>
      </c>
      <c r="X23" s="220">
        <v>0</v>
      </c>
      <c r="Y23" s="184">
        <f t="shared" si="3"/>
        <v>0</v>
      </c>
      <c r="Z23" s="220">
        <v>9</v>
      </c>
      <c r="AA23" s="220">
        <v>0</v>
      </c>
      <c r="AB23" s="220">
        <v>-9</v>
      </c>
      <c r="AC23" s="184">
        <f t="shared" si="4"/>
        <v>-5</v>
      </c>
      <c r="AD23" s="184">
        <f t="shared" si="8"/>
        <v>-5</v>
      </c>
      <c r="AE23" s="221" t="s">
        <v>1996</v>
      </c>
      <c r="AF23" s="219" t="s">
        <v>320</v>
      </c>
      <c r="AG23" s="222">
        <v>44615</v>
      </c>
      <c r="AH23" s="222">
        <v>44894</v>
      </c>
      <c r="AI23" s="219" t="s">
        <v>321</v>
      </c>
      <c r="AK23" s="222"/>
      <c r="AL23" s="222"/>
      <c r="AM23" s="214" t="s">
        <v>78</v>
      </c>
      <c r="AN23" s="219" t="s">
        <v>898</v>
      </c>
      <c r="AO23" s="219" t="s">
        <v>317</v>
      </c>
      <c r="AP23" s="219"/>
      <c r="AQ23" s="219"/>
      <c r="AR23" s="219"/>
      <c r="AS23" s="220">
        <v>6</v>
      </c>
      <c r="AT23" s="220"/>
      <c r="AU23" s="220"/>
      <c r="AV23" s="220">
        <f t="shared" si="9"/>
        <v>-1.25</v>
      </c>
      <c r="AW23" s="220">
        <f t="shared" si="10"/>
        <v>-1.25</v>
      </c>
      <c r="AX23" s="220">
        <f t="shared" si="11"/>
        <v>-1.25</v>
      </c>
      <c r="AY23" s="220">
        <f t="shared" si="12"/>
        <v>-1.25</v>
      </c>
      <c r="AZ23" s="220"/>
      <c r="BA23" s="220"/>
      <c r="BB23" s="220"/>
      <c r="BC23" s="220"/>
      <c r="BD23" s="220"/>
      <c r="BE23" s="220"/>
      <c r="BF23" s="220"/>
      <c r="BG23" s="220"/>
      <c r="BH23" s="220"/>
      <c r="BI23" s="220"/>
      <c r="BJ23" s="220"/>
      <c r="BK23" s="220"/>
      <c r="BL23" s="220"/>
      <c r="BM23" s="220">
        <f t="shared" si="6"/>
        <v>-5</v>
      </c>
      <c r="BN23" s="220">
        <f t="shared" si="7"/>
        <v>-5</v>
      </c>
    </row>
    <row r="24" spans="1:66" s="221" customFormat="1" x14ac:dyDescent="0.2">
      <c r="A24" s="219">
        <v>7865</v>
      </c>
      <c r="B24" s="221" t="s">
        <v>822</v>
      </c>
      <c r="C24" s="221" t="s">
        <v>2348</v>
      </c>
      <c r="D24" s="221" t="s">
        <v>2349</v>
      </c>
      <c r="E24" s="221">
        <v>527998</v>
      </c>
      <c r="F24" s="221">
        <v>175724</v>
      </c>
      <c r="G24" s="221" t="s">
        <v>171</v>
      </c>
      <c r="H24" s="222"/>
      <c r="I24" s="222"/>
      <c r="J24" s="220">
        <v>0</v>
      </c>
      <c r="K24" s="220">
        <v>0</v>
      </c>
      <c r="L24" s="220">
        <v>0</v>
      </c>
      <c r="M24" s="184">
        <f t="shared" si="0"/>
        <v>0</v>
      </c>
      <c r="N24" s="220">
        <v>0</v>
      </c>
      <c r="O24" s="220">
        <v>0</v>
      </c>
      <c r="P24" s="220">
        <v>0</v>
      </c>
      <c r="Q24" s="184">
        <f t="shared" si="1"/>
        <v>0</v>
      </c>
      <c r="R24" s="220">
        <v>0</v>
      </c>
      <c r="S24" s="220">
        <v>0</v>
      </c>
      <c r="T24" s="220">
        <v>0</v>
      </c>
      <c r="U24" s="184">
        <f t="shared" si="2"/>
        <v>0</v>
      </c>
      <c r="V24" s="220">
        <v>0</v>
      </c>
      <c r="W24" s="220">
        <v>0</v>
      </c>
      <c r="X24" s="220">
        <v>0</v>
      </c>
      <c r="Y24" s="184">
        <f t="shared" si="3"/>
        <v>0</v>
      </c>
      <c r="Z24" s="220">
        <v>0</v>
      </c>
      <c r="AA24" s="220">
        <v>7</v>
      </c>
      <c r="AB24" s="220">
        <v>7</v>
      </c>
      <c r="AC24" s="184">
        <f t="shared" si="4"/>
        <v>3.8888888888888888</v>
      </c>
      <c r="AD24" s="184">
        <f t="shared" si="8"/>
        <v>3.8888888888888888</v>
      </c>
      <c r="AE24" s="221" t="s">
        <v>2350</v>
      </c>
      <c r="AF24" s="219" t="s">
        <v>332</v>
      </c>
      <c r="AG24" s="222">
        <v>44763</v>
      </c>
      <c r="AH24" s="222">
        <v>44819</v>
      </c>
      <c r="AI24" s="219" t="s">
        <v>321</v>
      </c>
      <c r="AK24" s="222"/>
      <c r="AL24" s="222"/>
      <c r="AM24" s="214" t="s">
        <v>77</v>
      </c>
      <c r="AN24" s="219" t="s">
        <v>340</v>
      </c>
      <c r="AO24" s="219" t="s">
        <v>317</v>
      </c>
      <c r="AP24" s="219"/>
      <c r="AQ24" s="219"/>
      <c r="AR24" s="219"/>
      <c r="AS24" s="220">
        <v>6</v>
      </c>
      <c r="AT24" s="220"/>
      <c r="AU24" s="220"/>
      <c r="AV24" s="220">
        <f t="shared" si="9"/>
        <v>0.97222222222222221</v>
      </c>
      <c r="AW24" s="220">
        <f t="shared" si="10"/>
        <v>0.97222222222222221</v>
      </c>
      <c r="AX24" s="220">
        <f t="shared" si="11"/>
        <v>0.97222222222222221</v>
      </c>
      <c r="AY24" s="220">
        <f t="shared" si="12"/>
        <v>0.97222222222222221</v>
      </c>
      <c r="AZ24" s="220"/>
      <c r="BA24" s="220"/>
      <c r="BB24" s="220"/>
      <c r="BC24" s="220"/>
      <c r="BD24" s="220"/>
      <c r="BE24" s="220"/>
      <c r="BF24" s="220"/>
      <c r="BG24" s="220"/>
      <c r="BH24" s="220"/>
      <c r="BI24" s="220"/>
      <c r="BJ24" s="220"/>
      <c r="BK24" s="220"/>
      <c r="BL24" s="220"/>
      <c r="BM24" s="220">
        <f t="shared" si="6"/>
        <v>3.8888888888888888</v>
      </c>
      <c r="BN24" s="220">
        <f t="shared" si="7"/>
        <v>3.8888888888888888</v>
      </c>
    </row>
    <row r="25" spans="1:66" s="221" customFormat="1" x14ac:dyDescent="0.2">
      <c r="A25" s="219">
        <v>4918</v>
      </c>
      <c r="B25" s="221" t="s">
        <v>822</v>
      </c>
      <c r="C25" s="221" t="s">
        <v>2918</v>
      </c>
      <c r="D25" s="221" t="s">
        <v>2919</v>
      </c>
      <c r="E25" s="221">
        <v>526574</v>
      </c>
      <c r="F25" s="221">
        <v>176050</v>
      </c>
      <c r="G25" s="221" t="s">
        <v>174</v>
      </c>
      <c r="H25" s="222"/>
      <c r="I25" s="222"/>
      <c r="J25" s="220">
        <v>0</v>
      </c>
      <c r="K25" s="220">
        <v>0</v>
      </c>
      <c r="L25" s="220">
        <v>0</v>
      </c>
      <c r="M25" s="184">
        <f t="shared" si="0"/>
        <v>0</v>
      </c>
      <c r="N25" s="220">
        <v>0</v>
      </c>
      <c r="O25" s="220">
        <v>96</v>
      </c>
      <c r="P25" s="220">
        <v>96</v>
      </c>
      <c r="Q25" s="184">
        <f t="shared" si="1"/>
        <v>96</v>
      </c>
      <c r="R25" s="220">
        <v>0</v>
      </c>
      <c r="S25" s="220">
        <v>0</v>
      </c>
      <c r="T25" s="220">
        <v>0</v>
      </c>
      <c r="U25" s="184">
        <f t="shared" si="2"/>
        <v>0</v>
      </c>
      <c r="V25" s="220">
        <v>0</v>
      </c>
      <c r="W25" s="220">
        <v>0</v>
      </c>
      <c r="X25" s="220">
        <v>0</v>
      </c>
      <c r="Y25" s="184">
        <f t="shared" si="3"/>
        <v>0</v>
      </c>
      <c r="Z25" s="220">
        <v>0</v>
      </c>
      <c r="AA25" s="220">
        <v>0</v>
      </c>
      <c r="AB25" s="220">
        <v>0</v>
      </c>
      <c r="AC25" s="184">
        <f t="shared" si="4"/>
        <v>0</v>
      </c>
      <c r="AD25" s="184">
        <f t="shared" si="8"/>
        <v>96</v>
      </c>
      <c r="AE25" s="221" t="s">
        <v>2920</v>
      </c>
      <c r="AF25" s="219" t="s">
        <v>320</v>
      </c>
      <c r="AG25" s="222">
        <v>44400</v>
      </c>
      <c r="AH25" s="222">
        <v>44776</v>
      </c>
      <c r="AI25" s="219" t="s">
        <v>321</v>
      </c>
      <c r="AK25" s="222"/>
      <c r="AL25" s="222"/>
      <c r="AM25" s="214" t="s">
        <v>2887</v>
      </c>
      <c r="AN25" s="219" t="s">
        <v>656</v>
      </c>
      <c r="AO25" s="219" t="s">
        <v>317</v>
      </c>
      <c r="AP25" s="219"/>
      <c r="AQ25" s="219"/>
      <c r="AR25" s="219"/>
      <c r="AS25" s="220">
        <v>9</v>
      </c>
      <c r="AT25" s="220"/>
      <c r="AU25" s="220"/>
      <c r="AV25" s="220"/>
      <c r="AW25" s="220"/>
      <c r="AX25" s="220">
        <f>AD25/3</f>
        <v>32</v>
      </c>
      <c r="AY25" s="220">
        <f>AD25/3</f>
        <v>32</v>
      </c>
      <c r="AZ25" s="220">
        <f>AD25/3</f>
        <v>32</v>
      </c>
      <c r="BA25" s="220"/>
      <c r="BB25" s="220"/>
      <c r="BC25" s="220"/>
      <c r="BD25" s="220"/>
      <c r="BE25" s="220"/>
      <c r="BF25" s="220"/>
      <c r="BG25" s="220"/>
      <c r="BH25" s="220"/>
      <c r="BI25" s="220"/>
      <c r="BJ25" s="220"/>
      <c r="BK25" s="220"/>
      <c r="BL25" s="220"/>
      <c r="BM25" s="220">
        <f t="shared" si="6"/>
        <v>64</v>
      </c>
      <c r="BN25" s="220">
        <f t="shared" si="7"/>
        <v>96</v>
      </c>
    </row>
    <row r="26" spans="1:66" s="221" customFormat="1" x14ac:dyDescent="0.2">
      <c r="A26" s="219">
        <v>7317</v>
      </c>
      <c r="B26" s="221" t="s">
        <v>822</v>
      </c>
      <c r="C26" s="221" t="s">
        <v>1234</v>
      </c>
      <c r="D26" s="221" t="s">
        <v>1235</v>
      </c>
      <c r="E26" s="221">
        <v>527570</v>
      </c>
      <c r="F26" s="221">
        <v>171707</v>
      </c>
      <c r="G26" s="221" t="s">
        <v>176</v>
      </c>
      <c r="H26" s="222">
        <v>44876</v>
      </c>
      <c r="I26" s="222"/>
      <c r="J26" s="220">
        <v>0</v>
      </c>
      <c r="K26" s="220">
        <v>0</v>
      </c>
      <c r="L26" s="220">
        <v>0</v>
      </c>
      <c r="M26" s="184">
        <f t="shared" si="0"/>
        <v>0</v>
      </c>
      <c r="N26" s="220">
        <v>0</v>
      </c>
      <c r="O26" s="220">
        <v>0</v>
      </c>
      <c r="P26" s="220">
        <v>0</v>
      </c>
      <c r="Q26" s="184">
        <f t="shared" si="1"/>
        <v>0</v>
      </c>
      <c r="R26" s="220">
        <v>0</v>
      </c>
      <c r="S26" s="220">
        <v>0</v>
      </c>
      <c r="T26" s="220">
        <v>0</v>
      </c>
      <c r="U26" s="184">
        <f t="shared" si="2"/>
        <v>0</v>
      </c>
      <c r="V26" s="220">
        <v>0</v>
      </c>
      <c r="W26" s="220">
        <v>0</v>
      </c>
      <c r="X26" s="220">
        <v>0</v>
      </c>
      <c r="Y26" s="184">
        <f t="shared" si="3"/>
        <v>0</v>
      </c>
      <c r="Z26" s="220">
        <v>0</v>
      </c>
      <c r="AA26" s="220">
        <v>18</v>
      </c>
      <c r="AB26" s="220">
        <v>18</v>
      </c>
      <c r="AC26" s="184">
        <f t="shared" si="4"/>
        <v>10</v>
      </c>
      <c r="AD26" s="184">
        <f t="shared" si="8"/>
        <v>10</v>
      </c>
      <c r="AE26" s="221" t="s">
        <v>1236</v>
      </c>
      <c r="AF26" s="219" t="s">
        <v>332</v>
      </c>
      <c r="AG26" s="222">
        <v>43804</v>
      </c>
      <c r="AH26" s="222">
        <v>43879</v>
      </c>
      <c r="AI26" s="219" t="s">
        <v>321</v>
      </c>
      <c r="AK26" s="222"/>
      <c r="AL26" s="222"/>
      <c r="AM26" s="214" t="s">
        <v>77</v>
      </c>
      <c r="AN26" s="219" t="s">
        <v>350</v>
      </c>
      <c r="AO26" s="219" t="s">
        <v>317</v>
      </c>
      <c r="AP26" s="219"/>
      <c r="AQ26" s="219"/>
      <c r="AR26" s="219"/>
      <c r="AS26" s="220">
        <v>6</v>
      </c>
      <c r="AT26" s="220"/>
      <c r="AU26" s="220"/>
      <c r="AV26" s="220">
        <f t="shared" ref="AV26:AV31" si="13">AD26/4</f>
        <v>2.5</v>
      </c>
      <c r="AW26" s="220">
        <f t="shared" ref="AW26:AW31" si="14">AD26/4</f>
        <v>2.5</v>
      </c>
      <c r="AX26" s="220">
        <f t="shared" ref="AX26:AX31" si="15">AD26/4</f>
        <v>2.5</v>
      </c>
      <c r="AY26" s="220">
        <f t="shared" ref="AY26:AY31" si="16">AD26/4</f>
        <v>2.5</v>
      </c>
      <c r="AZ26" s="220"/>
      <c r="BA26" s="220"/>
      <c r="BB26" s="220"/>
      <c r="BC26" s="220"/>
      <c r="BD26" s="220"/>
      <c r="BE26" s="220"/>
      <c r="BF26" s="220"/>
      <c r="BG26" s="220"/>
      <c r="BH26" s="220"/>
      <c r="BI26" s="220"/>
      <c r="BJ26" s="220"/>
      <c r="BK26" s="220"/>
      <c r="BL26" s="220"/>
      <c r="BM26" s="220">
        <f t="shared" si="6"/>
        <v>10</v>
      </c>
      <c r="BN26" s="220">
        <f t="shared" si="7"/>
        <v>10</v>
      </c>
    </row>
    <row r="27" spans="1:66" s="221" customFormat="1" x14ac:dyDescent="0.2">
      <c r="A27" s="219">
        <v>3307</v>
      </c>
      <c r="B27" s="221" t="s">
        <v>822</v>
      </c>
      <c r="C27" s="221" t="s">
        <v>2403</v>
      </c>
      <c r="D27" s="221" t="s">
        <v>2404</v>
      </c>
      <c r="E27" s="221">
        <v>527098</v>
      </c>
      <c r="F27" s="221">
        <v>171727</v>
      </c>
      <c r="G27" s="221" t="s">
        <v>177</v>
      </c>
      <c r="H27" s="222"/>
      <c r="I27" s="222"/>
      <c r="J27" s="220">
        <v>0</v>
      </c>
      <c r="K27" s="220">
        <v>0</v>
      </c>
      <c r="L27" s="220">
        <v>0</v>
      </c>
      <c r="M27" s="184">
        <f t="shared" si="0"/>
        <v>0</v>
      </c>
      <c r="N27" s="220">
        <v>0</v>
      </c>
      <c r="O27" s="220">
        <v>0</v>
      </c>
      <c r="P27" s="220">
        <v>0</v>
      </c>
      <c r="Q27" s="184">
        <f t="shared" si="1"/>
        <v>0</v>
      </c>
      <c r="R27" s="220">
        <v>0</v>
      </c>
      <c r="S27" s="220">
        <v>0</v>
      </c>
      <c r="T27" s="220">
        <v>0</v>
      </c>
      <c r="U27" s="184">
        <f t="shared" si="2"/>
        <v>0</v>
      </c>
      <c r="V27" s="220">
        <v>0</v>
      </c>
      <c r="W27" s="220">
        <v>0</v>
      </c>
      <c r="X27" s="220">
        <v>0</v>
      </c>
      <c r="Y27" s="184">
        <f t="shared" si="3"/>
        <v>0</v>
      </c>
      <c r="Z27" s="220">
        <v>0</v>
      </c>
      <c r="AA27" s="220">
        <v>8</v>
      </c>
      <c r="AB27" s="220">
        <v>8</v>
      </c>
      <c r="AC27" s="184">
        <f t="shared" si="4"/>
        <v>4.4444444444444446</v>
      </c>
      <c r="AD27" s="184">
        <f t="shared" si="8"/>
        <v>4.4444444444444446</v>
      </c>
      <c r="AE27" s="221" t="s">
        <v>2405</v>
      </c>
      <c r="AF27" s="219" t="s">
        <v>332</v>
      </c>
      <c r="AG27" s="222">
        <v>44361</v>
      </c>
      <c r="AH27" s="222">
        <v>44671</v>
      </c>
      <c r="AI27" s="219" t="s">
        <v>321</v>
      </c>
      <c r="AK27" s="222"/>
      <c r="AL27" s="222"/>
      <c r="AM27" s="214" t="s">
        <v>77</v>
      </c>
      <c r="AN27" s="219" t="s">
        <v>350</v>
      </c>
      <c r="AO27" s="219" t="s">
        <v>317</v>
      </c>
      <c r="AP27" s="219"/>
      <c r="AQ27" s="219"/>
      <c r="AR27" s="219"/>
      <c r="AS27" s="220">
        <v>6</v>
      </c>
      <c r="AT27" s="220"/>
      <c r="AU27" s="220"/>
      <c r="AV27" s="220">
        <f t="shared" si="13"/>
        <v>1.1111111111111112</v>
      </c>
      <c r="AW27" s="220">
        <f t="shared" si="14"/>
        <v>1.1111111111111112</v>
      </c>
      <c r="AX27" s="220">
        <f t="shared" si="15"/>
        <v>1.1111111111111112</v>
      </c>
      <c r="AY27" s="220">
        <f t="shared" si="16"/>
        <v>1.1111111111111112</v>
      </c>
      <c r="AZ27" s="220"/>
      <c r="BA27" s="220"/>
      <c r="BB27" s="220"/>
      <c r="BC27" s="220"/>
      <c r="BD27" s="220"/>
      <c r="BE27" s="220"/>
      <c r="BF27" s="220"/>
      <c r="BG27" s="220"/>
      <c r="BH27" s="220"/>
      <c r="BI27" s="220"/>
      <c r="BJ27" s="220"/>
      <c r="BK27" s="220"/>
      <c r="BL27" s="220"/>
      <c r="BM27" s="220">
        <f t="shared" si="6"/>
        <v>4.4444444444444446</v>
      </c>
      <c r="BN27" s="220">
        <f t="shared" si="7"/>
        <v>4.4444444444444446</v>
      </c>
    </row>
    <row r="28" spans="1:66" s="221" customFormat="1" x14ac:dyDescent="0.2">
      <c r="A28" s="219">
        <v>7118</v>
      </c>
      <c r="B28" s="221" t="s">
        <v>822</v>
      </c>
      <c r="C28" s="221" t="s">
        <v>2356</v>
      </c>
      <c r="D28" s="221" t="s">
        <v>2357</v>
      </c>
      <c r="E28" s="221">
        <v>527344</v>
      </c>
      <c r="F28" s="221">
        <v>171674</v>
      </c>
      <c r="G28" s="221" t="s">
        <v>177</v>
      </c>
      <c r="H28" s="222"/>
      <c r="I28" s="222"/>
      <c r="J28" s="220">
        <v>0</v>
      </c>
      <c r="K28" s="220">
        <v>0</v>
      </c>
      <c r="L28" s="220">
        <v>0</v>
      </c>
      <c r="M28" s="184">
        <f t="shared" si="0"/>
        <v>0</v>
      </c>
      <c r="N28" s="220">
        <v>0</v>
      </c>
      <c r="O28" s="220">
        <v>0</v>
      </c>
      <c r="P28" s="220">
        <v>0</v>
      </c>
      <c r="Q28" s="184">
        <f t="shared" si="1"/>
        <v>0</v>
      </c>
      <c r="R28" s="220">
        <v>0</v>
      </c>
      <c r="S28" s="220">
        <v>0</v>
      </c>
      <c r="T28" s="220">
        <v>0</v>
      </c>
      <c r="U28" s="184">
        <f t="shared" si="2"/>
        <v>0</v>
      </c>
      <c r="V28" s="220">
        <v>0</v>
      </c>
      <c r="W28" s="220">
        <v>0</v>
      </c>
      <c r="X28" s="220">
        <v>0</v>
      </c>
      <c r="Y28" s="184">
        <f t="shared" si="3"/>
        <v>0</v>
      </c>
      <c r="Z28" s="220">
        <v>0</v>
      </c>
      <c r="AA28" s="220">
        <v>7</v>
      </c>
      <c r="AB28" s="220">
        <v>7</v>
      </c>
      <c r="AC28" s="184">
        <f t="shared" si="4"/>
        <v>3.8888888888888888</v>
      </c>
      <c r="AD28" s="184">
        <f t="shared" si="8"/>
        <v>3.8888888888888888</v>
      </c>
      <c r="AE28" s="221" t="s">
        <v>2358</v>
      </c>
      <c r="AF28" s="219" t="s">
        <v>332</v>
      </c>
      <c r="AG28" s="222">
        <v>43516</v>
      </c>
      <c r="AH28" s="222">
        <v>44132</v>
      </c>
      <c r="AI28" s="219" t="s">
        <v>321</v>
      </c>
      <c r="AK28" s="222"/>
      <c r="AL28" s="222"/>
      <c r="AM28" s="214" t="s">
        <v>77</v>
      </c>
      <c r="AN28" s="219" t="s">
        <v>350</v>
      </c>
      <c r="AO28" s="219" t="s">
        <v>317</v>
      </c>
      <c r="AP28" s="219"/>
      <c r="AQ28" s="219"/>
      <c r="AR28" s="219"/>
      <c r="AS28" s="220">
        <v>6</v>
      </c>
      <c r="AT28" s="220"/>
      <c r="AU28" s="220"/>
      <c r="AV28" s="220">
        <f t="shared" si="13"/>
        <v>0.97222222222222221</v>
      </c>
      <c r="AW28" s="220">
        <f t="shared" si="14"/>
        <v>0.97222222222222221</v>
      </c>
      <c r="AX28" s="220">
        <f t="shared" si="15"/>
        <v>0.97222222222222221</v>
      </c>
      <c r="AY28" s="220">
        <f t="shared" si="16"/>
        <v>0.97222222222222221</v>
      </c>
      <c r="AZ28" s="220"/>
      <c r="BA28" s="220"/>
      <c r="BB28" s="220"/>
      <c r="BC28" s="220"/>
      <c r="BD28" s="220"/>
      <c r="BE28" s="220"/>
      <c r="BF28" s="220"/>
      <c r="BG28" s="220"/>
      <c r="BH28" s="220"/>
      <c r="BI28" s="220"/>
      <c r="BJ28" s="220"/>
      <c r="BK28" s="220"/>
      <c r="BL28" s="220"/>
      <c r="BM28" s="220">
        <f t="shared" si="6"/>
        <v>3.8888888888888888</v>
      </c>
      <c r="BN28" s="220">
        <f t="shared" si="7"/>
        <v>3.8888888888888888</v>
      </c>
    </row>
    <row r="29" spans="1:66" s="221" customFormat="1" x14ac:dyDescent="0.2">
      <c r="A29" s="219">
        <v>7465</v>
      </c>
      <c r="B29" s="221" t="s">
        <v>822</v>
      </c>
      <c r="C29" s="221" t="s">
        <v>2921</v>
      </c>
      <c r="D29" s="221" t="s">
        <v>2922</v>
      </c>
      <c r="E29" s="221">
        <v>527187</v>
      </c>
      <c r="F29" s="221">
        <v>171602</v>
      </c>
      <c r="G29" s="221" t="s">
        <v>177</v>
      </c>
      <c r="H29" s="222"/>
      <c r="I29" s="222"/>
      <c r="J29" s="220">
        <v>0</v>
      </c>
      <c r="K29" s="220">
        <v>0</v>
      </c>
      <c r="L29" s="220">
        <v>0</v>
      </c>
      <c r="M29" s="184">
        <f t="shared" si="0"/>
        <v>0</v>
      </c>
      <c r="N29" s="220">
        <v>0</v>
      </c>
      <c r="O29" s="220">
        <v>0</v>
      </c>
      <c r="P29" s="220">
        <v>0</v>
      </c>
      <c r="Q29" s="184">
        <f t="shared" si="1"/>
        <v>0</v>
      </c>
      <c r="R29" s="220">
        <v>0</v>
      </c>
      <c r="S29" s="220">
        <v>0</v>
      </c>
      <c r="T29" s="220">
        <v>0</v>
      </c>
      <c r="U29" s="184">
        <f t="shared" si="2"/>
        <v>0</v>
      </c>
      <c r="V29" s="220">
        <v>0</v>
      </c>
      <c r="W29" s="220">
        <v>0</v>
      </c>
      <c r="X29" s="220">
        <v>0</v>
      </c>
      <c r="Y29" s="184">
        <f t="shared" si="3"/>
        <v>0</v>
      </c>
      <c r="Z29" s="220">
        <v>7</v>
      </c>
      <c r="AA29" s="220">
        <v>9</v>
      </c>
      <c r="AB29" s="220">
        <v>2</v>
      </c>
      <c r="AC29" s="184">
        <f t="shared" si="4"/>
        <v>1.1111111111111112</v>
      </c>
      <c r="AD29" s="184">
        <f t="shared" si="8"/>
        <v>1.1111111111111112</v>
      </c>
      <c r="AE29" s="221" t="s">
        <v>2923</v>
      </c>
      <c r="AF29" s="219" t="s">
        <v>332</v>
      </c>
      <c r="AG29" s="222">
        <v>44077</v>
      </c>
      <c r="AH29" s="222">
        <v>44137</v>
      </c>
      <c r="AI29" s="219" t="s">
        <v>321</v>
      </c>
      <c r="AK29" s="222"/>
      <c r="AL29" s="222"/>
      <c r="AM29" s="214" t="s">
        <v>77</v>
      </c>
      <c r="AN29" s="219" t="s">
        <v>350</v>
      </c>
      <c r="AO29" s="219" t="s">
        <v>317</v>
      </c>
      <c r="AP29" s="219"/>
      <c r="AQ29" s="219"/>
      <c r="AR29" s="219"/>
      <c r="AS29" s="220">
        <v>6</v>
      </c>
      <c r="AT29" s="220"/>
      <c r="AU29" s="220"/>
      <c r="AV29" s="220">
        <f t="shared" si="13"/>
        <v>0.27777777777777779</v>
      </c>
      <c r="AW29" s="220">
        <f t="shared" si="14"/>
        <v>0.27777777777777779</v>
      </c>
      <c r="AX29" s="220">
        <f t="shared" si="15"/>
        <v>0.27777777777777779</v>
      </c>
      <c r="AY29" s="220">
        <f t="shared" si="16"/>
        <v>0.27777777777777779</v>
      </c>
      <c r="AZ29" s="220"/>
      <c r="BA29" s="220"/>
      <c r="BB29" s="220"/>
      <c r="BC29" s="220"/>
      <c r="BD29" s="220"/>
      <c r="BE29" s="220"/>
      <c r="BF29" s="220"/>
      <c r="BG29" s="220"/>
      <c r="BH29" s="220"/>
      <c r="BI29" s="220"/>
      <c r="BJ29" s="220"/>
      <c r="BK29" s="220"/>
      <c r="BL29" s="220"/>
      <c r="BM29" s="220">
        <f t="shared" si="6"/>
        <v>1.1111111111111112</v>
      </c>
      <c r="BN29" s="220">
        <f t="shared" si="7"/>
        <v>1.1111111111111112</v>
      </c>
    </row>
    <row r="30" spans="1:66" s="221" customFormat="1" x14ac:dyDescent="0.2">
      <c r="A30" s="219">
        <v>7787</v>
      </c>
      <c r="B30" s="221" t="s">
        <v>822</v>
      </c>
      <c r="C30" s="221" t="s">
        <v>2353</v>
      </c>
      <c r="D30" s="221" t="s">
        <v>2354</v>
      </c>
      <c r="E30" s="221">
        <v>527051</v>
      </c>
      <c r="F30" s="221">
        <v>171896</v>
      </c>
      <c r="G30" s="221" t="s">
        <v>177</v>
      </c>
      <c r="H30" s="222"/>
      <c r="I30" s="222"/>
      <c r="J30" s="220">
        <v>0</v>
      </c>
      <c r="K30" s="220">
        <v>0</v>
      </c>
      <c r="L30" s="220">
        <v>0</v>
      </c>
      <c r="M30" s="184">
        <f t="shared" si="0"/>
        <v>0</v>
      </c>
      <c r="N30" s="220">
        <v>0</v>
      </c>
      <c r="O30" s="220">
        <v>0</v>
      </c>
      <c r="P30" s="220">
        <v>0</v>
      </c>
      <c r="Q30" s="184">
        <f t="shared" si="1"/>
        <v>0</v>
      </c>
      <c r="R30" s="220">
        <v>0</v>
      </c>
      <c r="S30" s="220">
        <v>0</v>
      </c>
      <c r="T30" s="220">
        <v>0</v>
      </c>
      <c r="U30" s="184">
        <f t="shared" si="2"/>
        <v>0</v>
      </c>
      <c r="V30" s="220">
        <v>0</v>
      </c>
      <c r="W30" s="220">
        <v>0</v>
      </c>
      <c r="X30" s="220">
        <v>0</v>
      </c>
      <c r="Y30" s="184">
        <f t="shared" si="3"/>
        <v>0</v>
      </c>
      <c r="Z30" s="220">
        <v>0</v>
      </c>
      <c r="AA30" s="220">
        <v>7</v>
      </c>
      <c r="AB30" s="220">
        <v>7</v>
      </c>
      <c r="AC30" s="184">
        <f t="shared" si="4"/>
        <v>3.8888888888888888</v>
      </c>
      <c r="AD30" s="184">
        <f t="shared" si="8"/>
        <v>3.8888888888888888</v>
      </c>
      <c r="AE30" s="221" t="s">
        <v>2355</v>
      </c>
      <c r="AF30" s="219" t="s">
        <v>332</v>
      </c>
      <c r="AG30" s="222">
        <v>44404</v>
      </c>
      <c r="AH30" s="222">
        <v>44460</v>
      </c>
      <c r="AI30" s="219" t="s">
        <v>321</v>
      </c>
      <c r="AK30" s="222"/>
      <c r="AL30" s="222"/>
      <c r="AM30" s="214" t="s">
        <v>77</v>
      </c>
      <c r="AN30" s="219" t="s">
        <v>340</v>
      </c>
      <c r="AO30" s="219" t="s">
        <v>317</v>
      </c>
      <c r="AP30" s="219"/>
      <c r="AQ30" s="219"/>
      <c r="AR30" s="219"/>
      <c r="AS30" s="220">
        <v>6</v>
      </c>
      <c r="AT30" s="220"/>
      <c r="AU30" s="220"/>
      <c r="AV30" s="220">
        <f t="shared" si="13"/>
        <v>0.97222222222222221</v>
      </c>
      <c r="AW30" s="220">
        <f t="shared" si="14"/>
        <v>0.97222222222222221</v>
      </c>
      <c r="AX30" s="220">
        <f t="shared" si="15"/>
        <v>0.97222222222222221</v>
      </c>
      <c r="AY30" s="220">
        <f t="shared" si="16"/>
        <v>0.97222222222222221</v>
      </c>
      <c r="AZ30" s="220"/>
      <c r="BA30" s="220"/>
      <c r="BB30" s="220"/>
      <c r="BC30" s="220"/>
      <c r="BD30" s="220"/>
      <c r="BE30" s="220"/>
      <c r="BF30" s="220"/>
      <c r="BG30" s="220"/>
      <c r="BH30" s="220"/>
      <c r="BI30" s="220"/>
      <c r="BJ30" s="220"/>
      <c r="BK30" s="220"/>
      <c r="BL30" s="220"/>
      <c r="BM30" s="220">
        <f t="shared" si="6"/>
        <v>3.8888888888888888</v>
      </c>
      <c r="BN30" s="220">
        <f t="shared" si="7"/>
        <v>3.8888888888888888</v>
      </c>
    </row>
    <row r="31" spans="1:66" s="221" customFormat="1" x14ac:dyDescent="0.2">
      <c r="A31" s="219">
        <v>13</v>
      </c>
      <c r="B31" s="221" t="s">
        <v>822</v>
      </c>
      <c r="C31" s="221" t="s">
        <v>2924</v>
      </c>
      <c r="D31" s="221" t="s">
        <v>2925</v>
      </c>
      <c r="E31" s="221">
        <v>527592</v>
      </c>
      <c r="F31" s="221">
        <v>172887</v>
      </c>
      <c r="G31" s="221" t="s">
        <v>178</v>
      </c>
      <c r="H31" s="222"/>
      <c r="I31" s="222"/>
      <c r="J31" s="220">
        <v>0</v>
      </c>
      <c r="K31" s="220">
        <v>0</v>
      </c>
      <c r="L31" s="220">
        <v>0</v>
      </c>
      <c r="M31" s="184">
        <f t="shared" si="0"/>
        <v>0</v>
      </c>
      <c r="N31" s="220">
        <v>0</v>
      </c>
      <c r="O31" s="220">
        <v>8</v>
      </c>
      <c r="P31" s="220">
        <v>8</v>
      </c>
      <c r="Q31" s="184">
        <f t="shared" si="1"/>
        <v>8</v>
      </c>
      <c r="R31" s="220">
        <v>0</v>
      </c>
      <c r="S31" s="220">
        <v>0</v>
      </c>
      <c r="T31" s="220">
        <v>0</v>
      </c>
      <c r="U31" s="184">
        <f t="shared" si="2"/>
        <v>0</v>
      </c>
      <c r="V31" s="220">
        <v>0</v>
      </c>
      <c r="W31" s="220">
        <v>0</v>
      </c>
      <c r="X31" s="220">
        <v>0</v>
      </c>
      <c r="Y31" s="184">
        <f t="shared" si="3"/>
        <v>0</v>
      </c>
      <c r="Z31" s="220">
        <v>0</v>
      </c>
      <c r="AA31" s="220">
        <v>0</v>
      </c>
      <c r="AB31" s="220">
        <v>0</v>
      </c>
      <c r="AC31" s="184">
        <f t="shared" si="4"/>
        <v>0</v>
      </c>
      <c r="AD31" s="184">
        <f t="shared" si="8"/>
        <v>8</v>
      </c>
      <c r="AE31" s="221" t="s">
        <v>2926</v>
      </c>
      <c r="AF31" s="219" t="s">
        <v>332</v>
      </c>
      <c r="AG31" s="222">
        <v>43167</v>
      </c>
      <c r="AH31" s="222">
        <v>43348</v>
      </c>
      <c r="AI31" s="219" t="s">
        <v>321</v>
      </c>
      <c r="AK31" s="222"/>
      <c r="AL31" s="222"/>
      <c r="AM31" s="214" t="s">
        <v>77</v>
      </c>
      <c r="AN31" s="219" t="s">
        <v>350</v>
      </c>
      <c r="AO31" s="219" t="s">
        <v>317</v>
      </c>
      <c r="AP31" s="219"/>
      <c r="AQ31" s="219"/>
      <c r="AR31" s="219" t="s">
        <v>2927</v>
      </c>
      <c r="AS31" s="220">
        <v>6</v>
      </c>
      <c r="AT31" s="220"/>
      <c r="AU31" s="220"/>
      <c r="AV31" s="220">
        <f t="shared" si="13"/>
        <v>2</v>
      </c>
      <c r="AW31" s="220">
        <f t="shared" si="14"/>
        <v>2</v>
      </c>
      <c r="AX31" s="220">
        <f t="shared" si="15"/>
        <v>2</v>
      </c>
      <c r="AY31" s="220">
        <f t="shared" si="16"/>
        <v>2</v>
      </c>
      <c r="AZ31" s="220"/>
      <c r="BA31" s="220"/>
      <c r="BB31" s="220"/>
      <c r="BC31" s="220"/>
      <c r="BD31" s="220"/>
      <c r="BE31" s="220"/>
      <c r="BF31" s="220"/>
      <c r="BG31" s="220"/>
      <c r="BH31" s="220"/>
      <c r="BI31" s="220"/>
      <c r="BJ31" s="220"/>
      <c r="BK31" s="220"/>
      <c r="BL31" s="220"/>
      <c r="BM31" s="220">
        <f t="shared" si="6"/>
        <v>8</v>
      </c>
      <c r="BN31" s="220">
        <f t="shared" si="7"/>
        <v>8</v>
      </c>
    </row>
    <row r="32" spans="1:66" s="221" customFormat="1" x14ac:dyDescent="0.2">
      <c r="A32" s="219">
        <v>2502</v>
      </c>
      <c r="B32" s="221" t="s">
        <v>822</v>
      </c>
      <c r="C32" s="221" t="s">
        <v>1474</v>
      </c>
      <c r="D32" s="221" t="s">
        <v>829</v>
      </c>
      <c r="E32" s="221">
        <v>527221</v>
      </c>
      <c r="F32" s="221">
        <v>172443</v>
      </c>
      <c r="G32" s="215" t="s">
        <v>180</v>
      </c>
      <c r="H32" s="222">
        <v>42244</v>
      </c>
      <c r="I32" s="222"/>
      <c r="J32" s="220">
        <v>0</v>
      </c>
      <c r="K32" s="220">
        <v>0</v>
      </c>
      <c r="L32" s="220">
        <v>0</v>
      </c>
      <c r="M32" s="184">
        <f t="shared" si="0"/>
        <v>0</v>
      </c>
      <c r="N32" s="220">
        <v>46</v>
      </c>
      <c r="O32" s="220">
        <v>0</v>
      </c>
      <c r="P32" s="220">
        <v>-46</v>
      </c>
      <c r="Q32" s="184">
        <f t="shared" si="1"/>
        <v>-46</v>
      </c>
      <c r="R32" s="220">
        <v>0</v>
      </c>
      <c r="S32" s="220">
        <v>0</v>
      </c>
      <c r="T32" s="220">
        <v>0</v>
      </c>
      <c r="U32" s="184">
        <f t="shared" si="2"/>
        <v>0</v>
      </c>
      <c r="V32" s="220">
        <v>0</v>
      </c>
      <c r="W32" s="220">
        <v>0</v>
      </c>
      <c r="X32" s="220">
        <v>0</v>
      </c>
      <c r="Y32" s="184">
        <f t="shared" si="3"/>
        <v>0</v>
      </c>
      <c r="Z32" s="220">
        <v>0</v>
      </c>
      <c r="AA32" s="220">
        <v>0</v>
      </c>
      <c r="AB32" s="220">
        <v>0</v>
      </c>
      <c r="AC32" s="184">
        <f t="shared" si="4"/>
        <v>0</v>
      </c>
      <c r="AD32" s="184">
        <f t="shared" si="8"/>
        <v>-46</v>
      </c>
      <c r="AE32" s="221" t="s">
        <v>1475</v>
      </c>
      <c r="AF32" s="219" t="s">
        <v>864</v>
      </c>
      <c r="AG32" s="222">
        <v>40431</v>
      </c>
      <c r="AH32" s="222">
        <v>40587</v>
      </c>
      <c r="AI32" s="219" t="s">
        <v>865</v>
      </c>
      <c r="AJ32" s="223">
        <v>41082</v>
      </c>
      <c r="AK32" s="222"/>
      <c r="AL32" s="222"/>
      <c r="AM32" s="214" t="s">
        <v>79</v>
      </c>
      <c r="AN32" s="219" t="s">
        <v>1240</v>
      </c>
      <c r="AO32" s="219" t="s">
        <v>832</v>
      </c>
      <c r="AP32" s="219"/>
      <c r="AQ32" s="214" t="s">
        <v>318</v>
      </c>
      <c r="AR32" s="219" t="s">
        <v>2890</v>
      </c>
      <c r="AS32" s="220">
        <v>8</v>
      </c>
      <c r="AT32" s="220"/>
      <c r="AU32" s="220"/>
      <c r="AV32" s="220"/>
      <c r="AW32" s="220"/>
      <c r="AX32" s="220"/>
      <c r="AY32" s="220"/>
      <c r="AZ32" s="220">
        <f>AD32/4</f>
        <v>-11.5</v>
      </c>
      <c r="BA32" s="220">
        <f>AD32/4</f>
        <v>-11.5</v>
      </c>
      <c r="BB32" s="220">
        <f>AD32/4</f>
        <v>-11.5</v>
      </c>
      <c r="BC32" s="220">
        <f>AD32/4</f>
        <v>-11.5</v>
      </c>
      <c r="BD32" s="220"/>
      <c r="BE32" s="220"/>
      <c r="BF32" s="220"/>
      <c r="BG32" s="220"/>
      <c r="BH32" s="220"/>
      <c r="BI32" s="220"/>
      <c r="BJ32" s="220"/>
      <c r="BK32" s="220"/>
      <c r="BL32" s="220"/>
      <c r="BM32" s="220">
        <f t="shared" si="6"/>
        <v>0</v>
      </c>
      <c r="BN32" s="220">
        <f t="shared" si="7"/>
        <v>-46</v>
      </c>
    </row>
    <row r="33" spans="1:66" s="221" customFormat="1" x14ac:dyDescent="0.2">
      <c r="A33" s="219">
        <v>7702</v>
      </c>
      <c r="B33" s="221" t="s">
        <v>2721</v>
      </c>
      <c r="C33" s="221" t="s">
        <v>2928</v>
      </c>
      <c r="D33" s="221" t="s">
        <v>2929</v>
      </c>
      <c r="E33" s="221">
        <v>528703</v>
      </c>
      <c r="F33" s="221">
        <v>171030</v>
      </c>
      <c r="G33" s="221" t="s">
        <v>166</v>
      </c>
      <c r="H33" s="222"/>
      <c r="I33" s="222"/>
      <c r="J33" s="220">
        <v>0</v>
      </c>
      <c r="K33" s="220">
        <v>0</v>
      </c>
      <c r="L33" s="220">
        <v>0</v>
      </c>
      <c r="M33" s="184">
        <f t="shared" si="0"/>
        <v>0</v>
      </c>
      <c r="N33" s="220">
        <v>0</v>
      </c>
      <c r="O33" s="220">
        <v>0</v>
      </c>
      <c r="P33" s="220">
        <v>0</v>
      </c>
      <c r="Q33" s="184">
        <f t="shared" si="1"/>
        <v>0</v>
      </c>
      <c r="R33" s="220">
        <v>0</v>
      </c>
      <c r="S33" s="220">
        <v>0</v>
      </c>
      <c r="T33" s="220">
        <v>0</v>
      </c>
      <c r="U33" s="184">
        <f t="shared" si="2"/>
        <v>0</v>
      </c>
      <c r="V33" s="220">
        <v>0</v>
      </c>
      <c r="W33" s="220">
        <v>63</v>
      </c>
      <c r="X33" s="220">
        <v>63</v>
      </c>
      <c r="Y33" s="184">
        <f t="shared" si="3"/>
        <v>25.2</v>
      </c>
      <c r="Z33" s="220">
        <v>0</v>
      </c>
      <c r="AA33" s="220">
        <v>0</v>
      </c>
      <c r="AB33" s="220">
        <v>0</v>
      </c>
      <c r="AC33" s="184">
        <f t="shared" si="4"/>
        <v>0</v>
      </c>
      <c r="AD33" s="184">
        <f t="shared" si="8"/>
        <v>25.2</v>
      </c>
      <c r="AE33" s="221" t="s">
        <v>2930</v>
      </c>
      <c r="AF33" s="219" t="s">
        <v>2724</v>
      </c>
      <c r="AG33" s="222">
        <v>44364</v>
      </c>
      <c r="AH33" s="222"/>
      <c r="AI33" s="219" t="s">
        <v>321</v>
      </c>
      <c r="AK33" s="222"/>
      <c r="AL33" s="222"/>
      <c r="AM33" s="214" t="s">
        <v>77</v>
      </c>
      <c r="AN33" s="219" t="s">
        <v>340</v>
      </c>
      <c r="AO33" s="219" t="s">
        <v>317</v>
      </c>
      <c r="AP33" s="219"/>
      <c r="AQ33" s="219"/>
      <c r="AR33" s="219"/>
      <c r="AS33" s="220">
        <v>8</v>
      </c>
      <c r="AT33" s="220"/>
      <c r="AU33" s="220"/>
      <c r="AV33" s="220"/>
      <c r="AW33" s="220"/>
      <c r="AX33" s="220"/>
      <c r="AY33" s="220"/>
      <c r="AZ33" s="220">
        <f>AD33/4</f>
        <v>6.3</v>
      </c>
      <c r="BA33" s="220">
        <f>AD33/4</f>
        <v>6.3</v>
      </c>
      <c r="BB33" s="220">
        <f>AD33/4</f>
        <v>6.3</v>
      </c>
      <c r="BC33" s="220">
        <f>AD33/4</f>
        <v>6.3</v>
      </c>
      <c r="BD33" s="220"/>
      <c r="BE33" s="220"/>
      <c r="BF33" s="220"/>
      <c r="BG33" s="220"/>
      <c r="BH33" s="220"/>
      <c r="BI33" s="220"/>
      <c r="BJ33" s="220"/>
      <c r="BK33" s="220"/>
      <c r="BL33" s="220"/>
      <c r="BM33" s="220">
        <f t="shared" si="6"/>
        <v>0</v>
      </c>
      <c r="BN33" s="220">
        <f t="shared" si="7"/>
        <v>25.2</v>
      </c>
    </row>
    <row r="34" spans="1:66" x14ac:dyDescent="0.2">
      <c r="BM34" s="220"/>
      <c r="BN34" s="220"/>
    </row>
  </sheetData>
  <autoFilter ref="A1:BN33" xr:uid="{00000000-0009-0000-0000-000005000000}">
    <sortState xmlns:xlrd2="http://schemas.microsoft.com/office/spreadsheetml/2017/richdata2" ref="A2:BN33">
      <sortCondition ref="B1:B33"/>
    </sortState>
  </autoFilter>
  <printOptions horizontalCentered="1"/>
  <pageMargins left="0.39370078740157483" right="0.39370078740157483" top="0.39370078740157483" bottom="0.39370078740157483" header="0.19685039370078741" footer="0.19685039370078741"/>
  <pageSetup paperSize="9" scale="20" fitToHeight="0" orientation="landscape" r:id="rId1"/>
  <headerFooter alignWithMargins="0">
    <oddHeader>&amp;L&amp;"Calibri"&amp;10&amp;K000000Official&amp;1#</oddHeader>
    <oddFooter>&amp;C&amp;8&amp;P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15DEC-D4C8-4131-BBA6-8C0508292C94}">
  <sheetPr>
    <pageSetUpPr autoPageBreaks="0" fitToPage="1"/>
  </sheetPr>
  <dimension ref="A1:C44"/>
  <sheetViews>
    <sheetView zoomScale="95" zoomScaleNormal="95" workbookViewId="0">
      <selection sqref="A1:C1"/>
    </sheetView>
  </sheetViews>
  <sheetFormatPr defaultColWidth="9.109375" defaultRowHeight="13.2" x14ac:dyDescent="0.25"/>
  <cols>
    <col min="1" max="1" width="9.33203125" style="113" customWidth="1"/>
    <col min="2" max="2" width="29.44140625" style="118" customWidth="1"/>
    <col min="3" max="3" width="69.88671875" style="118" customWidth="1"/>
    <col min="4" max="4" width="70.33203125" style="118" customWidth="1"/>
    <col min="5" max="16384" width="9.109375" style="118"/>
  </cols>
  <sheetData>
    <row r="1" spans="1:3" s="113" customFormat="1" ht="15.6" x14ac:dyDescent="0.3">
      <c r="A1" s="388" t="s">
        <v>2931</v>
      </c>
      <c r="B1" s="388"/>
      <c r="C1" s="388"/>
    </row>
    <row r="2" spans="1:3" s="116" customFormat="1" ht="11.4" x14ac:dyDescent="0.2">
      <c r="A2" s="114"/>
      <c r="B2" s="115"/>
      <c r="C2" s="115"/>
    </row>
    <row r="3" spans="1:3" s="116" customFormat="1" x14ac:dyDescent="0.2">
      <c r="A3" s="389" t="s">
        <v>2932</v>
      </c>
      <c r="B3" s="389"/>
      <c r="C3" s="389"/>
    </row>
    <row r="4" spans="1:3" s="116" customFormat="1" ht="11.4" x14ac:dyDescent="0.2">
      <c r="A4" s="114"/>
      <c r="B4" s="115"/>
      <c r="C4" s="115"/>
    </row>
    <row r="5" spans="1:3" x14ac:dyDescent="0.25">
      <c r="A5" s="376" t="s">
        <v>2933</v>
      </c>
      <c r="B5" s="377"/>
      <c r="C5" s="117" t="s">
        <v>307</v>
      </c>
    </row>
    <row r="6" spans="1:3" ht="22.8" x14ac:dyDescent="0.25">
      <c r="A6" s="119">
        <v>1</v>
      </c>
      <c r="B6" s="120" t="s">
        <v>2934</v>
      </c>
      <c r="C6" s="120" t="s">
        <v>2935</v>
      </c>
    </row>
    <row r="7" spans="1:3" x14ac:dyDescent="0.25">
      <c r="A7" s="119">
        <v>2</v>
      </c>
      <c r="B7" s="379" t="s">
        <v>2936</v>
      </c>
      <c r="C7" s="120" t="s">
        <v>2937</v>
      </c>
    </row>
    <row r="8" spans="1:3" ht="22.95" customHeight="1" x14ac:dyDescent="0.25">
      <c r="A8" s="119">
        <v>3</v>
      </c>
      <c r="B8" s="380"/>
      <c r="C8" s="120" t="s">
        <v>2938</v>
      </c>
    </row>
    <row r="9" spans="1:3" ht="22.8" x14ac:dyDescent="0.25">
      <c r="A9" s="119">
        <v>4</v>
      </c>
      <c r="B9" s="381"/>
      <c r="C9" s="120" t="s">
        <v>2939</v>
      </c>
    </row>
    <row r="10" spans="1:3" ht="22.8" x14ac:dyDescent="0.25">
      <c r="A10" s="119">
        <v>5</v>
      </c>
      <c r="B10" s="379" t="s">
        <v>2940</v>
      </c>
      <c r="C10" s="120" t="s">
        <v>2941</v>
      </c>
    </row>
    <row r="11" spans="1:3" ht="34.200000000000003" x14ac:dyDescent="0.25">
      <c r="A11" s="121">
        <v>6</v>
      </c>
      <c r="B11" s="381"/>
      <c r="C11" s="120" t="s">
        <v>2942</v>
      </c>
    </row>
    <row r="12" spans="1:3" ht="57" x14ac:dyDescent="0.25">
      <c r="A12" s="119">
        <v>7</v>
      </c>
      <c r="B12" s="120" t="s">
        <v>2943</v>
      </c>
      <c r="C12" s="120" t="s">
        <v>2944</v>
      </c>
    </row>
    <row r="13" spans="1:3" x14ac:dyDescent="0.25">
      <c r="A13" s="119">
        <v>8</v>
      </c>
      <c r="B13" s="379" t="s">
        <v>2945</v>
      </c>
      <c r="C13" s="120" t="s">
        <v>2937</v>
      </c>
    </row>
    <row r="14" spans="1:3" ht="45.6" x14ac:dyDescent="0.25">
      <c r="A14" s="119">
        <v>9</v>
      </c>
      <c r="B14" s="380"/>
      <c r="C14" s="120" t="s">
        <v>2946</v>
      </c>
    </row>
    <row r="15" spans="1:3" ht="34.200000000000003" x14ac:dyDescent="0.25">
      <c r="A15" s="119">
        <v>10</v>
      </c>
      <c r="B15" s="381"/>
      <c r="C15" s="120" t="s">
        <v>2947</v>
      </c>
    </row>
    <row r="16" spans="1:3" x14ac:dyDescent="0.25">
      <c r="A16" s="122"/>
      <c r="B16" s="123"/>
      <c r="C16" s="123"/>
    </row>
    <row r="17" spans="1:3" x14ac:dyDescent="0.25">
      <c r="A17" s="382" t="s">
        <v>2948</v>
      </c>
      <c r="B17" s="382"/>
      <c r="C17" s="382"/>
    </row>
    <row r="18" spans="1:3" x14ac:dyDescent="0.25">
      <c r="A18" s="124"/>
      <c r="B18" s="125"/>
      <c r="C18" s="125"/>
    </row>
    <row r="19" spans="1:3" x14ac:dyDescent="0.25">
      <c r="A19" s="376" t="s">
        <v>2933</v>
      </c>
      <c r="B19" s="377"/>
      <c r="C19" s="117" t="s">
        <v>307</v>
      </c>
    </row>
    <row r="20" spans="1:3" ht="34.200000000000003" x14ac:dyDescent="0.25">
      <c r="A20" s="119">
        <v>11</v>
      </c>
      <c r="B20" s="120" t="s">
        <v>2949</v>
      </c>
      <c r="C20" s="120" t="s">
        <v>2935</v>
      </c>
    </row>
    <row r="21" spans="1:3" x14ac:dyDescent="0.25">
      <c r="A21" s="183">
        <v>12</v>
      </c>
      <c r="B21" s="379" t="s">
        <v>2950</v>
      </c>
      <c r="C21" s="127" t="s">
        <v>2951</v>
      </c>
    </row>
    <row r="22" spans="1:3" ht="22.95" customHeight="1" x14ac:dyDescent="0.25">
      <c r="A22" s="183">
        <v>13</v>
      </c>
      <c r="B22" s="380"/>
      <c r="C22" s="120" t="s">
        <v>2952</v>
      </c>
    </row>
    <row r="23" spans="1:3" ht="22.8" x14ac:dyDescent="0.25">
      <c r="A23" s="183">
        <v>14</v>
      </c>
      <c r="B23" s="381"/>
      <c r="C23" s="120" t="s">
        <v>2939</v>
      </c>
    </row>
    <row r="24" spans="1:3" ht="68.400000000000006" x14ac:dyDescent="0.25">
      <c r="A24" s="183">
        <v>15</v>
      </c>
      <c r="B24" s="126" t="s">
        <v>2953</v>
      </c>
      <c r="C24" s="127" t="s">
        <v>2954</v>
      </c>
    </row>
    <row r="25" spans="1:3" x14ac:dyDescent="0.25">
      <c r="A25" s="183">
        <v>16</v>
      </c>
      <c r="B25" s="383" t="s">
        <v>2955</v>
      </c>
      <c r="C25" s="127" t="s">
        <v>2951</v>
      </c>
    </row>
    <row r="26" spans="1:3" ht="45.6" x14ac:dyDescent="0.25">
      <c r="A26" s="183">
        <v>17</v>
      </c>
      <c r="B26" s="384"/>
      <c r="C26" s="127" t="s">
        <v>2956</v>
      </c>
    </row>
    <row r="27" spans="1:3" ht="34.200000000000003" x14ac:dyDescent="0.25">
      <c r="A27" s="183">
        <v>18</v>
      </c>
      <c r="B27" s="385"/>
      <c r="C27" s="127" t="s">
        <v>2957</v>
      </c>
    </row>
    <row r="28" spans="1:3" x14ac:dyDescent="0.25">
      <c r="A28" s="128"/>
      <c r="B28" s="129"/>
      <c r="C28" s="129"/>
    </row>
    <row r="29" spans="1:3" x14ac:dyDescent="0.25">
      <c r="A29" s="386" t="s">
        <v>69</v>
      </c>
      <c r="B29" s="386"/>
      <c r="C29" s="386"/>
    </row>
    <row r="30" spans="1:3" x14ac:dyDescent="0.25">
      <c r="A30" s="130"/>
      <c r="B30" s="131"/>
      <c r="C30" s="131"/>
    </row>
    <row r="31" spans="1:3" x14ac:dyDescent="0.25">
      <c r="A31" s="376" t="s">
        <v>2933</v>
      </c>
      <c r="B31" s="377"/>
      <c r="C31" s="117" t="s">
        <v>307</v>
      </c>
    </row>
    <row r="32" spans="1:3" ht="91.2" x14ac:dyDescent="0.25">
      <c r="A32" s="183">
        <v>19</v>
      </c>
      <c r="B32" s="126" t="s">
        <v>2958</v>
      </c>
      <c r="C32" s="182" t="s">
        <v>2959</v>
      </c>
    </row>
    <row r="33" spans="1:3" ht="45.6" x14ac:dyDescent="0.25">
      <c r="A33" s="183">
        <v>20</v>
      </c>
      <c r="B33" s="126" t="s">
        <v>2960</v>
      </c>
      <c r="C33" s="120" t="s">
        <v>2961</v>
      </c>
    </row>
    <row r="34" spans="1:3" x14ac:dyDescent="0.25">
      <c r="A34" s="128"/>
      <c r="B34" s="129"/>
      <c r="C34" s="129"/>
    </row>
    <row r="35" spans="1:3" x14ac:dyDescent="0.25">
      <c r="A35" s="387" t="s">
        <v>2962</v>
      </c>
      <c r="B35" s="387"/>
      <c r="C35" s="387"/>
    </row>
    <row r="36" spans="1:3" x14ac:dyDescent="0.25">
      <c r="A36" s="132"/>
      <c r="B36" s="133"/>
      <c r="C36" s="133"/>
    </row>
    <row r="37" spans="1:3" x14ac:dyDescent="0.25">
      <c r="A37" s="376" t="s">
        <v>2933</v>
      </c>
      <c r="B37" s="377"/>
      <c r="C37" s="117" t="s">
        <v>307</v>
      </c>
    </row>
    <row r="38" spans="1:3" ht="68.400000000000006" x14ac:dyDescent="0.25">
      <c r="A38" s="183">
        <v>21</v>
      </c>
      <c r="B38" s="126" t="s">
        <v>2963</v>
      </c>
      <c r="C38" s="120" t="s">
        <v>2964</v>
      </c>
    </row>
    <row r="39" spans="1:3" ht="57" x14ac:dyDescent="0.25">
      <c r="A39" s="183">
        <v>22</v>
      </c>
      <c r="B39" s="126" t="s">
        <v>2965</v>
      </c>
      <c r="C39" s="120" t="s">
        <v>2966</v>
      </c>
    </row>
    <row r="41" spans="1:3" x14ac:dyDescent="0.25">
      <c r="A41" s="378" t="s">
        <v>2887</v>
      </c>
      <c r="B41" s="378"/>
      <c r="C41" s="378"/>
    </row>
    <row r="43" spans="1:3" x14ac:dyDescent="0.25">
      <c r="A43" s="376" t="s">
        <v>2933</v>
      </c>
      <c r="B43" s="377"/>
      <c r="C43" s="117" t="s">
        <v>307</v>
      </c>
    </row>
    <row r="44" spans="1:3" x14ac:dyDescent="0.25">
      <c r="A44" s="119">
        <v>23</v>
      </c>
      <c r="B44" s="126" t="s">
        <v>2967</v>
      </c>
      <c r="C44" s="126" t="s">
        <v>2968</v>
      </c>
    </row>
  </sheetData>
  <mergeCells count="16">
    <mergeCell ref="A1:C1"/>
    <mergeCell ref="A3:C3"/>
    <mergeCell ref="A5:B5"/>
    <mergeCell ref="B10:B11"/>
    <mergeCell ref="B13:B15"/>
    <mergeCell ref="A37:B37"/>
    <mergeCell ref="A41:C41"/>
    <mergeCell ref="A43:B43"/>
    <mergeCell ref="B7:B9"/>
    <mergeCell ref="A17:C17"/>
    <mergeCell ref="A19:B19"/>
    <mergeCell ref="B21:B23"/>
    <mergeCell ref="B25:B27"/>
    <mergeCell ref="A29:C29"/>
    <mergeCell ref="A31:B31"/>
    <mergeCell ref="A35:C35"/>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Header>&amp;L&amp;"Calibri"&amp;10&amp;K000000 Official&amp;1#_x000D_</oddHeader>
    <oddFooter>&amp;C&amp;8&amp;P of &amp;N</oddFooter>
  </headerFooter>
  <rowBreaks count="1" manualBreakCount="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2E3B-B64D-42A2-9BE6-A46E50CEE606}">
  <sheetPr>
    <pageSetUpPr autoPageBreaks="0" fitToPage="1"/>
  </sheetPr>
  <dimension ref="A1:C12"/>
  <sheetViews>
    <sheetView zoomScaleNormal="100" workbookViewId="0">
      <selection sqref="A1:C1"/>
    </sheetView>
  </sheetViews>
  <sheetFormatPr defaultColWidth="9.109375" defaultRowHeight="13.2" x14ac:dyDescent="0.25"/>
  <cols>
    <col min="1" max="1" width="3" style="113" bestFit="1" customWidth="1"/>
    <col min="2" max="2" width="29.44140625" style="118" customWidth="1"/>
    <col min="3" max="3" width="69.88671875" style="118" customWidth="1"/>
    <col min="4" max="16384" width="9.109375" style="118"/>
  </cols>
  <sheetData>
    <row r="1" spans="1:3" s="113" customFormat="1" ht="18" customHeight="1" x14ac:dyDescent="0.3">
      <c r="A1" s="388" t="s">
        <v>2969</v>
      </c>
      <c r="B1" s="388"/>
      <c r="C1" s="388"/>
    </row>
    <row r="2" spans="1:3" s="116" customFormat="1" ht="11.4" x14ac:dyDescent="0.2">
      <c r="A2" s="114"/>
      <c r="B2" s="115"/>
      <c r="C2" s="115"/>
    </row>
    <row r="3" spans="1:3" x14ac:dyDescent="0.25">
      <c r="A3" s="376" t="s">
        <v>2933</v>
      </c>
      <c r="B3" s="377"/>
      <c r="C3" s="117" t="s">
        <v>2970</v>
      </c>
    </row>
    <row r="4" spans="1:3" x14ac:dyDescent="0.25">
      <c r="A4" s="119">
        <v>1</v>
      </c>
      <c r="B4" s="120" t="s">
        <v>2971</v>
      </c>
      <c r="C4" s="120" t="s">
        <v>2935</v>
      </c>
    </row>
    <row r="5" spans="1:3" ht="22.8" x14ac:dyDescent="0.25">
      <c r="A5" s="119">
        <v>2</v>
      </c>
      <c r="B5" s="390" t="s">
        <v>2972</v>
      </c>
      <c r="C5" s="120" t="s">
        <v>2938</v>
      </c>
    </row>
    <row r="6" spans="1:3" ht="22.8" x14ac:dyDescent="0.25">
      <c r="A6" s="119">
        <v>3</v>
      </c>
      <c r="B6" s="391"/>
      <c r="C6" s="120" t="s">
        <v>2973</v>
      </c>
    </row>
    <row r="7" spans="1:3" ht="22.8" x14ac:dyDescent="0.25">
      <c r="A7" s="119">
        <v>4</v>
      </c>
      <c r="B7" s="379" t="s">
        <v>2974</v>
      </c>
      <c r="C7" s="120" t="s">
        <v>2975</v>
      </c>
    </row>
    <row r="8" spans="1:3" ht="34.200000000000003" x14ac:dyDescent="0.25">
      <c r="A8" s="121">
        <v>5</v>
      </c>
      <c r="B8" s="381"/>
      <c r="C8" s="120" t="s">
        <v>2976</v>
      </c>
    </row>
    <row r="9" spans="1:3" ht="45.6" x14ac:dyDescent="0.25">
      <c r="A9" s="119">
        <v>6</v>
      </c>
      <c r="B9" s="120" t="s">
        <v>2977</v>
      </c>
      <c r="C9" s="120" t="s">
        <v>2978</v>
      </c>
    </row>
    <row r="10" spans="1:3" x14ac:dyDescent="0.25">
      <c r="A10" s="119">
        <v>7</v>
      </c>
      <c r="B10" s="379" t="s">
        <v>2979</v>
      </c>
      <c r="C10" s="120" t="s">
        <v>2937</v>
      </c>
    </row>
    <row r="11" spans="1:3" ht="48" customHeight="1" x14ac:dyDescent="0.25">
      <c r="A11" s="119">
        <v>8</v>
      </c>
      <c r="B11" s="380"/>
      <c r="C11" s="120" t="s">
        <v>2980</v>
      </c>
    </row>
    <row r="12" spans="1:3" ht="34.200000000000003" x14ac:dyDescent="0.25">
      <c r="A12" s="119">
        <v>9</v>
      </c>
      <c r="B12" s="381"/>
      <c r="C12" s="120" t="s">
        <v>2981</v>
      </c>
    </row>
  </sheetData>
  <mergeCells count="5">
    <mergeCell ref="A1:C1"/>
    <mergeCell ref="A3:B3"/>
    <mergeCell ref="B5:B6"/>
    <mergeCell ref="B7:B8"/>
    <mergeCell ref="B10:B12"/>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Header>&amp;L&amp;"Calibri"&amp;10&amp;K000000 Official&amp;1#_x000D_</oddHeader>
    <oddFooter>&amp;C&amp;8&amp;P of &amp;N</oddFooter>
  </headerFooter>
  <rowBreaks count="1" manualBreakCount="1">
    <brk id="15"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autoPageBreaks="0" fitToPage="1"/>
  </sheetPr>
  <dimension ref="A1:C94"/>
  <sheetViews>
    <sheetView workbookViewId="0">
      <selection sqref="A1:B1"/>
    </sheetView>
  </sheetViews>
  <sheetFormatPr defaultColWidth="9.109375" defaultRowHeight="13.2" x14ac:dyDescent="0.25"/>
  <cols>
    <col min="1" max="1" width="8.6640625" style="2" bestFit="1" customWidth="1"/>
    <col min="2" max="2" width="49.109375" style="2" bestFit="1" customWidth="1"/>
    <col min="3" max="3" width="31" style="2" customWidth="1"/>
    <col min="4" max="16384" width="9.109375" style="2"/>
  </cols>
  <sheetData>
    <row r="1" spans="1:3" s="52" customFormat="1" ht="18" customHeight="1" x14ac:dyDescent="0.3">
      <c r="A1" s="394" t="s">
        <v>2982</v>
      </c>
      <c r="B1" s="394"/>
      <c r="C1" s="76"/>
    </row>
    <row r="2" spans="1:3" s="79" customFormat="1" ht="12" x14ac:dyDescent="0.25">
      <c r="A2" s="51"/>
      <c r="B2" s="51"/>
      <c r="C2" s="51"/>
    </row>
    <row r="3" spans="1:3" x14ac:dyDescent="0.25">
      <c r="A3" s="392" t="s">
        <v>258</v>
      </c>
      <c r="B3" s="393"/>
    </row>
    <row r="4" spans="1:3" x14ac:dyDescent="0.25">
      <c r="A4" s="80" t="s">
        <v>2983</v>
      </c>
      <c r="B4" s="80" t="s">
        <v>2984</v>
      </c>
    </row>
    <row r="5" spans="1:3" x14ac:dyDescent="0.25">
      <c r="A5" s="80" t="s">
        <v>2985</v>
      </c>
      <c r="B5" s="80" t="s">
        <v>2986</v>
      </c>
    </row>
    <row r="6" spans="1:3" x14ac:dyDescent="0.25">
      <c r="A6" s="80" t="s">
        <v>517</v>
      </c>
      <c r="B6" s="80" t="s">
        <v>2987</v>
      </c>
    </row>
    <row r="7" spans="1:3" x14ac:dyDescent="0.25">
      <c r="A7" s="80" t="s">
        <v>2988</v>
      </c>
      <c r="B7" s="80" t="s">
        <v>2989</v>
      </c>
    </row>
    <row r="8" spans="1:3" x14ac:dyDescent="0.25">
      <c r="A8" s="80" t="s">
        <v>639</v>
      </c>
      <c r="B8" s="80" t="s">
        <v>2990</v>
      </c>
    </row>
    <row r="9" spans="1:3" x14ac:dyDescent="0.25">
      <c r="A9" s="80" t="s">
        <v>673</v>
      </c>
      <c r="B9" s="80" t="s">
        <v>2991</v>
      </c>
    </row>
    <row r="10" spans="1:3" x14ac:dyDescent="0.25">
      <c r="A10" s="80" t="s">
        <v>2739</v>
      </c>
      <c r="B10" s="80" t="s">
        <v>2992</v>
      </c>
    </row>
    <row r="11" spans="1:3" x14ac:dyDescent="0.25">
      <c r="A11" s="80" t="s">
        <v>2993</v>
      </c>
      <c r="B11" s="80" t="s">
        <v>2994</v>
      </c>
    </row>
    <row r="12" spans="1:3" x14ac:dyDescent="0.25">
      <c r="A12" s="80" t="s">
        <v>629</v>
      </c>
      <c r="B12" s="80" t="s">
        <v>2995</v>
      </c>
    </row>
    <row r="13" spans="1:3" x14ac:dyDescent="0.25">
      <c r="A13" s="80" t="s">
        <v>428</v>
      </c>
      <c r="B13" s="80" t="s">
        <v>2996</v>
      </c>
    </row>
    <row r="14" spans="1:3" x14ac:dyDescent="0.25">
      <c r="A14" s="80" t="s">
        <v>2997</v>
      </c>
      <c r="B14" s="80" t="s">
        <v>2998</v>
      </c>
    </row>
    <row r="15" spans="1:3" x14ac:dyDescent="0.25">
      <c r="A15" s="80" t="s">
        <v>332</v>
      </c>
      <c r="B15" s="80" t="s">
        <v>2999</v>
      </c>
    </row>
    <row r="16" spans="1:3" x14ac:dyDescent="0.25">
      <c r="A16" s="80" t="s">
        <v>320</v>
      </c>
      <c r="B16" s="80" t="s">
        <v>3000</v>
      </c>
    </row>
    <row r="17" spans="1:2" x14ac:dyDescent="0.25">
      <c r="A17" s="80" t="s">
        <v>3001</v>
      </c>
      <c r="B17" s="80" t="s">
        <v>3002</v>
      </c>
    </row>
    <row r="18" spans="1:2" x14ac:dyDescent="0.25">
      <c r="A18" s="80" t="s">
        <v>2651</v>
      </c>
      <c r="B18" s="80" t="s">
        <v>3003</v>
      </c>
    </row>
    <row r="19" spans="1:2" x14ac:dyDescent="0.25">
      <c r="A19" s="80" t="s">
        <v>1695</v>
      </c>
      <c r="B19" s="80" t="s">
        <v>3004</v>
      </c>
    </row>
    <row r="20" spans="1:2" x14ac:dyDescent="0.25">
      <c r="A20" s="77" t="s">
        <v>847</v>
      </c>
      <c r="B20" s="80" t="s">
        <v>3005</v>
      </c>
    </row>
    <row r="21" spans="1:2" x14ac:dyDescent="0.25">
      <c r="A21" s="80" t="s">
        <v>864</v>
      </c>
      <c r="B21" s="80" t="s">
        <v>3006</v>
      </c>
    </row>
    <row r="22" spans="1:2" x14ac:dyDescent="0.25">
      <c r="A22" s="80" t="s">
        <v>344</v>
      </c>
      <c r="B22" s="80" t="s">
        <v>3007</v>
      </c>
    </row>
    <row r="23" spans="1:2" x14ac:dyDescent="0.25">
      <c r="A23" s="80" t="s">
        <v>469</v>
      </c>
      <c r="B23" s="80" t="s">
        <v>3008</v>
      </c>
    </row>
    <row r="24" spans="1:2" x14ac:dyDescent="0.25">
      <c r="A24" s="80" t="s">
        <v>655</v>
      </c>
      <c r="B24" s="80" t="s">
        <v>3009</v>
      </c>
    </row>
    <row r="25" spans="1:2" x14ac:dyDescent="0.25">
      <c r="A25" s="80" t="s">
        <v>2724</v>
      </c>
      <c r="B25" s="80" t="s">
        <v>3010</v>
      </c>
    </row>
    <row r="26" spans="1:2" x14ac:dyDescent="0.25">
      <c r="A26" s="80" t="s">
        <v>3011</v>
      </c>
      <c r="B26" s="80" t="s">
        <v>3012</v>
      </c>
    </row>
    <row r="27" spans="1:2" x14ac:dyDescent="0.25">
      <c r="A27" s="80" t="s">
        <v>3013</v>
      </c>
      <c r="B27" s="80" t="s">
        <v>3014</v>
      </c>
    </row>
    <row r="28" spans="1:2" x14ac:dyDescent="0.25">
      <c r="A28" s="3"/>
      <c r="B28" s="3"/>
    </row>
    <row r="29" spans="1:2" x14ac:dyDescent="0.25">
      <c r="A29" s="392" t="s">
        <v>262</v>
      </c>
      <c r="B29" s="393"/>
    </row>
    <row r="30" spans="1:2" x14ac:dyDescent="0.25">
      <c r="A30" s="80" t="s">
        <v>3015</v>
      </c>
      <c r="B30" s="80" t="s">
        <v>3016</v>
      </c>
    </row>
    <row r="31" spans="1:2" x14ac:dyDescent="0.25">
      <c r="A31" s="80" t="s">
        <v>865</v>
      </c>
      <c r="B31" s="80" t="s">
        <v>3017</v>
      </c>
    </row>
    <row r="32" spans="1:2" x14ac:dyDescent="0.25">
      <c r="A32" s="80" t="s">
        <v>3018</v>
      </c>
      <c r="B32" s="80" t="s">
        <v>3019</v>
      </c>
    </row>
    <row r="33" spans="1:2" x14ac:dyDescent="0.25">
      <c r="A33" s="80" t="s">
        <v>3020</v>
      </c>
      <c r="B33" s="80" t="s">
        <v>3021</v>
      </c>
    </row>
    <row r="34" spans="1:2" x14ac:dyDescent="0.25">
      <c r="A34" s="80" t="s">
        <v>321</v>
      </c>
      <c r="B34" s="80" t="s">
        <v>3022</v>
      </c>
    </row>
    <row r="35" spans="1:2" x14ac:dyDescent="0.25">
      <c r="A35" s="3"/>
      <c r="B35" s="3"/>
    </row>
    <row r="36" spans="1:2" x14ac:dyDescent="0.25">
      <c r="A36" s="392" t="s">
        <v>264</v>
      </c>
      <c r="B36" s="393"/>
    </row>
    <row r="37" spans="1:2" x14ac:dyDescent="0.25">
      <c r="A37" s="80" t="s">
        <v>322</v>
      </c>
      <c r="B37" s="80" t="s">
        <v>3023</v>
      </c>
    </row>
    <row r="38" spans="1:2" x14ac:dyDescent="0.25">
      <c r="A38" s="80" t="s">
        <v>3024</v>
      </c>
      <c r="B38" s="80" t="s">
        <v>3025</v>
      </c>
    </row>
    <row r="39" spans="1:2" x14ac:dyDescent="0.25">
      <c r="A39" s="80" t="s">
        <v>418</v>
      </c>
      <c r="B39" s="80" t="s">
        <v>3026</v>
      </c>
    </row>
    <row r="40" spans="1:2" x14ac:dyDescent="0.25">
      <c r="A40" s="3"/>
      <c r="B40" s="3"/>
    </row>
    <row r="41" spans="1:2" x14ac:dyDescent="0.25">
      <c r="A41" s="392" t="s">
        <v>105</v>
      </c>
      <c r="B41" s="393"/>
    </row>
    <row r="42" spans="1:2" x14ac:dyDescent="0.25">
      <c r="A42" s="80" t="s">
        <v>365</v>
      </c>
      <c r="B42" s="80" t="s">
        <v>2560</v>
      </c>
    </row>
    <row r="43" spans="1:2" x14ac:dyDescent="0.25">
      <c r="A43" s="80" t="s">
        <v>378</v>
      </c>
      <c r="B43" s="80" t="s">
        <v>3027</v>
      </c>
    </row>
    <row r="44" spans="1:2" x14ac:dyDescent="0.25">
      <c r="A44" s="80" t="s">
        <v>339</v>
      </c>
      <c r="B44" s="80" t="s">
        <v>3028</v>
      </c>
    </row>
    <row r="45" spans="1:2" x14ac:dyDescent="0.25">
      <c r="A45" s="80" t="s">
        <v>338</v>
      </c>
      <c r="B45" s="80" t="s">
        <v>3029</v>
      </c>
    </row>
    <row r="46" spans="1:2" x14ac:dyDescent="0.25">
      <c r="A46" s="80" t="s">
        <v>323</v>
      </c>
      <c r="B46" s="80" t="s">
        <v>2675</v>
      </c>
    </row>
    <row r="47" spans="1:2" x14ac:dyDescent="0.25">
      <c r="A47" s="80" t="s">
        <v>2858</v>
      </c>
      <c r="B47" s="80" t="s">
        <v>79</v>
      </c>
    </row>
    <row r="48" spans="1:2" x14ac:dyDescent="0.25">
      <c r="A48" s="3"/>
      <c r="B48" s="3"/>
    </row>
    <row r="49" spans="1:2" x14ac:dyDescent="0.25">
      <c r="A49" s="392" t="s">
        <v>265</v>
      </c>
      <c r="B49" s="393"/>
    </row>
    <row r="50" spans="1:2" x14ac:dyDescent="0.25">
      <c r="A50" s="80" t="s">
        <v>339</v>
      </c>
      <c r="B50" s="80" t="s">
        <v>2614</v>
      </c>
    </row>
    <row r="51" spans="1:2" x14ac:dyDescent="0.25">
      <c r="A51" s="80" t="s">
        <v>812</v>
      </c>
      <c r="B51" s="80" t="s">
        <v>3030</v>
      </c>
    </row>
    <row r="52" spans="1:2" x14ac:dyDescent="0.25">
      <c r="A52" s="80" t="s">
        <v>324</v>
      </c>
      <c r="B52" s="80" t="s">
        <v>3031</v>
      </c>
    </row>
    <row r="53" spans="1:2" x14ac:dyDescent="0.25">
      <c r="A53" s="80" t="s">
        <v>323</v>
      </c>
      <c r="B53" s="80" t="s">
        <v>3032</v>
      </c>
    </row>
    <row r="54" spans="1:2" x14ac:dyDescent="0.25">
      <c r="A54" s="80" t="s">
        <v>656</v>
      </c>
      <c r="B54" s="80" t="s">
        <v>2887</v>
      </c>
    </row>
    <row r="55" spans="1:2" x14ac:dyDescent="0.25">
      <c r="A55" s="80" t="s">
        <v>879</v>
      </c>
      <c r="B55" s="80" t="s">
        <v>3033</v>
      </c>
    </row>
    <row r="56" spans="1:2" x14ac:dyDescent="0.25">
      <c r="A56" s="77" t="s">
        <v>843</v>
      </c>
      <c r="B56" s="80" t="s">
        <v>3034</v>
      </c>
    </row>
    <row r="57" spans="1:2" x14ac:dyDescent="0.25">
      <c r="A57" s="3"/>
      <c r="B57" s="3"/>
    </row>
    <row r="58" spans="1:2" x14ac:dyDescent="0.25">
      <c r="A58" s="392" t="s">
        <v>266</v>
      </c>
      <c r="B58" s="393"/>
    </row>
    <row r="59" spans="1:2" x14ac:dyDescent="0.25">
      <c r="A59" s="77" t="s">
        <v>15</v>
      </c>
      <c r="B59" s="78" t="s">
        <v>3035</v>
      </c>
    </row>
    <row r="60" spans="1:2" x14ac:dyDescent="0.25">
      <c r="A60" s="77" t="s">
        <v>17</v>
      </c>
      <c r="B60" s="78" t="s">
        <v>3036</v>
      </c>
    </row>
    <row r="61" spans="1:2" x14ac:dyDescent="0.25">
      <c r="A61" s="77" t="s">
        <v>553</v>
      </c>
      <c r="B61" s="78" t="s">
        <v>3037</v>
      </c>
    </row>
    <row r="62" spans="1:2" x14ac:dyDescent="0.25">
      <c r="A62" s="77" t="s">
        <v>411</v>
      </c>
      <c r="B62" s="78" t="s">
        <v>3038</v>
      </c>
    </row>
    <row r="63" spans="1:2" x14ac:dyDescent="0.25">
      <c r="A63" s="77" t="s">
        <v>22</v>
      </c>
      <c r="B63" s="77" t="s">
        <v>3039</v>
      </c>
    </row>
    <row r="64" spans="1:2" x14ac:dyDescent="0.25">
      <c r="A64" s="77" t="s">
        <v>25</v>
      </c>
      <c r="B64" s="77" t="s">
        <v>3040</v>
      </c>
    </row>
    <row r="65" spans="1:2" x14ac:dyDescent="0.25">
      <c r="A65" s="77" t="s">
        <v>28</v>
      </c>
      <c r="B65" s="77" t="s">
        <v>3041</v>
      </c>
    </row>
    <row r="66" spans="1:2" x14ac:dyDescent="0.25">
      <c r="A66" s="77" t="s">
        <v>31</v>
      </c>
      <c r="B66" s="77" t="s">
        <v>3042</v>
      </c>
    </row>
    <row r="67" spans="1:2" x14ac:dyDescent="0.25">
      <c r="A67" s="77" t="s">
        <v>34</v>
      </c>
      <c r="B67" s="77" t="s">
        <v>3043</v>
      </c>
    </row>
    <row r="68" spans="1:2" x14ac:dyDescent="0.25">
      <c r="A68" s="77" t="s">
        <v>36</v>
      </c>
      <c r="B68" s="77" t="s">
        <v>3044</v>
      </c>
    </row>
    <row r="69" spans="1:2" x14ac:dyDescent="0.25">
      <c r="A69" s="77" t="s">
        <v>2051</v>
      </c>
      <c r="B69" s="77" t="s">
        <v>3045</v>
      </c>
    </row>
    <row r="70" spans="1:2" x14ac:dyDescent="0.25">
      <c r="A70" s="77" t="s">
        <v>607</v>
      </c>
      <c r="B70" s="77" t="s">
        <v>3046</v>
      </c>
    </row>
    <row r="71" spans="1:2" x14ac:dyDescent="0.25">
      <c r="A71" s="77" t="s">
        <v>354</v>
      </c>
      <c r="B71" s="77" t="s">
        <v>2614</v>
      </c>
    </row>
    <row r="72" spans="1:2" x14ac:dyDescent="0.25">
      <c r="A72" s="77" t="s">
        <v>349</v>
      </c>
      <c r="B72" s="78" t="s">
        <v>3047</v>
      </c>
    </row>
    <row r="73" spans="1:2" x14ac:dyDescent="0.25">
      <c r="A73" s="77" t="s">
        <v>324</v>
      </c>
      <c r="B73" s="77" t="s">
        <v>3048</v>
      </c>
    </row>
    <row r="74" spans="1:2" x14ac:dyDescent="0.25">
      <c r="A74" s="3"/>
      <c r="B74" s="3"/>
    </row>
    <row r="75" spans="1:2" x14ac:dyDescent="0.25">
      <c r="A75" s="392" t="s">
        <v>271</v>
      </c>
      <c r="B75" s="393"/>
    </row>
    <row r="76" spans="1:2" x14ac:dyDescent="0.25">
      <c r="A76" s="81" t="s">
        <v>3049</v>
      </c>
      <c r="B76" s="81" t="s">
        <v>3050</v>
      </c>
    </row>
    <row r="77" spans="1:2" x14ac:dyDescent="0.25">
      <c r="A77" s="80" t="s">
        <v>470</v>
      </c>
      <c r="B77" s="80" t="s">
        <v>3051</v>
      </c>
    </row>
    <row r="78" spans="1:2" x14ac:dyDescent="0.25">
      <c r="A78" s="80" t="s">
        <v>898</v>
      </c>
      <c r="B78" s="80" t="s">
        <v>3052</v>
      </c>
    </row>
    <row r="79" spans="1:2" x14ac:dyDescent="0.25">
      <c r="A79" s="80" t="s">
        <v>328</v>
      </c>
      <c r="B79" s="80" t="s">
        <v>3053</v>
      </c>
    </row>
    <row r="80" spans="1:2" x14ac:dyDescent="0.25">
      <c r="A80" s="80" t="s">
        <v>333</v>
      </c>
      <c r="B80" s="80" t="s">
        <v>3054</v>
      </c>
    </row>
    <row r="81" spans="1:2" x14ac:dyDescent="0.25">
      <c r="A81" s="77" t="s">
        <v>1376</v>
      </c>
      <c r="B81" s="80" t="s">
        <v>3055</v>
      </c>
    </row>
    <row r="82" spans="1:2" x14ac:dyDescent="0.25">
      <c r="A82" s="80" t="s">
        <v>355</v>
      </c>
      <c r="B82" s="80" t="s">
        <v>3056</v>
      </c>
    </row>
    <row r="83" spans="1:2" x14ac:dyDescent="0.25">
      <c r="A83" s="80" t="s">
        <v>518</v>
      </c>
      <c r="B83" s="80" t="s">
        <v>3057</v>
      </c>
    </row>
    <row r="84" spans="1:2" x14ac:dyDescent="0.25">
      <c r="A84" s="80" t="s">
        <v>3058</v>
      </c>
      <c r="B84" s="80" t="s">
        <v>3059</v>
      </c>
    </row>
    <row r="85" spans="1:2" x14ac:dyDescent="0.25">
      <c r="A85" s="80" t="s">
        <v>2659</v>
      </c>
      <c r="B85" s="80" t="s">
        <v>3060</v>
      </c>
    </row>
    <row r="86" spans="1:2" x14ac:dyDescent="0.25">
      <c r="A86" s="80" t="s">
        <v>1298</v>
      </c>
      <c r="B86" s="80" t="s">
        <v>3061</v>
      </c>
    </row>
    <row r="87" spans="1:2" x14ac:dyDescent="0.25">
      <c r="A87" s="80" t="s">
        <v>3062</v>
      </c>
      <c r="B87" s="80" t="s">
        <v>3063</v>
      </c>
    </row>
    <row r="88" spans="1:2" x14ac:dyDescent="0.25">
      <c r="A88" s="80" t="s">
        <v>345</v>
      </c>
      <c r="B88" s="80" t="s">
        <v>3064</v>
      </c>
    </row>
    <row r="89" spans="1:2" x14ac:dyDescent="0.25">
      <c r="A89" s="80" t="s">
        <v>1355</v>
      </c>
      <c r="B89" s="80" t="s">
        <v>3065</v>
      </c>
    </row>
    <row r="90" spans="1:2" x14ac:dyDescent="0.25">
      <c r="A90" s="80" t="s">
        <v>350</v>
      </c>
      <c r="B90" s="80" t="s">
        <v>77</v>
      </c>
    </row>
    <row r="91" spans="1:2" x14ac:dyDescent="0.25">
      <c r="A91" s="80" t="s">
        <v>340</v>
      </c>
      <c r="B91" s="80" t="s">
        <v>3066</v>
      </c>
    </row>
    <row r="92" spans="1:2" x14ac:dyDescent="0.25">
      <c r="A92" s="80" t="s">
        <v>656</v>
      </c>
      <c r="B92" s="80" t="s">
        <v>2887</v>
      </c>
    </row>
    <row r="93" spans="1:2" x14ac:dyDescent="0.25">
      <c r="A93" s="80" t="s">
        <v>3067</v>
      </c>
      <c r="B93" s="80" t="s">
        <v>3068</v>
      </c>
    </row>
    <row r="94" spans="1:2" x14ac:dyDescent="0.25">
      <c r="A94" s="80" t="s">
        <v>1240</v>
      </c>
      <c r="B94" s="80" t="s">
        <v>79</v>
      </c>
    </row>
  </sheetData>
  <mergeCells count="8">
    <mergeCell ref="A75:B75"/>
    <mergeCell ref="A58:B58"/>
    <mergeCell ref="A1:B1"/>
    <mergeCell ref="A3:B3"/>
    <mergeCell ref="A49:B49"/>
    <mergeCell ref="A41:B41"/>
    <mergeCell ref="A36:B36"/>
    <mergeCell ref="A29:B29"/>
  </mergeCells>
  <printOptions horizontalCentered="1"/>
  <pageMargins left="0.39370078740157483" right="0.39370078740157483" top="0.39370078740157483" bottom="0.39370078740157483" header="0.19685039370078741" footer="0.19685039370078741"/>
  <pageSetup paperSize="9" fitToHeight="0" orientation="landscape" verticalDpi="1200" r:id="rId1"/>
  <headerFooter alignWithMargins="0">
    <oddHeader>&amp;L&amp;"Calibri"&amp;10&amp;K000000Official&amp;1#</oddHeader>
    <oddFooter>&amp;C&amp;8&amp;P of &amp;N</oddFooter>
  </headerFooter>
  <rowBreaks count="2" manualBreakCount="2">
    <brk id="40" max="1" man="1"/>
    <brk id="74"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B3"/>
  <sheetViews>
    <sheetView workbookViewId="0">
      <selection activeCell="B2" sqref="B2"/>
    </sheetView>
  </sheetViews>
  <sheetFormatPr defaultRowHeight="13.2" x14ac:dyDescent="0.25"/>
  <cols>
    <col min="1" max="1" width="13.44140625" bestFit="1" customWidth="1"/>
    <col min="2" max="2" width="22" bestFit="1" customWidth="1"/>
  </cols>
  <sheetData>
    <row r="1" spans="1:2" x14ac:dyDescent="0.25">
      <c r="A1" s="39" t="s">
        <v>3069</v>
      </c>
      <c r="B1" t="s">
        <v>3070</v>
      </c>
    </row>
    <row r="2" spans="1:2" x14ac:dyDescent="0.25">
      <c r="A2" s="38" t="s">
        <v>314</v>
      </c>
      <c r="B2">
        <v>1999</v>
      </c>
    </row>
    <row r="3" spans="1:2" x14ac:dyDescent="0.25">
      <c r="A3" s="38" t="s">
        <v>3071</v>
      </c>
      <c r="B3">
        <v>1999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B3"/>
  <sheetViews>
    <sheetView workbookViewId="0">
      <selection activeCell="B2" sqref="B2"/>
    </sheetView>
  </sheetViews>
  <sheetFormatPr defaultRowHeight="13.2" x14ac:dyDescent="0.25"/>
  <cols>
    <col min="1" max="1" width="13.44140625" bestFit="1" customWidth="1"/>
    <col min="2" max="2" width="47.88671875" bestFit="1" customWidth="1"/>
  </cols>
  <sheetData>
    <row r="1" spans="1:2" x14ac:dyDescent="0.25">
      <c r="A1" s="39" t="s">
        <v>3069</v>
      </c>
      <c r="B1" s="185" t="s">
        <v>3072</v>
      </c>
    </row>
    <row r="2" spans="1:2" x14ac:dyDescent="0.25">
      <c r="A2" s="38" t="s">
        <v>314</v>
      </c>
      <c r="B2" s="185">
        <v>265</v>
      </c>
    </row>
    <row r="3" spans="1:2" x14ac:dyDescent="0.25">
      <c r="A3" s="38" t="s">
        <v>3071</v>
      </c>
      <c r="B3" s="185">
        <v>265</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E4"/>
  <sheetViews>
    <sheetView workbookViewId="0">
      <selection activeCell="B2" sqref="B2"/>
    </sheetView>
  </sheetViews>
  <sheetFormatPr defaultRowHeight="13.2" x14ac:dyDescent="0.25"/>
  <cols>
    <col min="1" max="1" width="22" bestFit="1" customWidth="1"/>
    <col min="2" max="2" width="16.5546875" bestFit="1" customWidth="1"/>
    <col min="3" max="3" width="12.33203125" bestFit="1" customWidth="1"/>
    <col min="4" max="4" width="21.33203125" bestFit="1" customWidth="1"/>
    <col min="5" max="5" width="11.33203125" bestFit="1" customWidth="1"/>
  </cols>
  <sheetData>
    <row r="1" spans="1:5" x14ac:dyDescent="0.25">
      <c r="A1" s="39" t="s">
        <v>3070</v>
      </c>
      <c r="B1" s="39" t="s">
        <v>3073</v>
      </c>
    </row>
    <row r="2" spans="1:5" x14ac:dyDescent="0.25">
      <c r="A2" s="39" t="s">
        <v>3069</v>
      </c>
      <c r="B2" t="s">
        <v>56</v>
      </c>
      <c r="C2" t="s">
        <v>77</v>
      </c>
      <c r="D2" t="s">
        <v>57</v>
      </c>
      <c r="E2" t="s">
        <v>3071</v>
      </c>
    </row>
    <row r="3" spans="1:5" x14ac:dyDescent="0.25">
      <c r="A3" s="38" t="s">
        <v>314</v>
      </c>
      <c r="B3">
        <v>359</v>
      </c>
      <c r="C3">
        <v>1410</v>
      </c>
      <c r="D3">
        <v>230</v>
      </c>
      <c r="E3">
        <v>1999</v>
      </c>
    </row>
    <row r="4" spans="1:5" x14ac:dyDescent="0.25">
      <c r="A4" s="38" t="s">
        <v>3071</v>
      </c>
      <c r="B4">
        <v>359</v>
      </c>
      <c r="C4">
        <v>1410</v>
      </c>
      <c r="D4">
        <v>230</v>
      </c>
      <c r="E4">
        <v>1999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C11"/>
  <sheetViews>
    <sheetView workbookViewId="0">
      <selection activeCell="B2" sqref="B2"/>
    </sheetView>
  </sheetViews>
  <sheetFormatPr defaultRowHeight="13.2" x14ac:dyDescent="0.25"/>
  <cols>
    <col min="1" max="1" width="31" bestFit="1" customWidth="1"/>
    <col min="2" max="2" width="22" bestFit="1" customWidth="1"/>
    <col min="3" max="3" width="27.5546875" bestFit="1" customWidth="1"/>
    <col min="4" max="4" width="21.88671875" bestFit="1" customWidth="1"/>
    <col min="5" max="5" width="11.6640625" bestFit="1" customWidth="1"/>
    <col min="6" max="6" width="22.5546875" customWidth="1"/>
    <col min="7" max="7" width="28.33203125" customWidth="1"/>
    <col min="8" max="8" width="22.5546875" customWidth="1"/>
    <col min="9" max="9" width="28.33203125" customWidth="1"/>
    <col min="10" max="10" width="22.5546875" customWidth="1"/>
    <col min="11" max="11" width="28.33203125" customWidth="1"/>
    <col min="12" max="12" width="27.88671875" bestFit="1" customWidth="1"/>
    <col min="13" max="13" width="33.5546875" customWidth="1"/>
  </cols>
  <sheetData>
    <row r="1" spans="1:3" x14ac:dyDescent="0.25">
      <c r="A1" s="39" t="s">
        <v>265</v>
      </c>
      <c r="B1" t="s">
        <v>3074</v>
      </c>
    </row>
    <row r="2" spans="1:3" x14ac:dyDescent="0.25">
      <c r="A2" s="39" t="s">
        <v>266</v>
      </c>
      <c r="B2" t="s">
        <v>3074</v>
      </c>
    </row>
    <row r="4" spans="1:3" x14ac:dyDescent="0.25">
      <c r="A4" s="39" t="s">
        <v>3069</v>
      </c>
      <c r="B4" t="s">
        <v>3070</v>
      </c>
      <c r="C4" t="s">
        <v>3075</v>
      </c>
    </row>
    <row r="5" spans="1:3" x14ac:dyDescent="0.25">
      <c r="A5" s="38" t="s">
        <v>314</v>
      </c>
      <c r="B5">
        <v>1761</v>
      </c>
      <c r="C5">
        <v>1933</v>
      </c>
    </row>
    <row r="6" spans="1:3" x14ac:dyDescent="0.25">
      <c r="A6" s="38" t="s">
        <v>848</v>
      </c>
      <c r="B6">
        <v>6127</v>
      </c>
      <c r="C6">
        <v>6227</v>
      </c>
    </row>
    <row r="7" spans="1:3" x14ac:dyDescent="0.25">
      <c r="A7" s="38" t="s">
        <v>822</v>
      </c>
      <c r="B7">
        <v>8248</v>
      </c>
      <c r="C7">
        <v>9425</v>
      </c>
    </row>
    <row r="8" spans="1:3" x14ac:dyDescent="0.25">
      <c r="A8" s="38" t="s">
        <v>2721</v>
      </c>
      <c r="B8">
        <v>64</v>
      </c>
      <c r="C8">
        <v>64</v>
      </c>
    </row>
    <row r="9" spans="1:3" x14ac:dyDescent="0.25">
      <c r="A9" s="38" t="s">
        <v>2736</v>
      </c>
      <c r="B9">
        <v>5334</v>
      </c>
      <c r="C9">
        <v>5334</v>
      </c>
    </row>
    <row r="10" spans="1:3" x14ac:dyDescent="0.25">
      <c r="A10" s="38" t="s">
        <v>2855</v>
      </c>
      <c r="B10">
        <v>311</v>
      </c>
      <c r="C10">
        <v>311</v>
      </c>
    </row>
    <row r="11" spans="1:3" x14ac:dyDescent="0.25">
      <c r="A11" s="38" t="s">
        <v>3071</v>
      </c>
      <c r="B11">
        <v>21845</v>
      </c>
      <c r="C11">
        <v>23294</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C10"/>
  <sheetViews>
    <sheetView workbookViewId="0">
      <selection activeCell="B2" sqref="B2"/>
    </sheetView>
  </sheetViews>
  <sheetFormatPr defaultRowHeight="13.2" x14ac:dyDescent="0.25"/>
  <cols>
    <col min="1" max="1" width="31" bestFit="1" customWidth="1"/>
    <col min="2" max="2" width="22" bestFit="1" customWidth="1"/>
    <col min="3" max="3" width="27.5546875" bestFit="1" customWidth="1"/>
    <col min="4" max="4" width="28.33203125" customWidth="1"/>
    <col min="5" max="5" width="22.5546875" bestFit="1" customWidth="1"/>
    <col min="6" max="6" width="28.33203125" bestFit="1" customWidth="1"/>
    <col min="7" max="7" width="22.5546875" bestFit="1" customWidth="1"/>
    <col min="8" max="8" width="28.33203125" bestFit="1" customWidth="1"/>
    <col min="9" max="9" width="22.5546875" bestFit="1" customWidth="1"/>
    <col min="10" max="10" width="33.5546875" bestFit="1" customWidth="1"/>
    <col min="11" max="11" width="27.88671875" bestFit="1" customWidth="1"/>
  </cols>
  <sheetData>
    <row r="1" spans="1:3" x14ac:dyDescent="0.25">
      <c r="A1" s="39" t="s">
        <v>265</v>
      </c>
      <c r="B1" t="s">
        <v>3074</v>
      </c>
    </row>
    <row r="2" spans="1:3" x14ac:dyDescent="0.25">
      <c r="A2" s="39" t="s">
        <v>266</v>
      </c>
      <c r="B2" t="s">
        <v>3074</v>
      </c>
    </row>
    <row r="4" spans="1:3" x14ac:dyDescent="0.25">
      <c r="A4" s="39" t="s">
        <v>3069</v>
      </c>
      <c r="B4" t="s">
        <v>3070</v>
      </c>
      <c r="C4" t="s">
        <v>3075</v>
      </c>
    </row>
    <row r="5" spans="1:3" x14ac:dyDescent="0.25">
      <c r="A5" s="38" t="s">
        <v>314</v>
      </c>
      <c r="B5">
        <v>238</v>
      </c>
      <c r="C5">
        <v>363</v>
      </c>
    </row>
    <row r="6" spans="1:3" x14ac:dyDescent="0.25">
      <c r="A6" s="38" t="s">
        <v>848</v>
      </c>
      <c r="B6">
        <v>299</v>
      </c>
      <c r="C6">
        <v>407</v>
      </c>
    </row>
    <row r="7" spans="1:3" x14ac:dyDescent="0.25">
      <c r="A7" s="38" t="s">
        <v>822</v>
      </c>
      <c r="B7">
        <v>597</v>
      </c>
      <c r="C7">
        <v>818</v>
      </c>
    </row>
    <row r="8" spans="1:3" x14ac:dyDescent="0.25">
      <c r="A8" s="38" t="s">
        <v>2721</v>
      </c>
      <c r="B8">
        <v>2</v>
      </c>
      <c r="C8">
        <v>2</v>
      </c>
    </row>
    <row r="9" spans="1:3" x14ac:dyDescent="0.25">
      <c r="A9" s="38" t="s">
        <v>2857</v>
      </c>
      <c r="B9">
        <v>4788</v>
      </c>
      <c r="C9">
        <v>4788</v>
      </c>
    </row>
    <row r="10" spans="1:3" x14ac:dyDescent="0.25">
      <c r="A10" s="38" t="s">
        <v>3071</v>
      </c>
      <c r="B10">
        <v>5924</v>
      </c>
      <c r="C10">
        <v>6378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K11"/>
  <sheetViews>
    <sheetView workbookViewId="0">
      <selection activeCell="B2" sqref="B2"/>
    </sheetView>
  </sheetViews>
  <sheetFormatPr defaultRowHeight="13.2" x14ac:dyDescent="0.25"/>
  <cols>
    <col min="1" max="1" width="26.33203125" bestFit="1" customWidth="1"/>
    <col min="2" max="2" width="27.5546875" bestFit="1" customWidth="1"/>
    <col min="3" max="3" width="22" bestFit="1" customWidth="1"/>
    <col min="4" max="4" width="27.5546875" bestFit="1" customWidth="1"/>
    <col min="5" max="5" width="22" bestFit="1" customWidth="1"/>
    <col min="6" max="6" width="27.5546875" bestFit="1" customWidth="1"/>
    <col min="7" max="7" width="22" bestFit="1" customWidth="1"/>
    <col min="8" max="8" width="27.5546875" bestFit="1" customWidth="1"/>
    <col min="9" max="9" width="22" bestFit="1" customWidth="1"/>
    <col min="10" max="10" width="32.6640625" bestFit="1" customWidth="1"/>
    <col min="11" max="11" width="27.109375" bestFit="1" customWidth="1"/>
    <col min="12" max="12" width="32.5546875" bestFit="1" customWidth="1"/>
    <col min="13" max="13" width="27" bestFit="1" customWidth="1"/>
    <col min="14" max="14" width="32.6640625" bestFit="1" customWidth="1"/>
    <col min="15" max="15" width="27.109375" bestFit="1" customWidth="1"/>
    <col min="16" max="36" width="3" customWidth="1"/>
    <col min="37" max="39" width="4" customWidth="1"/>
    <col min="40" max="45" width="3" customWidth="1"/>
    <col min="46" max="50" width="4" customWidth="1"/>
    <col min="51" max="51" width="18" customWidth="1"/>
    <col min="52" max="52" width="14.5546875" customWidth="1"/>
    <col min="53" max="58" width="4" customWidth="1"/>
    <col min="59" max="59" width="3" customWidth="1"/>
    <col min="60" max="62" width="4" customWidth="1"/>
    <col min="63" max="74" width="3" customWidth="1"/>
    <col min="75" max="75" width="3.554687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8671875" customWidth="1"/>
    <col min="183" max="183" width="2" customWidth="1"/>
    <col min="184" max="188" width="3" customWidth="1"/>
    <col min="189" max="189" width="2" customWidth="1"/>
    <col min="190" max="207" width="3" customWidth="1"/>
    <col min="208" max="208" width="4" customWidth="1"/>
    <col min="209" max="215" width="3" customWidth="1"/>
    <col min="216" max="216" width="3.5546875" customWidth="1"/>
    <col min="217" max="221" width="3" customWidth="1"/>
    <col min="222" max="222" width="4" customWidth="1"/>
    <col min="223" max="223" width="3" customWidth="1"/>
    <col min="224" max="224" width="4" customWidth="1"/>
    <col min="225" max="232" width="3" customWidth="1"/>
    <col min="233" max="236" width="4" customWidth="1"/>
    <col min="237" max="237" width="27.109375" customWidth="1"/>
    <col min="238" max="238" width="11.6640625" customWidth="1"/>
    <col min="239" max="239" width="8.109375" customWidth="1"/>
    <col min="240" max="240" width="5" customWidth="1"/>
    <col min="241" max="241" width="8.109375" customWidth="1"/>
    <col min="242" max="242" width="5" customWidth="1"/>
    <col min="243" max="243" width="8.109375" customWidth="1"/>
    <col min="244" max="244" width="5" customWidth="1"/>
    <col min="245" max="245" width="8.109375" customWidth="1"/>
    <col min="246" max="246" width="5" customWidth="1"/>
    <col min="247" max="247" width="8.109375" customWidth="1"/>
    <col min="248" max="248" width="5" customWidth="1"/>
    <col min="249" max="249" width="8.109375" customWidth="1"/>
    <col min="250" max="250" width="5" customWidth="1"/>
    <col min="251" max="251" width="8.109375" customWidth="1"/>
    <col min="252" max="252" width="5" customWidth="1"/>
    <col min="253" max="253" width="8.109375" customWidth="1"/>
    <col min="254" max="254" width="5" customWidth="1"/>
    <col min="255" max="255" width="8.109375" customWidth="1"/>
    <col min="256" max="256" width="5" customWidth="1"/>
    <col min="257" max="257" width="8.109375" customWidth="1"/>
    <col min="258" max="258" width="5" customWidth="1"/>
    <col min="259" max="259" width="8.109375" customWidth="1"/>
    <col min="260" max="260" width="5" customWidth="1"/>
    <col min="261" max="261" width="8.109375" customWidth="1"/>
    <col min="262" max="262" width="5" customWidth="1"/>
    <col min="263" max="263" width="8.109375" customWidth="1"/>
    <col min="264" max="264" width="5" customWidth="1"/>
    <col min="265" max="265" width="8.109375" customWidth="1"/>
    <col min="266" max="266" width="5" customWidth="1"/>
    <col min="267" max="267" width="8.109375" customWidth="1"/>
    <col min="268" max="268" width="5" customWidth="1"/>
    <col min="269" max="269" width="8.109375" customWidth="1"/>
    <col min="270" max="270" width="5" customWidth="1"/>
    <col min="271" max="271" width="8.109375" customWidth="1"/>
    <col min="272" max="272" width="5" customWidth="1"/>
    <col min="273" max="273" width="8.109375" customWidth="1"/>
    <col min="274" max="274" width="5" customWidth="1"/>
    <col min="275" max="275" width="8.109375" customWidth="1"/>
    <col min="276" max="276" width="5" customWidth="1"/>
    <col min="277" max="277" width="8.109375" customWidth="1"/>
    <col min="278" max="278" width="5" customWidth="1"/>
    <col min="279" max="279" width="8.109375" customWidth="1"/>
    <col min="280" max="280" width="5" customWidth="1"/>
    <col min="281" max="281" width="8.109375" customWidth="1"/>
    <col min="282" max="282" width="5" customWidth="1"/>
    <col min="283" max="283" width="8.109375" customWidth="1"/>
    <col min="284" max="284" width="5" customWidth="1"/>
    <col min="285" max="285" width="8.109375" customWidth="1"/>
    <col min="286" max="286" width="5" customWidth="1"/>
    <col min="287" max="287" width="8.109375" customWidth="1"/>
    <col min="288" max="288" width="5" customWidth="1"/>
    <col min="289" max="289" width="8.109375" customWidth="1"/>
    <col min="290" max="290" width="5" customWidth="1"/>
    <col min="291" max="291" width="8.109375" customWidth="1"/>
    <col min="292" max="292" width="5" customWidth="1"/>
    <col min="293" max="293" width="8.109375" customWidth="1"/>
    <col min="294" max="294" width="5" customWidth="1"/>
    <col min="295" max="295" width="8.109375" customWidth="1"/>
    <col min="296" max="296" width="5" customWidth="1"/>
    <col min="297" max="297" width="8.109375" customWidth="1"/>
    <col min="298" max="298" width="5" customWidth="1"/>
    <col min="299" max="299" width="8.109375" customWidth="1"/>
    <col min="300" max="300" width="5" customWidth="1"/>
    <col min="301" max="301" width="8.109375" customWidth="1"/>
    <col min="302" max="302" width="5" customWidth="1"/>
    <col min="303" max="303" width="8.10937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bestFit="1" customWidth="1"/>
    <col min="420" max="420" width="23.88671875" bestFit="1" customWidth="1"/>
    <col min="421" max="421" width="3.5546875" customWidth="1"/>
    <col min="422" max="422" width="2" customWidth="1"/>
    <col min="423" max="423" width="7.109375" customWidth="1"/>
    <col min="424" max="424" width="4" customWidth="1"/>
    <col min="425" max="425" width="7.109375" customWidth="1"/>
    <col min="426" max="426" width="4" customWidth="1"/>
    <col min="427" max="427" width="7.109375" customWidth="1"/>
    <col min="428" max="428" width="4" customWidth="1"/>
    <col min="429" max="429" width="7.109375" customWidth="1"/>
    <col min="430" max="430" width="4" customWidth="1"/>
    <col min="431" max="431" width="7.109375" customWidth="1"/>
    <col min="432" max="432" width="4" customWidth="1"/>
    <col min="433" max="433" width="7.109375" customWidth="1"/>
    <col min="434" max="434" width="4" customWidth="1"/>
    <col min="435" max="435" width="7.109375" customWidth="1"/>
    <col min="436" max="436" width="4" customWidth="1"/>
    <col min="437" max="437" width="7.109375" customWidth="1"/>
    <col min="438" max="438" width="4" customWidth="1"/>
    <col min="439" max="439" width="7.109375" customWidth="1"/>
    <col min="440" max="440" width="4" customWidth="1"/>
    <col min="441" max="441" width="7.109375" customWidth="1"/>
    <col min="442" max="442" width="5" customWidth="1"/>
    <col min="443" max="443" width="8.109375" customWidth="1"/>
    <col min="444" max="444" width="5" customWidth="1"/>
    <col min="445" max="445" width="8.109375" customWidth="1"/>
    <col min="446" max="446" width="5" customWidth="1"/>
    <col min="447" max="447" width="8.109375" customWidth="1"/>
    <col min="448" max="448" width="5" customWidth="1"/>
    <col min="449" max="449" width="8.109375" customWidth="1"/>
    <col min="450" max="450" width="5" customWidth="1"/>
    <col min="451" max="451" width="8.109375" customWidth="1"/>
    <col min="452" max="452" width="5" customWidth="1"/>
    <col min="453" max="453" width="8.109375" customWidth="1"/>
    <col min="454" max="454" width="5" customWidth="1"/>
    <col min="455" max="455" width="8.109375" customWidth="1"/>
    <col min="456" max="456" width="5" customWidth="1"/>
    <col min="457" max="457" width="8.109375" customWidth="1"/>
    <col min="458" max="458" width="5" customWidth="1"/>
    <col min="459" max="459" width="8.109375" customWidth="1"/>
    <col min="460" max="460" width="5" customWidth="1"/>
    <col min="461" max="461" width="8.109375" customWidth="1"/>
    <col min="462" max="462" width="5" customWidth="1"/>
    <col min="463" max="463" width="8.109375" customWidth="1"/>
    <col min="464" max="464" width="5" customWidth="1"/>
    <col min="465" max="465" width="8.109375" customWidth="1"/>
    <col min="466" max="466" width="5" customWidth="1"/>
    <col min="467" max="467" width="8.109375" customWidth="1"/>
    <col min="468" max="468" width="5" customWidth="1"/>
    <col min="469" max="469" width="8.109375" customWidth="1"/>
    <col min="470" max="470" width="5" customWidth="1"/>
    <col min="471" max="471" width="8.109375" customWidth="1"/>
    <col min="472" max="472" width="5" customWidth="1"/>
    <col min="473" max="473" width="8.109375" customWidth="1"/>
    <col min="474" max="474" width="5" customWidth="1"/>
    <col min="475" max="475" width="8.109375" customWidth="1"/>
    <col min="476" max="476" width="5" customWidth="1"/>
    <col min="477" max="477" width="8.109375" customWidth="1"/>
    <col min="478" max="478" width="5" customWidth="1"/>
    <col min="479" max="479" width="8.109375" customWidth="1"/>
    <col min="480" max="480" width="5" customWidth="1"/>
    <col min="481" max="481" width="8.109375" customWidth="1"/>
    <col min="482" max="482" width="5" customWidth="1"/>
    <col min="483" max="483" width="8.109375" customWidth="1"/>
    <col min="484" max="484" width="5" customWidth="1"/>
    <col min="485" max="485" width="8.109375" customWidth="1"/>
    <col min="486" max="486" width="5" customWidth="1"/>
    <col min="487" max="487" width="8.109375" customWidth="1"/>
    <col min="488" max="488" width="5" customWidth="1"/>
    <col min="489" max="489" width="8.109375" customWidth="1"/>
    <col min="490" max="490" width="5" customWidth="1"/>
    <col min="491" max="491" width="3" customWidth="1"/>
    <col min="492" max="492" width="8.109375" customWidth="1"/>
    <col min="493" max="493" width="5" customWidth="1"/>
    <col min="494" max="494" width="8.109375" customWidth="1"/>
    <col min="495" max="495" width="5" customWidth="1"/>
    <col min="496" max="496" width="8.109375" customWidth="1"/>
    <col min="497" max="497" width="5" customWidth="1"/>
    <col min="498" max="498" width="8.109375" customWidth="1"/>
    <col min="499" max="499" width="5" customWidth="1"/>
    <col min="500" max="500" width="8.109375" customWidth="1"/>
    <col min="501" max="501" width="5" customWidth="1"/>
    <col min="502" max="502" width="8.109375" customWidth="1"/>
    <col min="503" max="503" width="5" customWidth="1"/>
    <col min="504" max="504" width="8.109375" customWidth="1"/>
    <col min="505" max="505" width="5" customWidth="1"/>
    <col min="506" max="506" width="8.109375" customWidth="1"/>
    <col min="507" max="507" width="5" customWidth="1"/>
    <col min="508" max="508" width="8.109375" customWidth="1"/>
    <col min="509" max="509" width="5" customWidth="1"/>
    <col min="510" max="510" width="8.109375" customWidth="1"/>
    <col min="511" max="511" width="5" customWidth="1"/>
    <col min="512" max="512" width="8.109375" customWidth="1"/>
    <col min="513" max="513" width="5" customWidth="1"/>
    <col min="514" max="514" width="8.109375" customWidth="1"/>
    <col min="515" max="515" width="5" customWidth="1"/>
    <col min="516" max="516" width="8.109375" customWidth="1"/>
    <col min="517" max="517" width="5" customWidth="1"/>
    <col min="518" max="518" width="8.109375" customWidth="1"/>
    <col min="519" max="519" width="5" customWidth="1"/>
    <col min="520" max="520" width="8.109375" customWidth="1"/>
    <col min="521" max="521" width="5" customWidth="1"/>
    <col min="522" max="522" width="8.109375" customWidth="1"/>
    <col min="523" max="523" width="5" customWidth="1"/>
    <col min="524" max="524" width="8.109375" customWidth="1"/>
    <col min="525" max="525" width="6" customWidth="1"/>
    <col min="527" max="527" width="6" customWidth="1"/>
    <col min="529" max="529" width="6" customWidth="1"/>
    <col min="531" max="531" width="6" customWidth="1"/>
    <col min="533" max="533" width="27.109375" bestFit="1" customWidth="1"/>
    <col min="534" max="534" width="11.6640625" bestFit="1" customWidth="1"/>
  </cols>
  <sheetData>
    <row r="1" spans="1:11" x14ac:dyDescent="0.25">
      <c r="B1" s="39" t="s">
        <v>3073</v>
      </c>
    </row>
    <row r="2" spans="1:11" x14ac:dyDescent="0.25">
      <c r="B2" t="s">
        <v>77</v>
      </c>
      <c r="D2" t="s">
        <v>56</v>
      </c>
      <c r="F2" t="s">
        <v>79</v>
      </c>
      <c r="H2" t="s">
        <v>57</v>
      </c>
      <c r="J2" t="s">
        <v>3076</v>
      </c>
      <c r="K2" t="s">
        <v>3077</v>
      </c>
    </row>
    <row r="3" spans="1:11" x14ac:dyDescent="0.25">
      <c r="A3" s="39" t="s">
        <v>3069</v>
      </c>
      <c r="B3" t="s">
        <v>3075</v>
      </c>
      <c r="C3" t="s">
        <v>3070</v>
      </c>
      <c r="D3" t="s">
        <v>3075</v>
      </c>
      <c r="E3" t="s">
        <v>3070</v>
      </c>
      <c r="F3" t="s">
        <v>3075</v>
      </c>
      <c r="G3" t="s">
        <v>3070</v>
      </c>
      <c r="H3" t="s">
        <v>3075</v>
      </c>
      <c r="I3" t="s">
        <v>3070</v>
      </c>
    </row>
    <row r="4" spans="1:11" x14ac:dyDescent="0.25">
      <c r="A4" s="38" t="s">
        <v>314</v>
      </c>
      <c r="B4">
        <v>1602</v>
      </c>
      <c r="C4">
        <v>1410</v>
      </c>
      <c r="D4">
        <v>367</v>
      </c>
      <c r="E4">
        <v>359</v>
      </c>
      <c r="H4">
        <v>327</v>
      </c>
      <c r="I4">
        <v>230</v>
      </c>
      <c r="J4">
        <v>2296</v>
      </c>
      <c r="K4">
        <v>1999</v>
      </c>
    </row>
    <row r="5" spans="1:11" x14ac:dyDescent="0.25">
      <c r="A5" s="38" t="s">
        <v>848</v>
      </c>
      <c r="B5">
        <v>5042</v>
      </c>
      <c r="C5">
        <v>4926</v>
      </c>
      <c r="D5">
        <v>786</v>
      </c>
      <c r="E5">
        <v>775</v>
      </c>
      <c r="F5">
        <v>1</v>
      </c>
      <c r="G5">
        <v>-1</v>
      </c>
      <c r="H5">
        <v>805</v>
      </c>
      <c r="I5">
        <v>726</v>
      </c>
      <c r="J5">
        <v>6634</v>
      </c>
      <c r="K5">
        <v>6426</v>
      </c>
    </row>
    <row r="6" spans="1:11" x14ac:dyDescent="0.25">
      <c r="A6" s="38" t="s">
        <v>822</v>
      </c>
      <c r="B6">
        <v>7676</v>
      </c>
      <c r="C6">
        <v>7033</v>
      </c>
      <c r="D6">
        <v>1213</v>
      </c>
      <c r="E6">
        <v>1199</v>
      </c>
      <c r="H6">
        <v>1354</v>
      </c>
      <c r="I6">
        <v>613</v>
      </c>
      <c r="J6">
        <v>10243</v>
      </c>
      <c r="K6">
        <v>8845</v>
      </c>
    </row>
    <row r="7" spans="1:11" x14ac:dyDescent="0.25">
      <c r="A7" s="38" t="s">
        <v>2721</v>
      </c>
      <c r="B7">
        <v>57</v>
      </c>
      <c r="C7">
        <v>57</v>
      </c>
      <c r="H7">
        <v>9</v>
      </c>
      <c r="I7">
        <v>9</v>
      </c>
      <c r="J7">
        <v>66</v>
      </c>
      <c r="K7">
        <v>66</v>
      </c>
    </row>
    <row r="8" spans="1:11" x14ac:dyDescent="0.25">
      <c r="A8" s="38" t="s">
        <v>2736</v>
      </c>
      <c r="B8">
        <v>3784</v>
      </c>
      <c r="C8">
        <v>3784</v>
      </c>
      <c r="D8">
        <v>608</v>
      </c>
      <c r="E8">
        <v>608</v>
      </c>
      <c r="H8">
        <v>942</v>
      </c>
      <c r="I8">
        <v>942</v>
      </c>
      <c r="J8">
        <v>5334</v>
      </c>
      <c r="K8">
        <v>5334</v>
      </c>
    </row>
    <row r="9" spans="1:11" x14ac:dyDescent="0.25">
      <c r="A9" s="38" t="s">
        <v>2857</v>
      </c>
      <c r="F9">
        <v>4788</v>
      </c>
      <c r="G9">
        <v>4788</v>
      </c>
      <c r="J9">
        <v>4788</v>
      </c>
      <c r="K9">
        <v>4788</v>
      </c>
    </row>
    <row r="10" spans="1:11" x14ac:dyDescent="0.25">
      <c r="A10" s="38" t="s">
        <v>2855</v>
      </c>
      <c r="B10">
        <v>208</v>
      </c>
      <c r="C10">
        <v>208</v>
      </c>
      <c r="D10">
        <v>41</v>
      </c>
      <c r="E10">
        <v>41</v>
      </c>
      <c r="H10">
        <v>62</v>
      </c>
      <c r="I10">
        <v>62</v>
      </c>
      <c r="J10">
        <v>311</v>
      </c>
      <c r="K10">
        <v>311</v>
      </c>
    </row>
    <row r="11" spans="1:11" x14ac:dyDescent="0.25">
      <c r="A11" s="38" t="s">
        <v>3071</v>
      </c>
      <c r="B11">
        <v>18369</v>
      </c>
      <c r="C11">
        <v>17418</v>
      </c>
      <c r="D11">
        <v>3015</v>
      </c>
      <c r="E11">
        <v>2982</v>
      </c>
      <c r="F11">
        <v>4789</v>
      </c>
      <c r="G11">
        <v>4787</v>
      </c>
      <c r="H11">
        <v>3499</v>
      </c>
      <c r="I11">
        <v>2582</v>
      </c>
      <c r="J11">
        <v>29672</v>
      </c>
      <c r="K11">
        <v>27769</v>
      </c>
    </row>
  </sheetData>
  <printOptions horizontalCentered="1"/>
  <pageMargins left="0.39370078740157483" right="0.39370078740157483" top="0.39370078740157483" bottom="0.39370078740157483" header="0.19685039370078741" footer="0.19685039370078741"/>
  <pageSetup paperSize="9" scale="41" fitToHeight="0" orientation="landscape" r:id="rId2"/>
  <headerFooter alignWithMargins="0">
    <oddHeader>&amp;L&amp;"Calibri"&amp;10&amp;K000000Official&amp;1#</oddHeader>
    <oddFooter>&amp;C&amp;8&amp;P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I13"/>
  <sheetViews>
    <sheetView workbookViewId="0">
      <selection activeCell="B2" sqref="B2"/>
    </sheetView>
  </sheetViews>
  <sheetFormatPr defaultColWidth="9.109375" defaultRowHeight="13.2" x14ac:dyDescent="0.25"/>
  <cols>
    <col min="1" max="1" width="31" bestFit="1" customWidth="1"/>
    <col min="2" max="2" width="27.5546875" bestFit="1" customWidth="1"/>
    <col min="3" max="3" width="22" bestFit="1" customWidth="1"/>
    <col min="4" max="4" width="27.5546875" bestFit="1" customWidth="1"/>
    <col min="5" max="5" width="22" bestFit="1" customWidth="1"/>
    <col min="6" max="6" width="27.5546875" bestFit="1" customWidth="1"/>
    <col min="7" max="7" width="22" bestFit="1" customWidth="1"/>
    <col min="8" max="8" width="32.6640625" bestFit="1" customWidth="1"/>
    <col min="9" max="9" width="27.109375" bestFit="1" customWidth="1"/>
    <col min="10" max="10" width="32.5546875" bestFit="1" customWidth="1"/>
    <col min="11" max="11" width="27" bestFit="1" customWidth="1"/>
    <col min="12" max="12" width="32.6640625" bestFit="1" customWidth="1"/>
    <col min="13" max="13" width="27.109375" bestFit="1" customWidth="1"/>
    <col min="14" max="36" width="3" customWidth="1"/>
    <col min="37" max="39" width="4" customWidth="1"/>
    <col min="40" max="45" width="3" customWidth="1"/>
    <col min="46" max="50" width="4" customWidth="1"/>
    <col min="51" max="51" width="18" customWidth="1"/>
    <col min="52" max="52" width="14.5546875" customWidth="1"/>
    <col min="53" max="58" width="4" customWidth="1"/>
    <col min="59" max="59" width="3" customWidth="1"/>
    <col min="60" max="62" width="4" customWidth="1"/>
    <col min="63" max="74" width="3" customWidth="1"/>
    <col min="75" max="75" width="3.554687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8671875" customWidth="1"/>
    <col min="183" max="183" width="2" customWidth="1"/>
    <col min="184" max="188" width="3" customWidth="1"/>
    <col min="189" max="189" width="2" customWidth="1"/>
    <col min="190" max="207" width="3" customWidth="1"/>
    <col min="208" max="208" width="4" customWidth="1"/>
    <col min="209" max="215" width="3" customWidth="1"/>
    <col min="216" max="216" width="3.5546875" customWidth="1"/>
    <col min="217" max="221" width="3" customWidth="1"/>
    <col min="222" max="222" width="4" customWidth="1"/>
    <col min="223" max="223" width="3" customWidth="1"/>
    <col min="224" max="224" width="4" customWidth="1"/>
    <col min="225" max="232" width="3" customWidth="1"/>
    <col min="233" max="236" width="4" customWidth="1"/>
    <col min="237" max="237" width="27.109375" customWidth="1"/>
    <col min="238" max="238" width="11.6640625" customWidth="1"/>
    <col min="239" max="239" width="8.109375" customWidth="1"/>
    <col min="240" max="240" width="5" customWidth="1"/>
    <col min="241" max="241" width="8.109375" customWidth="1"/>
    <col min="242" max="242" width="5" customWidth="1"/>
    <col min="243" max="243" width="8.109375" customWidth="1"/>
    <col min="244" max="244" width="5" customWidth="1"/>
    <col min="245" max="245" width="8.109375" customWidth="1"/>
    <col min="246" max="246" width="5" customWidth="1"/>
    <col min="247" max="247" width="8.109375" customWidth="1"/>
    <col min="248" max="248" width="5" customWidth="1"/>
    <col min="249" max="249" width="8.109375" customWidth="1"/>
    <col min="250" max="250" width="5" customWidth="1"/>
    <col min="251" max="251" width="8.109375" customWidth="1"/>
    <col min="252" max="252" width="5" customWidth="1"/>
    <col min="253" max="253" width="8.109375" customWidth="1"/>
    <col min="254" max="254" width="5" customWidth="1"/>
    <col min="255" max="255" width="8.109375" customWidth="1"/>
    <col min="256" max="256" width="5" customWidth="1"/>
    <col min="257" max="257" width="8.109375" customWidth="1"/>
    <col min="258" max="258" width="5" customWidth="1"/>
    <col min="259" max="259" width="8.109375" customWidth="1"/>
    <col min="260" max="260" width="5" customWidth="1"/>
    <col min="261" max="261" width="8.109375" customWidth="1"/>
    <col min="262" max="262" width="5" customWidth="1"/>
    <col min="263" max="263" width="8.109375" customWidth="1"/>
    <col min="264" max="264" width="5" customWidth="1"/>
    <col min="265" max="265" width="8.109375" customWidth="1"/>
    <col min="266" max="266" width="5" customWidth="1"/>
    <col min="267" max="267" width="8.109375" customWidth="1"/>
    <col min="268" max="268" width="5" customWidth="1"/>
    <col min="269" max="269" width="8.109375" customWidth="1"/>
    <col min="270" max="270" width="5" customWidth="1"/>
    <col min="271" max="271" width="8.109375" customWidth="1"/>
    <col min="272" max="272" width="5" customWidth="1"/>
    <col min="273" max="273" width="8.109375" customWidth="1"/>
    <col min="274" max="274" width="5" customWidth="1"/>
    <col min="275" max="275" width="8.109375" customWidth="1"/>
    <col min="276" max="276" width="5" customWidth="1"/>
    <col min="277" max="277" width="8.109375" customWidth="1"/>
    <col min="278" max="278" width="5" customWidth="1"/>
    <col min="279" max="279" width="8.109375" customWidth="1"/>
    <col min="280" max="280" width="5" customWidth="1"/>
    <col min="281" max="281" width="8.109375" customWidth="1"/>
    <col min="282" max="282" width="5" customWidth="1"/>
    <col min="283" max="283" width="8.109375" customWidth="1"/>
    <col min="284" max="284" width="5" customWidth="1"/>
    <col min="285" max="285" width="8.109375" customWidth="1"/>
    <col min="286" max="286" width="5" customWidth="1"/>
    <col min="287" max="287" width="8.109375" customWidth="1"/>
    <col min="288" max="288" width="5" customWidth="1"/>
    <col min="289" max="289" width="8.109375" customWidth="1"/>
    <col min="290" max="290" width="5" customWidth="1"/>
    <col min="291" max="291" width="8.109375" customWidth="1"/>
    <col min="292" max="292" width="5" customWidth="1"/>
    <col min="293" max="293" width="8.109375" customWidth="1"/>
    <col min="294" max="294" width="5" customWidth="1"/>
    <col min="295" max="295" width="8.109375" customWidth="1"/>
    <col min="296" max="296" width="5" customWidth="1"/>
    <col min="297" max="297" width="8.109375" customWidth="1"/>
    <col min="298" max="298" width="5" customWidth="1"/>
    <col min="299" max="299" width="8.109375" customWidth="1"/>
    <col min="300" max="300" width="5" customWidth="1"/>
    <col min="301" max="301" width="8.109375" customWidth="1"/>
    <col min="302" max="302" width="5" customWidth="1"/>
    <col min="303" max="303" width="8.10937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customWidth="1"/>
    <col min="420" max="420" width="23.88671875" customWidth="1"/>
    <col min="421" max="421" width="3.5546875" customWidth="1"/>
    <col min="422" max="422" width="2" customWidth="1"/>
    <col min="423" max="423" width="7.109375" customWidth="1"/>
    <col min="424" max="424" width="4" customWidth="1"/>
    <col min="425" max="425" width="7.109375" customWidth="1"/>
    <col min="426" max="426" width="4" customWidth="1"/>
    <col min="427" max="427" width="7.109375" customWidth="1"/>
    <col min="428" max="428" width="4" customWidth="1"/>
    <col min="429" max="429" width="7.109375" customWidth="1"/>
    <col min="430" max="430" width="4" customWidth="1"/>
    <col min="431" max="431" width="7.109375" customWidth="1"/>
    <col min="432" max="432" width="4" customWidth="1"/>
    <col min="433" max="433" width="7.109375" customWidth="1"/>
    <col min="434" max="434" width="4" customWidth="1"/>
    <col min="435" max="435" width="7.109375" customWidth="1"/>
    <col min="436" max="436" width="4" customWidth="1"/>
    <col min="437" max="437" width="7.109375" customWidth="1"/>
    <col min="438" max="438" width="4" customWidth="1"/>
    <col min="439" max="439" width="7.109375" customWidth="1"/>
    <col min="440" max="440" width="4" customWidth="1"/>
    <col min="441" max="441" width="7.109375" customWidth="1"/>
    <col min="442" max="442" width="5" customWidth="1"/>
    <col min="443" max="443" width="8.109375" customWidth="1"/>
    <col min="444" max="444" width="5" customWidth="1"/>
    <col min="445" max="445" width="8.109375" customWidth="1"/>
    <col min="446" max="446" width="5" customWidth="1"/>
    <col min="447" max="447" width="8.109375" customWidth="1"/>
    <col min="448" max="448" width="5" customWidth="1"/>
    <col min="449" max="449" width="8.109375" customWidth="1"/>
    <col min="450" max="450" width="5" customWidth="1"/>
    <col min="451" max="451" width="8.109375" customWidth="1"/>
    <col min="452" max="452" width="5" customWidth="1"/>
    <col min="453" max="453" width="8.109375" customWidth="1"/>
    <col min="454" max="454" width="5" customWidth="1"/>
    <col min="455" max="455" width="8.109375" customWidth="1"/>
    <col min="456" max="456" width="5" customWidth="1"/>
    <col min="457" max="457" width="8.109375" customWidth="1"/>
    <col min="458" max="458" width="5" customWidth="1"/>
    <col min="459" max="459" width="8.109375" customWidth="1"/>
    <col min="460" max="460" width="5" customWidth="1"/>
    <col min="461" max="461" width="8.109375" customWidth="1"/>
    <col min="462" max="462" width="5" customWidth="1"/>
    <col min="463" max="463" width="8.109375" customWidth="1"/>
    <col min="464" max="464" width="5" customWidth="1"/>
    <col min="465" max="465" width="8.109375" customWidth="1"/>
    <col min="466" max="466" width="5" customWidth="1"/>
    <col min="467" max="467" width="8.109375" customWidth="1"/>
    <col min="468" max="468" width="5" customWidth="1"/>
    <col min="469" max="469" width="8.109375" customWidth="1"/>
    <col min="470" max="470" width="5" customWidth="1"/>
    <col min="471" max="471" width="8.109375" customWidth="1"/>
    <col min="472" max="472" width="5" customWidth="1"/>
    <col min="473" max="473" width="8.109375" customWidth="1"/>
    <col min="474" max="474" width="5" customWidth="1"/>
    <col min="475" max="475" width="8.109375" customWidth="1"/>
    <col min="476" max="476" width="5" customWidth="1"/>
    <col min="477" max="477" width="8.109375" customWidth="1"/>
    <col min="478" max="478" width="5" customWidth="1"/>
    <col min="479" max="479" width="8.109375" customWidth="1"/>
    <col min="480" max="480" width="5" customWidth="1"/>
    <col min="481" max="481" width="8.109375" customWidth="1"/>
    <col min="482" max="482" width="5" customWidth="1"/>
    <col min="483" max="483" width="8.109375" customWidth="1"/>
    <col min="484" max="484" width="5" customWidth="1"/>
    <col min="485" max="485" width="8.109375" customWidth="1"/>
    <col min="486" max="486" width="5" customWidth="1"/>
    <col min="487" max="487" width="8.109375" customWidth="1"/>
    <col min="488" max="488" width="5" customWidth="1"/>
    <col min="489" max="489" width="8.109375" customWidth="1"/>
    <col min="490" max="490" width="5" customWidth="1"/>
    <col min="491" max="491" width="3" customWidth="1"/>
    <col min="492" max="492" width="8.109375" customWidth="1"/>
    <col min="493" max="493" width="5" customWidth="1"/>
    <col min="494" max="494" width="8.109375" customWidth="1"/>
    <col min="495" max="495" width="5" customWidth="1"/>
    <col min="496" max="496" width="8.109375" customWidth="1"/>
    <col min="497" max="497" width="5" customWidth="1"/>
    <col min="498" max="498" width="8.109375" customWidth="1"/>
    <col min="499" max="499" width="5" customWidth="1"/>
    <col min="500" max="500" width="8.109375" customWidth="1"/>
    <col min="501" max="501" width="5" customWidth="1"/>
    <col min="502" max="502" width="8.109375" customWidth="1"/>
    <col min="503" max="503" width="5" customWidth="1"/>
    <col min="504" max="504" width="8.109375" customWidth="1"/>
    <col min="505" max="505" width="5" customWidth="1"/>
    <col min="506" max="506" width="8.109375" customWidth="1"/>
    <col min="507" max="507" width="5" customWidth="1"/>
    <col min="508" max="508" width="8.109375" customWidth="1"/>
    <col min="509" max="509" width="5" customWidth="1"/>
    <col min="510" max="510" width="8.109375" customWidth="1"/>
    <col min="511" max="511" width="5" customWidth="1"/>
    <col min="512" max="512" width="8.109375" customWidth="1"/>
    <col min="513" max="513" width="5" customWidth="1"/>
    <col min="514" max="514" width="8.109375" customWidth="1"/>
    <col min="515" max="515" width="5" customWidth="1"/>
    <col min="516" max="516" width="8.109375" customWidth="1"/>
    <col min="517" max="517" width="5" customWidth="1"/>
    <col min="518" max="518" width="8.109375" customWidth="1"/>
    <col min="519" max="519" width="5" customWidth="1"/>
    <col min="520" max="520" width="8.109375" customWidth="1"/>
    <col min="521" max="521" width="5" customWidth="1"/>
    <col min="522" max="522" width="8.109375" customWidth="1"/>
    <col min="523" max="523" width="5" customWidth="1"/>
    <col min="524" max="524" width="8.109375" customWidth="1"/>
    <col min="525" max="525" width="6" customWidth="1"/>
    <col min="527" max="527" width="6" customWidth="1"/>
    <col min="529" max="529" width="6" customWidth="1"/>
    <col min="531" max="531" width="6" customWidth="1"/>
    <col min="533" max="533" width="27.109375" customWidth="1"/>
    <col min="534" max="534" width="11.6640625" customWidth="1"/>
  </cols>
  <sheetData>
    <row r="1" spans="1:9" x14ac:dyDescent="0.25">
      <c r="A1" s="39" t="s">
        <v>265</v>
      </c>
      <c r="B1" t="s">
        <v>3074</v>
      </c>
    </row>
    <row r="2" spans="1:9" x14ac:dyDescent="0.25">
      <c r="A2" s="39" t="s">
        <v>266</v>
      </c>
      <c r="B2" t="s">
        <v>3074</v>
      </c>
    </row>
    <row r="4" spans="1:9" x14ac:dyDescent="0.25">
      <c r="B4" s="39" t="s">
        <v>3073</v>
      </c>
    </row>
    <row r="5" spans="1:9" x14ac:dyDescent="0.25">
      <c r="B5" t="s">
        <v>77</v>
      </c>
      <c r="D5" t="s">
        <v>56</v>
      </c>
      <c r="F5" t="s">
        <v>57</v>
      </c>
      <c r="H5" t="s">
        <v>3076</v>
      </c>
      <c r="I5" t="s">
        <v>3077</v>
      </c>
    </row>
    <row r="6" spans="1:9" x14ac:dyDescent="0.25">
      <c r="A6" s="39" t="s">
        <v>3069</v>
      </c>
      <c r="B6" t="s">
        <v>3075</v>
      </c>
      <c r="C6" t="s">
        <v>3070</v>
      </c>
      <c r="D6" t="s">
        <v>3075</v>
      </c>
      <c r="E6" t="s">
        <v>3070</v>
      </c>
      <c r="F6" t="s">
        <v>3075</v>
      </c>
      <c r="G6" t="s">
        <v>3070</v>
      </c>
    </row>
    <row r="7" spans="1:9" x14ac:dyDescent="0.25">
      <c r="A7" s="38" t="s">
        <v>314</v>
      </c>
      <c r="B7">
        <v>1256</v>
      </c>
      <c r="C7">
        <v>1181</v>
      </c>
      <c r="D7">
        <v>350</v>
      </c>
      <c r="E7">
        <v>350</v>
      </c>
      <c r="F7">
        <v>327</v>
      </c>
      <c r="G7">
        <v>230</v>
      </c>
      <c r="H7">
        <v>1933</v>
      </c>
      <c r="I7">
        <v>1761</v>
      </c>
    </row>
    <row r="8" spans="1:9" x14ac:dyDescent="0.25">
      <c r="A8" s="38" t="s">
        <v>848</v>
      </c>
      <c r="B8">
        <v>4650</v>
      </c>
      <c r="C8">
        <v>4625</v>
      </c>
      <c r="D8">
        <v>780</v>
      </c>
      <c r="E8">
        <v>769</v>
      </c>
      <c r="F8">
        <v>797</v>
      </c>
      <c r="G8">
        <v>733</v>
      </c>
      <c r="H8">
        <v>6227</v>
      </c>
      <c r="I8">
        <v>6127</v>
      </c>
    </row>
    <row r="9" spans="1:9" x14ac:dyDescent="0.25">
      <c r="A9" s="38" t="s">
        <v>822</v>
      </c>
      <c r="B9">
        <v>6861</v>
      </c>
      <c r="C9">
        <v>6439</v>
      </c>
      <c r="D9">
        <v>1212</v>
      </c>
      <c r="E9">
        <v>1198</v>
      </c>
      <c r="F9">
        <v>1352</v>
      </c>
      <c r="G9">
        <v>611</v>
      </c>
      <c r="H9">
        <v>9425</v>
      </c>
      <c r="I9">
        <v>8248</v>
      </c>
    </row>
    <row r="10" spans="1:9" x14ac:dyDescent="0.25">
      <c r="A10" s="38" t="s">
        <v>2721</v>
      </c>
      <c r="B10">
        <v>55</v>
      </c>
      <c r="C10">
        <v>55</v>
      </c>
      <c r="F10">
        <v>9</v>
      </c>
      <c r="G10">
        <v>9</v>
      </c>
      <c r="H10">
        <v>64</v>
      </c>
      <c r="I10">
        <v>64</v>
      </c>
    </row>
    <row r="11" spans="1:9" x14ac:dyDescent="0.25">
      <c r="A11" s="38" t="s">
        <v>2736</v>
      </c>
      <c r="B11">
        <v>3784</v>
      </c>
      <c r="C11">
        <v>3784</v>
      </c>
      <c r="D11">
        <v>608</v>
      </c>
      <c r="E11">
        <v>608</v>
      </c>
      <c r="F11">
        <v>942</v>
      </c>
      <c r="G11">
        <v>942</v>
      </c>
      <c r="H11">
        <v>5334</v>
      </c>
      <c r="I11">
        <v>5334</v>
      </c>
    </row>
    <row r="12" spans="1:9" x14ac:dyDescent="0.25">
      <c r="A12" s="38" t="s">
        <v>2855</v>
      </c>
      <c r="B12">
        <v>208</v>
      </c>
      <c r="C12">
        <v>208</v>
      </c>
      <c r="D12">
        <v>41</v>
      </c>
      <c r="E12">
        <v>41</v>
      </c>
      <c r="F12">
        <v>62</v>
      </c>
      <c r="G12">
        <v>62</v>
      </c>
      <c r="H12">
        <v>311</v>
      </c>
      <c r="I12">
        <v>311</v>
      </c>
    </row>
    <row r="13" spans="1:9" x14ac:dyDescent="0.25">
      <c r="A13" s="38" t="s">
        <v>3071</v>
      </c>
      <c r="B13">
        <v>16814</v>
      </c>
      <c r="C13">
        <v>16292</v>
      </c>
      <c r="D13">
        <v>2991</v>
      </c>
      <c r="E13">
        <v>2966</v>
      </c>
      <c r="F13">
        <v>3489</v>
      </c>
      <c r="G13">
        <v>2587</v>
      </c>
      <c r="H13">
        <v>23294</v>
      </c>
      <c r="I13">
        <v>21845</v>
      </c>
    </row>
  </sheetData>
  <printOptions horizontalCentered="1"/>
  <pageMargins left="0.39370078740157483" right="0.39370078740157483" top="0.39370078740157483" bottom="0.39370078740157483" header="0.19685039370078741" footer="0.19685039370078741"/>
  <pageSetup paperSize="9" scale="48" fitToHeight="0" orientation="landscape" r:id="rId2"/>
  <headerFooter alignWithMargins="0">
    <oddHeader>&amp;L&amp;"Calibri"&amp;10&amp;K000000Official&amp;1#</oddHeader>
    <oddFooter>&amp;C&amp;8&amp;P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B7"/>
  <sheetViews>
    <sheetView workbookViewId="0">
      <selection activeCell="B2" sqref="B2"/>
    </sheetView>
  </sheetViews>
  <sheetFormatPr defaultRowHeight="13.2" x14ac:dyDescent="0.25"/>
  <cols>
    <col min="1" max="1" width="21.109375" bestFit="1" customWidth="1"/>
    <col min="2" max="2" width="22" bestFit="1" customWidth="1"/>
    <col min="3" max="3" width="22.5546875" bestFit="1" customWidth="1"/>
    <col min="4" max="4" width="28.33203125" bestFit="1" customWidth="1"/>
    <col min="5" max="5" width="22.5546875" bestFit="1" customWidth="1"/>
    <col min="6" max="6" width="28.33203125" customWidth="1"/>
    <col min="7" max="7" width="22.5546875" customWidth="1"/>
    <col min="8" max="8" width="28.33203125" bestFit="1" customWidth="1"/>
    <col min="9" max="9" width="22.5546875" bestFit="1" customWidth="1"/>
    <col min="10" max="10" width="33.5546875" bestFit="1" customWidth="1"/>
    <col min="11" max="11" width="27.88671875" bestFit="1" customWidth="1"/>
  </cols>
  <sheetData>
    <row r="1" spans="1:2" x14ac:dyDescent="0.25">
      <c r="A1" s="39" t="s">
        <v>261</v>
      </c>
      <c r="B1" t="s">
        <v>318</v>
      </c>
    </row>
    <row r="3" spans="1:2" x14ac:dyDescent="0.25">
      <c r="A3" s="39" t="s">
        <v>3069</v>
      </c>
      <c r="B3" t="s">
        <v>3070</v>
      </c>
    </row>
    <row r="4" spans="1:2" x14ac:dyDescent="0.25">
      <c r="A4" s="38" t="s">
        <v>314</v>
      </c>
      <c r="B4">
        <v>614</v>
      </c>
    </row>
    <row r="5" spans="1:2" x14ac:dyDescent="0.25">
      <c r="A5" s="38" t="s">
        <v>848</v>
      </c>
      <c r="B5">
        <v>458</v>
      </c>
    </row>
    <row r="6" spans="1:2" x14ac:dyDescent="0.25">
      <c r="A6" s="38" t="s">
        <v>822</v>
      </c>
      <c r="B6">
        <v>1498</v>
      </c>
    </row>
    <row r="7" spans="1:2" x14ac:dyDescent="0.25">
      <c r="A7" s="38" t="s">
        <v>3071</v>
      </c>
      <c r="B7">
        <v>2570</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B6"/>
  <sheetViews>
    <sheetView workbookViewId="0">
      <selection activeCell="B4" sqref="B4:B6"/>
    </sheetView>
  </sheetViews>
  <sheetFormatPr defaultColWidth="9.109375" defaultRowHeight="13.2" x14ac:dyDescent="0.25"/>
  <cols>
    <col min="1" max="1" width="19.44140625" bestFit="1" customWidth="1"/>
    <col min="2" max="2" width="22" bestFit="1" customWidth="1"/>
    <col min="3" max="3" width="12.5546875" customWidth="1"/>
    <col min="4" max="4" width="21.88671875" customWidth="1"/>
    <col min="5" max="5" width="11.6640625" customWidth="1"/>
    <col min="6" max="6" width="28.33203125" customWidth="1"/>
    <col min="7" max="7" width="22.5546875" customWidth="1"/>
    <col min="8" max="8" width="33.5546875" customWidth="1"/>
    <col min="9" max="9" width="27.88671875" customWidth="1"/>
  </cols>
  <sheetData>
    <row r="1" spans="1:2" x14ac:dyDescent="0.25">
      <c r="A1" s="39" t="s">
        <v>269</v>
      </c>
      <c r="B1" t="s">
        <v>318</v>
      </c>
    </row>
    <row r="3" spans="1:2" x14ac:dyDescent="0.25">
      <c r="A3" s="39" t="s">
        <v>3069</v>
      </c>
      <c r="B3" t="s">
        <v>3070</v>
      </c>
    </row>
    <row r="4" spans="1:2" x14ac:dyDescent="0.25">
      <c r="A4" s="38" t="s">
        <v>314</v>
      </c>
      <c r="B4">
        <v>100</v>
      </c>
    </row>
    <row r="5" spans="1:2" x14ac:dyDescent="0.25">
      <c r="A5" s="38" t="s">
        <v>848</v>
      </c>
      <c r="B5">
        <v>1826</v>
      </c>
    </row>
    <row r="6" spans="1:2" x14ac:dyDescent="0.25">
      <c r="A6" s="38" t="s">
        <v>3071</v>
      </c>
      <c r="B6">
        <v>1926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pageSetUpPr fitToPage="1"/>
  </sheetPr>
  <dimension ref="A1:C9"/>
  <sheetViews>
    <sheetView workbookViewId="0">
      <selection activeCell="B2" sqref="B2"/>
    </sheetView>
  </sheetViews>
  <sheetFormatPr defaultRowHeight="13.2" x14ac:dyDescent="0.25"/>
  <cols>
    <col min="1" max="1" width="31" bestFit="1" customWidth="1"/>
    <col min="2" max="2" width="22" bestFit="1" customWidth="1"/>
    <col min="3" max="3" width="27.5546875" bestFit="1" customWidth="1"/>
    <col min="4" max="4" width="5" customWidth="1"/>
    <col min="5" max="5" width="4.5546875" customWidth="1"/>
    <col min="6" max="6" width="4.44140625" customWidth="1"/>
    <col min="7" max="7" width="11.6640625" bestFit="1" customWidth="1"/>
  </cols>
  <sheetData>
    <row r="1" spans="1:3" x14ac:dyDescent="0.25">
      <c r="A1" s="39" t="s">
        <v>261</v>
      </c>
      <c r="B1" t="s">
        <v>318</v>
      </c>
    </row>
    <row r="2" spans="1:3" x14ac:dyDescent="0.25">
      <c r="A2" s="39" t="s">
        <v>265</v>
      </c>
      <c r="B2" t="s">
        <v>3074</v>
      </c>
    </row>
    <row r="3" spans="1:3" x14ac:dyDescent="0.25">
      <c r="A3" s="39" t="s">
        <v>266</v>
      </c>
      <c r="B3" t="s">
        <v>3074</v>
      </c>
    </row>
    <row r="5" spans="1:3" x14ac:dyDescent="0.25">
      <c r="A5" s="39" t="s">
        <v>3069</v>
      </c>
      <c r="B5" t="s">
        <v>3070</v>
      </c>
      <c r="C5" t="s">
        <v>3075</v>
      </c>
    </row>
    <row r="6" spans="1:3" x14ac:dyDescent="0.25">
      <c r="A6" s="38" t="s">
        <v>314</v>
      </c>
      <c r="B6">
        <v>528</v>
      </c>
      <c r="C6">
        <v>528</v>
      </c>
    </row>
    <row r="7" spans="1:3" x14ac:dyDescent="0.25">
      <c r="A7" s="38" t="s">
        <v>848</v>
      </c>
      <c r="B7">
        <v>440</v>
      </c>
      <c r="C7">
        <v>445</v>
      </c>
    </row>
    <row r="8" spans="1:3" x14ac:dyDescent="0.25">
      <c r="A8" s="38" t="s">
        <v>822</v>
      </c>
      <c r="B8">
        <v>1375</v>
      </c>
      <c r="C8">
        <v>1386</v>
      </c>
    </row>
    <row r="9" spans="1:3" x14ac:dyDescent="0.25">
      <c r="A9" s="38" t="s">
        <v>3071</v>
      </c>
      <c r="B9">
        <v>2343</v>
      </c>
      <c r="C9">
        <v>2359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C9"/>
  <sheetViews>
    <sheetView workbookViewId="0">
      <selection activeCell="B2" sqref="B2"/>
    </sheetView>
  </sheetViews>
  <sheetFormatPr defaultColWidth="9.109375" defaultRowHeight="13.2" x14ac:dyDescent="0.25"/>
  <cols>
    <col min="1" max="1" width="31" bestFit="1" customWidth="1"/>
    <col min="2" max="2" width="22" bestFit="1" customWidth="1"/>
    <col min="3" max="3" width="27.5546875" bestFit="1" customWidth="1"/>
    <col min="4" max="4" width="5" customWidth="1"/>
    <col min="5" max="5" width="4.5546875" customWidth="1"/>
    <col min="6" max="6" width="4.44140625" customWidth="1"/>
    <col min="7" max="7" width="11.6640625" customWidth="1"/>
  </cols>
  <sheetData>
    <row r="1" spans="1:3" x14ac:dyDescent="0.25">
      <c r="A1" s="39" t="s">
        <v>261</v>
      </c>
      <c r="B1" t="s">
        <v>318</v>
      </c>
    </row>
    <row r="2" spans="1:3" x14ac:dyDescent="0.25">
      <c r="A2" s="39" t="s">
        <v>265</v>
      </c>
      <c r="B2" t="s">
        <v>3074</v>
      </c>
    </row>
    <row r="3" spans="1:3" x14ac:dyDescent="0.25">
      <c r="A3" s="39" t="s">
        <v>266</v>
      </c>
      <c r="B3" t="s">
        <v>3074</v>
      </c>
    </row>
    <row r="5" spans="1:3" x14ac:dyDescent="0.25">
      <c r="A5" s="39" t="s">
        <v>3069</v>
      </c>
      <c r="B5" t="s">
        <v>3070</v>
      </c>
      <c r="C5" t="s">
        <v>3075</v>
      </c>
    </row>
    <row r="6" spans="1:3" x14ac:dyDescent="0.25">
      <c r="A6" s="38" t="s">
        <v>314</v>
      </c>
      <c r="B6">
        <v>86</v>
      </c>
      <c r="C6">
        <v>121</v>
      </c>
    </row>
    <row r="7" spans="1:3" x14ac:dyDescent="0.25">
      <c r="A7" s="38" t="s">
        <v>848</v>
      </c>
      <c r="B7">
        <v>18</v>
      </c>
      <c r="C7">
        <v>32</v>
      </c>
    </row>
    <row r="8" spans="1:3" x14ac:dyDescent="0.25">
      <c r="A8" s="38" t="s">
        <v>822</v>
      </c>
      <c r="B8">
        <v>123</v>
      </c>
      <c r="C8">
        <v>209</v>
      </c>
    </row>
    <row r="9" spans="1:3" x14ac:dyDescent="0.25">
      <c r="A9" s="38" t="s">
        <v>3071</v>
      </c>
      <c r="B9">
        <v>227</v>
      </c>
      <c r="C9">
        <v>362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B8"/>
  <sheetViews>
    <sheetView workbookViewId="0">
      <selection activeCell="B4" sqref="B4:B6"/>
    </sheetView>
  </sheetViews>
  <sheetFormatPr defaultRowHeight="13.2" x14ac:dyDescent="0.25"/>
  <cols>
    <col min="1" max="1" width="31" bestFit="1" customWidth="1"/>
    <col min="2" max="2" width="22" bestFit="1" customWidth="1"/>
    <col min="3" max="4" width="5" customWidth="1"/>
    <col min="5" max="5" width="4.5546875" customWidth="1"/>
    <col min="6" max="6" width="4.44140625" customWidth="1"/>
    <col min="7" max="7" width="11.6640625" bestFit="1" customWidth="1"/>
  </cols>
  <sheetData>
    <row r="1" spans="1:2" x14ac:dyDescent="0.25">
      <c r="A1" s="39" t="s">
        <v>265</v>
      </c>
      <c r="B1" t="s">
        <v>3074</v>
      </c>
    </row>
    <row r="2" spans="1:2" x14ac:dyDescent="0.25">
      <c r="A2" s="39" t="s">
        <v>266</v>
      </c>
      <c r="B2" t="s">
        <v>3074</v>
      </c>
    </row>
    <row r="3" spans="1:2" x14ac:dyDescent="0.25">
      <c r="A3" s="39" t="s">
        <v>269</v>
      </c>
      <c r="B3" t="s">
        <v>318</v>
      </c>
    </row>
    <row r="5" spans="1:2" x14ac:dyDescent="0.25">
      <c r="A5" s="39" t="s">
        <v>3069</v>
      </c>
      <c r="B5" t="s">
        <v>3070</v>
      </c>
    </row>
    <row r="6" spans="1:2" x14ac:dyDescent="0.25">
      <c r="A6" s="38" t="s">
        <v>314</v>
      </c>
      <c r="B6">
        <v>3</v>
      </c>
    </row>
    <row r="7" spans="1:2" x14ac:dyDescent="0.25">
      <c r="A7" s="38" t="s">
        <v>848</v>
      </c>
      <c r="B7">
        <v>1650</v>
      </c>
    </row>
    <row r="8" spans="1:2" x14ac:dyDescent="0.25">
      <c r="A8" s="38" t="s">
        <v>3071</v>
      </c>
      <c r="B8">
        <v>1653</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8"/>
  <sheetViews>
    <sheetView workbookViewId="0">
      <selection activeCell="B4" sqref="B4:B6"/>
    </sheetView>
  </sheetViews>
  <sheetFormatPr defaultColWidth="9.109375" defaultRowHeight="13.2" x14ac:dyDescent="0.25"/>
  <cols>
    <col min="1" max="1" width="31" bestFit="1" customWidth="1"/>
    <col min="2" max="2" width="22" bestFit="1" customWidth="1"/>
    <col min="3" max="4" width="5" customWidth="1"/>
    <col min="5" max="5" width="4.5546875" customWidth="1"/>
    <col min="6" max="6" width="4.44140625" customWidth="1"/>
    <col min="7" max="7" width="11.6640625" customWidth="1"/>
  </cols>
  <sheetData>
    <row r="1" spans="1:2" x14ac:dyDescent="0.25">
      <c r="A1" s="39" t="s">
        <v>265</v>
      </c>
      <c r="B1" t="s">
        <v>3074</v>
      </c>
    </row>
    <row r="2" spans="1:2" x14ac:dyDescent="0.25">
      <c r="A2" s="39" t="s">
        <v>266</v>
      </c>
      <c r="B2" t="s">
        <v>3074</v>
      </c>
    </row>
    <row r="3" spans="1:2" x14ac:dyDescent="0.25">
      <c r="A3" s="39" t="s">
        <v>269</v>
      </c>
      <c r="B3" t="s">
        <v>318</v>
      </c>
    </row>
    <row r="5" spans="1:2" x14ac:dyDescent="0.25">
      <c r="A5" s="39" t="s">
        <v>3069</v>
      </c>
      <c r="B5" t="s">
        <v>3070</v>
      </c>
    </row>
    <row r="6" spans="1:2" x14ac:dyDescent="0.25">
      <c r="A6" s="38" t="s">
        <v>314</v>
      </c>
      <c r="B6">
        <v>97</v>
      </c>
    </row>
    <row r="7" spans="1:2" x14ac:dyDescent="0.25">
      <c r="A7" s="38" t="s">
        <v>848</v>
      </c>
      <c r="B7">
        <v>176</v>
      </c>
    </row>
    <row r="8" spans="1:2" x14ac:dyDescent="0.25">
      <c r="A8" s="38" t="s">
        <v>3071</v>
      </c>
      <c r="B8">
        <v>273</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E8"/>
  <sheetViews>
    <sheetView workbookViewId="0">
      <selection activeCell="B2" sqref="B2"/>
    </sheetView>
  </sheetViews>
  <sheetFormatPr defaultRowHeight="13.2" x14ac:dyDescent="0.25"/>
  <cols>
    <col min="1" max="1" width="22" bestFit="1" customWidth="1"/>
    <col min="2" max="2" width="16.5546875" bestFit="1" customWidth="1"/>
    <col min="3" max="3" width="12.33203125" bestFit="1" customWidth="1"/>
    <col min="4" max="4" width="21.33203125" bestFit="1" customWidth="1"/>
    <col min="5" max="7" width="11.33203125" bestFit="1" customWidth="1"/>
  </cols>
  <sheetData>
    <row r="1" spans="1:5" x14ac:dyDescent="0.25">
      <c r="A1" s="39" t="s">
        <v>261</v>
      </c>
      <c r="B1" t="s">
        <v>318</v>
      </c>
    </row>
    <row r="3" spans="1:5" x14ac:dyDescent="0.25">
      <c r="A3" s="39" t="s">
        <v>3070</v>
      </c>
      <c r="B3" s="39" t="s">
        <v>3073</v>
      </c>
    </row>
    <row r="4" spans="1:5" x14ac:dyDescent="0.25">
      <c r="A4" s="39" t="s">
        <v>3069</v>
      </c>
      <c r="B4" t="s">
        <v>77</v>
      </c>
      <c r="C4" t="s">
        <v>56</v>
      </c>
      <c r="D4" t="s">
        <v>57</v>
      </c>
      <c r="E4" t="s">
        <v>3071</v>
      </c>
    </row>
    <row r="5" spans="1:5" x14ac:dyDescent="0.25">
      <c r="A5" s="38" t="s">
        <v>314</v>
      </c>
      <c r="B5">
        <v>614</v>
      </c>
      <c r="C5">
        <v>0</v>
      </c>
      <c r="E5">
        <v>614</v>
      </c>
    </row>
    <row r="6" spans="1:5" x14ac:dyDescent="0.25">
      <c r="A6" s="38" t="s">
        <v>848</v>
      </c>
      <c r="B6">
        <v>282</v>
      </c>
      <c r="C6">
        <v>74</v>
      </c>
      <c r="D6">
        <v>102</v>
      </c>
      <c r="E6">
        <v>458</v>
      </c>
    </row>
    <row r="7" spans="1:5" x14ac:dyDescent="0.25">
      <c r="A7" s="38" t="s">
        <v>822</v>
      </c>
      <c r="B7">
        <v>1207</v>
      </c>
      <c r="C7">
        <v>188</v>
      </c>
      <c r="D7">
        <v>103</v>
      </c>
      <c r="E7">
        <v>1498</v>
      </c>
    </row>
    <row r="8" spans="1:5" x14ac:dyDescent="0.25">
      <c r="A8" s="38" t="s">
        <v>3071</v>
      </c>
      <c r="B8">
        <v>2103</v>
      </c>
      <c r="C8">
        <v>262</v>
      </c>
      <c r="D8">
        <v>205</v>
      </c>
      <c r="E8">
        <v>2570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F7"/>
  <sheetViews>
    <sheetView workbookViewId="0">
      <selection activeCell="B2" sqref="B2"/>
    </sheetView>
  </sheetViews>
  <sheetFormatPr defaultRowHeight="13.2" x14ac:dyDescent="0.25"/>
  <cols>
    <col min="1" max="1" width="22" bestFit="1" customWidth="1"/>
    <col min="2" max="2" width="16.5546875" bestFit="1" customWidth="1"/>
    <col min="3" max="3" width="12.33203125" bestFit="1" customWidth="1"/>
    <col min="4" max="4" width="21.33203125" bestFit="1" customWidth="1"/>
    <col min="5" max="5" width="9.33203125" bestFit="1" customWidth="1"/>
    <col min="6" max="7" width="11.33203125" bestFit="1" customWidth="1"/>
  </cols>
  <sheetData>
    <row r="1" spans="1:6" x14ac:dyDescent="0.25">
      <c r="A1" s="39" t="s">
        <v>269</v>
      </c>
      <c r="B1" t="s">
        <v>318</v>
      </c>
    </row>
    <row r="3" spans="1:6" x14ac:dyDescent="0.25">
      <c r="A3" s="39" t="s">
        <v>3070</v>
      </c>
      <c r="B3" s="39" t="s">
        <v>3073</v>
      </c>
    </row>
    <row r="4" spans="1:6" x14ac:dyDescent="0.25">
      <c r="A4" s="39" t="s">
        <v>3069</v>
      </c>
      <c r="B4" t="s">
        <v>77</v>
      </c>
      <c r="C4" t="s">
        <v>56</v>
      </c>
      <c r="D4" t="s">
        <v>57</v>
      </c>
      <c r="E4" t="s">
        <v>79</v>
      </c>
      <c r="F4" t="s">
        <v>3071</v>
      </c>
    </row>
    <row r="5" spans="1:6" x14ac:dyDescent="0.25">
      <c r="A5" s="38" t="s">
        <v>314</v>
      </c>
      <c r="B5">
        <v>100</v>
      </c>
      <c r="C5">
        <v>0</v>
      </c>
      <c r="F5">
        <v>100</v>
      </c>
    </row>
    <row r="6" spans="1:6" x14ac:dyDescent="0.25">
      <c r="A6" s="38" t="s">
        <v>848</v>
      </c>
      <c r="B6">
        <v>1447</v>
      </c>
      <c r="C6">
        <v>154</v>
      </c>
      <c r="D6">
        <v>226</v>
      </c>
      <c r="E6">
        <v>-1</v>
      </c>
      <c r="F6">
        <v>1826</v>
      </c>
    </row>
    <row r="7" spans="1:6" x14ac:dyDescent="0.25">
      <c r="A7" s="38" t="s">
        <v>3071</v>
      </c>
      <c r="B7">
        <v>1547</v>
      </c>
      <c r="C7">
        <v>154</v>
      </c>
      <c r="D7">
        <v>226</v>
      </c>
      <c r="E7">
        <v>-1</v>
      </c>
      <c r="F7">
        <v>1926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fitToPage="1"/>
  </sheetPr>
  <dimension ref="A1:J7"/>
  <sheetViews>
    <sheetView workbookViewId="0">
      <selection activeCell="B4" sqref="B4:B6"/>
    </sheetView>
  </sheetViews>
  <sheetFormatPr defaultRowHeight="13.2" x14ac:dyDescent="0.25"/>
  <cols>
    <col min="1" max="1" width="32.6640625" bestFit="1" customWidth="1"/>
    <col min="2" max="2" width="16.5546875" bestFit="1" customWidth="1"/>
    <col min="3" max="3" width="12.33203125" bestFit="1" customWidth="1"/>
    <col min="4" max="4" width="21.33203125" bestFit="1" customWidth="1"/>
    <col min="5" max="5" width="11.88671875" bestFit="1" customWidth="1"/>
    <col min="6" max="7" width="12.33203125" bestFit="1" customWidth="1"/>
    <col min="8" max="8" width="21.33203125" bestFit="1" customWidth="1"/>
    <col min="9" max="9" width="7.109375" bestFit="1" customWidth="1"/>
    <col min="10" max="10" width="11.33203125" bestFit="1" customWidth="1"/>
    <col min="11" max="11" width="11.6640625" bestFit="1" customWidth="1"/>
  </cols>
  <sheetData>
    <row r="1" spans="1:10" x14ac:dyDescent="0.25">
      <c r="A1" s="39" t="s">
        <v>256</v>
      </c>
      <c r="B1" t="s">
        <v>318</v>
      </c>
    </row>
    <row r="3" spans="1:10" x14ac:dyDescent="0.25">
      <c r="A3" s="39" t="s">
        <v>3070</v>
      </c>
      <c r="B3" s="39" t="s">
        <v>3073</v>
      </c>
    </row>
    <row r="4" spans="1:10" x14ac:dyDescent="0.25">
      <c r="B4" t="s">
        <v>3078</v>
      </c>
      <c r="E4" t="s">
        <v>3079</v>
      </c>
      <c r="F4" t="s">
        <v>318</v>
      </c>
      <c r="I4" t="s">
        <v>3080</v>
      </c>
      <c r="J4" t="s">
        <v>3071</v>
      </c>
    </row>
    <row r="5" spans="1:10" x14ac:dyDescent="0.25">
      <c r="A5" s="39" t="s">
        <v>3069</v>
      </c>
      <c r="B5" t="s">
        <v>77</v>
      </c>
      <c r="C5" t="s">
        <v>56</v>
      </c>
      <c r="D5" t="s">
        <v>57</v>
      </c>
      <c r="F5" t="s">
        <v>77</v>
      </c>
      <c r="G5" t="s">
        <v>56</v>
      </c>
      <c r="H5" t="s">
        <v>57</v>
      </c>
    </row>
    <row r="6" spans="1:10" x14ac:dyDescent="0.25">
      <c r="A6" s="38" t="s">
        <v>314</v>
      </c>
      <c r="B6">
        <v>197</v>
      </c>
      <c r="C6">
        <v>158</v>
      </c>
      <c r="D6">
        <v>190</v>
      </c>
      <c r="E6">
        <v>545</v>
      </c>
      <c r="F6">
        <v>1007</v>
      </c>
      <c r="G6">
        <v>192</v>
      </c>
      <c r="H6">
        <v>40</v>
      </c>
      <c r="I6">
        <v>1239</v>
      </c>
      <c r="J6">
        <v>1784</v>
      </c>
    </row>
    <row r="7" spans="1:10" x14ac:dyDescent="0.25">
      <c r="A7" s="38" t="s">
        <v>3071</v>
      </c>
      <c r="B7">
        <v>197</v>
      </c>
      <c r="C7">
        <v>158</v>
      </c>
      <c r="D7">
        <v>190</v>
      </c>
      <c r="E7">
        <v>545</v>
      </c>
      <c r="F7">
        <v>1007</v>
      </c>
      <c r="G7">
        <v>192</v>
      </c>
      <c r="H7">
        <v>40</v>
      </c>
      <c r="I7">
        <v>1239</v>
      </c>
      <c r="J7">
        <v>1784</v>
      </c>
    </row>
  </sheetData>
  <printOptions horizontalCentered="1"/>
  <pageMargins left="0.39370078740157483" right="0.39370078740157483" top="0.39370078740157483" bottom="0.39370078740157483" header="0.19685039370078741" footer="0.19685039370078741"/>
  <pageSetup paperSize="9" scale="85" fitToHeight="0" orientation="landscape" r:id="rId2"/>
  <headerFooter alignWithMargins="0">
    <oddHeader>&amp;L&amp;"Calibri"&amp;10&amp;K000000Official&amp;1#</oddHeader>
    <oddFooter>&amp;C&amp;8&amp;P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K9"/>
  <sheetViews>
    <sheetView workbookViewId="0">
      <selection activeCell="B2" sqref="B2"/>
    </sheetView>
  </sheetViews>
  <sheetFormatPr defaultRowHeight="13.2" x14ac:dyDescent="0.25"/>
  <cols>
    <col min="1" max="1" width="13.44140625" bestFit="1" customWidth="1"/>
    <col min="2" max="2" width="22" bestFit="1" customWidth="1"/>
    <col min="3" max="3" width="12.5546875" bestFit="1" customWidth="1"/>
    <col min="4" max="4" width="21.88671875" bestFit="1" customWidth="1"/>
    <col min="5" max="5" width="11.6640625" bestFit="1" customWidth="1"/>
    <col min="6" max="7" width="12.5546875" bestFit="1" customWidth="1"/>
    <col min="8" max="8" width="21.88671875" bestFit="1" customWidth="1"/>
    <col min="9" max="9" width="7.33203125" bestFit="1" customWidth="1"/>
    <col min="10" max="10" width="11.6640625" bestFit="1" customWidth="1"/>
  </cols>
  <sheetData>
    <row r="1" spans="1:11" x14ac:dyDescent="0.25">
      <c r="A1" s="39" t="s">
        <v>76</v>
      </c>
      <c r="B1" t="s">
        <v>314</v>
      </c>
    </row>
    <row r="3" spans="1:11" x14ac:dyDescent="0.25">
      <c r="A3" s="39" t="s">
        <v>3069</v>
      </c>
      <c r="B3" t="s">
        <v>3070</v>
      </c>
    </row>
    <row r="4" spans="1:11" x14ac:dyDescent="0.25">
      <c r="A4" s="38" t="s">
        <v>141</v>
      </c>
      <c r="B4">
        <v>21</v>
      </c>
    </row>
    <row r="5" spans="1:11" x14ac:dyDescent="0.25">
      <c r="A5" s="38" t="s">
        <v>143</v>
      </c>
      <c r="B5">
        <v>5</v>
      </c>
      <c r="K5" s="39"/>
    </row>
    <row r="6" spans="1:11" x14ac:dyDescent="0.25">
      <c r="A6" s="38" t="s">
        <v>144</v>
      </c>
      <c r="B6">
        <v>56</v>
      </c>
    </row>
    <row r="7" spans="1:11" x14ac:dyDescent="0.25">
      <c r="A7" s="38" t="s">
        <v>145</v>
      </c>
      <c r="B7">
        <v>6</v>
      </c>
    </row>
    <row r="8" spans="1:11" x14ac:dyDescent="0.25">
      <c r="A8" s="38" t="s">
        <v>3078</v>
      </c>
      <c r="B8">
        <v>1911</v>
      </c>
    </row>
    <row r="9" spans="1:11" x14ac:dyDescent="0.25">
      <c r="A9" s="38" t="s">
        <v>3071</v>
      </c>
      <c r="B9">
        <v>1999</v>
      </c>
    </row>
  </sheetData>
  <printOptions horizontalCentered="1"/>
  <pageMargins left="0.39370078740157483" right="0.39370078740157483" top="0.39370078740157483" bottom="0.39370078740157483" header="0.19685039370078741" footer="0.19685039370078741"/>
  <pageSetup paperSize="9" scale="89" fitToHeight="0" orientation="landscape" r:id="rId2"/>
  <headerFooter alignWithMargins="0">
    <oddHeader>&amp;L&amp;"Calibri"&amp;10&amp;K000000Official&amp;1#</oddHeader>
    <oddFooter>&amp;C&amp;8&amp;P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pageSetUpPr fitToPage="1"/>
  </sheetPr>
  <dimension ref="A1:B25"/>
  <sheetViews>
    <sheetView workbookViewId="0">
      <selection activeCell="B2" sqref="B2"/>
    </sheetView>
  </sheetViews>
  <sheetFormatPr defaultRowHeight="13.2" x14ac:dyDescent="0.25"/>
  <cols>
    <col min="1" max="1" width="23.33203125" bestFit="1" customWidth="1"/>
    <col min="2" max="2" width="22" bestFit="1" customWidth="1"/>
  </cols>
  <sheetData>
    <row r="1" spans="1:2" x14ac:dyDescent="0.25">
      <c r="A1" s="39" t="s">
        <v>76</v>
      </c>
      <c r="B1" t="s">
        <v>314</v>
      </c>
    </row>
    <row r="3" spans="1:2" x14ac:dyDescent="0.25">
      <c r="A3" s="39" t="s">
        <v>3069</v>
      </c>
      <c r="B3" t="s">
        <v>3070</v>
      </c>
    </row>
    <row r="4" spans="1:2" x14ac:dyDescent="0.25">
      <c r="A4" s="38" t="s">
        <v>141</v>
      </c>
      <c r="B4">
        <v>27</v>
      </c>
    </row>
    <row r="5" spans="1:2" x14ac:dyDescent="0.25">
      <c r="A5" s="38" t="s">
        <v>163</v>
      </c>
      <c r="B5">
        <v>1</v>
      </c>
    </row>
    <row r="6" spans="1:2" x14ac:dyDescent="0.25">
      <c r="A6" s="38" t="s">
        <v>164</v>
      </c>
      <c r="B6">
        <v>16</v>
      </c>
    </row>
    <row r="7" spans="1:2" x14ac:dyDescent="0.25">
      <c r="A7" s="38" t="s">
        <v>166</v>
      </c>
      <c r="B7">
        <v>28</v>
      </c>
    </row>
    <row r="8" spans="1:2" x14ac:dyDescent="0.25">
      <c r="A8" s="38" t="s">
        <v>167</v>
      </c>
      <c r="B8">
        <v>51</v>
      </c>
    </row>
    <row r="9" spans="1:2" x14ac:dyDescent="0.25">
      <c r="A9" s="38" t="s">
        <v>168</v>
      </c>
      <c r="B9">
        <v>1228</v>
      </c>
    </row>
    <row r="10" spans="1:2" x14ac:dyDescent="0.25">
      <c r="A10" s="38" t="s">
        <v>169</v>
      </c>
      <c r="B10">
        <v>2</v>
      </c>
    </row>
    <row r="11" spans="1:2" x14ac:dyDescent="0.25">
      <c r="A11" s="38" t="s">
        <v>170</v>
      </c>
      <c r="B11">
        <v>-1</v>
      </c>
    </row>
    <row r="12" spans="1:2" x14ac:dyDescent="0.25">
      <c r="A12" s="38" t="s">
        <v>171</v>
      </c>
      <c r="B12">
        <v>35</v>
      </c>
    </row>
    <row r="13" spans="1:2" x14ac:dyDescent="0.25">
      <c r="A13" s="38" t="s">
        <v>172</v>
      </c>
      <c r="B13">
        <v>25</v>
      </c>
    </row>
    <row r="14" spans="1:2" x14ac:dyDescent="0.25">
      <c r="A14" s="38" t="s">
        <v>173</v>
      </c>
      <c r="B14">
        <v>1</v>
      </c>
    </row>
    <row r="15" spans="1:2" x14ac:dyDescent="0.25">
      <c r="A15" s="38" t="s">
        <v>174</v>
      </c>
      <c r="B15">
        <v>92</v>
      </c>
    </row>
    <row r="16" spans="1:2" x14ac:dyDescent="0.25">
      <c r="A16" s="38" t="s">
        <v>175</v>
      </c>
      <c r="B16">
        <v>185</v>
      </c>
    </row>
    <row r="17" spans="1:2" x14ac:dyDescent="0.25">
      <c r="A17" s="38" t="s">
        <v>176</v>
      </c>
      <c r="B17">
        <v>59</v>
      </c>
    </row>
    <row r="18" spans="1:2" x14ac:dyDescent="0.25">
      <c r="A18" s="38" t="s">
        <v>177</v>
      </c>
      <c r="B18">
        <v>40</v>
      </c>
    </row>
    <row r="19" spans="1:2" x14ac:dyDescent="0.25">
      <c r="A19" s="38" t="s">
        <v>178</v>
      </c>
      <c r="B19">
        <v>15</v>
      </c>
    </row>
    <row r="20" spans="1:2" x14ac:dyDescent="0.25">
      <c r="A20" s="38" t="s">
        <v>179</v>
      </c>
      <c r="B20">
        <v>20</v>
      </c>
    </row>
    <row r="21" spans="1:2" x14ac:dyDescent="0.25">
      <c r="A21" s="38" t="s">
        <v>180</v>
      </c>
      <c r="B21">
        <v>157</v>
      </c>
    </row>
    <row r="22" spans="1:2" x14ac:dyDescent="0.25">
      <c r="A22" s="38" t="s">
        <v>181</v>
      </c>
      <c r="B22">
        <v>18</v>
      </c>
    </row>
    <row r="23" spans="1:2" x14ac:dyDescent="0.25">
      <c r="A23" s="38" t="s">
        <v>182</v>
      </c>
      <c r="B23">
        <v>1</v>
      </c>
    </row>
    <row r="24" spans="1:2" x14ac:dyDescent="0.25">
      <c r="A24" s="38" t="s">
        <v>183</v>
      </c>
      <c r="B24">
        <v>-1</v>
      </c>
    </row>
    <row r="25" spans="1:2" x14ac:dyDescent="0.25">
      <c r="A25" s="38" t="s">
        <v>3071</v>
      </c>
      <c r="B25">
        <v>1999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787D1-73E7-48F7-871B-E6424369D289}">
  <sheetPr>
    <pageSetUpPr fitToPage="1"/>
  </sheetPr>
  <dimension ref="A2:B16"/>
  <sheetViews>
    <sheetView workbookViewId="0">
      <selection activeCell="B2" sqref="B2"/>
    </sheetView>
  </sheetViews>
  <sheetFormatPr defaultRowHeight="13.2" x14ac:dyDescent="0.25"/>
  <cols>
    <col min="1" max="1" width="54.109375" bestFit="1" customWidth="1"/>
    <col min="2" max="2" width="22" bestFit="1" customWidth="1"/>
  </cols>
  <sheetData>
    <row r="2" spans="1:2" x14ac:dyDescent="0.25">
      <c r="A2" s="39" t="s">
        <v>76</v>
      </c>
      <c r="B2" t="s">
        <v>314</v>
      </c>
    </row>
    <row r="4" spans="1:2" x14ac:dyDescent="0.25">
      <c r="A4" s="39" t="s">
        <v>3069</v>
      </c>
      <c r="B4" t="s">
        <v>3070</v>
      </c>
    </row>
    <row r="5" spans="1:2" x14ac:dyDescent="0.25">
      <c r="A5" s="38" t="s">
        <v>141</v>
      </c>
      <c r="B5">
        <v>21</v>
      </c>
    </row>
    <row r="6" spans="1:2" x14ac:dyDescent="0.25">
      <c r="A6" s="38" t="s">
        <v>150</v>
      </c>
      <c r="B6">
        <v>47</v>
      </c>
    </row>
    <row r="7" spans="1:2" x14ac:dyDescent="0.25">
      <c r="A7" s="38" t="s">
        <v>151</v>
      </c>
      <c r="B7">
        <v>1236</v>
      </c>
    </row>
    <row r="8" spans="1:2" x14ac:dyDescent="0.25">
      <c r="A8" s="38" t="s">
        <v>152</v>
      </c>
      <c r="B8">
        <v>10</v>
      </c>
    </row>
    <row r="9" spans="1:2" x14ac:dyDescent="0.25">
      <c r="A9" s="38" t="s">
        <v>334</v>
      </c>
      <c r="B9">
        <v>324</v>
      </c>
    </row>
    <row r="10" spans="1:2" x14ac:dyDescent="0.25">
      <c r="A10" s="38" t="s">
        <v>153</v>
      </c>
      <c r="B10">
        <v>0</v>
      </c>
    </row>
    <row r="11" spans="1:2" x14ac:dyDescent="0.25">
      <c r="A11" s="38" t="s">
        <v>154</v>
      </c>
      <c r="B11">
        <v>17</v>
      </c>
    </row>
    <row r="12" spans="1:2" x14ac:dyDescent="0.25">
      <c r="A12" s="38" t="s">
        <v>144</v>
      </c>
      <c r="B12">
        <v>73</v>
      </c>
    </row>
    <row r="13" spans="1:2" x14ac:dyDescent="0.25">
      <c r="A13" s="38" t="s">
        <v>481</v>
      </c>
      <c r="B13">
        <v>85</v>
      </c>
    </row>
    <row r="14" spans="1:2" x14ac:dyDescent="0.25">
      <c r="A14" s="38" t="s">
        <v>327</v>
      </c>
      <c r="B14">
        <v>185</v>
      </c>
    </row>
    <row r="15" spans="1:2" x14ac:dyDescent="0.25">
      <c r="A15" s="38" t="s">
        <v>740</v>
      </c>
      <c r="B15">
        <v>1</v>
      </c>
    </row>
    <row r="16" spans="1:2" x14ac:dyDescent="0.25">
      <c r="A16" s="38" t="s">
        <v>3071</v>
      </c>
      <c r="B16">
        <v>1999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pageSetUpPr fitToPage="1"/>
  </sheetPr>
  <dimension ref="A1:E25"/>
  <sheetViews>
    <sheetView workbookViewId="0">
      <selection activeCell="D8" sqref="D8"/>
    </sheetView>
  </sheetViews>
  <sheetFormatPr defaultRowHeight="13.2" x14ac:dyDescent="0.25"/>
  <cols>
    <col min="1" max="1" width="23.33203125" bestFit="1" customWidth="1"/>
    <col min="2" max="2" width="16.5546875" bestFit="1" customWidth="1"/>
    <col min="3" max="3" width="21.109375" bestFit="1" customWidth="1"/>
    <col min="4" max="5" width="11.33203125" bestFit="1" customWidth="1"/>
    <col min="6" max="6" width="11.6640625" customWidth="1"/>
  </cols>
  <sheetData>
    <row r="1" spans="1:5" x14ac:dyDescent="0.25">
      <c r="A1" s="39" t="s">
        <v>3070</v>
      </c>
      <c r="B1" s="39" t="s">
        <v>3073</v>
      </c>
    </row>
    <row r="2" spans="1:5" x14ac:dyDescent="0.25">
      <c r="A2" s="39" t="s">
        <v>3069</v>
      </c>
      <c r="B2" t="s">
        <v>314</v>
      </c>
      <c r="C2" t="s">
        <v>848</v>
      </c>
      <c r="D2" t="s">
        <v>822</v>
      </c>
      <c r="E2" t="s">
        <v>3071</v>
      </c>
    </row>
    <row r="3" spans="1:5" x14ac:dyDescent="0.25">
      <c r="A3" s="38" t="s">
        <v>141</v>
      </c>
      <c r="B3">
        <v>27</v>
      </c>
      <c r="C3">
        <v>9</v>
      </c>
      <c r="D3">
        <v>40</v>
      </c>
      <c r="E3">
        <v>76</v>
      </c>
    </row>
    <row r="4" spans="1:5" x14ac:dyDescent="0.25">
      <c r="A4" s="38" t="s">
        <v>163</v>
      </c>
      <c r="B4">
        <v>1</v>
      </c>
      <c r="C4">
        <v>136</v>
      </c>
      <c r="D4">
        <v>172</v>
      </c>
      <c r="E4">
        <v>309</v>
      </c>
    </row>
    <row r="5" spans="1:5" x14ac:dyDescent="0.25">
      <c r="A5" s="38" t="s">
        <v>164</v>
      </c>
      <c r="B5">
        <v>16</v>
      </c>
      <c r="C5">
        <v>45</v>
      </c>
      <c r="D5">
        <v>55</v>
      </c>
      <c r="E5">
        <v>116</v>
      </c>
    </row>
    <row r="6" spans="1:5" x14ac:dyDescent="0.25">
      <c r="A6" s="38" t="s">
        <v>165</v>
      </c>
      <c r="B6">
        <v>0</v>
      </c>
      <c r="C6">
        <v>127</v>
      </c>
      <c r="D6">
        <v>1682</v>
      </c>
      <c r="E6">
        <v>1809</v>
      </c>
    </row>
    <row r="7" spans="1:5" x14ac:dyDescent="0.25">
      <c r="A7" s="38" t="s">
        <v>166</v>
      </c>
      <c r="B7">
        <v>28</v>
      </c>
      <c r="C7">
        <v>67</v>
      </c>
      <c r="D7">
        <v>66</v>
      </c>
      <c r="E7">
        <v>161</v>
      </c>
    </row>
    <row r="8" spans="1:5" x14ac:dyDescent="0.25">
      <c r="A8" s="38" t="s">
        <v>167</v>
      </c>
      <c r="B8">
        <v>51</v>
      </c>
      <c r="C8">
        <v>15</v>
      </c>
      <c r="D8">
        <v>251</v>
      </c>
      <c r="E8">
        <v>317</v>
      </c>
    </row>
    <row r="9" spans="1:5" x14ac:dyDescent="0.25">
      <c r="A9" s="38" t="s">
        <v>168</v>
      </c>
      <c r="B9">
        <v>1228</v>
      </c>
      <c r="C9">
        <v>4094</v>
      </c>
      <c r="D9">
        <v>3169</v>
      </c>
      <c r="E9">
        <v>8491</v>
      </c>
    </row>
    <row r="10" spans="1:5" x14ac:dyDescent="0.25">
      <c r="A10" s="38" t="s">
        <v>169</v>
      </c>
      <c r="B10">
        <v>2</v>
      </c>
      <c r="C10">
        <v>12</v>
      </c>
      <c r="D10">
        <v>24</v>
      </c>
      <c r="E10">
        <v>38</v>
      </c>
    </row>
    <row r="11" spans="1:5" x14ac:dyDescent="0.25">
      <c r="A11" s="38" t="s">
        <v>170</v>
      </c>
      <c r="B11">
        <v>-1</v>
      </c>
      <c r="C11">
        <v>66</v>
      </c>
      <c r="D11">
        <v>800</v>
      </c>
      <c r="E11">
        <v>865</v>
      </c>
    </row>
    <row r="12" spans="1:5" x14ac:dyDescent="0.25">
      <c r="A12" s="38" t="s">
        <v>171</v>
      </c>
      <c r="B12">
        <v>35</v>
      </c>
      <c r="C12">
        <v>61</v>
      </c>
      <c r="D12">
        <v>28</v>
      </c>
      <c r="E12">
        <v>124</v>
      </c>
    </row>
    <row r="13" spans="1:5" x14ac:dyDescent="0.25">
      <c r="A13" s="38" t="s">
        <v>172</v>
      </c>
      <c r="B13">
        <v>25</v>
      </c>
      <c r="C13">
        <v>7</v>
      </c>
      <c r="D13">
        <v>64</v>
      </c>
      <c r="E13">
        <v>96</v>
      </c>
    </row>
    <row r="14" spans="1:5" x14ac:dyDescent="0.25">
      <c r="A14" s="38" t="s">
        <v>173</v>
      </c>
      <c r="B14">
        <v>1</v>
      </c>
      <c r="C14">
        <v>8</v>
      </c>
      <c r="D14">
        <v>49</v>
      </c>
      <c r="E14">
        <v>58</v>
      </c>
    </row>
    <row r="15" spans="1:5" x14ac:dyDescent="0.25">
      <c r="A15" s="38" t="s">
        <v>174</v>
      </c>
      <c r="B15">
        <v>92</v>
      </c>
      <c r="C15">
        <v>1152</v>
      </c>
      <c r="D15">
        <v>539</v>
      </c>
      <c r="E15">
        <v>1783</v>
      </c>
    </row>
    <row r="16" spans="1:5" x14ac:dyDescent="0.25">
      <c r="A16" s="38" t="s">
        <v>175</v>
      </c>
      <c r="B16">
        <v>185</v>
      </c>
      <c r="C16">
        <v>23</v>
      </c>
      <c r="D16">
        <v>164</v>
      </c>
      <c r="E16">
        <v>372</v>
      </c>
    </row>
    <row r="17" spans="1:5" x14ac:dyDescent="0.25">
      <c r="A17" s="38" t="s">
        <v>176</v>
      </c>
      <c r="B17">
        <v>59</v>
      </c>
      <c r="C17">
        <v>8</v>
      </c>
      <c r="D17">
        <v>30</v>
      </c>
      <c r="E17">
        <v>97</v>
      </c>
    </row>
    <row r="18" spans="1:5" x14ac:dyDescent="0.25">
      <c r="A18" s="38" t="s">
        <v>177</v>
      </c>
      <c r="B18">
        <v>40</v>
      </c>
      <c r="C18">
        <v>64</v>
      </c>
      <c r="D18">
        <v>136</v>
      </c>
      <c r="E18">
        <v>240</v>
      </c>
    </row>
    <row r="19" spans="1:5" x14ac:dyDescent="0.25">
      <c r="A19" s="38" t="s">
        <v>178</v>
      </c>
      <c r="B19">
        <v>15</v>
      </c>
      <c r="C19">
        <v>3</v>
      </c>
      <c r="D19">
        <v>21</v>
      </c>
      <c r="E19">
        <v>39</v>
      </c>
    </row>
    <row r="20" spans="1:5" x14ac:dyDescent="0.25">
      <c r="A20" s="38" t="s">
        <v>179</v>
      </c>
      <c r="B20">
        <v>20</v>
      </c>
      <c r="C20">
        <v>115</v>
      </c>
      <c r="D20">
        <v>549</v>
      </c>
      <c r="E20">
        <v>684</v>
      </c>
    </row>
    <row r="21" spans="1:5" x14ac:dyDescent="0.25">
      <c r="A21" s="38" t="s">
        <v>180</v>
      </c>
      <c r="B21">
        <v>157</v>
      </c>
      <c r="C21">
        <v>328</v>
      </c>
      <c r="D21">
        <v>448</v>
      </c>
      <c r="E21">
        <v>933</v>
      </c>
    </row>
    <row r="22" spans="1:5" x14ac:dyDescent="0.25">
      <c r="A22" s="38" t="s">
        <v>181</v>
      </c>
      <c r="B22">
        <v>18</v>
      </c>
      <c r="C22">
        <v>62</v>
      </c>
      <c r="D22">
        <v>500</v>
      </c>
      <c r="E22">
        <v>580</v>
      </c>
    </row>
    <row r="23" spans="1:5" x14ac:dyDescent="0.25">
      <c r="A23" s="38" t="s">
        <v>182</v>
      </c>
      <c r="B23">
        <v>1</v>
      </c>
      <c r="C23">
        <v>14</v>
      </c>
      <c r="D23">
        <v>19</v>
      </c>
      <c r="E23">
        <v>34</v>
      </c>
    </row>
    <row r="24" spans="1:5" x14ac:dyDescent="0.25">
      <c r="A24" s="38" t="s">
        <v>183</v>
      </c>
      <c r="B24">
        <v>-1</v>
      </c>
      <c r="C24">
        <v>10</v>
      </c>
      <c r="D24">
        <v>39</v>
      </c>
      <c r="E24">
        <v>48</v>
      </c>
    </row>
    <row r="25" spans="1:5" x14ac:dyDescent="0.25">
      <c r="A25" s="38" t="s">
        <v>3071</v>
      </c>
      <c r="B25">
        <v>1999</v>
      </c>
      <c r="C25">
        <v>6426</v>
      </c>
      <c r="D25">
        <v>8845</v>
      </c>
      <c r="E25">
        <v>17270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pageSetUpPr fitToPage="1"/>
  </sheetPr>
  <dimension ref="A1:P6"/>
  <sheetViews>
    <sheetView workbookViewId="0">
      <selection activeCell="A4" sqref="A4"/>
    </sheetView>
  </sheetViews>
  <sheetFormatPr defaultRowHeight="13.2" x14ac:dyDescent="0.25"/>
  <cols>
    <col min="1" max="1" width="22" bestFit="1" customWidth="1"/>
    <col min="2" max="2" width="16.5546875" bestFit="1" customWidth="1"/>
    <col min="3" max="3" width="12.33203125" bestFit="1" customWidth="1"/>
    <col min="4" max="4" width="21.33203125" bestFit="1" customWidth="1"/>
    <col min="5" max="5" width="16.5546875" bestFit="1" customWidth="1"/>
    <col min="6" max="6" width="23" bestFit="1" customWidth="1"/>
    <col min="7" max="7" width="12.33203125" bestFit="1" customWidth="1"/>
    <col min="8" max="8" width="21.33203125" bestFit="1" customWidth="1"/>
    <col min="9" max="9" width="9.33203125" bestFit="1" customWidth="1"/>
    <col min="10" max="10" width="26.33203125" bestFit="1" customWidth="1"/>
    <col min="11" max="11" width="15.44140625" bestFit="1" customWidth="1"/>
    <col min="12" max="12" width="12.33203125" bestFit="1" customWidth="1"/>
    <col min="13" max="13" width="21.33203125" bestFit="1" customWidth="1"/>
    <col min="14" max="14" width="18.88671875" bestFit="1" customWidth="1"/>
    <col min="15" max="15" width="11.33203125" bestFit="1" customWidth="1"/>
    <col min="16" max="16" width="11.6640625" customWidth="1"/>
  </cols>
  <sheetData>
    <row r="1" spans="1:16" x14ac:dyDescent="0.25">
      <c r="A1" s="39" t="s">
        <v>3070</v>
      </c>
      <c r="B1" s="39" t="s">
        <v>3073</v>
      </c>
    </row>
    <row r="2" spans="1:16" x14ac:dyDescent="0.25">
      <c r="B2" t="s">
        <v>822</v>
      </c>
      <c r="E2" t="s">
        <v>3081</v>
      </c>
      <c r="F2" t="s">
        <v>848</v>
      </c>
      <c r="J2" t="s">
        <v>3082</v>
      </c>
      <c r="K2" t="s">
        <v>314</v>
      </c>
      <c r="N2" t="s">
        <v>3083</v>
      </c>
      <c r="O2" t="s">
        <v>3071</v>
      </c>
      <c r="P2" s="39"/>
    </row>
    <row r="3" spans="1:16" x14ac:dyDescent="0.25">
      <c r="A3" s="39" t="s">
        <v>3069</v>
      </c>
      <c r="B3" t="s">
        <v>56</v>
      </c>
      <c r="C3" t="s">
        <v>77</v>
      </c>
      <c r="D3" t="s">
        <v>57</v>
      </c>
      <c r="F3" t="s">
        <v>56</v>
      </c>
      <c r="G3" t="s">
        <v>77</v>
      </c>
      <c r="H3" t="s">
        <v>57</v>
      </c>
      <c r="I3" t="s">
        <v>79</v>
      </c>
      <c r="K3" t="s">
        <v>56</v>
      </c>
      <c r="L3" t="s">
        <v>77</v>
      </c>
      <c r="M3" t="s">
        <v>57</v>
      </c>
    </row>
    <row r="4" spans="1:16" x14ac:dyDescent="0.25">
      <c r="A4" s="38" t="s">
        <v>318</v>
      </c>
      <c r="B4">
        <v>528</v>
      </c>
      <c r="C4">
        <v>2346</v>
      </c>
      <c r="D4">
        <v>319</v>
      </c>
      <c r="E4">
        <v>3193</v>
      </c>
      <c r="F4">
        <v>317</v>
      </c>
      <c r="G4">
        <v>3448</v>
      </c>
      <c r="H4">
        <v>392</v>
      </c>
      <c r="I4">
        <v>0</v>
      </c>
      <c r="J4">
        <v>4157</v>
      </c>
      <c r="K4">
        <v>192</v>
      </c>
      <c r="L4">
        <v>1004</v>
      </c>
      <c r="M4">
        <v>40</v>
      </c>
      <c r="N4">
        <v>1236</v>
      </c>
      <c r="O4">
        <v>8586</v>
      </c>
    </row>
    <row r="5" spans="1:16" x14ac:dyDescent="0.25">
      <c r="A5" s="38" t="s">
        <v>3078</v>
      </c>
      <c r="B5">
        <v>671</v>
      </c>
      <c r="C5">
        <v>4687</v>
      </c>
      <c r="D5">
        <v>294</v>
      </c>
      <c r="E5">
        <v>5652</v>
      </c>
      <c r="F5">
        <v>458</v>
      </c>
      <c r="G5">
        <v>1478</v>
      </c>
      <c r="H5">
        <v>334</v>
      </c>
      <c r="I5">
        <v>-1</v>
      </c>
      <c r="J5">
        <v>2269</v>
      </c>
      <c r="K5">
        <v>167</v>
      </c>
      <c r="L5">
        <v>406</v>
      </c>
      <c r="M5">
        <v>190</v>
      </c>
      <c r="N5">
        <v>763</v>
      </c>
      <c r="O5">
        <v>8684</v>
      </c>
    </row>
    <row r="6" spans="1:16" x14ac:dyDescent="0.25">
      <c r="A6" s="38" t="s">
        <v>3071</v>
      </c>
      <c r="B6">
        <v>1199</v>
      </c>
      <c r="C6">
        <v>7033</v>
      </c>
      <c r="D6">
        <v>613</v>
      </c>
      <c r="E6">
        <v>8845</v>
      </c>
      <c r="F6">
        <v>775</v>
      </c>
      <c r="G6">
        <v>4926</v>
      </c>
      <c r="H6">
        <v>726</v>
      </c>
      <c r="I6">
        <v>-1</v>
      </c>
      <c r="J6">
        <v>6426</v>
      </c>
      <c r="K6">
        <v>359</v>
      </c>
      <c r="L6">
        <v>1410</v>
      </c>
      <c r="M6">
        <v>230</v>
      </c>
      <c r="N6">
        <v>1999</v>
      </c>
      <c r="O6">
        <v>17270</v>
      </c>
    </row>
  </sheetData>
  <printOptions horizontalCentered="1"/>
  <pageMargins left="0.39370078740157483" right="0.39370078740157483" top="0.39370078740157483" bottom="0.39370078740157483" header="0.19685039370078741" footer="0.19685039370078741"/>
  <pageSetup paperSize="9" scale="46" fitToHeight="0" orientation="landscape" r:id="rId2"/>
  <headerFooter alignWithMargins="0">
    <oddHeader>&amp;L&amp;"Calibri"&amp;10&amp;K000000Official&amp;1#</oddHeader>
    <oddFooter>&amp;C&amp;8&amp;P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4">
    <pageSetUpPr fitToPage="1"/>
  </sheetPr>
  <dimension ref="A1:I9"/>
  <sheetViews>
    <sheetView workbookViewId="0">
      <selection activeCell="A4" sqref="A4"/>
    </sheetView>
  </sheetViews>
  <sheetFormatPr defaultRowHeight="13.2" x14ac:dyDescent="0.25"/>
  <cols>
    <col min="1" max="1" width="31" bestFit="1" customWidth="1"/>
    <col min="2" max="2" width="22" bestFit="1" customWidth="1"/>
    <col min="3" max="3" width="22.33203125" bestFit="1" customWidth="1"/>
    <col min="4" max="7" width="21.6640625" bestFit="1" customWidth="1"/>
    <col min="8" max="8" width="22.6640625" bestFit="1" customWidth="1"/>
    <col min="9" max="9" width="30.6640625" bestFit="1" customWidth="1"/>
    <col min="10" max="24" width="31.33203125" bestFit="1" customWidth="1"/>
    <col min="25" max="25" width="27.88671875" bestFit="1" customWidth="1"/>
    <col min="26" max="26" width="28.109375" bestFit="1" customWidth="1"/>
    <col min="27" max="30" width="27.44140625" bestFit="1" customWidth="1"/>
    <col min="31" max="31" width="28.5546875" bestFit="1" customWidth="1"/>
    <col min="32" max="33" width="36.5546875" bestFit="1" customWidth="1"/>
  </cols>
  <sheetData>
    <row r="1" spans="1:9" x14ac:dyDescent="0.25">
      <c r="A1" s="39" t="s">
        <v>76</v>
      </c>
      <c r="B1" t="s">
        <v>314</v>
      </c>
    </row>
    <row r="2" spans="1:9" x14ac:dyDescent="0.25">
      <c r="A2" s="39" t="s">
        <v>265</v>
      </c>
      <c r="B2" t="s">
        <v>3074</v>
      </c>
    </row>
    <row r="3" spans="1:9" x14ac:dyDescent="0.25">
      <c r="A3" s="39" t="s">
        <v>266</v>
      </c>
      <c r="B3" t="s">
        <v>3074</v>
      </c>
    </row>
    <row r="5" spans="1:9" x14ac:dyDescent="0.25">
      <c r="A5" s="39" t="s">
        <v>3069</v>
      </c>
      <c r="B5" t="s">
        <v>3070</v>
      </c>
      <c r="C5" t="s">
        <v>3084</v>
      </c>
      <c r="D5" t="s">
        <v>3085</v>
      </c>
      <c r="E5" t="s">
        <v>3086</v>
      </c>
      <c r="F5" t="s">
        <v>3087</v>
      </c>
      <c r="G5" t="s">
        <v>3088</v>
      </c>
      <c r="H5" t="s">
        <v>3089</v>
      </c>
      <c r="I5" t="s">
        <v>3090</v>
      </c>
    </row>
    <row r="6" spans="1:9" x14ac:dyDescent="0.25">
      <c r="A6" s="38" t="s">
        <v>56</v>
      </c>
      <c r="B6">
        <v>350</v>
      </c>
      <c r="C6">
        <v>11</v>
      </c>
      <c r="D6">
        <v>156</v>
      </c>
      <c r="E6">
        <v>167</v>
      </c>
      <c r="F6">
        <v>16</v>
      </c>
      <c r="G6">
        <v>0</v>
      </c>
      <c r="H6">
        <v>0</v>
      </c>
      <c r="I6">
        <v>0</v>
      </c>
    </row>
    <row r="7" spans="1:9" x14ac:dyDescent="0.25">
      <c r="A7" s="38" t="s">
        <v>77</v>
      </c>
      <c r="B7">
        <v>1181</v>
      </c>
      <c r="C7">
        <v>30</v>
      </c>
      <c r="D7">
        <v>307</v>
      </c>
      <c r="E7">
        <v>550</v>
      </c>
      <c r="F7">
        <v>247</v>
      </c>
      <c r="G7">
        <v>32</v>
      </c>
      <c r="H7">
        <v>15</v>
      </c>
      <c r="I7">
        <v>0</v>
      </c>
    </row>
    <row r="8" spans="1:9" x14ac:dyDescent="0.25">
      <c r="A8" s="38" t="s">
        <v>57</v>
      </c>
      <c r="B8">
        <v>230</v>
      </c>
      <c r="C8">
        <v>-2</v>
      </c>
      <c r="D8">
        <v>90</v>
      </c>
      <c r="E8">
        <v>107</v>
      </c>
      <c r="F8">
        <v>30</v>
      </c>
      <c r="G8">
        <v>3</v>
      </c>
      <c r="H8">
        <v>2</v>
      </c>
      <c r="I8">
        <v>0</v>
      </c>
    </row>
    <row r="9" spans="1:9" x14ac:dyDescent="0.25">
      <c r="A9" s="38" t="s">
        <v>3071</v>
      </c>
      <c r="B9">
        <v>1761</v>
      </c>
      <c r="C9">
        <v>39</v>
      </c>
      <c r="D9">
        <v>553</v>
      </c>
      <c r="E9">
        <v>824</v>
      </c>
      <c r="F9">
        <v>293</v>
      </c>
      <c r="G9">
        <v>35</v>
      </c>
      <c r="H9">
        <v>17</v>
      </c>
      <c r="I9">
        <v>0</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pageSetUpPr fitToPage="1"/>
  </sheetPr>
  <dimension ref="A1:I9"/>
  <sheetViews>
    <sheetView workbookViewId="0">
      <selection sqref="A1:B1"/>
    </sheetView>
  </sheetViews>
  <sheetFormatPr defaultRowHeight="13.2" x14ac:dyDescent="0.25"/>
  <cols>
    <col min="1" max="1" width="31" bestFit="1" customWidth="1"/>
    <col min="2" max="2" width="22" bestFit="1" customWidth="1"/>
    <col min="3" max="3" width="22.33203125" bestFit="1" customWidth="1"/>
    <col min="4" max="7" width="21.6640625" bestFit="1" customWidth="1"/>
    <col min="8" max="8" width="22.6640625" bestFit="1" customWidth="1"/>
    <col min="9" max="9" width="30.6640625" bestFit="1" customWidth="1"/>
  </cols>
  <sheetData>
    <row r="1" spans="1:9" x14ac:dyDescent="0.25">
      <c r="A1" s="39" t="s">
        <v>76</v>
      </c>
      <c r="B1" t="s">
        <v>3074</v>
      </c>
    </row>
    <row r="2" spans="1:9" x14ac:dyDescent="0.25">
      <c r="A2" s="39" t="s">
        <v>265</v>
      </c>
      <c r="B2" t="s">
        <v>3074</v>
      </c>
    </row>
    <row r="3" spans="1:9" x14ac:dyDescent="0.25">
      <c r="A3" s="39" t="s">
        <v>266</v>
      </c>
      <c r="B3" t="s">
        <v>3074</v>
      </c>
    </row>
    <row r="5" spans="1:9" x14ac:dyDescent="0.25">
      <c r="A5" s="39" t="s">
        <v>3069</v>
      </c>
      <c r="B5" t="s">
        <v>3070</v>
      </c>
      <c r="C5" t="s">
        <v>3084</v>
      </c>
      <c r="D5" t="s">
        <v>3085</v>
      </c>
      <c r="E5" t="s">
        <v>3086</v>
      </c>
      <c r="F5" t="s">
        <v>3087</v>
      </c>
      <c r="G5" t="s">
        <v>3088</v>
      </c>
      <c r="H5" t="s">
        <v>3089</v>
      </c>
      <c r="I5" t="s">
        <v>3090</v>
      </c>
    </row>
    <row r="6" spans="1:9" x14ac:dyDescent="0.25">
      <c r="A6" s="38" t="s">
        <v>56</v>
      </c>
      <c r="B6">
        <v>1967</v>
      </c>
      <c r="C6">
        <v>38</v>
      </c>
      <c r="D6">
        <v>638</v>
      </c>
      <c r="E6">
        <v>877</v>
      </c>
      <c r="F6">
        <v>169</v>
      </c>
      <c r="G6">
        <v>16</v>
      </c>
      <c r="H6">
        <v>0</v>
      </c>
      <c r="I6">
        <v>229</v>
      </c>
    </row>
    <row r="7" spans="1:9" x14ac:dyDescent="0.25">
      <c r="A7" s="38" t="s">
        <v>77</v>
      </c>
      <c r="B7">
        <v>11064</v>
      </c>
      <c r="C7">
        <v>631</v>
      </c>
      <c r="D7">
        <v>2669</v>
      </c>
      <c r="E7">
        <v>4297</v>
      </c>
      <c r="F7">
        <v>1316</v>
      </c>
      <c r="G7">
        <v>136</v>
      </c>
      <c r="H7">
        <v>170</v>
      </c>
      <c r="I7">
        <v>1845</v>
      </c>
    </row>
    <row r="8" spans="1:9" x14ac:dyDescent="0.25">
      <c r="A8" s="38" t="s">
        <v>57</v>
      </c>
      <c r="B8">
        <v>1344</v>
      </c>
      <c r="C8">
        <v>-123</v>
      </c>
      <c r="D8">
        <v>272</v>
      </c>
      <c r="E8">
        <v>269</v>
      </c>
      <c r="F8">
        <v>250</v>
      </c>
      <c r="G8">
        <v>93</v>
      </c>
      <c r="H8">
        <v>2</v>
      </c>
      <c r="I8">
        <v>581</v>
      </c>
    </row>
    <row r="9" spans="1:9" x14ac:dyDescent="0.25">
      <c r="A9" s="38" t="s">
        <v>3071</v>
      </c>
      <c r="B9">
        <v>14375</v>
      </c>
      <c r="C9">
        <v>546</v>
      </c>
      <c r="D9">
        <v>3579</v>
      </c>
      <c r="E9">
        <v>5443</v>
      </c>
      <c r="F9">
        <v>1735</v>
      </c>
      <c r="G9">
        <v>245</v>
      </c>
      <c r="H9">
        <v>172</v>
      </c>
      <c r="I9">
        <v>2655</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pageSetUpPr fitToPage="1"/>
  </sheetPr>
  <dimension ref="A1:N11"/>
  <sheetViews>
    <sheetView workbookViewId="0">
      <selection sqref="A1:B1"/>
    </sheetView>
  </sheetViews>
  <sheetFormatPr defaultRowHeight="13.2" x14ac:dyDescent="0.25"/>
  <cols>
    <col min="1" max="1" width="27.5546875" bestFit="1" customWidth="1"/>
    <col min="2" max="2" width="16.5546875" bestFit="1" customWidth="1"/>
    <col min="3" max="3" width="3" bestFit="1" customWidth="1"/>
    <col min="4" max="4" width="2.6640625" bestFit="1" customWidth="1"/>
    <col min="5" max="5" width="3.109375" bestFit="1" customWidth="1"/>
    <col min="6" max="6" width="2.109375" bestFit="1" customWidth="1"/>
    <col min="7" max="9" width="3" bestFit="1" customWidth="1"/>
    <col min="10" max="10" width="2.6640625" bestFit="1" customWidth="1"/>
    <col min="11" max="12" width="3" bestFit="1" customWidth="1"/>
    <col min="13" max="13" width="5" bestFit="1" customWidth="1"/>
    <col min="14" max="14" width="11.33203125" bestFit="1" customWidth="1"/>
    <col min="15" max="15" width="11.6640625" customWidth="1"/>
    <col min="16" max="16" width="22.5546875" customWidth="1"/>
    <col min="17" max="17" width="28.33203125" customWidth="1"/>
    <col min="18" max="18" width="22.5546875" bestFit="1" customWidth="1"/>
    <col min="19" max="19" width="28.33203125" bestFit="1" customWidth="1"/>
    <col min="20" max="20" width="22.5546875" bestFit="1" customWidth="1"/>
    <col min="21" max="21" width="28.33203125" bestFit="1" customWidth="1"/>
    <col min="22" max="22" width="22.5546875" bestFit="1" customWidth="1"/>
    <col min="23" max="23" width="28.33203125" bestFit="1" customWidth="1"/>
    <col min="24" max="24" width="22.5546875" bestFit="1" customWidth="1"/>
    <col min="25" max="25" width="28.33203125" bestFit="1" customWidth="1"/>
    <col min="26" max="26" width="22.5546875" bestFit="1" customWidth="1"/>
    <col min="27" max="27" width="28.33203125" bestFit="1" customWidth="1"/>
    <col min="28" max="28" width="27.88671875" bestFit="1" customWidth="1"/>
    <col min="29" max="29" width="33.5546875" bestFit="1" customWidth="1"/>
  </cols>
  <sheetData>
    <row r="1" spans="1:14" x14ac:dyDescent="0.25">
      <c r="A1" s="39" t="s">
        <v>76</v>
      </c>
      <c r="B1" t="s">
        <v>314</v>
      </c>
    </row>
    <row r="3" spans="1:14" x14ac:dyDescent="0.25">
      <c r="A3" s="39" t="s">
        <v>3075</v>
      </c>
      <c r="B3" s="39" t="s">
        <v>3073</v>
      </c>
    </row>
    <row r="4" spans="1:14" x14ac:dyDescent="0.25">
      <c r="A4" s="39" t="s">
        <v>3069</v>
      </c>
      <c r="B4" t="s">
        <v>15</v>
      </c>
      <c r="C4" t="s">
        <v>17</v>
      </c>
      <c r="D4" t="s">
        <v>553</v>
      </c>
      <c r="E4" t="s">
        <v>411</v>
      </c>
      <c r="F4" t="s">
        <v>22</v>
      </c>
      <c r="G4" t="s">
        <v>25</v>
      </c>
      <c r="H4" t="s">
        <v>28</v>
      </c>
      <c r="I4" t="s">
        <v>31</v>
      </c>
      <c r="J4" t="s">
        <v>607</v>
      </c>
      <c r="K4" t="s">
        <v>354</v>
      </c>
      <c r="L4" t="s">
        <v>349</v>
      </c>
      <c r="M4" t="s">
        <v>324</v>
      </c>
      <c r="N4" t="s">
        <v>3071</v>
      </c>
    </row>
    <row r="5" spans="1:14" x14ac:dyDescent="0.25">
      <c r="A5" s="38" t="s">
        <v>339</v>
      </c>
      <c r="B5">
        <v>0</v>
      </c>
      <c r="C5">
        <v>0</v>
      </c>
      <c r="D5">
        <v>0</v>
      </c>
      <c r="E5">
        <v>0</v>
      </c>
      <c r="F5">
        <v>0</v>
      </c>
      <c r="G5">
        <v>0</v>
      </c>
      <c r="H5">
        <v>0</v>
      </c>
      <c r="I5">
        <v>0</v>
      </c>
      <c r="J5">
        <v>0</v>
      </c>
      <c r="K5">
        <v>0</v>
      </c>
      <c r="L5">
        <v>0</v>
      </c>
      <c r="M5">
        <v>12</v>
      </c>
      <c r="N5">
        <v>12</v>
      </c>
    </row>
    <row r="6" spans="1:14" x14ac:dyDescent="0.25">
      <c r="A6" s="38" t="s">
        <v>812</v>
      </c>
      <c r="B6">
        <v>0</v>
      </c>
      <c r="C6">
        <v>0</v>
      </c>
      <c r="D6">
        <v>0</v>
      </c>
      <c r="E6">
        <v>0</v>
      </c>
      <c r="F6">
        <v>0</v>
      </c>
      <c r="G6">
        <v>0</v>
      </c>
      <c r="H6">
        <v>0</v>
      </c>
      <c r="I6">
        <v>0</v>
      </c>
      <c r="J6">
        <v>0</v>
      </c>
      <c r="K6">
        <v>0</v>
      </c>
      <c r="L6">
        <v>0</v>
      </c>
      <c r="M6">
        <v>20</v>
      </c>
      <c r="N6">
        <v>20</v>
      </c>
    </row>
    <row r="7" spans="1:14" x14ac:dyDescent="0.25">
      <c r="A7" s="38" t="s">
        <v>324</v>
      </c>
      <c r="B7">
        <v>36</v>
      </c>
      <c r="C7">
        <v>17</v>
      </c>
      <c r="D7">
        <v>4</v>
      </c>
      <c r="E7">
        <v>45</v>
      </c>
      <c r="F7">
        <v>1</v>
      </c>
      <c r="G7">
        <v>21</v>
      </c>
      <c r="H7">
        <v>19</v>
      </c>
      <c r="I7">
        <v>19</v>
      </c>
      <c r="J7">
        <v>1</v>
      </c>
      <c r="K7">
        <v>84</v>
      </c>
      <c r="L7">
        <v>87</v>
      </c>
      <c r="M7">
        <v>0</v>
      </c>
      <c r="N7">
        <v>334</v>
      </c>
    </row>
    <row r="8" spans="1:14" x14ac:dyDescent="0.25">
      <c r="A8" s="38" t="s">
        <v>323</v>
      </c>
      <c r="B8">
        <v>0</v>
      </c>
      <c r="C8">
        <v>0</v>
      </c>
      <c r="D8">
        <v>0</v>
      </c>
      <c r="E8">
        <v>0</v>
      </c>
      <c r="F8">
        <v>0</v>
      </c>
      <c r="G8">
        <v>0</v>
      </c>
      <c r="H8">
        <v>0</v>
      </c>
      <c r="I8">
        <v>0</v>
      </c>
      <c r="J8">
        <v>0</v>
      </c>
      <c r="K8">
        <v>0</v>
      </c>
      <c r="L8">
        <v>0</v>
      </c>
      <c r="M8">
        <v>1846</v>
      </c>
      <c r="N8">
        <v>1846</v>
      </c>
    </row>
    <row r="9" spans="1:14" x14ac:dyDescent="0.25">
      <c r="A9" s="38" t="s">
        <v>843</v>
      </c>
      <c r="B9">
        <v>0</v>
      </c>
      <c r="C9">
        <v>0</v>
      </c>
      <c r="D9">
        <v>0</v>
      </c>
      <c r="E9">
        <v>0</v>
      </c>
      <c r="F9">
        <v>0</v>
      </c>
      <c r="G9">
        <v>0</v>
      </c>
      <c r="H9">
        <v>0</v>
      </c>
      <c r="I9">
        <v>0</v>
      </c>
      <c r="J9">
        <v>0</v>
      </c>
      <c r="K9">
        <v>0</v>
      </c>
      <c r="L9">
        <v>0</v>
      </c>
      <c r="M9">
        <v>43</v>
      </c>
      <c r="N9">
        <v>43</v>
      </c>
    </row>
    <row r="10" spans="1:14" x14ac:dyDescent="0.25">
      <c r="A10" s="38" t="s">
        <v>656</v>
      </c>
      <c r="B10">
        <v>0</v>
      </c>
      <c r="C10">
        <v>0</v>
      </c>
      <c r="D10">
        <v>0</v>
      </c>
      <c r="E10">
        <v>0</v>
      </c>
      <c r="F10">
        <v>0</v>
      </c>
      <c r="G10">
        <v>0</v>
      </c>
      <c r="H10">
        <v>0</v>
      </c>
      <c r="I10">
        <v>0</v>
      </c>
      <c r="J10">
        <v>0</v>
      </c>
      <c r="K10">
        <v>0</v>
      </c>
      <c r="L10">
        <v>0</v>
      </c>
      <c r="M10">
        <v>41</v>
      </c>
      <c r="N10">
        <v>41</v>
      </c>
    </row>
    <row r="11" spans="1:14" x14ac:dyDescent="0.25">
      <c r="A11" s="38" t="s">
        <v>3071</v>
      </c>
      <c r="B11">
        <v>36</v>
      </c>
      <c r="C11">
        <v>17</v>
      </c>
      <c r="D11">
        <v>4</v>
      </c>
      <c r="E11">
        <v>45</v>
      </c>
      <c r="F11">
        <v>1</v>
      </c>
      <c r="G11">
        <v>21</v>
      </c>
      <c r="H11">
        <v>19</v>
      </c>
      <c r="I11">
        <v>19</v>
      </c>
      <c r="J11">
        <v>1</v>
      </c>
      <c r="K11">
        <v>84</v>
      </c>
      <c r="L11">
        <v>87</v>
      </c>
      <c r="M11">
        <v>1962</v>
      </c>
      <c r="N11">
        <v>2296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pageSetUpPr fitToPage="1"/>
  </sheetPr>
  <dimension ref="A1:O10"/>
  <sheetViews>
    <sheetView workbookViewId="0">
      <selection sqref="A1:B1"/>
    </sheetView>
  </sheetViews>
  <sheetFormatPr defaultRowHeight="13.2" x14ac:dyDescent="0.25"/>
  <cols>
    <col min="1" max="1" width="27.5546875" bestFit="1" customWidth="1"/>
    <col min="2" max="2" width="16.5546875" bestFit="1" customWidth="1"/>
    <col min="3" max="4" width="3" bestFit="1" customWidth="1"/>
    <col min="5" max="5" width="4" bestFit="1" customWidth="1"/>
    <col min="6" max="6" width="2.109375" bestFit="1" customWidth="1"/>
    <col min="7" max="7" width="3" bestFit="1" customWidth="1"/>
    <col min="8" max="8" width="4" bestFit="1" customWidth="1"/>
    <col min="9" max="9" width="3" bestFit="1" customWidth="1"/>
    <col min="10" max="11" width="2.109375" bestFit="1" customWidth="1"/>
    <col min="12" max="12" width="2.6640625" bestFit="1" customWidth="1"/>
    <col min="13" max="14" width="4" bestFit="1" customWidth="1"/>
    <col min="15" max="15" width="11.33203125" bestFit="1" customWidth="1"/>
    <col min="16" max="16" width="22.5546875" bestFit="1" customWidth="1"/>
    <col min="17" max="17" width="28.33203125" bestFit="1" customWidth="1"/>
    <col min="18" max="18" width="22.5546875" bestFit="1" customWidth="1"/>
    <col min="19" max="19" width="28.33203125" bestFit="1" customWidth="1"/>
    <col min="20" max="20" width="22.5546875" bestFit="1" customWidth="1"/>
    <col min="21" max="21" width="28.33203125" bestFit="1" customWidth="1"/>
    <col min="22" max="22" width="22.5546875" bestFit="1" customWidth="1"/>
    <col min="23" max="23" width="28.33203125" bestFit="1" customWidth="1"/>
    <col min="24" max="24" width="22.5546875" bestFit="1" customWidth="1"/>
    <col min="25" max="25" width="28.33203125" bestFit="1" customWidth="1"/>
    <col min="26" max="26" width="27.88671875" bestFit="1" customWidth="1"/>
    <col min="27" max="27" width="33.5546875" bestFit="1" customWidth="1"/>
  </cols>
  <sheetData>
    <row r="1" spans="1:15" x14ac:dyDescent="0.25">
      <c r="A1" s="39" t="s">
        <v>76</v>
      </c>
      <c r="B1" t="s">
        <v>3074</v>
      </c>
    </row>
    <row r="3" spans="1:15" x14ac:dyDescent="0.25">
      <c r="A3" s="39" t="s">
        <v>3075</v>
      </c>
      <c r="B3" s="39" t="s">
        <v>3073</v>
      </c>
    </row>
    <row r="4" spans="1:15" x14ac:dyDescent="0.25">
      <c r="A4" s="39" t="s">
        <v>3069</v>
      </c>
      <c r="B4" t="s">
        <v>15</v>
      </c>
      <c r="C4" t="s">
        <v>17</v>
      </c>
      <c r="D4" t="s">
        <v>553</v>
      </c>
      <c r="E4" t="s">
        <v>411</v>
      </c>
      <c r="F4" t="s">
        <v>22</v>
      </c>
      <c r="G4" t="s">
        <v>25</v>
      </c>
      <c r="H4" t="s">
        <v>28</v>
      </c>
      <c r="I4" t="s">
        <v>31</v>
      </c>
      <c r="J4" t="s">
        <v>34</v>
      </c>
      <c r="K4" t="s">
        <v>2051</v>
      </c>
      <c r="L4" t="s">
        <v>607</v>
      </c>
      <c r="M4" t="s">
        <v>354</v>
      </c>
      <c r="N4" t="s">
        <v>324</v>
      </c>
      <c r="O4" t="s">
        <v>3071</v>
      </c>
    </row>
    <row r="5" spans="1:15" x14ac:dyDescent="0.25">
      <c r="A5" s="38" t="s">
        <v>339</v>
      </c>
      <c r="B5">
        <v>0</v>
      </c>
      <c r="C5">
        <v>0</v>
      </c>
      <c r="D5">
        <v>0</v>
      </c>
      <c r="E5">
        <v>0</v>
      </c>
      <c r="F5">
        <v>0</v>
      </c>
      <c r="G5">
        <v>0</v>
      </c>
      <c r="H5">
        <v>0</v>
      </c>
      <c r="I5">
        <v>0</v>
      </c>
      <c r="J5">
        <v>0</v>
      </c>
      <c r="K5">
        <v>0</v>
      </c>
      <c r="L5">
        <v>0</v>
      </c>
      <c r="M5">
        <v>0</v>
      </c>
      <c r="N5">
        <v>24</v>
      </c>
      <c r="O5">
        <v>24</v>
      </c>
    </row>
    <row r="6" spans="1:15" x14ac:dyDescent="0.25">
      <c r="A6" s="38" t="s">
        <v>812</v>
      </c>
      <c r="B6">
        <v>0</v>
      </c>
      <c r="C6">
        <v>0</v>
      </c>
      <c r="D6">
        <v>0</v>
      </c>
      <c r="E6">
        <v>0</v>
      </c>
      <c r="F6">
        <v>0</v>
      </c>
      <c r="G6">
        <v>0</v>
      </c>
      <c r="H6">
        <v>0</v>
      </c>
      <c r="I6">
        <v>0</v>
      </c>
      <c r="J6">
        <v>0</v>
      </c>
      <c r="K6">
        <v>0</v>
      </c>
      <c r="L6">
        <v>0</v>
      </c>
      <c r="M6">
        <v>0</v>
      </c>
      <c r="N6">
        <v>7</v>
      </c>
      <c r="O6">
        <v>7</v>
      </c>
    </row>
    <row r="7" spans="1:15" x14ac:dyDescent="0.25">
      <c r="A7" s="38" t="s">
        <v>324</v>
      </c>
      <c r="B7">
        <v>118</v>
      </c>
      <c r="C7">
        <v>36</v>
      </c>
      <c r="D7">
        <v>23</v>
      </c>
      <c r="E7">
        <v>110</v>
      </c>
      <c r="F7">
        <v>3</v>
      </c>
      <c r="G7">
        <v>85</v>
      </c>
      <c r="H7">
        <v>122</v>
      </c>
      <c r="I7">
        <v>73</v>
      </c>
      <c r="J7">
        <v>2</v>
      </c>
      <c r="K7">
        <v>1</v>
      </c>
      <c r="L7">
        <v>1</v>
      </c>
      <c r="M7">
        <v>285</v>
      </c>
      <c r="N7">
        <v>0</v>
      </c>
      <c r="O7">
        <v>859</v>
      </c>
    </row>
    <row r="8" spans="1:15" x14ac:dyDescent="0.25">
      <c r="A8" s="38" t="s">
        <v>879</v>
      </c>
      <c r="B8">
        <v>0</v>
      </c>
      <c r="C8">
        <v>0</v>
      </c>
      <c r="D8">
        <v>0</v>
      </c>
      <c r="E8">
        <v>0</v>
      </c>
      <c r="F8">
        <v>0</v>
      </c>
      <c r="G8">
        <v>0</v>
      </c>
      <c r="H8">
        <v>0</v>
      </c>
      <c r="I8">
        <v>0</v>
      </c>
      <c r="J8">
        <v>0</v>
      </c>
      <c r="K8">
        <v>0</v>
      </c>
      <c r="L8">
        <v>0</v>
      </c>
      <c r="M8">
        <v>0</v>
      </c>
      <c r="N8">
        <v>53</v>
      </c>
      <c r="O8">
        <v>53</v>
      </c>
    </row>
    <row r="9" spans="1:15" x14ac:dyDescent="0.25">
      <c r="A9" s="38" t="s">
        <v>843</v>
      </c>
      <c r="B9">
        <v>0</v>
      </c>
      <c r="C9">
        <v>0</v>
      </c>
      <c r="D9">
        <v>0</v>
      </c>
      <c r="E9">
        <v>0</v>
      </c>
      <c r="F9">
        <v>0</v>
      </c>
      <c r="G9">
        <v>0</v>
      </c>
      <c r="H9">
        <v>0</v>
      </c>
      <c r="I9">
        <v>0</v>
      </c>
      <c r="J9">
        <v>0</v>
      </c>
      <c r="K9">
        <v>0</v>
      </c>
      <c r="L9">
        <v>0</v>
      </c>
      <c r="M9">
        <v>0</v>
      </c>
      <c r="N9">
        <v>282</v>
      </c>
      <c r="O9">
        <v>282</v>
      </c>
    </row>
    <row r="10" spans="1:15" x14ac:dyDescent="0.25">
      <c r="A10" s="38" t="s">
        <v>3071</v>
      </c>
      <c r="B10">
        <v>118</v>
      </c>
      <c r="C10">
        <v>36</v>
      </c>
      <c r="D10">
        <v>23</v>
      </c>
      <c r="E10">
        <v>110</v>
      </c>
      <c r="F10">
        <v>3</v>
      </c>
      <c r="G10">
        <v>85</v>
      </c>
      <c r="H10">
        <v>122</v>
      </c>
      <c r="I10">
        <v>73</v>
      </c>
      <c r="J10">
        <v>2</v>
      </c>
      <c r="K10">
        <v>1</v>
      </c>
      <c r="L10">
        <v>1</v>
      </c>
      <c r="M10">
        <v>285</v>
      </c>
      <c r="N10">
        <v>366</v>
      </c>
      <c r="O10">
        <v>1225</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0F3BBB9790784C8BCA740A553ADA9E" ma:contentTypeVersion="14" ma:contentTypeDescription="Create a new document." ma:contentTypeScope="" ma:versionID="81bbd5d7bda10802c861b8da27e7deb6">
  <xsd:schema xmlns:xsd="http://www.w3.org/2001/XMLSchema" xmlns:xs="http://www.w3.org/2001/XMLSchema" xmlns:p="http://schemas.microsoft.com/office/2006/metadata/properties" xmlns:ns2="25170e01-b109-40f9-a371-003a1bb8801d" xmlns:ns3="38a809ab-bf8d-4391-94ea-7f25297ee6a0" targetNamespace="http://schemas.microsoft.com/office/2006/metadata/properties" ma:root="true" ma:fieldsID="c8836ce5d195bd17a2c1d177a6ffe74d" ns2:_="" ns3:_="">
    <xsd:import namespace="25170e01-b109-40f9-a371-003a1bb8801d"/>
    <xsd:import namespace="38a809ab-bf8d-4391-94ea-7f25297ee6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70e01-b109-40f9-a371-003a1bb88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a809ab-bf8d-4391-94ea-7f25297ee6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60c01d-42e7-4b84-bc03-4968ce729ac0}" ma:internalName="TaxCatchAll" ma:showField="CatchAllData" ma:web="38a809ab-bf8d-4391-94ea-7f25297ee6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8a809ab-bf8d-4391-94ea-7f25297ee6a0" xsi:nil="true"/>
    <lcf76f155ced4ddcb4097134ff3c332f xmlns="25170e01-b109-40f9-a371-003a1bb880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1FBC4A-D253-4F44-A177-BEF6457D68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70e01-b109-40f9-a371-003a1bb8801d"/>
    <ds:schemaRef ds:uri="38a809ab-bf8d-4391-94ea-7f25297ee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D5A266-F31C-415D-8AE0-F86F8AA0083F}">
  <ds:schemaRefs>
    <ds:schemaRef ds:uri="http://schemas.microsoft.com/sharepoint/v3/contenttype/forms"/>
  </ds:schemaRefs>
</ds:datastoreItem>
</file>

<file path=customXml/itemProps3.xml><?xml version="1.0" encoding="utf-8"?>
<ds:datastoreItem xmlns:ds="http://schemas.openxmlformats.org/officeDocument/2006/customXml" ds:itemID="{50B4E707-8E11-487C-9A3C-1153652112CD}">
  <ds:schemaRefs>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38a809ab-bf8d-4391-94ea-7f25297ee6a0"/>
    <ds:schemaRef ds:uri="25170e01-b109-40f9-a371-003a1bb8801d"/>
    <ds:schemaRef ds:uri="http://www.w3.org/XML/1998/namespace"/>
  </ds:schemaRefs>
</ds:datastoreItem>
</file>

<file path=docMetadata/LabelInfo.xml><?xml version="1.0" encoding="utf-8"?>
<clbl:labelList xmlns:clbl="http://schemas.microsoft.com/office/2020/mipLabelMetadata">
  <clbl:label id="{763da656-5c75-4f6d-9461-4a3ce9a537cc}" enabled="1" method="Standar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vt:i4>
      </vt:variant>
    </vt:vector>
  </HeadingPairs>
  <TitlesOfParts>
    <vt:vector size="38" baseType="lpstr">
      <vt:lpstr>Summary Tables</vt:lpstr>
      <vt:lpstr>Housing Trajectory</vt:lpstr>
      <vt:lpstr>Conventional Supply</vt:lpstr>
      <vt:lpstr>Non-Self-Contained Supply</vt:lpstr>
      <vt:lpstr>Conventional Supply Assumptions</vt:lpstr>
      <vt:lpstr>Non-Self-Contained Assumptions</vt:lpstr>
      <vt:lpstr>Abbreviations</vt:lpstr>
      <vt:lpstr>1a Conv</vt:lpstr>
      <vt:lpstr>1a NSC</vt:lpstr>
      <vt:lpstr>1d</vt:lpstr>
      <vt:lpstr>2 NB</vt:lpstr>
      <vt:lpstr>2 CON</vt:lpstr>
      <vt:lpstr>3</vt:lpstr>
      <vt:lpstr>4</vt:lpstr>
      <vt:lpstr>5 Perm</vt:lpstr>
      <vt:lpstr>5 Star</vt:lpstr>
      <vt:lpstr>6 PeNB</vt:lpstr>
      <vt:lpstr>6 PeCO</vt:lpstr>
      <vt:lpstr>6 StNB</vt:lpstr>
      <vt:lpstr>6 StCO</vt:lpstr>
      <vt:lpstr>7 Perm</vt:lpstr>
      <vt:lpstr>7 Star</vt:lpstr>
      <vt:lpstr>8b and 8c</vt:lpstr>
      <vt:lpstr>12</vt:lpstr>
      <vt:lpstr>13</vt:lpstr>
      <vt:lpstr>13 Spatial areas</vt:lpstr>
      <vt:lpstr>14</vt:lpstr>
      <vt:lpstr>15</vt:lpstr>
      <vt:lpstr>16</vt:lpstr>
      <vt:lpstr>17</vt:lpstr>
      <vt:lpstr>18</vt:lpstr>
      <vt:lpstr>19</vt:lpstr>
      <vt:lpstr>Abbreviations!Print_Area</vt:lpstr>
      <vt:lpstr>'Housing Trajectory'!Print_Area</vt:lpstr>
      <vt:lpstr>'Non-Self-Contained Assumptions'!Print_Area</vt:lpstr>
      <vt:lpstr>'Summary Tables'!Print_Area</vt:lpstr>
      <vt:lpstr>'Conventional Supply'!Print_Titles</vt:lpstr>
      <vt:lpstr>'Non-Self-Contained Assumptions'!Print_Titles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2017-11-01T14:41:40Z</dcterms:created>
  <dcterms:modified xsi:type="dcterms:W3CDTF">2023-12-08T12:35:43Z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0x010100A40F3BBB9790784C8BCA740A553ADA9E</vt:lpwstr>
  </property>
  <property fmtid="{D5CDD505-2E9C-101B-9397-08002B2CF9AE}" pid="3" name="Order">
    <vt:r8>100</vt:r8>
  </property>
  <property fmtid="{D5CDD505-2E9C-101B-9397-08002B2CF9AE}" pid="4" name="_dlc_DocIdItemGuid">
    <vt:lpwstr>e793b6f3-8a9b-4add-a848-31075631822e</vt:lpwstr>
  </property>
  <property fmtid="{D5CDD505-2E9C-101B-9397-08002B2CF9AE}" pid="5" name="MSIP_Label_763da656-5c75-4f6d-9461-4a3ce9a537cc_Enabled">
    <vt:lpwstr>true</vt:lpwstr>
  </property>
  <property fmtid="{D5CDD505-2E9C-101B-9397-08002B2CF9AE}" pid="6" name="MSIP_Label_763da656-5c75-4f6d-9461-4a3ce9a537cc_SetDate">
    <vt:lpwstr>2022-01-24T12:00:54Z</vt:lpwstr>
  </property>
  <property fmtid="{D5CDD505-2E9C-101B-9397-08002B2CF9AE}" pid="7" name="MSIP_Label_763da656-5c75-4f6d-9461-4a3ce9a537cc_Method">
    <vt:lpwstr>Standard</vt:lpwstr>
  </property>
  <property fmtid="{D5CDD505-2E9C-101B-9397-08002B2CF9AE}" pid="8" name="MSIP_Label_763da656-5c75-4f6d-9461-4a3ce9a537cc_Name">
    <vt:lpwstr>763da656-5c75-4f6d-9461-4a3ce9a537cc</vt:lpwstr>
  </property>
  <property fmtid="{D5CDD505-2E9C-101B-9397-08002B2CF9AE}" pid="9" name="MSIP_Label_763da656-5c75-4f6d-9461-4a3ce9a537cc_SiteId">
    <vt:lpwstr>d9d3f5ac-f803-49be-949f-14a7074d74a7</vt:lpwstr>
  </property>
  <property fmtid="{D5CDD505-2E9C-101B-9397-08002B2CF9AE}" pid="10" name="MSIP_Label_763da656-5c75-4f6d-9461-4a3ce9a537cc_ActionId">
    <vt:lpwstr>7ed46ebd-b4d8-4f9e-aef6-a7c4b69ea0ef</vt:lpwstr>
  </property>
  <property fmtid="{D5CDD505-2E9C-101B-9397-08002B2CF9AE}" pid="11" name="MSIP_Label_763da656-5c75-4f6d-9461-4a3ce9a537cc_ContentBits">
    <vt:lpwstr>1</vt:lpwstr>
  </property>
  <property fmtid="{D5CDD505-2E9C-101B-9397-08002B2CF9AE}" pid="12" name="MediaServiceImageTags">
    <vt:lpwstr/>
  </property>
</Properties>
</file>